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codeName="ThisWorkbook"/>
  <mc:AlternateContent xmlns:mc="http://schemas.openxmlformats.org/markup-compatibility/2006">
    <mc:Choice Requires="x15">
      <x15ac:absPath xmlns:x15ac="http://schemas.microsoft.com/office/spreadsheetml/2010/11/ac" url="F:\Accounting\Terry Debbie (FINANCE MGT)\1 regulatory affairs\2 Rate Applications\2023 PUC COS Application\Settlement Conference\SUBMISSION\"/>
    </mc:Choice>
  </mc:AlternateContent>
  <xr:revisionPtr revIDLastSave="0" documentId="8_{3F7ACAB2-086C-44CD-B368-DC2D28124F28}" xr6:coauthVersionLast="47" xr6:coauthVersionMax="47" xr10:uidLastSave="{00000000-0000-0000-0000-000000000000}"/>
  <workbookProtection workbookAlgorithmName="SHA-512" workbookHashValue="eGT5oCobb/aY72kr2osxw2zD901OOhZp0jtch7RsESGWhXmxdjDEIRmVxBzi4A1zpomm5GuLxQQG8OnsOguZZA==" workbookSaltValue="N90Rx43CCIfpYpk5fjreuw==" workbookSpinCount="100000" lockStructure="1"/>
  <bookViews>
    <workbookView xWindow="28680" yWindow="-120" windowWidth="29040" windowHeight="15840" tabRatio="790" firstSheet="4" activeTab="8" xr2:uid="{00000000-000D-0000-FFFF-FFFF00000000}"/>
  </bookViews>
  <sheets>
    <sheet name="Sheet1" sheetId="38" state="hidden" r:id="rId1"/>
    <sheet name="2016 List" sheetId="37" state="hidden" r:id="rId2"/>
    <sheet name="1.1 Instruction Sheet" sheetId="39" r:id="rId3"/>
    <sheet name="1. Information Sheet" sheetId="15" r:id="rId4"/>
    <sheet name="2a. Continuity Schedule" sheetId="30" r:id="rId5"/>
    <sheet name="2b. Continuity Schedule" sheetId="2" r:id="rId6"/>
    <sheet name="3. Appendix A" sheetId="11" r:id="rId7"/>
    <sheet name="4. Billing Determinants" sheetId="12" r:id="rId8"/>
    <sheet name="5. Allocation of Balances" sheetId="13" r:id="rId9"/>
    <sheet name="6. Class A Consumption Data" sheetId="33" r:id="rId10"/>
    <sheet name="6.1a GA Allocation" sheetId="31" state="hidden" r:id="rId11"/>
    <sheet name="6.2a CBR B_Allocation" sheetId="32" state="hidden" r:id="rId12"/>
    <sheet name="6.2 CBR B" sheetId="22" r:id="rId13"/>
    <sheet name="7. Rate Rider Calculations" sheetId="14" r:id="rId14"/>
    <sheet name="2.1.7 Filing" sheetId="34" state="hidden" r:id="rId15"/>
    <sheet name="Summary Sheet" sheetId="16" state="hidden" r:id="rId16"/>
  </sheets>
  <externalReferences>
    <externalReference r:id="rId17"/>
    <externalReference r:id="rId18"/>
    <externalReference r:id="rId19"/>
  </externalReferences>
  <definedNames>
    <definedName name="_xlnm._FilterDatabase" localSheetId="14" hidden="1">'2.1.7 Filing'!$A$4:$L$3467</definedName>
    <definedName name="_GoBack" localSheetId="7">'4. Billing Determinants'!$P$19</definedName>
    <definedName name="BridgeYear">'[1]LDC Info'!$E$26</definedName>
    <definedName name="Cust3a" localSheetId="9">'6. Class A Consumption Data'!$C$25</definedName>
    <definedName name="Cust3b" localSheetId="9">'6. Class A Consumption Data'!$C$487</definedName>
    <definedName name="EBNUMBER">'[1]LDC Info'!$E$16</definedName>
    <definedName name="G1LD" localSheetId="9">'6. Class A Consumption Data'!$C$14</definedName>
    <definedName name="G1LDCBR" localSheetId="9">'6. Class A Consumption Data'!$C$17</definedName>
    <definedName name="listdata" localSheetId="2">'[2]4. Billing Determinants'!$B$21:$B$26</definedName>
    <definedName name="listdata" localSheetId="9">'4. Billing Determinants'!$B$21:$B$26</definedName>
    <definedName name="listdata">'4. Billing Determinants'!$B$19:$B$21</definedName>
    <definedName name="passwordlist">'2016 List'!$A$1:$B$73</definedName>
    <definedName name="_xlnm.Print_Area" localSheetId="3">'1. Information Sheet'!$A$1:$O$80</definedName>
    <definedName name="_xlnm.Print_Area" localSheetId="6">'3. Appendix A'!$B$1:$F$68</definedName>
    <definedName name="_xlnm.Print_Area" localSheetId="7">'4. Billing Determinants'!$A$1:$AD$50</definedName>
    <definedName name="_xlnm.Print_Area" localSheetId="13">'7. Rate Rider Calculations'!$A$1:$F$256</definedName>
    <definedName name="_xlnm.Print_Titles" localSheetId="4">'2a. Continuity Schedule'!$C:$D,'2a. Continuity Schedule'!$19:$22</definedName>
    <definedName name="_xlnm.Print_Titles" localSheetId="5">'2b. Continuity Schedule'!$C:$D,'2b. Continuity Schedule'!$19:$22</definedName>
    <definedName name="_xlnm.Print_Titles" localSheetId="6">'3. Appendix A'!$C:$D,'3. Appendix A'!$19:$22</definedName>
    <definedName name="ratedescription" localSheetId="9">[3]hidden1!$D$1:$D$122</definedName>
    <definedName name="ratedescription" localSheetId="10">[3]hidden1!$D$1:$D$122</definedName>
    <definedName name="ratedescription" localSheetId="12">[3]hidden1!$D$1:$D$122</definedName>
    <definedName name="ratedescription" localSheetId="11">[3]hidden1!$D$1:$D$122</definedName>
    <definedName name="RebaseYear">'[1]LDC Info'!$E$28</definedName>
    <definedName name="TestYear">'[1]LDC Info'!$E$24</definedName>
    <definedName name="TranCust" localSheetId="9">'6. Class A Consumption Data'!$C$19</definedName>
    <definedName name="TranCustb" localSheetId="9">'6. Class A Consumption Data'!$C$21</definedName>
    <definedName name="TransCust" localSheetId="9">'6. Class A Consumption Data'!$C$19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D67" i="2" l="1"/>
  <c r="BF110" i="2" l="1"/>
  <c r="BF88" i="2" l="1"/>
  <c r="BF55" i="2"/>
  <c r="BF32" i="30"/>
  <c r="BF31" i="30" l="1"/>
  <c r="AC22" i="12" l="1"/>
  <c r="BV112" i="2"/>
  <c r="BR74" i="2" l="1"/>
  <c r="BQ74" i="2"/>
  <c r="BR71" i="2"/>
  <c r="BQ71" i="2"/>
  <c r="BR66" i="2"/>
  <c r="BQ66" i="2"/>
  <c r="BR65" i="2"/>
  <c r="BQ65" i="2"/>
  <c r="BR59" i="2"/>
  <c r="BQ59" i="2"/>
  <c r="BQ49" i="2"/>
  <c r="BR49" i="2"/>
  <c r="BF56" i="2" l="1"/>
  <c r="F36" i="22" l="1" a="1"/>
  <c r="F36" i="22" s="1"/>
  <c r="F35" i="22" a="1"/>
  <c r="F35" i="22" s="1"/>
  <c r="F34" i="22" a="1"/>
  <c r="F34" i="22" s="1"/>
  <c r="F33" i="22" a="1"/>
  <c r="F33" i="22" s="1"/>
  <c r="F32" i="22" a="1"/>
  <c r="F32" i="22" s="1"/>
  <c r="F31" i="22" a="1"/>
  <c r="F31" i="22" s="1"/>
  <c r="F30" i="22" a="1"/>
  <c r="F30" i="22" s="1"/>
  <c r="F29" i="22" a="1"/>
  <c r="F29" i="22" s="1"/>
  <c r="F28" i="22" a="1"/>
  <c r="F28" i="22" s="1"/>
  <c r="F27" i="22" a="1"/>
  <c r="F27" i="22" s="1"/>
  <c r="F26" i="22" a="1"/>
  <c r="F26" i="22" s="1"/>
  <c r="F24" i="22" a="1"/>
  <c r="F24" i="22" s="1"/>
  <c r="F23" i="22" a="1"/>
  <c r="F23" i="22" s="1"/>
  <c r="F20" i="22" a="1"/>
  <c r="F20" i="22" s="1"/>
  <c r="F19" i="22" a="1"/>
  <c r="F19" i="22" s="1"/>
  <c r="F18" i="22" a="1"/>
  <c r="F18" i="22" s="1"/>
  <c r="F17" i="22" a="1"/>
  <c r="F17" i="22" s="1"/>
  <c r="E36" i="22" a="1"/>
  <c r="E36" i="22" s="1"/>
  <c r="E35" i="22" a="1"/>
  <c r="E35" i="22" s="1"/>
  <c r="E34" i="22" a="1"/>
  <c r="E34" i="22" s="1"/>
  <c r="E33" i="22" a="1"/>
  <c r="E33" i="22" s="1"/>
  <c r="E32" i="22" a="1"/>
  <c r="E32" i="22" s="1"/>
  <c r="E31" i="22" a="1"/>
  <c r="E31" i="22" s="1"/>
  <c r="E30" i="22" a="1"/>
  <c r="E30" i="22" s="1"/>
  <c r="E29" i="22" a="1"/>
  <c r="E29" i="22" s="1"/>
  <c r="E28" i="22" a="1"/>
  <c r="E28" i="22" s="1"/>
  <c r="E27" i="22" a="1"/>
  <c r="E27" i="22" s="1"/>
  <c r="E26" i="22" a="1"/>
  <c r="E26" i="22" s="1"/>
  <c r="E24" i="22" a="1"/>
  <c r="E24" i="22" s="1"/>
  <c r="E23" i="22" a="1"/>
  <c r="E23" i="22" s="1"/>
  <c r="E20" i="22" a="1"/>
  <c r="E20" i="22" s="1"/>
  <c r="E19" i="22" a="1"/>
  <c r="E19" i="22" s="1"/>
  <c r="E18" i="22" a="1"/>
  <c r="E18" i="22" s="1"/>
  <c r="E17" i="22" a="1"/>
  <c r="E17" i="22" s="1"/>
  <c r="H36" i="22" a="1"/>
  <c r="H36" i="22" s="1"/>
  <c r="H35" i="22" a="1"/>
  <c r="H35" i="22" s="1"/>
  <c r="H34" i="22" a="1"/>
  <c r="H34" i="22" s="1"/>
  <c r="H33" i="22" a="1"/>
  <c r="H33" i="22" s="1"/>
  <c r="H32" i="22" a="1"/>
  <c r="H32" i="22" s="1"/>
  <c r="H31" i="22" a="1"/>
  <c r="H31" i="22" s="1"/>
  <c r="H30" i="22" a="1"/>
  <c r="H30" i="22" s="1"/>
  <c r="H29" i="22" a="1"/>
  <c r="H29" i="22" s="1"/>
  <c r="H28" i="22" a="1"/>
  <c r="H28" i="22" s="1"/>
  <c r="H27" i="22" a="1"/>
  <c r="H27" i="22" s="1"/>
  <c r="H26" i="22" a="1"/>
  <c r="H26" i="22" s="1"/>
  <c r="H24" i="22" a="1"/>
  <c r="H24" i="22" s="1"/>
  <c r="H23" i="22" a="1"/>
  <c r="H23" i="22" s="1"/>
  <c r="H20" i="22" a="1"/>
  <c r="H20" i="22" s="1"/>
  <c r="H19" i="22" a="1"/>
  <c r="H19" i="22" s="1"/>
  <c r="H18" i="22" a="1"/>
  <c r="H18" i="22" s="1"/>
  <c r="H17" i="22" a="1"/>
  <c r="H17" i="22" s="1"/>
  <c r="G36" i="22" a="1"/>
  <c r="G36" i="22" s="1"/>
  <c r="G35" i="22" a="1"/>
  <c r="G35" i="22" s="1"/>
  <c r="G34" i="22" a="1"/>
  <c r="G34" i="22" s="1"/>
  <c r="G33" i="22" a="1"/>
  <c r="G33" i="22" s="1"/>
  <c r="G32" i="22" a="1"/>
  <c r="G32" i="22" s="1"/>
  <c r="G31" i="22" a="1"/>
  <c r="G31" i="22" s="1"/>
  <c r="G30" i="22" a="1"/>
  <c r="G30" i="22" s="1"/>
  <c r="G29" i="22" a="1"/>
  <c r="G29" i="22" s="1"/>
  <c r="G28" i="22" a="1"/>
  <c r="G28" i="22" s="1"/>
  <c r="G27" i="22" a="1"/>
  <c r="G27" i="22" s="1"/>
  <c r="G26" i="22" a="1"/>
  <c r="G26" i="22" s="1"/>
  <c r="G24" i="22" a="1"/>
  <c r="G24" i="22" s="1"/>
  <c r="G23" i="22" a="1"/>
  <c r="G23" i="22" s="1"/>
  <c r="G20" i="22" a="1"/>
  <c r="G20" i="22" s="1"/>
  <c r="G19" i="22" a="1"/>
  <c r="G19" i="22" s="1"/>
  <c r="G18" i="22" a="1"/>
  <c r="G18" i="22" s="1"/>
  <c r="G17" i="22" a="1"/>
  <c r="G17" i="22" s="1"/>
  <c r="O86" i="2" l="1"/>
  <c r="C183" i="31" l="1"/>
  <c r="C182" i="31"/>
  <c r="C181" i="31"/>
  <c r="C180" i="31"/>
  <c r="C179" i="31"/>
  <c r="C178" i="31"/>
  <c r="C177" i="31"/>
  <c r="C176" i="31"/>
  <c r="C175" i="31"/>
  <c r="C174" i="31"/>
  <c r="C173" i="31"/>
  <c r="C172" i="31"/>
  <c r="C171" i="31"/>
  <c r="C170" i="31"/>
  <c r="C169" i="31"/>
  <c r="C168" i="31"/>
  <c r="C167" i="31"/>
  <c r="C166" i="31"/>
  <c r="C165" i="31"/>
  <c r="C164" i="31"/>
  <c r="C163" i="31"/>
  <c r="C162" i="31"/>
  <c r="C161" i="31"/>
  <c r="C160" i="31"/>
  <c r="C159" i="31"/>
  <c r="C158" i="31"/>
  <c r="C157" i="31"/>
  <c r="C156" i="31"/>
  <c r="C155" i="31"/>
  <c r="C154" i="31"/>
  <c r="C153" i="31"/>
  <c r="C152" i="31"/>
  <c r="C151" i="31"/>
  <c r="C150" i="31"/>
  <c r="C149" i="31"/>
  <c r="C148" i="31"/>
  <c r="C147" i="31"/>
  <c r="C146" i="31"/>
  <c r="C145" i="31"/>
  <c r="C144" i="31"/>
  <c r="C143" i="31"/>
  <c r="C142" i="31"/>
  <c r="C141" i="31"/>
  <c r="C140" i="31"/>
  <c r="C139" i="31"/>
  <c r="C138" i="31"/>
  <c r="C137" i="31"/>
  <c r="C136" i="31"/>
  <c r="C135" i="31"/>
  <c r="C134" i="31"/>
  <c r="C133" i="31"/>
  <c r="C132" i="31"/>
  <c r="C131" i="31"/>
  <c r="C130" i="31"/>
  <c r="C129" i="31"/>
  <c r="C128" i="31"/>
  <c r="C127" i="31"/>
  <c r="C126" i="31"/>
  <c r="C125" i="31"/>
  <c r="C124" i="31"/>
  <c r="C123" i="31"/>
  <c r="C122" i="31"/>
  <c r="C121" i="31"/>
  <c r="C120" i="31"/>
  <c r="C119" i="31"/>
  <c r="C118" i="31"/>
  <c r="C117" i="31"/>
  <c r="C116" i="31"/>
  <c r="C115" i="31"/>
  <c r="C114" i="31"/>
  <c r="C113" i="31"/>
  <c r="C112" i="31"/>
  <c r="C111" i="31"/>
  <c r="C110" i="31"/>
  <c r="C109" i="31"/>
  <c r="C108" i="31"/>
  <c r="C107" i="31"/>
  <c r="C106" i="31"/>
  <c r="C105" i="31"/>
  <c r="C104" i="31"/>
  <c r="C103" i="31"/>
  <c r="C102" i="31"/>
  <c r="C101" i="31"/>
  <c r="C100" i="31"/>
  <c r="C99" i="31"/>
  <c r="C98" i="31"/>
  <c r="C97" i="31"/>
  <c r="C96" i="31"/>
  <c r="C95" i="31"/>
  <c r="C94" i="31"/>
  <c r="C93" i="31"/>
  <c r="C92" i="31"/>
  <c r="C91" i="31"/>
  <c r="C90" i="31"/>
  <c r="C89" i="31"/>
  <c r="C88" i="31"/>
  <c r="C87" i="31"/>
  <c r="C86" i="31"/>
  <c r="C85" i="31"/>
  <c r="C84" i="31"/>
  <c r="C83" i="31"/>
  <c r="C82" i="31"/>
  <c r="C81" i="31"/>
  <c r="C80" i="31"/>
  <c r="C79" i="31"/>
  <c r="C78" i="31"/>
  <c r="C77" i="31"/>
  <c r="C76" i="31"/>
  <c r="C75" i="31"/>
  <c r="C74" i="31"/>
  <c r="C73" i="31"/>
  <c r="C72" i="31"/>
  <c r="C71" i="31"/>
  <c r="C70" i="31"/>
  <c r="C69" i="31"/>
  <c r="C68" i="31"/>
  <c r="C67" i="31"/>
  <c r="C66" i="31"/>
  <c r="C65" i="31"/>
  <c r="C64" i="31"/>
  <c r="C63" i="31"/>
  <c r="C62" i="31"/>
  <c r="C61" i="31"/>
  <c r="C60" i="31"/>
  <c r="C59" i="31"/>
  <c r="C58" i="31"/>
  <c r="C57" i="31"/>
  <c r="C56" i="31"/>
  <c r="C55" i="31"/>
  <c r="C54" i="31"/>
  <c r="C53" i="31"/>
  <c r="C52" i="31"/>
  <c r="C51" i="31"/>
  <c r="C50" i="31"/>
  <c r="C49" i="31"/>
  <c r="C48" i="31"/>
  <c r="C47" i="31"/>
  <c r="C46" i="31"/>
  <c r="C45" i="31"/>
  <c r="C44" i="31"/>
  <c r="C43" i="31"/>
  <c r="C42" i="31"/>
  <c r="C41" i="31"/>
  <c r="C40" i="31"/>
  <c r="C39" i="31"/>
  <c r="C38" i="31"/>
  <c r="C37" i="31"/>
  <c r="C36" i="31"/>
  <c r="C35" i="31"/>
  <c r="C34" i="31"/>
  <c r="C20" i="31"/>
  <c r="C19" i="31"/>
  <c r="H183" i="31" a="1"/>
  <c r="H183" i="31" s="1"/>
  <c r="H182" i="31" a="1"/>
  <c r="H182" i="31" s="1"/>
  <c r="H181" i="31" a="1"/>
  <c r="H181" i="31" s="1"/>
  <c r="H180" i="31" a="1"/>
  <c r="H180" i="31" s="1"/>
  <c r="H179" i="31" a="1"/>
  <c r="H179" i="31" s="1"/>
  <c r="H178" i="31" a="1"/>
  <c r="H178" i="31" s="1"/>
  <c r="H177" i="31" a="1"/>
  <c r="H177" i="31" s="1"/>
  <c r="H176" i="31" a="1"/>
  <c r="H176" i="31" s="1"/>
  <c r="H175" i="31" a="1"/>
  <c r="H175" i="31" s="1"/>
  <c r="H174" i="31" a="1"/>
  <c r="H174" i="31" s="1"/>
  <c r="H173" i="31" a="1"/>
  <c r="H173" i="31" s="1"/>
  <c r="H172" i="31" a="1"/>
  <c r="H172" i="31" s="1"/>
  <c r="H171" i="31" a="1"/>
  <c r="H171" i="31" s="1"/>
  <c r="H170" i="31" a="1"/>
  <c r="H170" i="31" s="1"/>
  <c r="H169" i="31" a="1"/>
  <c r="H169" i="31" s="1"/>
  <c r="H168" i="31" a="1"/>
  <c r="H168" i="31" s="1"/>
  <c r="H167" i="31" a="1"/>
  <c r="H167" i="31" s="1"/>
  <c r="H166" i="31" a="1"/>
  <c r="H166" i="31" s="1"/>
  <c r="H165" i="31" a="1"/>
  <c r="H165" i="31" s="1"/>
  <c r="H164" i="31" a="1"/>
  <c r="H164" i="31" s="1"/>
  <c r="H163" i="31" a="1"/>
  <c r="H163" i="31" s="1"/>
  <c r="H162" i="31" a="1"/>
  <c r="H162" i="31" s="1"/>
  <c r="H161" i="31" a="1"/>
  <c r="H161" i="31" s="1"/>
  <c r="H160" i="31" a="1"/>
  <c r="H160" i="31" s="1"/>
  <c r="H159" i="31" a="1"/>
  <c r="H159" i="31" s="1"/>
  <c r="H158" i="31" a="1"/>
  <c r="H158" i="31" s="1"/>
  <c r="H157" i="31" a="1"/>
  <c r="H157" i="31" s="1"/>
  <c r="H156" i="31" a="1"/>
  <c r="H156" i="31" s="1"/>
  <c r="H155" i="31" a="1"/>
  <c r="H155" i="31" s="1"/>
  <c r="H154" i="31" a="1"/>
  <c r="H154" i="31" s="1"/>
  <c r="H153" i="31" a="1"/>
  <c r="H153" i="31" s="1"/>
  <c r="H152" i="31" a="1"/>
  <c r="H152" i="31" s="1"/>
  <c r="H151" i="31" a="1"/>
  <c r="H151" i="31" s="1"/>
  <c r="H150" i="31" a="1"/>
  <c r="H150" i="31" s="1"/>
  <c r="H149" i="31" a="1"/>
  <c r="H149" i="31" s="1"/>
  <c r="H148" i="31" a="1"/>
  <c r="H148" i="31" s="1"/>
  <c r="H147" i="31" a="1"/>
  <c r="H147" i="31" s="1"/>
  <c r="H146" i="31" a="1"/>
  <c r="H146" i="31" s="1"/>
  <c r="H145" i="31" a="1"/>
  <c r="H145" i="31" s="1"/>
  <c r="H144" i="31" a="1"/>
  <c r="H144" i="31" s="1"/>
  <c r="H143" i="31" a="1"/>
  <c r="H143" i="31" s="1"/>
  <c r="H142" i="31" a="1"/>
  <c r="H142" i="31" s="1"/>
  <c r="H141" i="31" a="1"/>
  <c r="H141" i="31" s="1"/>
  <c r="H140" i="31" a="1"/>
  <c r="H140" i="31" s="1"/>
  <c r="H139" i="31" a="1"/>
  <c r="H139" i="31" s="1"/>
  <c r="H138" i="31" a="1"/>
  <c r="H138" i="31" s="1"/>
  <c r="H137" i="31" a="1"/>
  <c r="H137" i="31" s="1"/>
  <c r="H136" i="31" a="1"/>
  <c r="H136" i="31" s="1"/>
  <c r="H135" i="31" a="1"/>
  <c r="H135" i="31" s="1"/>
  <c r="H134" i="31" a="1"/>
  <c r="H134" i="31" s="1"/>
  <c r="H133" i="31" a="1"/>
  <c r="H133" i="31" s="1"/>
  <c r="H132" i="31" a="1"/>
  <c r="H132" i="31" s="1"/>
  <c r="H131" i="31" a="1"/>
  <c r="H131" i="31" s="1"/>
  <c r="H130" i="31" a="1"/>
  <c r="H130" i="31" s="1"/>
  <c r="H129" i="31" a="1"/>
  <c r="H129" i="31" s="1"/>
  <c r="H128" i="31" a="1"/>
  <c r="H128" i="31" s="1"/>
  <c r="H127" i="31" a="1"/>
  <c r="H127" i="31" s="1"/>
  <c r="H126" i="31" a="1"/>
  <c r="H126" i="31" s="1"/>
  <c r="H125" i="31" a="1"/>
  <c r="H125" i="31" s="1"/>
  <c r="H124" i="31" a="1"/>
  <c r="H124" i="31" s="1"/>
  <c r="H123" i="31" a="1"/>
  <c r="H123" i="31" s="1"/>
  <c r="H122" i="31" a="1"/>
  <c r="H122" i="31" s="1"/>
  <c r="H121" i="31" a="1"/>
  <c r="H121" i="31" s="1"/>
  <c r="H120" i="31" a="1"/>
  <c r="H120" i="31" s="1"/>
  <c r="H119" i="31" a="1"/>
  <c r="H119" i="31" s="1"/>
  <c r="H118" i="31" a="1"/>
  <c r="H118" i="31" s="1"/>
  <c r="H117" i="31" a="1"/>
  <c r="H117" i="31" s="1"/>
  <c r="H116" i="31" a="1"/>
  <c r="H116" i="31" s="1"/>
  <c r="H115" i="31" a="1"/>
  <c r="H115" i="31" s="1"/>
  <c r="H114" i="31" a="1"/>
  <c r="H114" i="31" s="1"/>
  <c r="H113" i="31" a="1"/>
  <c r="H113" i="31" s="1"/>
  <c r="H112" i="31" a="1"/>
  <c r="H112" i="31" s="1"/>
  <c r="H111" i="31" a="1"/>
  <c r="H111" i="31" s="1"/>
  <c r="H110" i="31" a="1"/>
  <c r="H110" i="31" s="1"/>
  <c r="H109" i="31" a="1"/>
  <c r="H109" i="31" s="1"/>
  <c r="H108" i="31" a="1"/>
  <c r="H108" i="31" s="1"/>
  <c r="H107" i="31" a="1"/>
  <c r="H107" i="31" s="1"/>
  <c r="H106" i="31" a="1"/>
  <c r="H106" i="31" s="1"/>
  <c r="H105" i="31" a="1"/>
  <c r="H105" i="31" s="1"/>
  <c r="H104" i="31" a="1"/>
  <c r="H104" i="31" s="1"/>
  <c r="H103" i="31" a="1"/>
  <c r="H103" i="31" s="1"/>
  <c r="H102" i="31" a="1"/>
  <c r="H102" i="31" s="1"/>
  <c r="H101" i="31" a="1"/>
  <c r="H101" i="31" s="1"/>
  <c r="H100" i="31" a="1"/>
  <c r="H100" i="31" s="1"/>
  <c r="H99" i="31" a="1"/>
  <c r="H99" i="31" s="1"/>
  <c r="H98" i="31" a="1"/>
  <c r="H98" i="31" s="1"/>
  <c r="H97" i="31" a="1"/>
  <c r="H97" i="31" s="1"/>
  <c r="H96" i="31" a="1"/>
  <c r="H96" i="31" s="1"/>
  <c r="H95" i="31" a="1"/>
  <c r="H95" i="31" s="1"/>
  <c r="H94" i="31" a="1"/>
  <c r="H94" i="31" s="1"/>
  <c r="H93" i="31" a="1"/>
  <c r="H93" i="31" s="1"/>
  <c r="H92" i="31" a="1"/>
  <c r="H92" i="31" s="1"/>
  <c r="H91" i="31" a="1"/>
  <c r="H91" i="31" s="1"/>
  <c r="H90" i="31" a="1"/>
  <c r="H90" i="31" s="1"/>
  <c r="H89" i="31" a="1"/>
  <c r="H89" i="31" s="1"/>
  <c r="H88" i="31" a="1"/>
  <c r="H88" i="31" s="1"/>
  <c r="H87" i="31" a="1"/>
  <c r="H87" i="31" s="1"/>
  <c r="H86" i="31" a="1"/>
  <c r="H86" i="31" s="1"/>
  <c r="H85" i="31" a="1"/>
  <c r="H85" i="31" s="1"/>
  <c r="H84" i="31" a="1"/>
  <c r="H84" i="31" s="1"/>
  <c r="H83" i="31" a="1"/>
  <c r="H83" i="31" s="1"/>
  <c r="H82" i="31" a="1"/>
  <c r="H82" i="31" s="1"/>
  <c r="H81" i="31" a="1"/>
  <c r="H81" i="31" s="1"/>
  <c r="H80" i="31" a="1"/>
  <c r="H80" i="31" s="1"/>
  <c r="H79" i="31" a="1"/>
  <c r="H79" i="31" s="1"/>
  <c r="H78" i="31" a="1"/>
  <c r="H78" i="31" s="1"/>
  <c r="H77" i="31" a="1"/>
  <c r="H77" i="31" s="1"/>
  <c r="H76" i="31" a="1"/>
  <c r="H76" i="31" s="1"/>
  <c r="H75" i="31" a="1"/>
  <c r="H75" i="31" s="1"/>
  <c r="H74" i="31" a="1"/>
  <c r="H74" i="31" s="1"/>
  <c r="H73" i="31" a="1"/>
  <c r="H73" i="31" s="1"/>
  <c r="H72" i="31" a="1"/>
  <c r="H72" i="31" s="1"/>
  <c r="H71" i="31" a="1"/>
  <c r="H71" i="31" s="1"/>
  <c r="H70" i="31" a="1"/>
  <c r="H70" i="31" s="1"/>
  <c r="H69" i="31" a="1"/>
  <c r="H69" i="31" s="1"/>
  <c r="H68" i="31" a="1"/>
  <c r="H68" i="31" s="1"/>
  <c r="H67" i="31" a="1"/>
  <c r="H67" i="31" s="1"/>
  <c r="H66" i="31" a="1"/>
  <c r="H66" i="31" s="1"/>
  <c r="H65" i="31" a="1"/>
  <c r="H65" i="31" s="1"/>
  <c r="H64" i="31" a="1"/>
  <c r="H64" i="31" s="1"/>
  <c r="H63" i="31" a="1"/>
  <c r="H63" i="31" s="1"/>
  <c r="H62" i="31" a="1"/>
  <c r="H62" i="31" s="1"/>
  <c r="H61" i="31" a="1"/>
  <c r="H61" i="31" s="1"/>
  <c r="H60" i="31" a="1"/>
  <c r="H60" i="31" s="1"/>
  <c r="H59" i="31" a="1"/>
  <c r="H59" i="31" s="1"/>
  <c r="H58" i="31" a="1"/>
  <c r="H58" i="31" s="1"/>
  <c r="H57" i="31" a="1"/>
  <c r="H57" i="31" s="1"/>
  <c r="H56" i="31" a="1"/>
  <c r="H56" i="31" s="1"/>
  <c r="H55" i="31" a="1"/>
  <c r="H55" i="31" s="1"/>
  <c r="H54" i="31" a="1"/>
  <c r="H54" i="31" s="1"/>
  <c r="H53" i="31" a="1"/>
  <c r="H53" i="31" s="1"/>
  <c r="H52" i="31" a="1"/>
  <c r="H52" i="31" s="1"/>
  <c r="H51" i="31" a="1"/>
  <c r="H51" i="31" s="1"/>
  <c r="H50" i="31" a="1"/>
  <c r="H50" i="31" s="1"/>
  <c r="H49" i="31" a="1"/>
  <c r="H49" i="31" s="1"/>
  <c r="H48" i="31" a="1"/>
  <c r="H48" i="31" s="1"/>
  <c r="H47" i="31" a="1"/>
  <c r="H47" i="31" s="1"/>
  <c r="H46" i="31" a="1"/>
  <c r="H46" i="31" s="1"/>
  <c r="H45" i="31" a="1"/>
  <c r="H45" i="31" s="1"/>
  <c r="H44" i="31" a="1"/>
  <c r="H44" i="31" s="1"/>
  <c r="H43" i="31" a="1"/>
  <c r="H43" i="31" s="1"/>
  <c r="H42" i="31" a="1"/>
  <c r="H42" i="31" s="1"/>
  <c r="H41" i="31" a="1"/>
  <c r="H41" i="31" s="1"/>
  <c r="H40" i="31" a="1"/>
  <c r="H40" i="31" s="1"/>
  <c r="H39" i="31" a="1"/>
  <c r="H39" i="31" s="1"/>
  <c r="H38" i="31" a="1"/>
  <c r="H38" i="31" s="1"/>
  <c r="H37" i="31" a="1"/>
  <c r="H37" i="31" s="1"/>
  <c r="H36" i="31" a="1"/>
  <c r="H36" i="31" s="1"/>
  <c r="H35" i="31" a="1"/>
  <c r="H35" i="31" s="1"/>
  <c r="H34" i="31" a="1"/>
  <c r="H34" i="31" s="1"/>
  <c r="G183" i="31" a="1"/>
  <c r="G183" i="31" s="1"/>
  <c r="G182" i="31" a="1"/>
  <c r="G182" i="31" s="1"/>
  <c r="G181" i="31" a="1"/>
  <c r="G181" i="31" s="1"/>
  <c r="G180" i="31" a="1"/>
  <c r="G180" i="31" s="1"/>
  <c r="G179" i="31" a="1"/>
  <c r="G179" i="31" s="1"/>
  <c r="G178" i="31" a="1"/>
  <c r="G178" i="31" s="1"/>
  <c r="G177" i="31" a="1"/>
  <c r="G177" i="31" s="1"/>
  <c r="G176" i="31" a="1"/>
  <c r="G176" i="31" s="1"/>
  <c r="G175" i="31" a="1"/>
  <c r="G175" i="31" s="1"/>
  <c r="G174" i="31" a="1"/>
  <c r="G174" i="31" s="1"/>
  <c r="G173" i="31" a="1"/>
  <c r="G173" i="31" s="1"/>
  <c r="G172" i="31" a="1"/>
  <c r="G172" i="31" s="1"/>
  <c r="G171" i="31" a="1"/>
  <c r="G171" i="31" s="1"/>
  <c r="G170" i="31" a="1"/>
  <c r="G170" i="31" s="1"/>
  <c r="G169" i="31" a="1"/>
  <c r="G169" i="31" s="1"/>
  <c r="G168" i="31" a="1"/>
  <c r="G168" i="31" s="1"/>
  <c r="G167" i="31" a="1"/>
  <c r="G167" i="31" s="1"/>
  <c r="G166" i="31" a="1"/>
  <c r="G166" i="31" s="1"/>
  <c r="G165" i="31" a="1"/>
  <c r="G165" i="31" s="1"/>
  <c r="G164" i="31" a="1"/>
  <c r="G164" i="31" s="1"/>
  <c r="G163" i="31" a="1"/>
  <c r="G163" i="31" s="1"/>
  <c r="G162" i="31" a="1"/>
  <c r="G162" i="31" s="1"/>
  <c r="G161" i="31" a="1"/>
  <c r="G161" i="31" s="1"/>
  <c r="G160" i="31" a="1"/>
  <c r="G160" i="31" s="1"/>
  <c r="G159" i="31" a="1"/>
  <c r="G159" i="31" s="1"/>
  <c r="G158" i="31" a="1"/>
  <c r="G158" i="31" s="1"/>
  <c r="G157" i="31" a="1"/>
  <c r="G157" i="31" s="1"/>
  <c r="G156" i="31" a="1"/>
  <c r="G156" i="31" s="1"/>
  <c r="G155" i="31" a="1"/>
  <c r="G155" i="31" s="1"/>
  <c r="G154" i="31" a="1"/>
  <c r="G154" i="31" s="1"/>
  <c r="G153" i="31" a="1"/>
  <c r="G153" i="31" s="1"/>
  <c r="G152" i="31" a="1"/>
  <c r="G152" i="31" s="1"/>
  <c r="G151" i="31" a="1"/>
  <c r="G151" i="31" s="1"/>
  <c r="G150" i="31" a="1"/>
  <c r="G150" i="31" s="1"/>
  <c r="G149" i="31" a="1"/>
  <c r="G149" i="31" s="1"/>
  <c r="G148" i="31" a="1"/>
  <c r="G148" i="31" s="1"/>
  <c r="G147" i="31" a="1"/>
  <c r="G147" i="31" s="1"/>
  <c r="G146" i="31" a="1"/>
  <c r="G146" i="31" s="1"/>
  <c r="G145" i="31" a="1"/>
  <c r="G145" i="31" s="1"/>
  <c r="G144" i="31" a="1"/>
  <c r="G144" i="31" s="1"/>
  <c r="G143" i="31" a="1"/>
  <c r="G143" i="31" s="1"/>
  <c r="G142" i="31" a="1"/>
  <c r="G142" i="31" s="1"/>
  <c r="G141" i="31" a="1"/>
  <c r="G141" i="31" s="1"/>
  <c r="G140" i="31" a="1"/>
  <c r="G140" i="31" s="1"/>
  <c r="G139" i="31" a="1"/>
  <c r="G139" i="31" s="1"/>
  <c r="G138" i="31" a="1"/>
  <c r="G138" i="31" s="1"/>
  <c r="G137" i="31" a="1"/>
  <c r="G137" i="31" s="1"/>
  <c r="G136" i="31" a="1"/>
  <c r="G136" i="31" s="1"/>
  <c r="G135" i="31" a="1"/>
  <c r="G135" i="31" s="1"/>
  <c r="G134" i="31" a="1"/>
  <c r="G134" i="31" s="1"/>
  <c r="G133" i="31" a="1"/>
  <c r="G133" i="31" s="1"/>
  <c r="G132" i="31" a="1"/>
  <c r="G132" i="31" s="1"/>
  <c r="G131" i="31" a="1"/>
  <c r="G131" i="31" s="1"/>
  <c r="G130" i="31" a="1"/>
  <c r="G130" i="31" s="1"/>
  <c r="G129" i="31" a="1"/>
  <c r="G129" i="31" s="1"/>
  <c r="G128" i="31" a="1"/>
  <c r="G128" i="31" s="1"/>
  <c r="G127" i="31" a="1"/>
  <c r="G127" i="31" s="1"/>
  <c r="G126" i="31" a="1"/>
  <c r="G126" i="31" s="1"/>
  <c r="G125" i="31" a="1"/>
  <c r="G125" i="31" s="1"/>
  <c r="G124" i="31" a="1"/>
  <c r="G124" i="31" s="1"/>
  <c r="G123" i="31" a="1"/>
  <c r="G123" i="31" s="1"/>
  <c r="G122" i="31" a="1"/>
  <c r="G122" i="31" s="1"/>
  <c r="G121" i="31" a="1"/>
  <c r="G121" i="31" s="1"/>
  <c r="G120" i="31" a="1"/>
  <c r="G120" i="31" s="1"/>
  <c r="G119" i="31" a="1"/>
  <c r="G119" i="31" s="1"/>
  <c r="G118" i="31" a="1"/>
  <c r="G118" i="31" s="1"/>
  <c r="G117" i="31" a="1"/>
  <c r="G117" i="31" s="1"/>
  <c r="G116" i="31" a="1"/>
  <c r="G116" i="31" s="1"/>
  <c r="G115" i="31" a="1"/>
  <c r="G115" i="31" s="1"/>
  <c r="G114" i="31" a="1"/>
  <c r="G114" i="31" s="1"/>
  <c r="G113" i="31" a="1"/>
  <c r="G113" i="31" s="1"/>
  <c r="G112" i="31" a="1"/>
  <c r="G112" i="31" s="1"/>
  <c r="G111" i="31" a="1"/>
  <c r="G111" i="31" s="1"/>
  <c r="G110" i="31" a="1"/>
  <c r="G110" i="31" s="1"/>
  <c r="G109" i="31" a="1"/>
  <c r="G109" i="31" s="1"/>
  <c r="G108" i="31" a="1"/>
  <c r="G108" i="31" s="1"/>
  <c r="G107" i="31" a="1"/>
  <c r="G107" i="31" s="1"/>
  <c r="G106" i="31" a="1"/>
  <c r="G106" i="31" s="1"/>
  <c r="G105" i="31" a="1"/>
  <c r="G105" i="31" s="1"/>
  <c r="G104" i="31" a="1"/>
  <c r="G104" i="31" s="1"/>
  <c r="G103" i="31" a="1"/>
  <c r="G103" i="31" s="1"/>
  <c r="G102" i="31" a="1"/>
  <c r="G102" i="31" s="1"/>
  <c r="G101" i="31" a="1"/>
  <c r="G101" i="31" s="1"/>
  <c r="G100" i="31" a="1"/>
  <c r="G100" i="31" s="1"/>
  <c r="G99" i="31" a="1"/>
  <c r="G99" i="31" s="1"/>
  <c r="G98" i="31" a="1"/>
  <c r="G98" i="31" s="1"/>
  <c r="G97" i="31" a="1"/>
  <c r="G97" i="31" s="1"/>
  <c r="G96" i="31" a="1"/>
  <c r="G96" i="31" s="1"/>
  <c r="G95" i="31" a="1"/>
  <c r="G95" i="31" s="1"/>
  <c r="G94" i="31" a="1"/>
  <c r="G94" i="31" s="1"/>
  <c r="G93" i="31" a="1"/>
  <c r="G93" i="31" s="1"/>
  <c r="G92" i="31" a="1"/>
  <c r="G92" i="31" s="1"/>
  <c r="G91" i="31" a="1"/>
  <c r="G91" i="31" s="1"/>
  <c r="G90" i="31" a="1"/>
  <c r="G90" i="31" s="1"/>
  <c r="G89" i="31" a="1"/>
  <c r="G89" i="31" s="1"/>
  <c r="G88" i="31" a="1"/>
  <c r="G88" i="31" s="1"/>
  <c r="G87" i="31" a="1"/>
  <c r="G87" i="31" s="1"/>
  <c r="G86" i="31" a="1"/>
  <c r="G86" i="31" s="1"/>
  <c r="G85" i="31" a="1"/>
  <c r="G85" i="31" s="1"/>
  <c r="G84" i="31" a="1"/>
  <c r="G84" i="31" s="1"/>
  <c r="G83" i="31" a="1"/>
  <c r="G83" i="31" s="1"/>
  <c r="G82" i="31" a="1"/>
  <c r="G82" i="31" s="1"/>
  <c r="G81" i="31" a="1"/>
  <c r="G81" i="31" s="1"/>
  <c r="G80" i="31" a="1"/>
  <c r="G80" i="31" s="1"/>
  <c r="G79" i="31" a="1"/>
  <c r="G79" i="31" s="1"/>
  <c r="G78" i="31" a="1"/>
  <c r="G78" i="31" s="1"/>
  <c r="G77" i="31" a="1"/>
  <c r="G77" i="31" s="1"/>
  <c r="G76" i="31" a="1"/>
  <c r="G76" i="31" s="1"/>
  <c r="G75" i="31" a="1"/>
  <c r="G75" i="31" s="1"/>
  <c r="G74" i="31" a="1"/>
  <c r="G74" i="31" s="1"/>
  <c r="G73" i="31" a="1"/>
  <c r="G73" i="31" s="1"/>
  <c r="G72" i="31" a="1"/>
  <c r="G72" i="31" s="1"/>
  <c r="G71" i="31" a="1"/>
  <c r="G71" i="31" s="1"/>
  <c r="G70" i="31" a="1"/>
  <c r="G70" i="31" s="1"/>
  <c r="G69" i="31" a="1"/>
  <c r="G69" i="31" s="1"/>
  <c r="G68" i="31" a="1"/>
  <c r="G68" i="31" s="1"/>
  <c r="G67" i="31" a="1"/>
  <c r="G67" i="31" s="1"/>
  <c r="G66" i="31" a="1"/>
  <c r="G66" i="31" s="1"/>
  <c r="G65" i="31" a="1"/>
  <c r="G65" i="31" s="1"/>
  <c r="G64" i="31" a="1"/>
  <c r="G64" i="31" s="1"/>
  <c r="G63" i="31" a="1"/>
  <c r="G63" i="31" s="1"/>
  <c r="G62" i="31" a="1"/>
  <c r="G62" i="31" s="1"/>
  <c r="G61" i="31" a="1"/>
  <c r="G61" i="31" s="1"/>
  <c r="G60" i="31" a="1"/>
  <c r="G60" i="31" s="1"/>
  <c r="G59" i="31" a="1"/>
  <c r="G59" i="31" s="1"/>
  <c r="G58" i="31" a="1"/>
  <c r="G58" i="31" s="1"/>
  <c r="G57" i="31" a="1"/>
  <c r="G57" i="31" s="1"/>
  <c r="G56" i="31" a="1"/>
  <c r="G56" i="31" s="1"/>
  <c r="G55" i="31" a="1"/>
  <c r="G55" i="31" s="1"/>
  <c r="G54" i="31" a="1"/>
  <c r="G54" i="31" s="1"/>
  <c r="G53" i="31" a="1"/>
  <c r="G53" i="31" s="1"/>
  <c r="G52" i="31" a="1"/>
  <c r="G52" i="31" s="1"/>
  <c r="G51" i="31" a="1"/>
  <c r="G51" i="31" s="1"/>
  <c r="G50" i="31" a="1"/>
  <c r="G50" i="31" s="1"/>
  <c r="G49" i="31" a="1"/>
  <c r="G49" i="31" s="1"/>
  <c r="G48" i="31" a="1"/>
  <c r="G48" i="31" s="1"/>
  <c r="G47" i="31" a="1"/>
  <c r="G47" i="31" s="1"/>
  <c r="G46" i="31" a="1"/>
  <c r="G46" i="31" s="1"/>
  <c r="G45" i="31" a="1"/>
  <c r="G45" i="31" s="1"/>
  <c r="G44" i="31" a="1"/>
  <c r="G44" i="31" s="1"/>
  <c r="G43" i="31" a="1"/>
  <c r="G43" i="31" s="1"/>
  <c r="G42" i="31" a="1"/>
  <c r="G42" i="31" s="1"/>
  <c r="G41" i="31" a="1"/>
  <c r="G41" i="31" s="1"/>
  <c r="G40" i="31" a="1"/>
  <c r="G40" i="31" s="1"/>
  <c r="G39" i="31" a="1"/>
  <c r="G39" i="31" s="1"/>
  <c r="G38" i="31" a="1"/>
  <c r="G38" i="31" s="1"/>
  <c r="G37" i="31" a="1"/>
  <c r="G37" i="31" s="1"/>
  <c r="G36" i="31" a="1"/>
  <c r="G36" i="31" s="1"/>
  <c r="G35" i="31" a="1"/>
  <c r="G35" i="31" s="1"/>
  <c r="G34" i="31" a="1"/>
  <c r="G34" i="31" s="1"/>
  <c r="N91" i="2"/>
  <c r="N86" i="2"/>
  <c r="E91" i="2"/>
  <c r="F91" i="2"/>
  <c r="G91" i="2"/>
  <c r="H91" i="2"/>
  <c r="I91" i="2"/>
  <c r="J91" i="2"/>
  <c r="K91" i="2"/>
  <c r="L91" i="2"/>
  <c r="M91" i="2"/>
  <c r="Q91" i="2"/>
  <c r="R91" i="2"/>
  <c r="V91" i="2"/>
  <c r="W91" i="2"/>
  <c r="AB91" i="2"/>
  <c r="AG91" i="2"/>
  <c r="AK91" i="2"/>
  <c r="AL91" i="2"/>
  <c r="AP91" i="2"/>
  <c r="AQ91" i="2"/>
  <c r="AU91" i="2"/>
  <c r="AV91" i="2"/>
  <c r="AZ91" i="2"/>
  <c r="BA91" i="2"/>
  <c r="BJ91" i="2"/>
  <c r="BM91" i="2"/>
  <c r="BN91" i="2"/>
  <c r="BT53" i="2"/>
  <c r="BT52" i="2"/>
  <c r="BT51" i="2"/>
  <c r="C183" i="32"/>
  <c r="C182" i="32"/>
  <c r="C181" i="32"/>
  <c r="C180" i="32"/>
  <c r="C179" i="32"/>
  <c r="C178" i="32"/>
  <c r="C177" i="32"/>
  <c r="C176" i="32"/>
  <c r="C175" i="32"/>
  <c r="C174" i="32"/>
  <c r="C173" i="32"/>
  <c r="C172" i="32"/>
  <c r="C171" i="32"/>
  <c r="C170" i="32"/>
  <c r="C169" i="32"/>
  <c r="C168" i="32"/>
  <c r="C167" i="32"/>
  <c r="C166" i="32"/>
  <c r="C165" i="32"/>
  <c r="C164" i="32"/>
  <c r="C163" i="32"/>
  <c r="C162" i="32"/>
  <c r="C161" i="32"/>
  <c r="C160" i="32"/>
  <c r="C159" i="32"/>
  <c r="C158" i="32"/>
  <c r="C157" i="32"/>
  <c r="C156" i="32"/>
  <c r="C155" i="32"/>
  <c r="C154" i="32"/>
  <c r="C153" i="32"/>
  <c r="C152" i="32"/>
  <c r="C151" i="32"/>
  <c r="C150" i="32"/>
  <c r="C149" i="32"/>
  <c r="C148" i="32"/>
  <c r="C147" i="32"/>
  <c r="C146" i="32"/>
  <c r="C145" i="32"/>
  <c r="C144" i="32"/>
  <c r="C143" i="32"/>
  <c r="C142" i="32"/>
  <c r="C141" i="32"/>
  <c r="C140" i="32"/>
  <c r="C139" i="32"/>
  <c r="C138" i="32"/>
  <c r="C137" i="32"/>
  <c r="C136" i="32"/>
  <c r="C135" i="32"/>
  <c r="C134" i="32"/>
  <c r="C133" i="32"/>
  <c r="C132" i="32"/>
  <c r="C131" i="32"/>
  <c r="C130" i="32"/>
  <c r="C129" i="32"/>
  <c r="C128" i="32"/>
  <c r="C127" i="32"/>
  <c r="C126" i="32"/>
  <c r="C125" i="32"/>
  <c r="C124" i="32"/>
  <c r="C123" i="32"/>
  <c r="C122" i="32"/>
  <c r="C121" i="32"/>
  <c r="C120" i="32"/>
  <c r="C119" i="32"/>
  <c r="C118" i="32"/>
  <c r="C117" i="32"/>
  <c r="C116" i="32"/>
  <c r="C115" i="32"/>
  <c r="C114" i="32"/>
  <c r="C113" i="32"/>
  <c r="C112" i="32"/>
  <c r="C111" i="32"/>
  <c r="C110" i="32"/>
  <c r="C109" i="32"/>
  <c r="C108" i="32"/>
  <c r="C107" i="32"/>
  <c r="C106" i="32"/>
  <c r="C105" i="32"/>
  <c r="C104" i="32"/>
  <c r="C103" i="32"/>
  <c r="C102" i="32"/>
  <c r="C101" i="32"/>
  <c r="C100" i="32"/>
  <c r="C99" i="32"/>
  <c r="C98" i="32"/>
  <c r="C97" i="32"/>
  <c r="C96" i="32"/>
  <c r="C95" i="32"/>
  <c r="C94" i="32"/>
  <c r="C93" i="32"/>
  <c r="C92" i="32"/>
  <c r="C91" i="32"/>
  <c r="C90" i="32"/>
  <c r="C89" i="32"/>
  <c r="C88" i="32"/>
  <c r="C87" i="32"/>
  <c r="C86" i="32"/>
  <c r="C85" i="32"/>
  <c r="C84" i="32"/>
  <c r="C83" i="32"/>
  <c r="C82" i="32"/>
  <c r="C81" i="32"/>
  <c r="C80" i="32"/>
  <c r="C79" i="32"/>
  <c r="C78" i="32"/>
  <c r="C77" i="32"/>
  <c r="C76" i="32"/>
  <c r="C75" i="32"/>
  <c r="C74" i="32"/>
  <c r="C73" i="32"/>
  <c r="C72" i="32"/>
  <c r="C71" i="32"/>
  <c r="C70" i="32"/>
  <c r="C69" i="32"/>
  <c r="C68" i="32"/>
  <c r="C67" i="32"/>
  <c r="C66" i="32"/>
  <c r="C65" i="32"/>
  <c r="C64" i="32"/>
  <c r="C63" i="32"/>
  <c r="C62" i="32"/>
  <c r="C61" i="32"/>
  <c r="C60" i="32"/>
  <c r="C59" i="32"/>
  <c r="C58" i="32"/>
  <c r="C57" i="32"/>
  <c r="C56" i="32"/>
  <c r="C55" i="32"/>
  <c r="C54" i="32"/>
  <c r="C53" i="32"/>
  <c r="C52" i="32"/>
  <c r="C51" i="32"/>
  <c r="C50" i="32"/>
  <c r="C49" i="32"/>
  <c r="C48" i="32"/>
  <c r="C47" i="32"/>
  <c r="C46" i="32"/>
  <c r="C45" i="32"/>
  <c r="C44" i="32"/>
  <c r="C43" i="32"/>
  <c r="C42" i="32"/>
  <c r="C41" i="32"/>
  <c r="C40" i="32"/>
  <c r="C39" i="32"/>
  <c r="C38" i="32"/>
  <c r="C37" i="32"/>
  <c r="C36" i="32"/>
  <c r="C35" i="32"/>
  <c r="H34" i="32" a="1"/>
  <c r="H34" i="32" s="1"/>
  <c r="G34" i="32" a="1"/>
  <c r="G34" i="32" s="1"/>
  <c r="F34" i="32" a="1"/>
  <c r="F34" i="32" s="1"/>
  <c r="E34" i="32" a="1"/>
  <c r="E34" i="32" s="1"/>
  <c r="D34" i="32" a="1"/>
  <c r="D34" i="32" s="1"/>
  <c r="C20" i="32"/>
  <c r="C19" i="32"/>
  <c r="C34" i="32" l="1"/>
  <c r="B27" i="13"/>
  <c r="B26" i="13"/>
  <c r="S52" i="2"/>
  <c r="X52" i="2"/>
  <c r="D237" i="14"/>
  <c r="D238" i="14"/>
  <c r="D239" i="14"/>
  <c r="D240" i="14"/>
  <c r="D241" i="14"/>
  <c r="D242" i="14"/>
  <c r="D243" i="14"/>
  <c r="D244" i="14"/>
  <c r="D245" i="14"/>
  <c r="D246" i="14"/>
  <c r="D247" i="14"/>
  <c r="D248" i="14"/>
  <c r="D249" i="14"/>
  <c r="D250" i="14"/>
  <c r="D251" i="14"/>
  <c r="D252" i="14"/>
  <c r="D253" i="14"/>
  <c r="D254" i="14"/>
  <c r="D255" i="14"/>
  <c r="D236" i="14"/>
  <c r="BN86" i="2"/>
  <c r="BM86" i="2"/>
  <c r="BK86" i="2"/>
  <c r="BK91" i="2" s="1"/>
  <c r="BJ86" i="2"/>
  <c r="BI86" i="2"/>
  <c r="BI91" i="2" s="1"/>
  <c r="BF86" i="2"/>
  <c r="BF91" i="2" s="1"/>
  <c r="BE86" i="2"/>
  <c r="BE91" i="2" s="1"/>
  <c r="BD86" i="2"/>
  <c r="BD91" i="2" s="1"/>
  <c r="BA86" i="2"/>
  <c r="AZ86" i="2"/>
  <c r="AY86" i="2"/>
  <c r="AY91" i="2" s="1"/>
  <c r="AV86" i="2"/>
  <c r="AU86" i="2"/>
  <c r="AT86" i="2"/>
  <c r="AT91" i="2" s="1"/>
  <c r="AQ86" i="2"/>
  <c r="AP86" i="2"/>
  <c r="AO86" i="2"/>
  <c r="AO91" i="2" s="1"/>
  <c r="AL86" i="2"/>
  <c r="AK86" i="2"/>
  <c r="AJ86" i="2"/>
  <c r="AJ91" i="2" s="1"/>
  <c r="AG86" i="2"/>
  <c r="AF86" i="2"/>
  <c r="AF91" i="2" s="1"/>
  <c r="AE86" i="2"/>
  <c r="AE91" i="2" s="1"/>
  <c r="AB86" i="2"/>
  <c r="AA86" i="2"/>
  <c r="AA91" i="2" s="1"/>
  <c r="Z86" i="2"/>
  <c r="Z91" i="2" s="1"/>
  <c r="W86" i="2"/>
  <c r="V86" i="2"/>
  <c r="U86" i="2"/>
  <c r="U91" i="2" s="1"/>
  <c r="R86" i="2"/>
  <c r="Q86" i="2"/>
  <c r="P86" i="2"/>
  <c r="P91" i="2" s="1"/>
  <c r="M86" i="2"/>
  <c r="L86" i="2"/>
  <c r="K86" i="2"/>
  <c r="J86" i="2"/>
  <c r="H86" i="2"/>
  <c r="G86" i="2"/>
  <c r="F86" i="2"/>
  <c r="E86" i="2"/>
  <c r="BN45" i="30"/>
  <c r="BM45" i="30"/>
  <c r="BK45" i="30"/>
  <c r="BJ45" i="30"/>
  <c r="BI45" i="30"/>
  <c r="BH45" i="30"/>
  <c r="BF45" i="30"/>
  <c r="BE45" i="30"/>
  <c r="BD45" i="30"/>
  <c r="BA45" i="30"/>
  <c r="AZ45" i="30"/>
  <c r="AY45" i="30"/>
  <c r="AV45" i="30"/>
  <c r="AU45" i="30"/>
  <c r="AT45" i="30"/>
  <c r="AQ45" i="30"/>
  <c r="AP45" i="30"/>
  <c r="AO45" i="30"/>
  <c r="AL45" i="30"/>
  <c r="AK45" i="30"/>
  <c r="AJ45" i="30"/>
  <c r="AG45" i="30"/>
  <c r="AF45" i="30"/>
  <c r="AE45" i="30"/>
  <c r="AB45" i="30"/>
  <c r="AA45" i="30"/>
  <c r="Z45" i="30"/>
  <c r="W45" i="30"/>
  <c r="V45" i="30"/>
  <c r="U45" i="30"/>
  <c r="R45" i="30"/>
  <c r="Q45" i="30"/>
  <c r="P45" i="30"/>
  <c r="M45" i="30"/>
  <c r="L45" i="30"/>
  <c r="K45" i="30"/>
  <c r="J45" i="30"/>
  <c r="H45" i="30"/>
  <c r="G45" i="30"/>
  <c r="F45" i="30"/>
  <c r="E45" i="30"/>
  <c r="BN43" i="30"/>
  <c r="BN44" i="30" s="1"/>
  <c r="BM43" i="30"/>
  <c r="BK43" i="30"/>
  <c r="BJ43" i="30"/>
  <c r="BI43" i="30"/>
  <c r="BF43" i="30"/>
  <c r="BF44" i="30" s="1"/>
  <c r="BE43" i="30"/>
  <c r="BD43" i="30"/>
  <c r="BA43" i="30"/>
  <c r="BA44" i="30" s="1"/>
  <c r="AZ43" i="30"/>
  <c r="AY43" i="30"/>
  <c r="AV43" i="30"/>
  <c r="AU43" i="30"/>
  <c r="AU44" i="30" s="1"/>
  <c r="AT43" i="30"/>
  <c r="AT44" i="30" s="1"/>
  <c r="AQ43" i="30"/>
  <c r="AQ44" i="30" s="1"/>
  <c r="AP43" i="30"/>
  <c r="AP44" i="30" s="1"/>
  <c r="AO43" i="30"/>
  <c r="AO44" i="30" s="1"/>
  <c r="AL43" i="30"/>
  <c r="AL44" i="30" s="1"/>
  <c r="AK43" i="30"/>
  <c r="AK44" i="30" s="1"/>
  <c r="AJ43" i="30"/>
  <c r="AG43" i="30"/>
  <c r="AF43" i="30"/>
  <c r="AE43" i="30"/>
  <c r="AB43" i="30"/>
  <c r="AB44" i="30" s="1"/>
  <c r="AA43" i="30"/>
  <c r="AA44" i="30" s="1"/>
  <c r="Z43" i="30"/>
  <c r="W43" i="30"/>
  <c r="V43" i="30"/>
  <c r="U43" i="30"/>
  <c r="R43" i="30"/>
  <c r="R44" i="30" s="1"/>
  <c r="Q43" i="30"/>
  <c r="Q44" i="30" s="1"/>
  <c r="P43" i="30"/>
  <c r="M43" i="30"/>
  <c r="M44" i="30" s="1"/>
  <c r="L43" i="30"/>
  <c r="K43" i="30"/>
  <c r="K44" i="30" s="1"/>
  <c r="J43" i="30"/>
  <c r="J44" i="30" s="1"/>
  <c r="H43" i="30"/>
  <c r="G43" i="30"/>
  <c r="G44" i="30" s="1"/>
  <c r="F43" i="30"/>
  <c r="F44" i="30" s="1"/>
  <c r="E43" i="30"/>
  <c r="E44" i="30" s="1"/>
  <c r="D88" i="11"/>
  <c r="C88" i="11"/>
  <c r="N110" i="2"/>
  <c r="T110" i="2" s="1"/>
  <c r="X110" i="2" s="1"/>
  <c r="AD110" i="2" s="1"/>
  <c r="AH110" i="2" s="1"/>
  <c r="AN110" i="2" s="1"/>
  <c r="AR110" i="2" s="1"/>
  <c r="AX110" i="2" s="1"/>
  <c r="BB110" i="2" s="1"/>
  <c r="BH110" i="2" s="1"/>
  <c r="BL110" i="2" s="1"/>
  <c r="BP110" i="2" s="1"/>
  <c r="I110" i="2"/>
  <c r="O110" i="2" s="1"/>
  <c r="S110" i="2" s="1"/>
  <c r="Y110" i="2" s="1"/>
  <c r="AC110" i="2" s="1"/>
  <c r="AI110" i="2" s="1"/>
  <c r="AM110" i="2" s="1"/>
  <c r="AS110" i="2" s="1"/>
  <c r="AW110" i="2" s="1"/>
  <c r="BC110" i="2" s="1"/>
  <c r="BG110" i="2" s="1"/>
  <c r="Y82" i="13"/>
  <c r="X82" i="13"/>
  <c r="W82" i="13"/>
  <c r="V82" i="13"/>
  <c r="U82" i="13"/>
  <c r="T82" i="13"/>
  <c r="S82" i="13"/>
  <c r="R82" i="13"/>
  <c r="Q82" i="13"/>
  <c r="P82" i="13"/>
  <c r="O82" i="13"/>
  <c r="N82" i="13"/>
  <c r="M82" i="13"/>
  <c r="L82" i="13"/>
  <c r="K82" i="13"/>
  <c r="J82" i="13"/>
  <c r="I82" i="13"/>
  <c r="H82" i="13"/>
  <c r="G82" i="13"/>
  <c r="F82" i="13"/>
  <c r="I27" i="30"/>
  <c r="I28" i="30"/>
  <c r="U44" i="30" l="1"/>
  <c r="BI44" i="30"/>
  <c r="V44" i="30"/>
  <c r="AJ44" i="30"/>
  <c r="BJ44" i="30"/>
  <c r="AE44" i="30"/>
  <c r="AG44" i="30"/>
  <c r="W44" i="30"/>
  <c r="AY44" i="30"/>
  <c r="L44" i="30"/>
  <c r="Z44" i="30"/>
  <c r="AZ44" i="30"/>
  <c r="BM44" i="30"/>
  <c r="BK44" i="30"/>
  <c r="BE44" i="30"/>
  <c r="H44" i="30"/>
  <c r="P44" i="30"/>
  <c r="AF44" i="30"/>
  <c r="AV44" i="30"/>
  <c r="BD44" i="30"/>
  <c r="BO110" i="2"/>
  <c r="BW110" i="2"/>
  <c r="BR110" i="2" l="1"/>
  <c r="BT110" i="2" s="1"/>
  <c r="D84" i="13" s="1"/>
  <c r="BQ110" i="2"/>
  <c r="P47" i="30"/>
  <c r="Q47" i="30"/>
  <c r="R47" i="30"/>
  <c r="U47" i="30"/>
  <c r="V47" i="30"/>
  <c r="W47" i="30"/>
  <c r="Z47" i="30"/>
  <c r="AA47" i="30"/>
  <c r="AB47" i="30"/>
  <c r="AE47" i="30"/>
  <c r="AF47" i="30"/>
  <c r="AG47" i="30"/>
  <c r="AJ47" i="30"/>
  <c r="AK47" i="30"/>
  <c r="AL47" i="30"/>
  <c r="AO47" i="30"/>
  <c r="AP47" i="30"/>
  <c r="AQ47" i="30"/>
  <c r="AT47" i="30"/>
  <c r="AU47" i="30"/>
  <c r="AV47" i="30"/>
  <c r="AY47" i="30"/>
  <c r="AZ47" i="30"/>
  <c r="BA47" i="30"/>
  <c r="BD47" i="30"/>
  <c r="BE47" i="30"/>
  <c r="BF47" i="30"/>
  <c r="BI47" i="30"/>
  <c r="BJ47" i="30"/>
  <c r="BK47" i="30"/>
  <c r="BM47" i="30"/>
  <c r="BN47" i="30"/>
  <c r="P49" i="30"/>
  <c r="Q49" i="30"/>
  <c r="R49" i="30"/>
  <c r="U49" i="30"/>
  <c r="V49" i="30"/>
  <c r="W49" i="30"/>
  <c r="Z49" i="30"/>
  <c r="AA49" i="30"/>
  <c r="AB49" i="30"/>
  <c r="AE49" i="30"/>
  <c r="AF49" i="30"/>
  <c r="AG49" i="30"/>
  <c r="AJ49" i="30"/>
  <c r="AK49" i="30"/>
  <c r="AL49" i="30"/>
  <c r="AO49" i="30"/>
  <c r="AP49" i="30"/>
  <c r="AQ49" i="30"/>
  <c r="AT49" i="30"/>
  <c r="AU49" i="30"/>
  <c r="AV49" i="30"/>
  <c r="AY49" i="30"/>
  <c r="AZ49" i="30"/>
  <c r="BA49" i="30"/>
  <c r="BD49" i="30"/>
  <c r="BE49" i="30"/>
  <c r="BF49" i="30"/>
  <c r="BI49" i="30"/>
  <c r="BJ49" i="30"/>
  <c r="BK49" i="30"/>
  <c r="BM49" i="30"/>
  <c r="BN49" i="30"/>
  <c r="G47" i="30"/>
  <c r="G48" i="30" s="1"/>
  <c r="H47" i="30"/>
  <c r="J47" i="30"/>
  <c r="K47" i="30"/>
  <c r="L47" i="30"/>
  <c r="M47" i="30"/>
  <c r="M48" i="30" s="1"/>
  <c r="G49" i="30"/>
  <c r="H49" i="30"/>
  <c r="J49" i="30"/>
  <c r="K49" i="30"/>
  <c r="L49" i="30"/>
  <c r="M49" i="30"/>
  <c r="F47" i="30"/>
  <c r="F49" i="30"/>
  <c r="E49" i="30"/>
  <c r="E47" i="30"/>
  <c r="BS110" i="2" l="1"/>
  <c r="F48" i="30"/>
  <c r="AZ48" i="30"/>
  <c r="BF48" i="30"/>
  <c r="AF48" i="30"/>
  <c r="R48" i="30"/>
  <c r="AO48" i="30"/>
  <c r="AL48" i="30"/>
  <c r="V48" i="30"/>
  <c r="AP48" i="30"/>
  <c r="BI48" i="30"/>
  <c r="BJ48" i="30"/>
  <c r="Q48" i="30"/>
  <c r="BE48" i="30"/>
  <c r="BM48" i="30"/>
  <c r="Z48" i="30"/>
  <c r="AK48" i="30"/>
  <c r="BA48" i="30"/>
  <c r="U48" i="30"/>
  <c r="BN48" i="30"/>
  <c r="AT48" i="30"/>
  <c r="AG48" i="30"/>
  <c r="H48" i="30"/>
  <c r="K48" i="30"/>
  <c r="J48" i="30"/>
  <c r="BK48" i="30"/>
  <c r="AQ48" i="30"/>
  <c r="W48" i="30"/>
  <c r="AY48" i="30"/>
  <c r="AE48" i="30"/>
  <c r="AV48" i="30"/>
  <c r="AB48" i="30"/>
  <c r="AU48" i="30"/>
  <c r="AA48" i="30"/>
  <c r="L48" i="30"/>
  <c r="BD48" i="30"/>
  <c r="AJ48" i="30"/>
  <c r="P48" i="30"/>
  <c r="E48" i="30"/>
  <c r="B25" i="13"/>
  <c r="BT34" i="30"/>
  <c r="B16" i="32" l="1"/>
  <c r="B13" i="22"/>
  <c r="C17" i="33"/>
  <c r="B478" i="33" l="1"/>
  <c r="AB478" i="33" s="1"/>
  <c r="B477" i="33"/>
  <c r="AB477" i="33" s="1"/>
  <c r="AA478" i="33"/>
  <c r="AA477" i="33"/>
  <c r="A478" i="33"/>
  <c r="A477" i="33"/>
  <c r="B475" i="33"/>
  <c r="AB475" i="33" s="1"/>
  <c r="B474" i="33"/>
  <c r="AB474" i="33" s="1"/>
  <c r="AA475" i="33"/>
  <c r="AA474" i="33"/>
  <c r="A475" i="33"/>
  <c r="A474" i="33"/>
  <c r="B472" i="33"/>
  <c r="AB472" i="33" s="1"/>
  <c r="B471" i="33"/>
  <c r="AB471" i="33" s="1"/>
  <c r="AA472" i="33"/>
  <c r="AA471" i="33"/>
  <c r="A472" i="33"/>
  <c r="A471" i="33"/>
  <c r="B469" i="33"/>
  <c r="AB469" i="33" s="1"/>
  <c r="B468" i="33"/>
  <c r="AB468" i="33" s="1"/>
  <c r="AA469" i="33"/>
  <c r="AA468" i="33"/>
  <c r="A469" i="33"/>
  <c r="A468" i="33"/>
  <c r="B466" i="33"/>
  <c r="AB466" i="33" s="1"/>
  <c r="B465" i="33"/>
  <c r="AB465" i="33" s="1"/>
  <c r="AA466" i="33"/>
  <c r="AA465" i="33"/>
  <c r="A466" i="33"/>
  <c r="A465" i="33"/>
  <c r="B463" i="33"/>
  <c r="AB463" i="33" s="1"/>
  <c r="B462" i="33"/>
  <c r="AB462" i="33" s="1"/>
  <c r="AA463" i="33"/>
  <c r="AA462" i="33"/>
  <c r="A463" i="33"/>
  <c r="A462" i="33"/>
  <c r="B460" i="33"/>
  <c r="AB460" i="33" s="1"/>
  <c r="B459" i="33"/>
  <c r="AB459" i="33" s="1"/>
  <c r="AA460" i="33"/>
  <c r="AA459" i="33"/>
  <c r="A460" i="33"/>
  <c r="A459" i="33"/>
  <c r="B457" i="33"/>
  <c r="AB457" i="33" s="1"/>
  <c r="B456" i="33"/>
  <c r="AB456" i="33" s="1"/>
  <c r="AA457" i="33"/>
  <c r="AA456" i="33"/>
  <c r="A457" i="33"/>
  <c r="A456" i="33"/>
  <c r="B454" i="33"/>
  <c r="AB454" i="33" s="1"/>
  <c r="B453" i="33"/>
  <c r="AB453" i="33" s="1"/>
  <c r="AA454" i="33"/>
  <c r="AA453" i="33"/>
  <c r="A454" i="33"/>
  <c r="A453" i="33"/>
  <c r="B451" i="33"/>
  <c r="AB451" i="33" s="1"/>
  <c r="B450" i="33"/>
  <c r="AB450" i="33" s="1"/>
  <c r="AA451" i="33"/>
  <c r="AA450" i="33"/>
  <c r="A451" i="33"/>
  <c r="A450" i="33"/>
  <c r="B448" i="33"/>
  <c r="AB448" i="33" s="1"/>
  <c r="B447" i="33"/>
  <c r="AB447" i="33" s="1"/>
  <c r="AA448" i="33"/>
  <c r="AA447" i="33"/>
  <c r="A448" i="33"/>
  <c r="A447" i="33"/>
  <c r="B445" i="33"/>
  <c r="AB445" i="33" s="1"/>
  <c r="B444" i="33"/>
  <c r="AB444" i="33" s="1"/>
  <c r="AA445" i="33"/>
  <c r="AA444" i="33"/>
  <c r="A445" i="33"/>
  <c r="A444" i="33"/>
  <c r="B442" i="33"/>
  <c r="AB442" i="33" s="1"/>
  <c r="B441" i="33"/>
  <c r="AB441" i="33" s="1"/>
  <c r="AA442" i="33"/>
  <c r="AA441" i="33"/>
  <c r="A442" i="33"/>
  <c r="A441" i="33"/>
  <c r="B439" i="33"/>
  <c r="AB439" i="33" s="1"/>
  <c r="B438" i="33"/>
  <c r="AB438" i="33" s="1"/>
  <c r="AA439" i="33"/>
  <c r="AA438" i="33"/>
  <c r="A439" i="33"/>
  <c r="A438" i="33"/>
  <c r="B436" i="33"/>
  <c r="AB436" i="33" s="1"/>
  <c r="B435" i="33"/>
  <c r="AB435" i="33" s="1"/>
  <c r="AA436" i="33"/>
  <c r="AA435" i="33"/>
  <c r="A436" i="33"/>
  <c r="A435" i="33"/>
  <c r="B433" i="33"/>
  <c r="AB433" i="33" s="1"/>
  <c r="B432" i="33"/>
  <c r="AB432" i="33" s="1"/>
  <c r="AA433" i="33"/>
  <c r="AA432" i="33"/>
  <c r="A433" i="33"/>
  <c r="A432" i="33"/>
  <c r="B430" i="33"/>
  <c r="AB430" i="33" s="1"/>
  <c r="B429" i="33"/>
  <c r="AB429" i="33" s="1"/>
  <c r="AA430" i="33"/>
  <c r="AA429" i="33"/>
  <c r="A430" i="33"/>
  <c r="A429" i="33"/>
  <c r="B427" i="33"/>
  <c r="AB427" i="33" s="1"/>
  <c r="B426" i="33"/>
  <c r="AB426" i="33" s="1"/>
  <c r="AA427" i="33"/>
  <c r="AA426" i="33"/>
  <c r="A427" i="33"/>
  <c r="A426" i="33"/>
  <c r="B424" i="33"/>
  <c r="AB424" i="33" s="1"/>
  <c r="B423" i="33"/>
  <c r="AB423" i="33" s="1"/>
  <c r="AA424" i="33"/>
  <c r="AA423" i="33"/>
  <c r="A424" i="33"/>
  <c r="A423" i="33"/>
  <c r="B421" i="33"/>
  <c r="AB421" i="33" s="1"/>
  <c r="B420" i="33"/>
  <c r="AB420" i="33" s="1"/>
  <c r="AA421" i="33"/>
  <c r="AA420" i="33"/>
  <c r="A421" i="33"/>
  <c r="A420" i="33"/>
  <c r="B418" i="33"/>
  <c r="AB418" i="33" s="1"/>
  <c r="B417" i="33"/>
  <c r="AB417" i="33" s="1"/>
  <c r="AA418" i="33"/>
  <c r="AA417" i="33"/>
  <c r="A418" i="33"/>
  <c r="A417" i="33"/>
  <c r="B415" i="33"/>
  <c r="AB415" i="33" s="1"/>
  <c r="B414" i="33"/>
  <c r="AB414" i="33" s="1"/>
  <c r="AA415" i="33"/>
  <c r="AA414" i="33"/>
  <c r="A415" i="33"/>
  <c r="A414" i="33"/>
  <c r="B412" i="33"/>
  <c r="AB412" i="33" s="1"/>
  <c r="B411" i="33"/>
  <c r="AB411" i="33" s="1"/>
  <c r="AA412" i="33"/>
  <c r="AA411" i="33"/>
  <c r="A412" i="33"/>
  <c r="A411" i="33"/>
  <c r="B409" i="33"/>
  <c r="AB409" i="33" s="1"/>
  <c r="B408" i="33"/>
  <c r="AB408" i="33" s="1"/>
  <c r="AA409" i="33"/>
  <c r="AA408" i="33"/>
  <c r="A409" i="33"/>
  <c r="A408" i="33"/>
  <c r="B406" i="33"/>
  <c r="AB406" i="33" s="1"/>
  <c r="B405" i="33"/>
  <c r="AB405" i="33" s="1"/>
  <c r="AA406" i="33"/>
  <c r="AA405" i="33"/>
  <c r="A406" i="33"/>
  <c r="A405" i="33"/>
  <c r="B403" i="33"/>
  <c r="AB403" i="33" s="1"/>
  <c r="B402" i="33"/>
  <c r="AB402" i="33" s="1"/>
  <c r="AA403" i="33"/>
  <c r="AA402" i="33"/>
  <c r="A403" i="33"/>
  <c r="A402" i="33"/>
  <c r="B400" i="33"/>
  <c r="AB400" i="33" s="1"/>
  <c r="B399" i="33"/>
  <c r="AB399" i="33" s="1"/>
  <c r="AA400" i="33"/>
  <c r="AA399" i="33"/>
  <c r="A400" i="33"/>
  <c r="A399" i="33"/>
  <c r="B397" i="33"/>
  <c r="AB397" i="33" s="1"/>
  <c r="B396" i="33"/>
  <c r="AB396" i="33" s="1"/>
  <c r="AA397" i="33"/>
  <c r="AA396" i="33"/>
  <c r="A397" i="33"/>
  <c r="A396" i="33"/>
  <c r="B394" i="33"/>
  <c r="AB394" i="33" s="1"/>
  <c r="B393" i="33"/>
  <c r="AB393" i="33" s="1"/>
  <c r="AA394" i="33"/>
  <c r="AA393" i="33"/>
  <c r="A394" i="33"/>
  <c r="A393" i="33"/>
  <c r="B391" i="33"/>
  <c r="AB391" i="33" s="1"/>
  <c r="B390" i="33"/>
  <c r="AB390" i="33" s="1"/>
  <c r="AA391" i="33"/>
  <c r="AA390" i="33"/>
  <c r="A391" i="33"/>
  <c r="A390" i="33"/>
  <c r="B388" i="33"/>
  <c r="AB388" i="33" s="1"/>
  <c r="B387" i="33"/>
  <c r="AB387" i="33" s="1"/>
  <c r="AA388" i="33"/>
  <c r="AA387" i="33"/>
  <c r="A388" i="33"/>
  <c r="A387" i="33"/>
  <c r="B385" i="33"/>
  <c r="AB385" i="33" s="1"/>
  <c r="B384" i="33"/>
  <c r="AB384" i="33" s="1"/>
  <c r="AA385" i="33"/>
  <c r="AA384" i="33"/>
  <c r="A385" i="33"/>
  <c r="A384" i="33"/>
  <c r="B382" i="33"/>
  <c r="AB382" i="33" s="1"/>
  <c r="B381" i="33"/>
  <c r="AB381" i="33" s="1"/>
  <c r="AA382" i="33"/>
  <c r="AA381" i="33"/>
  <c r="A382" i="33"/>
  <c r="A381" i="33"/>
  <c r="B379" i="33"/>
  <c r="AB379" i="33" s="1"/>
  <c r="B378" i="33"/>
  <c r="AB378" i="33" s="1"/>
  <c r="AA379" i="33"/>
  <c r="AA378" i="33"/>
  <c r="A379" i="33"/>
  <c r="A378" i="33"/>
  <c r="B376" i="33"/>
  <c r="AB376" i="33" s="1"/>
  <c r="B375" i="33"/>
  <c r="AB375" i="33" s="1"/>
  <c r="AA376" i="33"/>
  <c r="AA375" i="33"/>
  <c r="A376" i="33"/>
  <c r="A375" i="33"/>
  <c r="B373" i="33"/>
  <c r="AB373" i="33" s="1"/>
  <c r="B372" i="33"/>
  <c r="AB372" i="33" s="1"/>
  <c r="AA373" i="33"/>
  <c r="AA372" i="33"/>
  <c r="A373" i="33"/>
  <c r="A372" i="33"/>
  <c r="B370" i="33"/>
  <c r="AB370" i="33" s="1"/>
  <c r="B369" i="33"/>
  <c r="AB369" i="33" s="1"/>
  <c r="AA370" i="33"/>
  <c r="AA369" i="33"/>
  <c r="A370" i="33"/>
  <c r="A369" i="33"/>
  <c r="B367" i="33"/>
  <c r="AB367" i="33" s="1"/>
  <c r="B366" i="33"/>
  <c r="AB366" i="33" s="1"/>
  <c r="AA367" i="33"/>
  <c r="AA366" i="33"/>
  <c r="A367" i="33"/>
  <c r="A366" i="33"/>
  <c r="B364" i="33"/>
  <c r="AB364" i="33" s="1"/>
  <c r="B363" i="33"/>
  <c r="AB363" i="33" s="1"/>
  <c r="AA364" i="33"/>
  <c r="AA363" i="33"/>
  <c r="A364" i="33"/>
  <c r="A363" i="33"/>
  <c r="B361" i="33"/>
  <c r="AB361" i="33" s="1"/>
  <c r="B360" i="33"/>
  <c r="AB360" i="33" s="1"/>
  <c r="AA361" i="33"/>
  <c r="AA360" i="33"/>
  <c r="A361" i="33"/>
  <c r="A360" i="33"/>
  <c r="B358" i="33"/>
  <c r="AB358" i="33" s="1"/>
  <c r="B357" i="33"/>
  <c r="AB357" i="33" s="1"/>
  <c r="AA358" i="33"/>
  <c r="AA357" i="33"/>
  <c r="A358" i="33"/>
  <c r="A357" i="33"/>
  <c r="B355" i="33"/>
  <c r="AB355" i="33" s="1"/>
  <c r="B354" i="33"/>
  <c r="AB354" i="33" s="1"/>
  <c r="AA355" i="33"/>
  <c r="AA354" i="33"/>
  <c r="A355" i="33"/>
  <c r="A354" i="33"/>
  <c r="B352" i="33"/>
  <c r="AB352" i="33" s="1"/>
  <c r="B351" i="33"/>
  <c r="AB351" i="33" s="1"/>
  <c r="AA352" i="33"/>
  <c r="AA351" i="33"/>
  <c r="A352" i="33"/>
  <c r="A351" i="33"/>
  <c r="B349" i="33"/>
  <c r="AB349" i="33" s="1"/>
  <c r="B348" i="33"/>
  <c r="AB348" i="33" s="1"/>
  <c r="AA349" i="33"/>
  <c r="AA348" i="33"/>
  <c r="A349" i="33"/>
  <c r="A348" i="33"/>
  <c r="B346" i="33"/>
  <c r="AB346" i="33" s="1"/>
  <c r="B345" i="33"/>
  <c r="AB345" i="33" s="1"/>
  <c r="AA346" i="33"/>
  <c r="AA345" i="33"/>
  <c r="A346" i="33"/>
  <c r="A345" i="33"/>
  <c r="B343" i="33"/>
  <c r="AB343" i="33" s="1"/>
  <c r="B342" i="33"/>
  <c r="AB342" i="33" s="1"/>
  <c r="AA343" i="33"/>
  <c r="AA342" i="33"/>
  <c r="A343" i="33"/>
  <c r="A342" i="33"/>
  <c r="B340" i="33"/>
  <c r="AB340" i="33" s="1"/>
  <c r="B339" i="33"/>
  <c r="AB339" i="33" s="1"/>
  <c r="AA340" i="33"/>
  <c r="AA339" i="33"/>
  <c r="A340" i="33"/>
  <c r="A339" i="33"/>
  <c r="B337" i="33"/>
  <c r="AB337" i="33" s="1"/>
  <c r="B336" i="33"/>
  <c r="AB336" i="33" s="1"/>
  <c r="AA337" i="33"/>
  <c r="AA336" i="33"/>
  <c r="A337" i="33"/>
  <c r="A336" i="33"/>
  <c r="B334" i="33"/>
  <c r="AB334" i="33" s="1"/>
  <c r="B333" i="33"/>
  <c r="AB333" i="33" s="1"/>
  <c r="AA334" i="33"/>
  <c r="AA333" i="33"/>
  <c r="A334" i="33"/>
  <c r="A333" i="33"/>
  <c r="B331" i="33"/>
  <c r="AB331" i="33" s="1"/>
  <c r="B330" i="33"/>
  <c r="AB330" i="33" s="1"/>
  <c r="AA331" i="33"/>
  <c r="AA330" i="33"/>
  <c r="A331" i="33"/>
  <c r="A330" i="33"/>
  <c r="B328" i="33"/>
  <c r="AB328" i="33" s="1"/>
  <c r="B327" i="33"/>
  <c r="AB327" i="33" s="1"/>
  <c r="AA328" i="33"/>
  <c r="AA327" i="33"/>
  <c r="A328" i="33"/>
  <c r="A327" i="33"/>
  <c r="B325" i="33"/>
  <c r="AB325" i="33" s="1"/>
  <c r="B324" i="33"/>
  <c r="AB324" i="33" s="1"/>
  <c r="AA325" i="33"/>
  <c r="AA324" i="33"/>
  <c r="A325" i="33"/>
  <c r="A324" i="33"/>
  <c r="B322" i="33"/>
  <c r="AB322" i="33" s="1"/>
  <c r="B321" i="33"/>
  <c r="AB321" i="33" s="1"/>
  <c r="AA322" i="33"/>
  <c r="AA321" i="33"/>
  <c r="A322" i="33"/>
  <c r="A321" i="33"/>
  <c r="B319" i="33"/>
  <c r="AB319" i="33" s="1"/>
  <c r="B318" i="33"/>
  <c r="AB318" i="33" s="1"/>
  <c r="AA319" i="33"/>
  <c r="AA318" i="33"/>
  <c r="A319" i="33"/>
  <c r="A318" i="33"/>
  <c r="B316" i="33"/>
  <c r="AB316" i="33" s="1"/>
  <c r="B315" i="33"/>
  <c r="AB315" i="33" s="1"/>
  <c r="AA316" i="33"/>
  <c r="AA315" i="33"/>
  <c r="A316" i="33"/>
  <c r="A315" i="33"/>
  <c r="B313" i="33"/>
  <c r="AB313" i="33" s="1"/>
  <c r="B312" i="33"/>
  <c r="AB312" i="33" s="1"/>
  <c r="AA313" i="33"/>
  <c r="AA312" i="33"/>
  <c r="A313" i="33"/>
  <c r="A312" i="33"/>
  <c r="B310" i="33"/>
  <c r="AB310" i="33" s="1"/>
  <c r="B309" i="33"/>
  <c r="AB309" i="33" s="1"/>
  <c r="AA310" i="33"/>
  <c r="AA309" i="33"/>
  <c r="A310" i="33"/>
  <c r="A309" i="33"/>
  <c r="B307" i="33"/>
  <c r="AB307" i="33" s="1"/>
  <c r="B306" i="33"/>
  <c r="AB306" i="33" s="1"/>
  <c r="AA307" i="33"/>
  <c r="AA306" i="33"/>
  <c r="A307" i="33"/>
  <c r="A306" i="33"/>
  <c r="B304" i="33"/>
  <c r="AB304" i="33" s="1"/>
  <c r="B303" i="33"/>
  <c r="AB303" i="33" s="1"/>
  <c r="AA304" i="33"/>
  <c r="AA303" i="33"/>
  <c r="A304" i="33"/>
  <c r="A303" i="33"/>
  <c r="B301" i="33"/>
  <c r="AB301" i="33" s="1"/>
  <c r="B300" i="33"/>
  <c r="AB300" i="33" s="1"/>
  <c r="AA301" i="33"/>
  <c r="AA300" i="33"/>
  <c r="A301" i="33"/>
  <c r="A300" i="33"/>
  <c r="B298" i="33"/>
  <c r="AB298" i="33" s="1"/>
  <c r="B297" i="33"/>
  <c r="AB297" i="33" s="1"/>
  <c r="AA298" i="33"/>
  <c r="AA297" i="33"/>
  <c r="A298" i="33"/>
  <c r="A297" i="33"/>
  <c r="B295" i="33"/>
  <c r="AB295" i="33" s="1"/>
  <c r="B294" i="33"/>
  <c r="AB294" i="33" s="1"/>
  <c r="AA295" i="33"/>
  <c r="AA294" i="33"/>
  <c r="A295" i="33"/>
  <c r="A294" i="33"/>
  <c r="B292" i="33"/>
  <c r="AB292" i="33" s="1"/>
  <c r="B291" i="33"/>
  <c r="AB291" i="33" s="1"/>
  <c r="AA292" i="33"/>
  <c r="AA291" i="33"/>
  <c r="A292" i="33"/>
  <c r="A291" i="33"/>
  <c r="B289" i="33"/>
  <c r="AB289" i="33" s="1"/>
  <c r="B288" i="33"/>
  <c r="AB288" i="33" s="1"/>
  <c r="AA289" i="33"/>
  <c r="AA288" i="33"/>
  <c r="A289" i="33"/>
  <c r="A288" i="33"/>
  <c r="B286" i="33"/>
  <c r="AB286" i="33" s="1"/>
  <c r="B285" i="33"/>
  <c r="AB285" i="33" s="1"/>
  <c r="AA286" i="33"/>
  <c r="AA285" i="33"/>
  <c r="A286" i="33"/>
  <c r="A285" i="33"/>
  <c r="B283" i="33"/>
  <c r="AB283" i="33" s="1"/>
  <c r="B282" i="33"/>
  <c r="AB282" i="33" s="1"/>
  <c r="AA283" i="33"/>
  <c r="AA282" i="33"/>
  <c r="A283" i="33"/>
  <c r="A282" i="33"/>
  <c r="B280" i="33"/>
  <c r="AB280" i="33" s="1"/>
  <c r="B279" i="33"/>
  <c r="AB279" i="33" s="1"/>
  <c r="AA280" i="33"/>
  <c r="AA279" i="33"/>
  <c r="A280" i="33"/>
  <c r="A279" i="33"/>
  <c r="B277" i="33"/>
  <c r="AB277" i="33" s="1"/>
  <c r="B276" i="33"/>
  <c r="AB276" i="33" s="1"/>
  <c r="AA277" i="33"/>
  <c r="AA276" i="33"/>
  <c r="A277" i="33"/>
  <c r="A276" i="33"/>
  <c r="B274" i="33"/>
  <c r="AB274" i="33" s="1"/>
  <c r="B273" i="33"/>
  <c r="AB273" i="33" s="1"/>
  <c r="AA274" i="33"/>
  <c r="AA273" i="33"/>
  <c r="A274" i="33"/>
  <c r="A273" i="33"/>
  <c r="B271" i="33"/>
  <c r="AB271" i="33" s="1"/>
  <c r="B270" i="33"/>
  <c r="AB270" i="33" s="1"/>
  <c r="AA271" i="33"/>
  <c r="AA270" i="33"/>
  <c r="A271" i="33"/>
  <c r="A270" i="33"/>
  <c r="B268" i="33"/>
  <c r="AB268" i="33" s="1"/>
  <c r="B267" i="33"/>
  <c r="AB267" i="33" s="1"/>
  <c r="AA268" i="33"/>
  <c r="AA267" i="33"/>
  <c r="A268" i="33"/>
  <c r="A267" i="33"/>
  <c r="B265" i="33"/>
  <c r="AB265" i="33" s="1"/>
  <c r="B264" i="33"/>
  <c r="AB264" i="33" s="1"/>
  <c r="AA265" i="33"/>
  <c r="AA264" i="33"/>
  <c r="A265" i="33"/>
  <c r="A264" i="33"/>
  <c r="B262" i="33"/>
  <c r="AB262" i="33" s="1"/>
  <c r="B261" i="33"/>
  <c r="AB261" i="33" s="1"/>
  <c r="AA262" i="33"/>
  <c r="AA261" i="33"/>
  <c r="A262" i="33"/>
  <c r="A261" i="33"/>
  <c r="B259" i="33"/>
  <c r="AB259" i="33" s="1"/>
  <c r="B258" i="33"/>
  <c r="AB258" i="33" s="1"/>
  <c r="AA259" i="33"/>
  <c r="AA258" i="33"/>
  <c r="A259" i="33"/>
  <c r="A258" i="33"/>
  <c r="B256" i="33"/>
  <c r="AB256" i="33" s="1"/>
  <c r="B255" i="33"/>
  <c r="AB255" i="33" s="1"/>
  <c r="AA256" i="33"/>
  <c r="AA255" i="33"/>
  <c r="A256" i="33"/>
  <c r="A255" i="33"/>
  <c r="B253" i="33"/>
  <c r="AB253" i="33" s="1"/>
  <c r="B252" i="33"/>
  <c r="AB252" i="33" s="1"/>
  <c r="AA253" i="33"/>
  <c r="AA252" i="33"/>
  <c r="A253" i="33"/>
  <c r="A252" i="33"/>
  <c r="B250" i="33"/>
  <c r="AB250" i="33" s="1"/>
  <c r="B249" i="33"/>
  <c r="AB249" i="33" s="1"/>
  <c r="AA250" i="33"/>
  <c r="AA249" i="33"/>
  <c r="A250" i="33"/>
  <c r="A249" i="33"/>
  <c r="B247" i="33"/>
  <c r="AB247" i="33" s="1"/>
  <c r="B246" i="33"/>
  <c r="AB246" i="33" s="1"/>
  <c r="AA247" i="33"/>
  <c r="AA246" i="33"/>
  <c r="A247" i="33"/>
  <c r="A246" i="33"/>
  <c r="B244" i="33"/>
  <c r="AB244" i="33" s="1"/>
  <c r="B243" i="33"/>
  <c r="AB243" i="33" s="1"/>
  <c r="AA244" i="33"/>
  <c r="AA243" i="33"/>
  <c r="A244" i="33"/>
  <c r="A243" i="33"/>
  <c r="B241" i="33"/>
  <c r="AB241" i="33" s="1"/>
  <c r="B240" i="33"/>
  <c r="AB240" i="33" s="1"/>
  <c r="AA241" i="33"/>
  <c r="AA240" i="33"/>
  <c r="A241" i="33"/>
  <c r="A240" i="33"/>
  <c r="B238" i="33"/>
  <c r="AB238" i="33" s="1"/>
  <c r="B237" i="33"/>
  <c r="AB237" i="33" s="1"/>
  <c r="AA238" i="33"/>
  <c r="AA237" i="33"/>
  <c r="A238" i="33"/>
  <c r="A237" i="33"/>
  <c r="B235" i="33"/>
  <c r="AB235" i="33" s="1"/>
  <c r="B234" i="33"/>
  <c r="AB234" i="33" s="1"/>
  <c r="AA235" i="33"/>
  <c r="AA234" i="33"/>
  <c r="A235" i="33"/>
  <c r="A234" i="33"/>
  <c r="B232" i="33"/>
  <c r="AB232" i="33" s="1"/>
  <c r="B231" i="33"/>
  <c r="AB231" i="33" s="1"/>
  <c r="AA232" i="33"/>
  <c r="AA231" i="33"/>
  <c r="A232" i="33"/>
  <c r="A231" i="33"/>
  <c r="B229" i="33"/>
  <c r="AB229" i="33" s="1"/>
  <c r="B228" i="33"/>
  <c r="AB228" i="33" s="1"/>
  <c r="AA229" i="33"/>
  <c r="AA228" i="33"/>
  <c r="A229" i="33"/>
  <c r="A228" i="33"/>
  <c r="B226" i="33"/>
  <c r="AB226" i="33" s="1"/>
  <c r="B225" i="33"/>
  <c r="AB225" i="33" s="1"/>
  <c r="AA226" i="33"/>
  <c r="AA225" i="33"/>
  <c r="A226" i="33"/>
  <c r="A225" i="33"/>
  <c r="B223" i="33"/>
  <c r="AB223" i="33" s="1"/>
  <c r="B222" i="33"/>
  <c r="AB222" i="33" s="1"/>
  <c r="AA223" i="33"/>
  <c r="AA222" i="33"/>
  <c r="A223" i="33"/>
  <c r="A222" i="33"/>
  <c r="B220" i="33"/>
  <c r="AB220" i="33" s="1"/>
  <c r="B219" i="33"/>
  <c r="AB219" i="33" s="1"/>
  <c r="AA220" i="33"/>
  <c r="AA219" i="33"/>
  <c r="A220" i="33"/>
  <c r="A219" i="33"/>
  <c r="B217" i="33"/>
  <c r="AB217" i="33" s="1"/>
  <c r="B216" i="33"/>
  <c r="AB216" i="33" s="1"/>
  <c r="AA217" i="33"/>
  <c r="AA216" i="33"/>
  <c r="A217" i="33"/>
  <c r="A216" i="33"/>
  <c r="B214" i="33"/>
  <c r="AB214" i="33" s="1"/>
  <c r="B213" i="33"/>
  <c r="AB213" i="33" s="1"/>
  <c r="AA214" i="33"/>
  <c r="AA213" i="33"/>
  <c r="A214" i="33"/>
  <c r="A213" i="33"/>
  <c r="B211" i="33"/>
  <c r="AB211" i="33" s="1"/>
  <c r="B210" i="33"/>
  <c r="AB210" i="33" s="1"/>
  <c r="AA211" i="33"/>
  <c r="AA210" i="33"/>
  <c r="A211" i="33"/>
  <c r="A210" i="33"/>
  <c r="B208" i="33"/>
  <c r="AB208" i="33" s="1"/>
  <c r="B207" i="33"/>
  <c r="AB207" i="33" s="1"/>
  <c r="AA208" i="33"/>
  <c r="AA207" i="33"/>
  <c r="A208" i="33"/>
  <c r="A207" i="33"/>
  <c r="B205" i="33"/>
  <c r="AB205" i="33" s="1"/>
  <c r="B204" i="33"/>
  <c r="AB204" i="33" s="1"/>
  <c r="AA205" i="33"/>
  <c r="AA204" i="33"/>
  <c r="A205" i="33"/>
  <c r="A204" i="33"/>
  <c r="B202" i="33"/>
  <c r="AB202" i="33" s="1"/>
  <c r="B201" i="33"/>
  <c r="AB201" i="33" s="1"/>
  <c r="AA202" i="33"/>
  <c r="AA201" i="33"/>
  <c r="A202" i="33"/>
  <c r="A201" i="33"/>
  <c r="B199" i="33"/>
  <c r="AB199" i="33" s="1"/>
  <c r="B198" i="33"/>
  <c r="AB198" i="33" s="1"/>
  <c r="AA199" i="33"/>
  <c r="AA198" i="33"/>
  <c r="A199" i="33"/>
  <c r="A198" i="33"/>
  <c r="B196" i="33"/>
  <c r="AB196" i="33" s="1"/>
  <c r="B195" i="33"/>
  <c r="AB195" i="33" s="1"/>
  <c r="AA196" i="33"/>
  <c r="AA195" i="33"/>
  <c r="A196" i="33"/>
  <c r="A195" i="33"/>
  <c r="B193" i="33"/>
  <c r="AB193" i="33" s="1"/>
  <c r="B192" i="33"/>
  <c r="AB192" i="33" s="1"/>
  <c r="AA193" i="33"/>
  <c r="AA192" i="33"/>
  <c r="A193" i="33"/>
  <c r="A192" i="33"/>
  <c r="B190" i="33"/>
  <c r="AB190" i="33" s="1"/>
  <c r="B189" i="33"/>
  <c r="AB189" i="33" s="1"/>
  <c r="AA190" i="33"/>
  <c r="AA189" i="33"/>
  <c r="A190" i="33"/>
  <c r="A189" i="33"/>
  <c r="B187" i="33"/>
  <c r="AB187" i="33" s="1"/>
  <c r="B186" i="33"/>
  <c r="AB186" i="33" s="1"/>
  <c r="AA187" i="33"/>
  <c r="AA186" i="33"/>
  <c r="A187" i="33"/>
  <c r="A186" i="33"/>
  <c r="B184" i="33"/>
  <c r="AB184" i="33" s="1"/>
  <c r="B183" i="33"/>
  <c r="AB183" i="33" s="1"/>
  <c r="AA184" i="33"/>
  <c r="AA183" i="33"/>
  <c r="A184" i="33"/>
  <c r="A183" i="33"/>
  <c r="B181" i="33"/>
  <c r="AB181" i="33" s="1"/>
  <c r="B180" i="33"/>
  <c r="AB180" i="33" s="1"/>
  <c r="AA181" i="33"/>
  <c r="AA180" i="33"/>
  <c r="A181" i="33"/>
  <c r="A180" i="33"/>
  <c r="B178" i="33"/>
  <c r="AB178" i="33" s="1"/>
  <c r="B177" i="33"/>
  <c r="AB177" i="33" s="1"/>
  <c r="AA178" i="33"/>
  <c r="AA177" i="33"/>
  <c r="A178" i="33"/>
  <c r="A177" i="33"/>
  <c r="B175" i="33"/>
  <c r="AB175" i="33" s="1"/>
  <c r="B174" i="33"/>
  <c r="AB174" i="33" s="1"/>
  <c r="AA175" i="33"/>
  <c r="AA174" i="33"/>
  <c r="A175" i="33"/>
  <c r="A174" i="33"/>
  <c r="B172" i="33"/>
  <c r="AB172" i="33" s="1"/>
  <c r="B171" i="33"/>
  <c r="AB171" i="33" s="1"/>
  <c r="AA172" i="33"/>
  <c r="AA171" i="33"/>
  <c r="A172" i="33"/>
  <c r="A171" i="33"/>
  <c r="B169" i="33"/>
  <c r="AB169" i="33" s="1"/>
  <c r="B168" i="33"/>
  <c r="AB168" i="33" s="1"/>
  <c r="AA169" i="33"/>
  <c r="AA168" i="33"/>
  <c r="A169" i="33"/>
  <c r="A168" i="33"/>
  <c r="B166" i="33"/>
  <c r="AB166" i="33" s="1"/>
  <c r="B165" i="33"/>
  <c r="AB165" i="33" s="1"/>
  <c r="AA166" i="33"/>
  <c r="AA165" i="33"/>
  <c r="A166" i="33"/>
  <c r="A165" i="33"/>
  <c r="B163" i="33"/>
  <c r="AB163" i="33" s="1"/>
  <c r="B162" i="33"/>
  <c r="AB162" i="33" s="1"/>
  <c r="AA163" i="33"/>
  <c r="AA162" i="33"/>
  <c r="A163" i="33"/>
  <c r="A162" i="33"/>
  <c r="B160" i="33"/>
  <c r="AB160" i="33" s="1"/>
  <c r="B159" i="33"/>
  <c r="AB159" i="33" s="1"/>
  <c r="AA160" i="33"/>
  <c r="AA159" i="33"/>
  <c r="A160" i="33"/>
  <c r="A159" i="33"/>
  <c r="B157" i="33"/>
  <c r="AB157" i="33" s="1"/>
  <c r="B156" i="33"/>
  <c r="AB156" i="33" s="1"/>
  <c r="AA157" i="33"/>
  <c r="AA156" i="33"/>
  <c r="A157" i="33"/>
  <c r="A156" i="33"/>
  <c r="B154" i="33"/>
  <c r="AB154" i="33" s="1"/>
  <c r="B153" i="33"/>
  <c r="AB153" i="33" s="1"/>
  <c r="AA154" i="33"/>
  <c r="AA153" i="33"/>
  <c r="A154" i="33"/>
  <c r="A153" i="33"/>
  <c r="B151" i="33"/>
  <c r="AB151" i="33" s="1"/>
  <c r="B150" i="33"/>
  <c r="AB150" i="33" s="1"/>
  <c r="AA151" i="33"/>
  <c r="AA150" i="33"/>
  <c r="A151" i="33"/>
  <c r="A150" i="33"/>
  <c r="B148" i="33"/>
  <c r="AB148" i="33" s="1"/>
  <c r="B147" i="33"/>
  <c r="AB147" i="33" s="1"/>
  <c r="AA148" i="33"/>
  <c r="AA147" i="33"/>
  <c r="A148" i="33"/>
  <c r="A147" i="33"/>
  <c r="B145" i="33"/>
  <c r="AB145" i="33" s="1"/>
  <c r="B144" i="33"/>
  <c r="AB144" i="33" s="1"/>
  <c r="AA145" i="33"/>
  <c r="AA144" i="33"/>
  <c r="A145" i="33"/>
  <c r="A144" i="33"/>
  <c r="B142" i="33"/>
  <c r="AB142" i="33" s="1"/>
  <c r="B141" i="33"/>
  <c r="AB141" i="33" s="1"/>
  <c r="AA142" i="33"/>
  <c r="AA141" i="33"/>
  <c r="A142" i="33"/>
  <c r="A141" i="33"/>
  <c r="B139" i="33"/>
  <c r="AB139" i="33" s="1"/>
  <c r="B138" i="33"/>
  <c r="AB138" i="33" s="1"/>
  <c r="AA139" i="33"/>
  <c r="AA138" i="33"/>
  <c r="A139" i="33"/>
  <c r="A138" i="33"/>
  <c r="B136" i="33"/>
  <c r="AB136" i="33" s="1"/>
  <c r="B135" i="33"/>
  <c r="AB135" i="33" s="1"/>
  <c r="AA136" i="33"/>
  <c r="AA135" i="33"/>
  <c r="A136" i="33"/>
  <c r="A135" i="33"/>
  <c r="B133" i="33"/>
  <c r="AB133" i="33" s="1"/>
  <c r="B132" i="33"/>
  <c r="AB132" i="33" s="1"/>
  <c r="AA133" i="33"/>
  <c r="AA132" i="33"/>
  <c r="A133" i="33"/>
  <c r="A132" i="33"/>
  <c r="B130" i="33"/>
  <c r="AB130" i="33" s="1"/>
  <c r="B129" i="33"/>
  <c r="AB129" i="33" s="1"/>
  <c r="AA130" i="33"/>
  <c r="AA129" i="33"/>
  <c r="A130" i="33"/>
  <c r="A129" i="33"/>
  <c r="B127" i="33"/>
  <c r="AB127" i="33" s="1"/>
  <c r="B126" i="33"/>
  <c r="AB126" i="33" s="1"/>
  <c r="AA127" i="33"/>
  <c r="AA126" i="33"/>
  <c r="A127" i="33"/>
  <c r="A126" i="33"/>
  <c r="B124" i="33"/>
  <c r="AB124" i="33" s="1"/>
  <c r="B123" i="33"/>
  <c r="AB123" i="33" s="1"/>
  <c r="AA124" i="33"/>
  <c r="AA123" i="33"/>
  <c r="A124" i="33"/>
  <c r="A123" i="33"/>
  <c r="B121" i="33"/>
  <c r="AB121" i="33" s="1"/>
  <c r="B120" i="33"/>
  <c r="AB120" i="33" s="1"/>
  <c r="AA121" i="33"/>
  <c r="AA120" i="33"/>
  <c r="A121" i="33"/>
  <c r="A120" i="33"/>
  <c r="B118" i="33"/>
  <c r="AB118" i="33" s="1"/>
  <c r="B117" i="33"/>
  <c r="AB117" i="33" s="1"/>
  <c r="AA118" i="33"/>
  <c r="AA117" i="33"/>
  <c r="A118" i="33"/>
  <c r="A117" i="33"/>
  <c r="B115" i="33"/>
  <c r="AB115" i="33" s="1"/>
  <c r="B114" i="33"/>
  <c r="AB114" i="33" s="1"/>
  <c r="AA115" i="33"/>
  <c r="AA114" i="33"/>
  <c r="A115" i="33"/>
  <c r="A114" i="33"/>
  <c r="B112" i="33"/>
  <c r="AB112" i="33" s="1"/>
  <c r="B111" i="33"/>
  <c r="AB111" i="33" s="1"/>
  <c r="AA112" i="33"/>
  <c r="AA111" i="33"/>
  <c r="A112" i="33"/>
  <c r="A111" i="33"/>
  <c r="B109" i="33"/>
  <c r="AB109" i="33" s="1"/>
  <c r="B108" i="33"/>
  <c r="AB108" i="33" s="1"/>
  <c r="AA109" i="33"/>
  <c r="AA108" i="33"/>
  <c r="A109" i="33"/>
  <c r="A108" i="33"/>
  <c r="B106" i="33"/>
  <c r="AB106" i="33" s="1"/>
  <c r="B105" i="33"/>
  <c r="AB105" i="33" s="1"/>
  <c r="AA106" i="33"/>
  <c r="AA105" i="33"/>
  <c r="A106" i="33"/>
  <c r="A105" i="33"/>
  <c r="B103" i="33"/>
  <c r="AB103" i="33" s="1"/>
  <c r="B102" i="33"/>
  <c r="AB102" i="33" s="1"/>
  <c r="AA103" i="33"/>
  <c r="AA102" i="33"/>
  <c r="A103" i="33"/>
  <c r="A102" i="33"/>
  <c r="B100" i="33"/>
  <c r="AB100" i="33" s="1"/>
  <c r="B99" i="33"/>
  <c r="AB99" i="33" s="1"/>
  <c r="AA100" i="33"/>
  <c r="AA99" i="33"/>
  <c r="A100" i="33"/>
  <c r="A99" i="33"/>
  <c r="B97" i="33"/>
  <c r="AB97" i="33" s="1"/>
  <c r="B96" i="33"/>
  <c r="AB96" i="33" s="1"/>
  <c r="AA97" i="33"/>
  <c r="AA96" i="33"/>
  <c r="A97" i="33"/>
  <c r="A96" i="33"/>
  <c r="B94" i="33"/>
  <c r="AB94" i="33" s="1"/>
  <c r="B93" i="33"/>
  <c r="AB93" i="33" s="1"/>
  <c r="AA94" i="33"/>
  <c r="AA93" i="33"/>
  <c r="A94" i="33"/>
  <c r="A93" i="33"/>
  <c r="B91" i="33"/>
  <c r="AB91" i="33" s="1"/>
  <c r="B90" i="33"/>
  <c r="AB90" i="33" s="1"/>
  <c r="AA91" i="33"/>
  <c r="AA90" i="33"/>
  <c r="A91" i="33"/>
  <c r="A90" i="33"/>
  <c r="B88" i="33"/>
  <c r="AB88" i="33" s="1"/>
  <c r="B87" i="33"/>
  <c r="AB87" i="33" s="1"/>
  <c r="AA88" i="33"/>
  <c r="AA87" i="33"/>
  <c r="A88" i="33"/>
  <c r="A87" i="33"/>
  <c r="B85" i="33"/>
  <c r="AB85" i="33" s="1"/>
  <c r="B84" i="33"/>
  <c r="AB84" i="33" s="1"/>
  <c r="AA85" i="33"/>
  <c r="AA84" i="33"/>
  <c r="A85" i="33"/>
  <c r="A84" i="33"/>
  <c r="B82" i="33"/>
  <c r="AB82" i="33" s="1"/>
  <c r="B81" i="33"/>
  <c r="AB81" i="33" s="1"/>
  <c r="AA82" i="33"/>
  <c r="AA81" i="33"/>
  <c r="A82" i="33"/>
  <c r="A81" i="33"/>
  <c r="B79" i="33"/>
  <c r="AB79" i="33" s="1"/>
  <c r="B78" i="33"/>
  <c r="AB78" i="33" s="1"/>
  <c r="AA79" i="33"/>
  <c r="AA78" i="33"/>
  <c r="A79" i="33"/>
  <c r="A78" i="33"/>
  <c r="B76" i="33"/>
  <c r="AB76" i="33" s="1"/>
  <c r="B75" i="33"/>
  <c r="AB75" i="33" s="1"/>
  <c r="AA76" i="33"/>
  <c r="AA75" i="33"/>
  <c r="A76" i="33"/>
  <c r="A75" i="33"/>
  <c r="B73" i="33"/>
  <c r="AB73" i="33" s="1"/>
  <c r="B72" i="33"/>
  <c r="AB72" i="33" s="1"/>
  <c r="AA73" i="33"/>
  <c r="AA72" i="33"/>
  <c r="A73" i="33"/>
  <c r="A72" i="33"/>
  <c r="B70" i="33"/>
  <c r="AB70" i="33" s="1"/>
  <c r="B69" i="33"/>
  <c r="AB69" i="33" s="1"/>
  <c r="AA70" i="33"/>
  <c r="AA69" i="33"/>
  <c r="A70" i="33"/>
  <c r="A69" i="33"/>
  <c r="B67" i="33"/>
  <c r="AB67" i="33" s="1"/>
  <c r="B66" i="33"/>
  <c r="AB66" i="33" s="1"/>
  <c r="AA67" i="33"/>
  <c r="AA66" i="33"/>
  <c r="A67" i="33"/>
  <c r="A66" i="33"/>
  <c r="B64" i="33"/>
  <c r="AB64" i="33" s="1"/>
  <c r="B63" i="33"/>
  <c r="AB63" i="33" s="1"/>
  <c r="AA64" i="33"/>
  <c r="AA63" i="33"/>
  <c r="A64" i="33"/>
  <c r="A63" i="33"/>
  <c r="B61" i="33"/>
  <c r="AB61" i="33" s="1"/>
  <c r="B60" i="33"/>
  <c r="AB60" i="33" s="1"/>
  <c r="AA61" i="33"/>
  <c r="AA60" i="33"/>
  <c r="A61" i="33"/>
  <c r="A60" i="33"/>
  <c r="B58" i="33"/>
  <c r="AB58" i="33" s="1"/>
  <c r="B57" i="33"/>
  <c r="AB57" i="33" s="1"/>
  <c r="AA58" i="33"/>
  <c r="AA57" i="33"/>
  <c r="A58" i="33"/>
  <c r="A57" i="33"/>
  <c r="B55" i="33"/>
  <c r="AB55" i="33" s="1"/>
  <c r="B54" i="33"/>
  <c r="AB54" i="33" s="1"/>
  <c r="AA55" i="33"/>
  <c r="AA54" i="33"/>
  <c r="A55" i="33"/>
  <c r="A54" i="33"/>
  <c r="B52" i="33"/>
  <c r="AB52" i="33" s="1"/>
  <c r="B51" i="33"/>
  <c r="AB51" i="33" s="1"/>
  <c r="AA52" i="33"/>
  <c r="AA51" i="33"/>
  <c r="A52" i="33"/>
  <c r="A51" i="33"/>
  <c r="B49" i="33"/>
  <c r="AB49" i="33" s="1"/>
  <c r="B48" i="33"/>
  <c r="AB48" i="33" s="1"/>
  <c r="AA49" i="33"/>
  <c r="AA48" i="33"/>
  <c r="A49" i="33"/>
  <c r="A48" i="33"/>
  <c r="B46" i="33"/>
  <c r="AB46" i="33" s="1"/>
  <c r="B45" i="33"/>
  <c r="AB45" i="33" s="1"/>
  <c r="AA46" i="33"/>
  <c r="AA45" i="33"/>
  <c r="A46" i="33"/>
  <c r="A45" i="33"/>
  <c r="B43" i="33"/>
  <c r="AB43" i="33" s="1"/>
  <c r="B42" i="33"/>
  <c r="AB42" i="33" s="1"/>
  <c r="AA43" i="33"/>
  <c r="AA42" i="33"/>
  <c r="A43" i="33"/>
  <c r="A42" i="33"/>
  <c r="B40" i="33"/>
  <c r="AB40" i="33" s="1"/>
  <c r="B39" i="33"/>
  <c r="AB39" i="33" s="1"/>
  <c r="AA40" i="33"/>
  <c r="AA39" i="33"/>
  <c r="A40" i="33"/>
  <c r="A39" i="33"/>
  <c r="B37" i="33"/>
  <c r="AB37" i="33" s="1"/>
  <c r="B36" i="33"/>
  <c r="AB36" i="33" s="1"/>
  <c r="AA37" i="33"/>
  <c r="AA36" i="33"/>
  <c r="A37" i="33"/>
  <c r="A36" i="33"/>
  <c r="B34" i="33"/>
  <c r="AB34" i="33" s="1"/>
  <c r="B33" i="33"/>
  <c r="AB33" i="33" s="1"/>
  <c r="AA34" i="33"/>
  <c r="AA33" i="33"/>
  <c r="A34" i="33"/>
  <c r="A33" i="33"/>
  <c r="B31" i="33"/>
  <c r="AB31" i="33" s="1"/>
  <c r="B30" i="33"/>
  <c r="AB30" i="33" s="1"/>
  <c r="AA31" i="33"/>
  <c r="AA30" i="33"/>
  <c r="A31" i="33"/>
  <c r="A30" i="33"/>
  <c r="X27" i="30" l="1"/>
  <c r="X28" i="30"/>
  <c r="O27" i="30"/>
  <c r="O28" i="30"/>
  <c r="S28" i="30" s="1"/>
  <c r="N27" i="30"/>
  <c r="N28" i="30"/>
  <c r="S27" i="30" l="1"/>
  <c r="B16" i="31"/>
  <c r="C14" i="33" l="1"/>
  <c r="G184" i="31" l="1"/>
  <c r="H184" i="31"/>
  <c r="H20" i="2" l="1"/>
  <c r="F20" i="2"/>
  <c r="H20" i="30"/>
  <c r="H21" i="32" l="1" a="1"/>
  <c r="H21" i="32" s="1"/>
  <c r="G21" i="32" a="1"/>
  <c r="G21" i="32" s="1"/>
  <c r="F21" i="32" a="1"/>
  <c r="F21" i="32" s="1"/>
  <c r="E21" i="32" a="1"/>
  <c r="E21" i="32" s="1"/>
  <c r="D21" i="32" a="1"/>
  <c r="D21" i="32" s="1"/>
  <c r="H21" i="31" a="1"/>
  <c r="H21" i="31" s="1"/>
  <c r="G21" i="31" a="1"/>
  <c r="G21" i="31" s="1"/>
  <c r="F21" i="31" a="1"/>
  <c r="F21" i="31" s="1"/>
  <c r="E21" i="31" a="1"/>
  <c r="E21" i="31" s="1"/>
  <c r="D21" i="31" a="1"/>
  <c r="D21" i="31" s="1"/>
  <c r="C21" i="31" l="1"/>
  <c r="C21" i="32"/>
  <c r="BT73" i="2"/>
  <c r="Y28" i="30" l="1"/>
  <c r="Y27" i="30"/>
  <c r="BT103" i="2" l="1"/>
  <c r="D64" i="13" s="1"/>
  <c r="X105" i="2"/>
  <c r="AD105" i="2" s="1"/>
  <c r="AH105" i="2" s="1"/>
  <c r="S105" i="2"/>
  <c r="Y105" i="2" s="1"/>
  <c r="AC105" i="2" s="1"/>
  <c r="I108" i="2"/>
  <c r="BT96" i="2" l="1"/>
  <c r="AC27" i="30"/>
  <c r="AD27" i="30"/>
  <c r="AH27" i="30" s="1"/>
  <c r="AC28" i="30"/>
  <c r="AI28" i="30" s="1"/>
  <c r="AD28" i="30"/>
  <c r="AH28" i="30" s="1"/>
  <c r="E80" i="2"/>
  <c r="I93" i="2"/>
  <c r="O93" i="2" s="1"/>
  <c r="S93" i="2" s="1"/>
  <c r="Y93" i="2" s="1"/>
  <c r="AC93" i="2" s="1"/>
  <c r="AI93" i="2" s="1"/>
  <c r="AM93" i="2" s="1"/>
  <c r="AS93" i="2" s="1"/>
  <c r="AW93" i="2" s="1"/>
  <c r="BG93" i="2" s="1"/>
  <c r="BO93" i="2" s="1"/>
  <c r="N93" i="2"/>
  <c r="T93" i="2" s="1"/>
  <c r="X93" i="2" s="1"/>
  <c r="AD93" i="2" s="1"/>
  <c r="AH93" i="2" s="1"/>
  <c r="AN93" i="2" s="1"/>
  <c r="AR93" i="2" s="1"/>
  <c r="AX93" i="2" s="1"/>
  <c r="BB93" i="2" s="1"/>
  <c r="BH93" i="2" s="1"/>
  <c r="BL93" i="2" s="1"/>
  <c r="BP93" i="2" s="1"/>
  <c r="BS93" i="2" s="1"/>
  <c r="I94" i="2"/>
  <c r="O94" i="2" s="1"/>
  <c r="S94" i="2" s="1"/>
  <c r="Y94" i="2" s="1"/>
  <c r="AC94" i="2" s="1"/>
  <c r="AI94" i="2" s="1"/>
  <c r="AM94" i="2" s="1"/>
  <c r="AS94" i="2" s="1"/>
  <c r="AW94" i="2" s="1"/>
  <c r="BG94" i="2" s="1"/>
  <c r="BO94" i="2" s="1"/>
  <c r="N94" i="2"/>
  <c r="T94" i="2" s="1"/>
  <c r="X94" i="2" s="1"/>
  <c r="AD94" i="2" s="1"/>
  <c r="AH94" i="2" s="1"/>
  <c r="AN94" i="2" s="1"/>
  <c r="AR94" i="2" s="1"/>
  <c r="AX94" i="2" s="1"/>
  <c r="BB94" i="2" s="1"/>
  <c r="BH94" i="2" s="1"/>
  <c r="BL94" i="2" s="1"/>
  <c r="BP94" i="2" s="1"/>
  <c r="BS94" i="2" s="1"/>
  <c r="BT58" i="2"/>
  <c r="BT59" i="2"/>
  <c r="BT61" i="2"/>
  <c r="BT62" i="2"/>
  <c r="BT63" i="2"/>
  <c r="BT64" i="2"/>
  <c r="BT65" i="2"/>
  <c r="BT69" i="2"/>
  <c r="BT70" i="2"/>
  <c r="N25" i="30"/>
  <c r="I25" i="30"/>
  <c r="O25" i="30" s="1"/>
  <c r="AI27" i="30" l="1"/>
  <c r="BT93" i="2"/>
  <c r="BW94" i="2"/>
  <c r="BW93" i="2"/>
  <c r="BT94" i="2"/>
  <c r="BT108" i="2" l="1"/>
  <c r="BT107" i="2"/>
  <c r="BT78" i="2"/>
  <c r="BT37" i="30"/>
  <c r="BT38" i="30"/>
  <c r="BT39" i="30"/>
  <c r="BT40" i="30"/>
  <c r="BT35" i="30"/>
  <c r="B791" i="33" l="1"/>
  <c r="B789" i="33"/>
  <c r="B787" i="33"/>
  <c r="B785" i="33"/>
  <c r="B783" i="33"/>
  <c r="B781" i="33"/>
  <c r="B779" i="33"/>
  <c r="B777" i="33"/>
  <c r="B775" i="33"/>
  <c r="B773" i="33"/>
  <c r="B771" i="33"/>
  <c r="B769" i="33"/>
  <c r="B767" i="33"/>
  <c r="B765" i="33"/>
  <c r="B763" i="33"/>
  <c r="B761" i="33"/>
  <c r="B759" i="33"/>
  <c r="B757" i="33"/>
  <c r="B755" i="33"/>
  <c r="B753" i="33"/>
  <c r="B751" i="33"/>
  <c r="B749" i="33"/>
  <c r="B747" i="33"/>
  <c r="B745" i="33"/>
  <c r="B743" i="33"/>
  <c r="B741" i="33"/>
  <c r="B739" i="33"/>
  <c r="B737" i="33"/>
  <c r="B735" i="33"/>
  <c r="B733" i="33"/>
  <c r="B731" i="33"/>
  <c r="B729" i="33"/>
  <c r="B727" i="33"/>
  <c r="B725" i="33"/>
  <c r="B723" i="33"/>
  <c r="B721" i="33"/>
  <c r="B719" i="33"/>
  <c r="B717" i="33"/>
  <c r="B715" i="33"/>
  <c r="B713" i="33"/>
  <c r="B711" i="33"/>
  <c r="B709" i="33"/>
  <c r="B707" i="33"/>
  <c r="B705" i="33"/>
  <c r="B703" i="33"/>
  <c r="B701" i="33"/>
  <c r="B699" i="33"/>
  <c r="B697" i="33"/>
  <c r="B695" i="33"/>
  <c r="B693" i="33"/>
  <c r="B691" i="33"/>
  <c r="B689" i="33"/>
  <c r="B687" i="33"/>
  <c r="B685" i="33"/>
  <c r="B683" i="33"/>
  <c r="B681" i="33"/>
  <c r="B679" i="33"/>
  <c r="B677" i="33"/>
  <c r="B675" i="33"/>
  <c r="B673" i="33"/>
  <c r="B671" i="33"/>
  <c r="B669" i="33"/>
  <c r="B667" i="33"/>
  <c r="B665" i="33"/>
  <c r="B663" i="33"/>
  <c r="B661" i="33"/>
  <c r="B659" i="33"/>
  <c r="B657" i="33"/>
  <c r="B655" i="33"/>
  <c r="B653" i="33"/>
  <c r="B651" i="33"/>
  <c r="B649" i="33"/>
  <c r="B647" i="33"/>
  <c r="B645" i="33"/>
  <c r="B643" i="33"/>
  <c r="B641" i="33"/>
  <c r="B639" i="33"/>
  <c r="B637" i="33"/>
  <c r="B635" i="33"/>
  <c r="B633" i="33"/>
  <c r="B631" i="33"/>
  <c r="B629" i="33"/>
  <c r="B627" i="33"/>
  <c r="B625" i="33"/>
  <c r="B623" i="33"/>
  <c r="B621" i="33"/>
  <c r="B619" i="33"/>
  <c r="B617" i="33"/>
  <c r="B615" i="33"/>
  <c r="B613" i="33"/>
  <c r="B611" i="33"/>
  <c r="B609" i="33"/>
  <c r="B607" i="33"/>
  <c r="B605" i="33"/>
  <c r="B603" i="33"/>
  <c r="B601" i="33"/>
  <c r="B599" i="33"/>
  <c r="B597" i="33"/>
  <c r="B595" i="33"/>
  <c r="B593" i="33"/>
  <c r="B591" i="33"/>
  <c r="B589" i="33"/>
  <c r="B587" i="33"/>
  <c r="B585" i="33"/>
  <c r="B583" i="33"/>
  <c r="B581" i="33"/>
  <c r="B579" i="33"/>
  <c r="B577" i="33"/>
  <c r="B575" i="33"/>
  <c r="B573" i="33"/>
  <c r="B571" i="33"/>
  <c r="B569" i="33"/>
  <c r="B567" i="33"/>
  <c r="B565" i="33"/>
  <c r="B563" i="33"/>
  <c r="B561" i="33"/>
  <c r="B559" i="33"/>
  <c r="B557" i="33"/>
  <c r="B555" i="33"/>
  <c r="B553" i="33"/>
  <c r="B551" i="33"/>
  <c r="B549" i="33"/>
  <c r="B547" i="33"/>
  <c r="B545" i="33"/>
  <c r="B543" i="33"/>
  <c r="B541" i="33"/>
  <c r="B539" i="33"/>
  <c r="B537" i="33"/>
  <c r="B535" i="33"/>
  <c r="B533" i="33"/>
  <c r="B531" i="33"/>
  <c r="B529" i="33"/>
  <c r="B527" i="33"/>
  <c r="B525" i="33"/>
  <c r="B523" i="33"/>
  <c r="B521" i="33"/>
  <c r="B519" i="33"/>
  <c r="B517" i="33"/>
  <c r="B515" i="33"/>
  <c r="B513" i="33"/>
  <c r="B511" i="33"/>
  <c r="B509" i="33"/>
  <c r="B507" i="33"/>
  <c r="B505" i="33"/>
  <c r="B503" i="33"/>
  <c r="B501" i="33"/>
  <c r="B499" i="33"/>
  <c r="B497" i="33"/>
  <c r="B495" i="33"/>
  <c r="B493" i="33"/>
  <c r="D478" i="33"/>
  <c r="D475" i="33"/>
  <c r="D472" i="33"/>
  <c r="D469" i="33"/>
  <c r="D466" i="33"/>
  <c r="D463" i="33"/>
  <c r="D460" i="33"/>
  <c r="D457" i="33"/>
  <c r="D454" i="33"/>
  <c r="D451" i="33"/>
  <c r="D448" i="33"/>
  <c r="D445" i="33"/>
  <c r="D442" i="33"/>
  <c r="D439" i="33"/>
  <c r="D436" i="33"/>
  <c r="D433" i="33"/>
  <c r="D430" i="33"/>
  <c r="D427" i="33"/>
  <c r="D424" i="33"/>
  <c r="D421" i="33"/>
  <c r="D418" i="33"/>
  <c r="D415" i="33"/>
  <c r="D412" i="33"/>
  <c r="D409" i="33"/>
  <c r="D406" i="33"/>
  <c r="D403" i="33"/>
  <c r="D400" i="33"/>
  <c r="D397" i="33"/>
  <c r="D394" i="33"/>
  <c r="D391" i="33"/>
  <c r="D388" i="33"/>
  <c r="D385" i="33"/>
  <c r="D382" i="33"/>
  <c r="D379" i="33"/>
  <c r="D376" i="33"/>
  <c r="D373" i="33"/>
  <c r="D370" i="33"/>
  <c r="D367" i="33"/>
  <c r="D364" i="33"/>
  <c r="D361" i="33"/>
  <c r="D358" i="33"/>
  <c r="D355" i="33"/>
  <c r="D352" i="33"/>
  <c r="D349" i="33"/>
  <c r="D346" i="33"/>
  <c r="D343" i="33"/>
  <c r="D340" i="33"/>
  <c r="D337" i="33"/>
  <c r="D334" i="33"/>
  <c r="D331" i="33"/>
  <c r="D328" i="33"/>
  <c r="D325" i="33"/>
  <c r="D322" i="33"/>
  <c r="D319" i="33"/>
  <c r="D316" i="33"/>
  <c r="D313" i="33"/>
  <c r="D310" i="33"/>
  <c r="D307" i="33"/>
  <c r="D304" i="33"/>
  <c r="D301" i="33"/>
  <c r="D298" i="33"/>
  <c r="D295" i="33"/>
  <c r="D292" i="33"/>
  <c r="D289" i="33"/>
  <c r="D286" i="33"/>
  <c r="D283" i="33"/>
  <c r="D280" i="33"/>
  <c r="D277" i="33"/>
  <c r="D274" i="33"/>
  <c r="D271" i="33"/>
  <c r="D268" i="33"/>
  <c r="D265" i="33"/>
  <c r="D262" i="33"/>
  <c r="D259" i="33"/>
  <c r="D256" i="33"/>
  <c r="D253" i="33"/>
  <c r="D250" i="33"/>
  <c r="D247" i="33"/>
  <c r="D244" i="33"/>
  <c r="D241" i="33"/>
  <c r="D238" i="33"/>
  <c r="D235" i="33"/>
  <c r="D232" i="33"/>
  <c r="D229" i="33"/>
  <c r="D226" i="33"/>
  <c r="D223" i="33"/>
  <c r="D220" i="33"/>
  <c r="D217" i="33"/>
  <c r="D214" i="33"/>
  <c r="D211" i="33"/>
  <c r="D208" i="33"/>
  <c r="D205" i="33"/>
  <c r="D202" i="33"/>
  <c r="D199" i="33"/>
  <c r="D196" i="33"/>
  <c r="D193" i="33"/>
  <c r="D190" i="33"/>
  <c r="D187" i="33"/>
  <c r="D184" i="33"/>
  <c r="D181" i="33"/>
  <c r="D178" i="33"/>
  <c r="D175" i="33"/>
  <c r="D172" i="33"/>
  <c r="D169" i="33"/>
  <c r="D166" i="33"/>
  <c r="D163" i="33"/>
  <c r="D160" i="33"/>
  <c r="D157" i="33"/>
  <c r="D154" i="33"/>
  <c r="D151" i="33"/>
  <c r="D148" i="33"/>
  <c r="D145" i="33"/>
  <c r="D142" i="33"/>
  <c r="D139" i="33"/>
  <c r="D136" i="33"/>
  <c r="D133" i="33"/>
  <c r="D130" i="33"/>
  <c r="D127" i="33"/>
  <c r="D124" i="33"/>
  <c r="D121" i="33"/>
  <c r="D118" i="33"/>
  <c r="D115" i="33"/>
  <c r="D112" i="33"/>
  <c r="D109" i="33"/>
  <c r="D106" i="33"/>
  <c r="D103" i="33"/>
  <c r="D100" i="33"/>
  <c r="D97" i="33"/>
  <c r="D94" i="33"/>
  <c r="D91" i="33"/>
  <c r="D88" i="33"/>
  <c r="D85" i="33"/>
  <c r="D82" i="33"/>
  <c r="D79" i="33"/>
  <c r="D76" i="33"/>
  <c r="D73" i="33"/>
  <c r="D70" i="33"/>
  <c r="D67" i="33"/>
  <c r="D64" i="33"/>
  <c r="D61" i="33"/>
  <c r="D58" i="33"/>
  <c r="D55" i="33"/>
  <c r="D52" i="33"/>
  <c r="D49" i="33"/>
  <c r="D46" i="33"/>
  <c r="D43" i="33"/>
  <c r="D40" i="33"/>
  <c r="D37" i="33"/>
  <c r="D34" i="33"/>
  <c r="D31" i="33"/>
  <c r="H22" i="32"/>
  <c r="G22" i="32"/>
  <c r="F22" i="32"/>
  <c r="E22" i="32"/>
  <c r="P22" i="12" l="1" a="1"/>
  <c r="P22" i="12" s="1"/>
  <c r="P25" i="12" a="1"/>
  <c r="P25" i="12" s="1"/>
  <c r="P30" i="12" a="1"/>
  <c r="P30" i="12" s="1"/>
  <c r="P33" i="12" a="1"/>
  <c r="P33" i="12" s="1"/>
  <c r="P38" i="12" a="1"/>
  <c r="P38" i="12" s="1"/>
  <c r="O26" i="12" a="1"/>
  <c r="O26" i="12" s="1"/>
  <c r="O29" i="12" a="1"/>
  <c r="O29" i="12" s="1"/>
  <c r="O34" i="12" a="1"/>
  <c r="O34" i="12" s="1"/>
  <c r="O37" i="12" a="1"/>
  <c r="O37" i="12" s="1"/>
  <c r="P23" i="12" a="1"/>
  <c r="P23" i="12" s="1"/>
  <c r="P28" i="12" a="1"/>
  <c r="P28" i="12" s="1"/>
  <c r="P31" i="12" a="1"/>
  <c r="P31" i="12" s="1"/>
  <c r="P36" i="12" a="1"/>
  <c r="P36" i="12" s="1"/>
  <c r="P39" i="12" a="1"/>
  <c r="P39" i="12" s="1"/>
  <c r="P21" i="12" a="1"/>
  <c r="P21" i="12" s="1"/>
  <c r="O24" i="12" a="1"/>
  <c r="O24" i="12" s="1"/>
  <c r="O32" i="12" a="1"/>
  <c r="O32" i="12" s="1"/>
  <c r="O35" i="12" a="1"/>
  <c r="O35" i="12" s="1"/>
  <c r="P26" i="12" a="1"/>
  <c r="P26" i="12" s="1"/>
  <c r="P37" i="12" a="1"/>
  <c r="P37" i="12" s="1"/>
  <c r="O25" i="12" a="1"/>
  <c r="O25" i="12" s="1"/>
  <c r="O33" i="12" a="1"/>
  <c r="O33" i="12" s="1"/>
  <c r="P27" i="12" a="1"/>
  <c r="P27" i="12" s="1"/>
  <c r="P35" i="12" a="1"/>
  <c r="P35" i="12" s="1"/>
  <c r="O23" i="12" a="1"/>
  <c r="O23" i="12" s="1"/>
  <c r="O31" i="12" a="1"/>
  <c r="O31" i="12" s="1"/>
  <c r="O21" i="12" a="1"/>
  <c r="O21" i="12" s="1"/>
  <c r="O27" i="12" a="1"/>
  <c r="O27" i="12" s="1"/>
  <c r="O40" i="12" a="1"/>
  <c r="O40" i="12" s="1"/>
  <c r="P29" i="12" a="1"/>
  <c r="P29" i="12" s="1"/>
  <c r="P34" i="12" a="1"/>
  <c r="P34" i="12" s="1"/>
  <c r="O22" i="12" a="1"/>
  <c r="O22" i="12" s="1"/>
  <c r="O30" i="12" a="1"/>
  <c r="O30" i="12" s="1"/>
  <c r="O38" i="12" a="1"/>
  <c r="O38" i="12" s="1"/>
  <c r="P24" i="12" a="1"/>
  <c r="P24" i="12" s="1"/>
  <c r="P32" i="12" a="1"/>
  <c r="P32" i="12" s="1"/>
  <c r="P40" i="12" a="1"/>
  <c r="P40" i="12" s="1"/>
  <c r="O28" i="12" a="1"/>
  <c r="O28" i="12" s="1"/>
  <c r="O36" i="12" a="1"/>
  <c r="O36" i="12" s="1"/>
  <c r="O39" i="12" a="1"/>
  <c r="O39" i="12" s="1"/>
  <c r="H184" i="32"/>
  <c r="H23" i="32" s="1"/>
  <c r="D184" i="32"/>
  <c r="D23" i="32" s="1"/>
  <c r="E184" i="32"/>
  <c r="E23" i="32" s="1"/>
  <c r="F184" i="32"/>
  <c r="F23" i="32" s="1"/>
  <c r="D22" i="32"/>
  <c r="C22" i="32" s="1"/>
  <c r="G184" i="32"/>
  <c r="G23" i="32" s="1"/>
  <c r="C23" i="32" l="1"/>
  <c r="O41" i="12"/>
  <c r="P41" i="12"/>
  <c r="C32" i="32"/>
  <c r="C184" i="32"/>
  <c r="I173" i="32" s="1"/>
  <c r="I135" i="32" l="1"/>
  <c r="I68" i="32"/>
  <c r="I109" i="32"/>
  <c r="I146" i="32"/>
  <c r="I179" i="32"/>
  <c r="I147" i="32"/>
  <c r="I172" i="32"/>
  <c r="I152" i="32"/>
  <c r="I148" i="32"/>
  <c r="I151" i="32"/>
  <c r="I161" i="32"/>
  <c r="I153" i="32"/>
  <c r="I167" i="32"/>
  <c r="I113" i="32"/>
  <c r="I66" i="32"/>
  <c r="I107" i="32"/>
  <c r="I126" i="32"/>
  <c r="I73" i="32"/>
  <c r="I90" i="32"/>
  <c r="I54" i="32"/>
  <c r="I115" i="32"/>
  <c r="I75" i="32"/>
  <c r="I123" i="32"/>
  <c r="I77" i="32"/>
  <c r="I45" i="32"/>
  <c r="I55" i="32"/>
  <c r="I120" i="32"/>
  <c r="I64" i="32"/>
  <c r="I51" i="32"/>
  <c r="I183" i="32"/>
  <c r="I171" i="32"/>
  <c r="I140" i="32"/>
  <c r="I138" i="32"/>
  <c r="I142" i="32"/>
  <c r="I101" i="32"/>
  <c r="I85" i="32"/>
  <c r="I104" i="32"/>
  <c r="I122" i="32"/>
  <c r="I71" i="32"/>
  <c r="I69" i="32"/>
  <c r="I38" i="32"/>
  <c r="I49" i="32"/>
  <c r="I175" i="32"/>
  <c r="I99" i="32"/>
  <c r="I44" i="32"/>
  <c r="I97" i="32"/>
  <c r="I155" i="32"/>
  <c r="I65" i="32"/>
  <c r="I112" i="32"/>
  <c r="I61" i="32"/>
  <c r="I106" i="32"/>
  <c r="I160" i="32"/>
  <c r="I139" i="32"/>
  <c r="I98" i="32"/>
  <c r="I82" i="32"/>
  <c r="I43" i="32"/>
  <c r="I118" i="32"/>
  <c r="I91" i="32"/>
  <c r="I95" i="32"/>
  <c r="I89" i="32"/>
  <c r="I60" i="32"/>
  <c r="I87" i="32"/>
  <c r="I67" i="32"/>
  <c r="I46" i="32"/>
  <c r="I105" i="32"/>
  <c r="I156" i="32"/>
  <c r="I62" i="32"/>
  <c r="I40" i="32"/>
  <c r="I59" i="32"/>
  <c r="I159" i="32"/>
  <c r="I35" i="32"/>
  <c r="I168" i="32"/>
  <c r="I121" i="32"/>
  <c r="I134" i="32"/>
  <c r="I130" i="32"/>
  <c r="I114" i="32"/>
  <c r="I93" i="32"/>
  <c r="I128" i="32"/>
  <c r="I57" i="32"/>
  <c r="I136" i="32"/>
  <c r="I74" i="32"/>
  <c r="I81" i="32"/>
  <c r="I79" i="32"/>
  <c r="I63" i="32"/>
  <c r="I83" i="32"/>
  <c r="I52" i="32"/>
  <c r="I131" i="32"/>
  <c r="I37" i="32"/>
  <c r="I53" i="32"/>
  <c r="I145" i="32"/>
  <c r="I165" i="32"/>
  <c r="I72" i="32"/>
  <c r="I125" i="32"/>
  <c r="I157" i="32"/>
  <c r="I110" i="32"/>
  <c r="I103" i="32"/>
  <c r="I34" i="32"/>
  <c r="I39" i="32"/>
  <c r="I48" i="32"/>
  <c r="I47" i="32"/>
  <c r="I144" i="32"/>
  <c r="I143" i="32"/>
  <c r="I129" i="32"/>
  <c r="I178" i="32"/>
  <c r="I174" i="32"/>
  <c r="I162" i="32"/>
  <c r="I100" i="32"/>
  <c r="I111" i="32"/>
  <c r="I108" i="32"/>
  <c r="I177" i="32"/>
  <c r="I158" i="32"/>
  <c r="I150" i="32"/>
  <c r="I182" i="32"/>
  <c r="I116" i="32"/>
  <c r="I164" i="32"/>
  <c r="I117" i="32"/>
  <c r="I41" i="32"/>
  <c r="I36" i="32"/>
  <c r="I80" i="32"/>
  <c r="I56" i="32"/>
  <c r="I132" i="32"/>
  <c r="I42" i="32"/>
  <c r="I88" i="32"/>
  <c r="I78" i="32"/>
  <c r="I169" i="32"/>
  <c r="I163" i="32"/>
  <c r="I102" i="32"/>
  <c r="I137" i="32"/>
  <c r="I181" i="32"/>
  <c r="I154" i="32"/>
  <c r="I119" i="32"/>
  <c r="I127" i="32"/>
  <c r="I133" i="32"/>
  <c r="I176" i="32"/>
  <c r="I141" i="32"/>
  <c r="I76" i="32"/>
  <c r="I96" i="32"/>
  <c r="I170" i="32"/>
  <c r="I58" i="32"/>
  <c r="I84" i="32"/>
  <c r="I86" i="32"/>
  <c r="I180" i="32"/>
  <c r="I149" i="32"/>
  <c r="I50" i="32"/>
  <c r="I92" i="32"/>
  <c r="I166" i="32"/>
  <c r="I124" i="32"/>
  <c r="I70" i="32"/>
  <c r="I94" i="32"/>
  <c r="I184" i="32" l="1"/>
  <c r="C24" i="32" l="1"/>
  <c r="H22" i="31"/>
  <c r="G22" i="31"/>
  <c r="F22" i="31"/>
  <c r="E22" i="31"/>
  <c r="H23" i="31" l="1"/>
  <c r="D22" i="31"/>
  <c r="C22" i="31" s="1"/>
  <c r="E184" i="31"/>
  <c r="E23" i="31" s="1"/>
  <c r="D184" i="31"/>
  <c r="D23" i="31" s="1"/>
  <c r="G23" i="31"/>
  <c r="F184" i="31"/>
  <c r="F23" i="31" s="1"/>
  <c r="C23" i="31" l="1"/>
  <c r="C24" i="31" s="1"/>
  <c r="C32" i="31"/>
  <c r="C184" i="31"/>
  <c r="I82" i="31" s="1"/>
  <c r="I86" i="31" l="1"/>
  <c r="I122" i="31"/>
  <c r="I169" i="31"/>
  <c r="I177" i="31"/>
  <c r="I41" i="31"/>
  <c r="I40" i="31"/>
  <c r="I73" i="31"/>
  <c r="I85" i="31"/>
  <c r="I37" i="31"/>
  <c r="I69" i="31"/>
  <c r="I49" i="31"/>
  <c r="I43" i="31"/>
  <c r="I57" i="31"/>
  <c r="I91" i="31"/>
  <c r="I63" i="31"/>
  <c r="I92" i="31"/>
  <c r="I111" i="31"/>
  <c r="I145" i="31"/>
  <c r="I114" i="31"/>
  <c r="I144" i="31"/>
  <c r="I76" i="31"/>
  <c r="I128" i="31"/>
  <c r="I42" i="31"/>
  <c r="I182" i="31"/>
  <c r="I167" i="31"/>
  <c r="I173" i="31"/>
  <c r="I65" i="31"/>
  <c r="I48" i="31"/>
  <c r="I93" i="31"/>
  <c r="I107" i="31"/>
  <c r="I45" i="31"/>
  <c r="I81" i="31"/>
  <c r="I67" i="31"/>
  <c r="I95" i="31"/>
  <c r="I68" i="31"/>
  <c r="I100" i="31"/>
  <c r="I113" i="31"/>
  <c r="I152" i="31"/>
  <c r="I150" i="31"/>
  <c r="I50" i="31"/>
  <c r="I87" i="31"/>
  <c r="I136" i="31"/>
  <c r="I147" i="31"/>
  <c r="I153" i="31"/>
  <c r="I174" i="31"/>
  <c r="I179" i="31"/>
  <c r="I172" i="31"/>
  <c r="I71" i="31"/>
  <c r="I105" i="31"/>
  <c r="I101" i="31"/>
  <c r="I115" i="31"/>
  <c r="I53" i="31"/>
  <c r="I83" i="31"/>
  <c r="I51" i="31"/>
  <c r="I77" i="31"/>
  <c r="I97" i="31"/>
  <c r="I79" i="31"/>
  <c r="I103" i="31"/>
  <c r="I127" i="31"/>
  <c r="I171" i="31"/>
  <c r="I125" i="31"/>
  <c r="I60" i="31"/>
  <c r="I148" i="31"/>
  <c r="I155" i="31"/>
  <c r="I160" i="31"/>
  <c r="I181" i="31"/>
  <c r="I158" i="31"/>
  <c r="I137" i="31"/>
  <c r="I112" i="31"/>
  <c r="I61" i="31"/>
  <c r="I75" i="31"/>
  <c r="I35" i="31"/>
  <c r="I59" i="31"/>
  <c r="I109" i="31"/>
  <c r="I89" i="31"/>
  <c r="I99" i="31"/>
  <c r="I84" i="31"/>
  <c r="I108" i="31"/>
  <c r="I132" i="31"/>
  <c r="I176" i="31"/>
  <c r="I116" i="31"/>
  <c r="I156" i="31"/>
  <c r="I124" i="31"/>
  <c r="I162" i="31"/>
  <c r="I121" i="31"/>
  <c r="I161" i="31"/>
  <c r="I166" i="31"/>
  <c r="I117" i="31"/>
  <c r="I90" i="31"/>
  <c r="I126" i="31"/>
  <c r="I168" i="31"/>
  <c r="I36" i="31"/>
  <c r="I134" i="31"/>
  <c r="I157" i="31"/>
  <c r="I39" i="31"/>
  <c r="I46" i="31"/>
  <c r="I106" i="31"/>
  <c r="I141" i="31"/>
  <c r="I54" i="31"/>
  <c r="I118" i="31"/>
  <c r="I151" i="31"/>
  <c r="I159" i="31"/>
  <c r="I47" i="31"/>
  <c r="I64" i="31"/>
  <c r="I131" i="31"/>
  <c r="I135" i="31"/>
  <c r="I56" i="31"/>
  <c r="I38" i="31"/>
  <c r="I66" i="31"/>
  <c r="I120" i="31"/>
  <c r="I175" i="31"/>
  <c r="I55" i="31"/>
  <c r="I80" i="31"/>
  <c r="I139" i="31"/>
  <c r="I164" i="31"/>
  <c r="I88" i="31"/>
  <c r="I129" i="31"/>
  <c r="I133" i="31"/>
  <c r="I165" i="31"/>
  <c r="I62" i="31"/>
  <c r="I96" i="31"/>
  <c r="I142" i="31"/>
  <c r="I154" i="31"/>
  <c r="I70" i="31"/>
  <c r="I72" i="31"/>
  <c r="I98" i="31"/>
  <c r="I146" i="31"/>
  <c r="I180" i="31"/>
  <c r="I78" i="31"/>
  <c r="I44" i="31"/>
  <c r="I149" i="31"/>
  <c r="I178" i="31"/>
  <c r="I52" i="31"/>
  <c r="I140" i="31"/>
  <c r="I143" i="31"/>
  <c r="I34" i="31"/>
  <c r="I94" i="31"/>
  <c r="I58" i="31"/>
  <c r="I119" i="31"/>
  <c r="I170" i="31"/>
  <c r="I102" i="31"/>
  <c r="I104" i="31"/>
  <c r="I123" i="31"/>
  <c r="I138" i="31"/>
  <c r="I183" i="31"/>
  <c r="I110" i="31"/>
  <c r="I74" i="31"/>
  <c r="I130" i="31"/>
  <c r="I163" i="31"/>
  <c r="I184" i="31" l="1"/>
  <c r="AD22" i="12" l="1"/>
  <c r="AD21" i="12"/>
  <c r="L39" i="14" l="1"/>
  <c r="L35" i="14"/>
  <c r="L31" i="14"/>
  <c r="L27" i="14"/>
  <c r="L23" i="14"/>
  <c r="L33" i="14"/>
  <c r="L25" i="14"/>
  <c r="L36" i="14"/>
  <c r="L28" i="14"/>
  <c r="L20" i="14"/>
  <c r="L38" i="14"/>
  <c r="L34" i="14"/>
  <c r="L30" i="14"/>
  <c r="L26" i="14"/>
  <c r="L22" i="14"/>
  <c r="L37" i="14"/>
  <c r="L29" i="14"/>
  <c r="L21" i="14"/>
  <c r="L32" i="14"/>
  <c r="L24" i="14"/>
  <c r="BX79" i="2"/>
  <c r="BX81" i="2"/>
  <c r="BX86" i="2"/>
  <c r="BX87" i="2"/>
  <c r="H152" i="14" l="1"/>
  <c r="AM27" i="30" l="1"/>
  <c r="AN27" i="30"/>
  <c r="AR27" i="30" s="1"/>
  <c r="AM28" i="30"/>
  <c r="AN28" i="30"/>
  <c r="AR28" i="30" s="1"/>
  <c r="T25" i="30"/>
  <c r="X25" i="30" s="1"/>
  <c r="S25" i="30"/>
  <c r="D19" i="13" l="1"/>
  <c r="D18" i="13"/>
  <c r="D17" i="13"/>
  <c r="D16" i="13"/>
  <c r="D40" i="11"/>
  <c r="D39" i="11"/>
  <c r="D38" i="11"/>
  <c r="D37" i="11"/>
  <c r="D36" i="11"/>
  <c r="D35" i="11"/>
  <c r="D34" i="11"/>
  <c r="D33" i="11"/>
  <c r="D32" i="11"/>
  <c r="D31" i="11"/>
  <c r="D30" i="11"/>
  <c r="D29" i="11"/>
  <c r="D28" i="11"/>
  <c r="D27" i="11"/>
  <c r="D26" i="11"/>
  <c r="C40" i="11"/>
  <c r="C39" i="11"/>
  <c r="C38" i="11"/>
  <c r="C37" i="11"/>
  <c r="C36" i="11"/>
  <c r="C35" i="11"/>
  <c r="C34" i="11"/>
  <c r="C33" i="11"/>
  <c r="C32" i="11"/>
  <c r="C31" i="11"/>
  <c r="C30" i="11"/>
  <c r="C29" i="11"/>
  <c r="C28" i="11"/>
  <c r="C27" i="11"/>
  <c r="C26" i="11"/>
  <c r="D25" i="11"/>
  <c r="C25" i="11"/>
  <c r="D24" i="11"/>
  <c r="C24" i="11"/>
  <c r="N40" i="30" l="1"/>
  <c r="T40" i="30" s="1"/>
  <c r="X40" i="30" s="1"/>
  <c r="AD40" i="30" s="1"/>
  <c r="AH40" i="30" s="1"/>
  <c r="AN40" i="30" s="1"/>
  <c r="AR40" i="30" s="1"/>
  <c r="AX40" i="30" s="1"/>
  <c r="BB40" i="30" s="1"/>
  <c r="BH40" i="30" s="1"/>
  <c r="BL40" i="30" s="1"/>
  <c r="BP40" i="30" s="1"/>
  <c r="BS40" i="30" s="1"/>
  <c r="I40" i="30"/>
  <c r="O40" i="30" s="1"/>
  <c r="S40" i="30" s="1"/>
  <c r="Y40" i="30" s="1"/>
  <c r="AC40" i="30" s="1"/>
  <c r="AI40" i="30" s="1"/>
  <c r="AM40" i="30" s="1"/>
  <c r="AS40" i="30" s="1"/>
  <c r="AW40" i="30" s="1"/>
  <c r="BC40" i="30" s="1"/>
  <c r="BG40" i="30" s="1"/>
  <c r="N39" i="30"/>
  <c r="T39" i="30" s="1"/>
  <c r="X39" i="30" s="1"/>
  <c r="AD39" i="30" s="1"/>
  <c r="AH39" i="30" s="1"/>
  <c r="AN39" i="30" s="1"/>
  <c r="AR39" i="30" s="1"/>
  <c r="AX39" i="30" s="1"/>
  <c r="BB39" i="30" s="1"/>
  <c r="BH39" i="30" s="1"/>
  <c r="BL39" i="30" s="1"/>
  <c r="BP39" i="30" s="1"/>
  <c r="BS39" i="30" s="1"/>
  <c r="I39" i="30"/>
  <c r="O39" i="30" s="1"/>
  <c r="S39" i="30" s="1"/>
  <c r="Y39" i="30" s="1"/>
  <c r="AC39" i="30" s="1"/>
  <c r="AI39" i="30" s="1"/>
  <c r="AM39" i="30" s="1"/>
  <c r="AS39" i="30" s="1"/>
  <c r="AW39" i="30" s="1"/>
  <c r="BC39" i="30" s="1"/>
  <c r="BG39" i="30" s="1"/>
  <c r="N38" i="30"/>
  <c r="T38" i="30" s="1"/>
  <c r="X38" i="30" s="1"/>
  <c r="AD38" i="30" s="1"/>
  <c r="AH38" i="30" s="1"/>
  <c r="AN38" i="30" s="1"/>
  <c r="AR38" i="30" s="1"/>
  <c r="AX38" i="30" s="1"/>
  <c r="BB38" i="30" s="1"/>
  <c r="BH38" i="30" s="1"/>
  <c r="BL38" i="30" s="1"/>
  <c r="BP38" i="30" s="1"/>
  <c r="BS38" i="30" s="1"/>
  <c r="I38" i="30"/>
  <c r="O38" i="30" s="1"/>
  <c r="S38" i="30" s="1"/>
  <c r="Y38" i="30" s="1"/>
  <c r="AC38" i="30" s="1"/>
  <c r="AI38" i="30" s="1"/>
  <c r="AM38" i="30" s="1"/>
  <c r="AS38" i="30" s="1"/>
  <c r="AW38" i="30" s="1"/>
  <c r="BC38" i="30" s="1"/>
  <c r="BG38" i="30" s="1"/>
  <c r="N37" i="30"/>
  <c r="T37" i="30" s="1"/>
  <c r="X37" i="30" s="1"/>
  <c r="AD37" i="30" s="1"/>
  <c r="AH37" i="30" s="1"/>
  <c r="AN37" i="30" s="1"/>
  <c r="AR37" i="30" s="1"/>
  <c r="AX37" i="30" s="1"/>
  <c r="BB37" i="30" s="1"/>
  <c r="BL37" i="30" s="1"/>
  <c r="BP37" i="30" s="1"/>
  <c r="BS37" i="30" s="1"/>
  <c r="I37" i="30"/>
  <c r="O37" i="30" s="1"/>
  <c r="S37" i="30" s="1"/>
  <c r="Y37" i="30" s="1"/>
  <c r="AC37" i="30" s="1"/>
  <c r="AI37" i="30" s="1"/>
  <c r="AM37" i="30" s="1"/>
  <c r="AS37" i="30" s="1"/>
  <c r="AW37" i="30" s="1"/>
  <c r="BG37" i="30" s="1"/>
  <c r="N36" i="30"/>
  <c r="T36" i="30" s="1"/>
  <c r="X36" i="30" s="1"/>
  <c r="AD36" i="30" s="1"/>
  <c r="AH36" i="30" s="1"/>
  <c r="AN36" i="30" s="1"/>
  <c r="AR36" i="30" s="1"/>
  <c r="AX36" i="30" s="1"/>
  <c r="BB36" i="30" s="1"/>
  <c r="BL36" i="30" s="1"/>
  <c r="BP36" i="30" s="1"/>
  <c r="I36" i="30"/>
  <c r="O36" i="30" s="1"/>
  <c r="S36" i="30" s="1"/>
  <c r="Y36" i="30" s="1"/>
  <c r="AC36" i="30" s="1"/>
  <c r="AI36" i="30" s="1"/>
  <c r="AM36" i="30" s="1"/>
  <c r="AS36" i="30" s="1"/>
  <c r="AW36" i="30" s="1"/>
  <c r="BG36" i="30" s="1"/>
  <c r="D14" i="13"/>
  <c r="N35" i="30"/>
  <c r="T35" i="30" s="1"/>
  <c r="X35" i="30" s="1"/>
  <c r="AD35" i="30" s="1"/>
  <c r="AH35" i="30" s="1"/>
  <c r="AN35" i="30" s="1"/>
  <c r="AR35" i="30" s="1"/>
  <c r="AX35" i="30" s="1"/>
  <c r="BB35" i="30" s="1"/>
  <c r="BL35" i="30" s="1"/>
  <c r="BP35" i="30" s="1"/>
  <c r="I35" i="30"/>
  <c r="O35" i="30" s="1"/>
  <c r="S35" i="30" s="1"/>
  <c r="Y35" i="30" s="1"/>
  <c r="AC35" i="30" s="1"/>
  <c r="AI35" i="30" s="1"/>
  <c r="AM35" i="30" s="1"/>
  <c r="AS35" i="30" s="1"/>
  <c r="AW35" i="30" s="1"/>
  <c r="BG35" i="30" s="1"/>
  <c r="D13" i="13"/>
  <c r="N34" i="30"/>
  <c r="I34" i="30"/>
  <c r="BT33" i="30"/>
  <c r="D12" i="13" s="1"/>
  <c r="N33" i="30"/>
  <c r="T33" i="30" s="1"/>
  <c r="X33" i="30" s="1"/>
  <c r="AD33" i="30" s="1"/>
  <c r="AH33" i="30" s="1"/>
  <c r="AN33" i="30" s="1"/>
  <c r="AR33" i="30" s="1"/>
  <c r="AX33" i="30" s="1"/>
  <c r="BB33" i="30" s="1"/>
  <c r="BL33" i="30" s="1"/>
  <c r="BP33" i="30" s="1"/>
  <c r="I33" i="30"/>
  <c r="O33" i="30" s="1"/>
  <c r="S33" i="30" s="1"/>
  <c r="Y33" i="30" s="1"/>
  <c r="AC33" i="30" s="1"/>
  <c r="AI33" i="30" s="1"/>
  <c r="AM33" i="30" s="1"/>
  <c r="AS33" i="30" s="1"/>
  <c r="AW33" i="30" s="1"/>
  <c r="BG33" i="30" s="1"/>
  <c r="N32" i="30"/>
  <c r="N45" i="30" s="1"/>
  <c r="I32" i="30"/>
  <c r="I45" i="30" s="1"/>
  <c r="N31" i="30"/>
  <c r="T31" i="30" s="1"/>
  <c r="X31" i="30" s="1"/>
  <c r="AD31" i="30" s="1"/>
  <c r="AH31" i="30" s="1"/>
  <c r="AN31" i="30" s="1"/>
  <c r="AR31" i="30" s="1"/>
  <c r="AX31" i="30" s="1"/>
  <c r="BB31" i="30" s="1"/>
  <c r="BL31" i="30" s="1"/>
  <c r="BP31" i="30" s="1"/>
  <c r="I31" i="30"/>
  <c r="O31" i="30" s="1"/>
  <c r="S31" i="30" s="1"/>
  <c r="Y31" i="30" s="1"/>
  <c r="AC31" i="30" s="1"/>
  <c r="AI31" i="30" s="1"/>
  <c r="AM31" i="30" s="1"/>
  <c r="AS31" i="30" s="1"/>
  <c r="AW31" i="30" s="1"/>
  <c r="BG31" i="30" s="1"/>
  <c r="N30" i="30"/>
  <c r="T30" i="30" s="1"/>
  <c r="X30" i="30" s="1"/>
  <c r="AD30" i="30" s="1"/>
  <c r="AH30" i="30" s="1"/>
  <c r="AN30" i="30" s="1"/>
  <c r="AR30" i="30" s="1"/>
  <c r="AX30" i="30" s="1"/>
  <c r="BB30" i="30" s="1"/>
  <c r="BL30" i="30" s="1"/>
  <c r="BP30" i="30" s="1"/>
  <c r="BS30" i="30" s="1"/>
  <c r="I30" i="30"/>
  <c r="O30" i="30" s="1"/>
  <c r="S30" i="30" s="1"/>
  <c r="Y30" i="30" s="1"/>
  <c r="AC30" i="30" s="1"/>
  <c r="AI30" i="30" s="1"/>
  <c r="AM30" i="30" s="1"/>
  <c r="AS30" i="30" s="1"/>
  <c r="AW30" i="30" s="1"/>
  <c r="BG30" i="30" s="1"/>
  <c r="N29" i="30"/>
  <c r="T29" i="30" s="1"/>
  <c r="X29" i="30" s="1"/>
  <c r="AD29" i="30" s="1"/>
  <c r="AH29" i="30" s="1"/>
  <c r="AN29" i="30" s="1"/>
  <c r="AR29" i="30" s="1"/>
  <c r="AX29" i="30" s="1"/>
  <c r="BB29" i="30" s="1"/>
  <c r="BL29" i="30" s="1"/>
  <c r="BP29" i="30" s="1"/>
  <c r="I29" i="30"/>
  <c r="O29" i="30" s="1"/>
  <c r="S29" i="30" s="1"/>
  <c r="Y29" i="30" s="1"/>
  <c r="AC29" i="30" s="1"/>
  <c r="AI29" i="30" s="1"/>
  <c r="AM29" i="30" s="1"/>
  <c r="AS29" i="30" s="1"/>
  <c r="AW29" i="30" s="1"/>
  <c r="BG29" i="30" s="1"/>
  <c r="AX28" i="30"/>
  <c r="BB28" i="30" s="1"/>
  <c r="BL28" i="30" s="1"/>
  <c r="BP28" i="30" s="1"/>
  <c r="AS28" i="30"/>
  <c r="AW28" i="30" s="1"/>
  <c r="BG28" i="30" s="1"/>
  <c r="AX27" i="30"/>
  <c r="BB27" i="30" s="1"/>
  <c r="BL27" i="30" s="1"/>
  <c r="BP27" i="30" s="1"/>
  <c r="BS27" i="30" s="1"/>
  <c r="AS27" i="30"/>
  <c r="N26" i="30"/>
  <c r="T26" i="30" s="1"/>
  <c r="X26" i="30" s="1"/>
  <c r="AD26" i="30" s="1"/>
  <c r="AH26" i="30" s="1"/>
  <c r="AN26" i="30" s="1"/>
  <c r="AR26" i="30" s="1"/>
  <c r="AX26" i="30" s="1"/>
  <c r="BB26" i="30" s="1"/>
  <c r="BL26" i="30" s="1"/>
  <c r="BP26" i="30" s="1"/>
  <c r="I26" i="30"/>
  <c r="AD25" i="30"/>
  <c r="AH25" i="30" s="1"/>
  <c r="AN25" i="30" s="1"/>
  <c r="AR25" i="30" s="1"/>
  <c r="AX25" i="30" s="1"/>
  <c r="BB25" i="30" s="1"/>
  <c r="BL25" i="30" s="1"/>
  <c r="BP25" i="30" s="1"/>
  <c r="Y25" i="30"/>
  <c r="AC25" i="30" s="1"/>
  <c r="AI25" i="30" s="1"/>
  <c r="AM25" i="30" s="1"/>
  <c r="AS25" i="30" s="1"/>
  <c r="AW25" i="30" s="1"/>
  <c r="BG25" i="30" s="1"/>
  <c r="N24" i="30"/>
  <c r="I24" i="30"/>
  <c r="N20" i="30"/>
  <c r="M20" i="30"/>
  <c r="L20" i="30"/>
  <c r="K20" i="30"/>
  <c r="J20" i="30"/>
  <c r="I20" i="30"/>
  <c r="G20" i="30"/>
  <c r="F20" i="30"/>
  <c r="E20" i="30"/>
  <c r="O19" i="30"/>
  <c r="O34" i="30" l="1"/>
  <c r="I43" i="30"/>
  <c r="I44" i="30" s="1"/>
  <c r="T34" i="30"/>
  <c r="N43" i="30"/>
  <c r="N44" i="30" s="1"/>
  <c r="AW27" i="30"/>
  <c r="N47" i="30"/>
  <c r="N49" i="30"/>
  <c r="O26" i="30"/>
  <c r="I49" i="30"/>
  <c r="I47" i="30"/>
  <c r="P20" i="30"/>
  <c r="W20" i="30"/>
  <c r="R20" i="30"/>
  <c r="O32" i="30"/>
  <c r="O45" i="30" s="1"/>
  <c r="T20" i="30"/>
  <c r="X20" i="30"/>
  <c r="O24" i="30"/>
  <c r="Y19" i="30"/>
  <c r="BO28" i="30"/>
  <c r="BW28" i="30"/>
  <c r="BW36" i="30"/>
  <c r="BX36" i="30" s="1"/>
  <c r="BO36" i="30"/>
  <c r="BW25" i="30"/>
  <c r="BX25" i="30" s="1"/>
  <c r="BO25" i="30"/>
  <c r="BW29" i="30"/>
  <c r="BX29" i="30" s="1"/>
  <c r="BO29" i="30"/>
  <c r="BW31" i="30"/>
  <c r="BX31" i="30" s="1"/>
  <c r="BO31" i="30"/>
  <c r="BW33" i="30"/>
  <c r="BX33" i="30" s="1"/>
  <c r="BO33" i="30"/>
  <c r="BR33" i="30" s="1"/>
  <c r="BS33" i="30" s="1"/>
  <c r="BO35" i="30"/>
  <c r="BR35" i="30" s="1"/>
  <c r="BS35" i="30" s="1"/>
  <c r="BW35" i="30"/>
  <c r="BX35" i="30" s="1"/>
  <c r="BW37" i="30"/>
  <c r="BX37" i="30" s="1"/>
  <c r="BO37" i="30"/>
  <c r="BO40" i="30"/>
  <c r="BW40" i="30"/>
  <c r="BX40" i="30" s="1"/>
  <c r="BO39" i="30"/>
  <c r="BW39" i="30"/>
  <c r="BX39" i="30" s="1"/>
  <c r="BW30" i="30"/>
  <c r="BX30" i="30" s="1"/>
  <c r="BO30" i="30"/>
  <c r="BT30" i="30" s="1"/>
  <c r="D9" i="13" s="1"/>
  <c r="BO38" i="30"/>
  <c r="BW38" i="30"/>
  <c r="BX38" i="30" s="1"/>
  <c r="Q20" i="30"/>
  <c r="U20" i="30"/>
  <c r="T24" i="30"/>
  <c r="V20" i="30"/>
  <c r="T32" i="30"/>
  <c r="T45" i="30" s="1"/>
  <c r="O20" i="30"/>
  <c r="S20" i="30"/>
  <c r="BR36" i="30" l="1"/>
  <c r="BQ36" i="30"/>
  <c r="BR28" i="30"/>
  <c r="BQ28" i="30"/>
  <c r="BS28" i="30" s="1"/>
  <c r="BR29" i="30"/>
  <c r="BQ29" i="30"/>
  <c r="BS29" i="30" s="1"/>
  <c r="BR25" i="30"/>
  <c r="BQ25" i="30"/>
  <c r="BS25" i="30" s="1"/>
  <c r="BR31" i="30"/>
  <c r="BQ31" i="30"/>
  <c r="BT36" i="30"/>
  <c r="D15" i="13" s="1"/>
  <c r="X34" i="30"/>
  <c r="T43" i="30"/>
  <c r="T44" i="30" s="1"/>
  <c r="S34" i="30"/>
  <c r="O43" i="30"/>
  <c r="O44" i="30" s="1"/>
  <c r="N48" i="30"/>
  <c r="T49" i="30"/>
  <c r="T47" i="30"/>
  <c r="T48" i="30" s="1"/>
  <c r="S26" i="30"/>
  <c r="I48" i="30"/>
  <c r="O47" i="30"/>
  <c r="O49" i="30"/>
  <c r="S24" i="30"/>
  <c r="S32" i="30"/>
  <c r="S45" i="30" s="1"/>
  <c r="AB20" i="30"/>
  <c r="AG20" i="30"/>
  <c r="Z20" i="30"/>
  <c r="AH20" i="30"/>
  <c r="BX28" i="30"/>
  <c r="AC20" i="30"/>
  <c r="Y20" i="30"/>
  <c r="AA20" i="30"/>
  <c r="AD20" i="30"/>
  <c r="AE20" i="30"/>
  <c r="AF20" i="30"/>
  <c r="AI19" i="30"/>
  <c r="X32" i="30"/>
  <c r="X45" i="30" s="1"/>
  <c r="X24" i="30"/>
  <c r="BT31" i="30" l="1"/>
  <c r="BT25" i="30"/>
  <c r="D6" i="13" s="1"/>
  <c r="BT29" i="30"/>
  <c r="D8" i="13" s="1"/>
  <c r="BT28" i="30"/>
  <c r="C27" i="32" s="1"/>
  <c r="C28" i="32" s="1"/>
  <c r="C29" i="32" s="1"/>
  <c r="D65" i="13" s="1"/>
  <c r="BS31" i="30"/>
  <c r="D10" i="13"/>
  <c r="BS36" i="30"/>
  <c r="Y34" i="30"/>
  <c r="S43" i="30"/>
  <c r="S44" i="30" s="1"/>
  <c r="AD34" i="30"/>
  <c r="X43" i="30"/>
  <c r="X44" i="30" s="1"/>
  <c r="BG27" i="30"/>
  <c r="X49" i="30"/>
  <c r="X47" i="30"/>
  <c r="X48" i="30" s="1"/>
  <c r="Y26" i="30"/>
  <c r="Y32" i="30"/>
  <c r="Y45" i="30" s="1"/>
  <c r="S49" i="30"/>
  <c r="S47" i="30"/>
  <c r="O48" i="30"/>
  <c r="Y24" i="30"/>
  <c r="J44" i="32"/>
  <c r="K44" i="32" s="1"/>
  <c r="J183" i="32"/>
  <c r="K183" i="32" s="1"/>
  <c r="J100" i="32"/>
  <c r="K100" i="32" s="1"/>
  <c r="J89" i="32"/>
  <c r="K89" i="32" s="1"/>
  <c r="J76" i="32"/>
  <c r="K76" i="32" s="1"/>
  <c r="J119" i="32"/>
  <c r="K119" i="32" s="1"/>
  <c r="J149" i="32"/>
  <c r="K149" i="32" s="1"/>
  <c r="J64" i="32"/>
  <c r="K64" i="32" s="1"/>
  <c r="J136" i="32"/>
  <c r="K136" i="32" s="1"/>
  <c r="J67" i="32"/>
  <c r="K67" i="32" s="1"/>
  <c r="J36" i="32"/>
  <c r="K36" i="32" s="1"/>
  <c r="J95" i="32"/>
  <c r="K95" i="32" s="1"/>
  <c r="J91" i="32"/>
  <c r="K91" i="32" s="1"/>
  <c r="J179" i="32"/>
  <c r="K179" i="32" s="1"/>
  <c r="J158" i="32"/>
  <c r="K158" i="32" s="1"/>
  <c r="J96" i="32"/>
  <c r="K96" i="32" s="1"/>
  <c r="J60" i="32"/>
  <c r="K60" i="32" s="1"/>
  <c r="J101" i="32"/>
  <c r="K101" i="32" s="1"/>
  <c r="J161" i="32"/>
  <c r="K161" i="32" s="1"/>
  <c r="J115" i="32"/>
  <c r="K115" i="32" s="1"/>
  <c r="J147" i="32"/>
  <c r="K147" i="32" s="1"/>
  <c r="J135" i="32"/>
  <c r="K135" i="32" s="1"/>
  <c r="J170" i="32"/>
  <c r="K170" i="32" s="1"/>
  <c r="J173" i="32"/>
  <c r="K173" i="32" s="1"/>
  <c r="J123" i="32"/>
  <c r="K123" i="32" s="1"/>
  <c r="J140" i="32"/>
  <c r="K140" i="32" s="1"/>
  <c r="J73" i="32"/>
  <c r="K73" i="32" s="1"/>
  <c r="J94" i="32"/>
  <c r="K94" i="32" s="1"/>
  <c r="J127" i="32"/>
  <c r="K127" i="32" s="1"/>
  <c r="J75" i="32"/>
  <c r="K75" i="32" s="1"/>
  <c r="J35" i="32"/>
  <c r="K35" i="32" s="1"/>
  <c r="J109" i="32"/>
  <c r="K109" i="32" s="1"/>
  <c r="J49" i="32"/>
  <c r="K49" i="32" s="1"/>
  <c r="J39" i="32"/>
  <c r="K39" i="32" s="1"/>
  <c r="AL20" i="30"/>
  <c r="AQ20" i="30"/>
  <c r="J163" i="32"/>
  <c r="K163" i="32" s="1"/>
  <c r="J61" i="32"/>
  <c r="K61" i="32" s="1"/>
  <c r="J120" i="32"/>
  <c r="K120" i="32" s="1"/>
  <c r="J118" i="32"/>
  <c r="K118" i="32" s="1"/>
  <c r="J160" i="32"/>
  <c r="K160" i="32" s="1"/>
  <c r="J51" i="32"/>
  <c r="K51" i="32" s="1"/>
  <c r="J151" i="32"/>
  <c r="K151" i="32" s="1"/>
  <c r="J159" i="32"/>
  <c r="K159" i="32" s="1"/>
  <c r="J156" i="32"/>
  <c r="K156" i="32" s="1"/>
  <c r="J116" i="32"/>
  <c r="K116" i="32" s="1"/>
  <c r="J90" i="32"/>
  <c r="K90" i="32" s="1"/>
  <c r="J165" i="32"/>
  <c r="K165" i="32" s="1"/>
  <c r="J112" i="32"/>
  <c r="K112" i="32" s="1"/>
  <c r="J102" i="32"/>
  <c r="K102" i="32" s="1"/>
  <c r="J45" i="32"/>
  <c r="K45" i="32" s="1"/>
  <c r="J84" i="32"/>
  <c r="K84" i="32" s="1"/>
  <c r="J50" i="32"/>
  <c r="K50" i="32" s="1"/>
  <c r="J37" i="32"/>
  <c r="K37" i="32" s="1"/>
  <c r="J87" i="32"/>
  <c r="K87" i="32" s="1"/>
  <c r="J63" i="32"/>
  <c r="K63" i="32" s="1"/>
  <c r="J128" i="32"/>
  <c r="K128" i="32" s="1"/>
  <c r="J77" i="32"/>
  <c r="K77" i="32" s="1"/>
  <c r="J40" i="32"/>
  <c r="K40" i="32" s="1"/>
  <c r="J34" i="32"/>
  <c r="K34" i="32" s="1"/>
  <c r="J164" i="32"/>
  <c r="K164" i="32" s="1"/>
  <c r="J157" i="32"/>
  <c r="K157" i="32" s="1"/>
  <c r="J144" i="32"/>
  <c r="K144" i="32" s="1"/>
  <c r="J150" i="32"/>
  <c r="K150" i="32" s="1"/>
  <c r="J108" i="32"/>
  <c r="K108" i="32" s="1"/>
  <c r="J169" i="32"/>
  <c r="K169" i="32" s="1"/>
  <c r="J166" i="32"/>
  <c r="K166" i="32" s="1"/>
  <c r="J110" i="32"/>
  <c r="K110" i="32" s="1"/>
  <c r="J69" i="32"/>
  <c r="K69" i="32" s="1"/>
  <c r="J57" i="32"/>
  <c r="K57" i="32" s="1"/>
  <c r="J168" i="32"/>
  <c r="K168" i="32" s="1"/>
  <c r="J79" i="32"/>
  <c r="K79" i="32" s="1"/>
  <c r="J93" i="32"/>
  <c r="K93" i="32" s="1"/>
  <c r="J142" i="32"/>
  <c r="K142" i="32" s="1"/>
  <c r="J42" i="32"/>
  <c r="K42" i="32" s="1"/>
  <c r="J103" i="32"/>
  <c r="K103" i="32" s="1"/>
  <c r="J176" i="32"/>
  <c r="K176" i="32" s="1"/>
  <c r="J59" i="32"/>
  <c r="K59" i="32" s="1"/>
  <c r="J85" i="32"/>
  <c r="K85" i="32" s="1"/>
  <c r="J153" i="32"/>
  <c r="K153" i="32" s="1"/>
  <c r="J72" i="32"/>
  <c r="K72" i="32" s="1"/>
  <c r="J65" i="32"/>
  <c r="K65" i="32" s="1"/>
  <c r="J146" i="32"/>
  <c r="K146" i="32" s="1"/>
  <c r="J181" i="32"/>
  <c r="K181" i="32" s="1"/>
  <c r="J66" i="32"/>
  <c r="K66" i="32" s="1"/>
  <c r="J174" i="32"/>
  <c r="K174" i="32" s="1"/>
  <c r="J130" i="32"/>
  <c r="K130" i="32" s="1"/>
  <c r="J80" i="32"/>
  <c r="K80" i="32" s="1"/>
  <c r="J137" i="32"/>
  <c r="K137" i="32" s="1"/>
  <c r="J132" i="32"/>
  <c r="K132" i="32" s="1"/>
  <c r="J141" i="32"/>
  <c r="K141" i="32" s="1"/>
  <c r="J180" i="32"/>
  <c r="K180" i="32" s="1"/>
  <c r="J138" i="32"/>
  <c r="K138" i="32" s="1"/>
  <c r="J139" i="32"/>
  <c r="K139" i="32" s="1"/>
  <c r="J105" i="32"/>
  <c r="K105" i="32" s="1"/>
  <c r="J53" i="32"/>
  <c r="K53" i="32" s="1"/>
  <c r="J47" i="32"/>
  <c r="K47" i="32" s="1"/>
  <c r="J48" i="32"/>
  <c r="K48" i="32" s="1"/>
  <c r="J106" i="32"/>
  <c r="K106" i="32" s="1"/>
  <c r="J152" i="32"/>
  <c r="K152" i="32" s="1"/>
  <c r="J99" i="32"/>
  <c r="K99" i="32" s="1"/>
  <c r="J88" i="32"/>
  <c r="K88" i="32" s="1"/>
  <c r="J41" i="32"/>
  <c r="K41" i="32" s="1"/>
  <c r="J58" i="32"/>
  <c r="K58" i="32" s="1"/>
  <c r="J177" i="32"/>
  <c r="K177" i="32" s="1"/>
  <c r="J78" i="32"/>
  <c r="K78" i="32" s="1"/>
  <c r="J62" i="32"/>
  <c r="K62" i="32" s="1"/>
  <c r="J171" i="32"/>
  <c r="K171" i="32" s="1"/>
  <c r="J155" i="32"/>
  <c r="K155" i="32" s="1"/>
  <c r="J126" i="32"/>
  <c r="K126" i="32" s="1"/>
  <c r="J38" i="32"/>
  <c r="K38" i="32" s="1"/>
  <c r="J122" i="32"/>
  <c r="K122" i="32" s="1"/>
  <c r="J111" i="32"/>
  <c r="K111" i="32" s="1"/>
  <c r="J124" i="32"/>
  <c r="K124" i="32" s="1"/>
  <c r="J68" i="32"/>
  <c r="K68" i="32" s="1"/>
  <c r="J121" i="32"/>
  <c r="K121" i="32" s="1"/>
  <c r="J134" i="32"/>
  <c r="K134" i="32" s="1"/>
  <c r="J98" i="32"/>
  <c r="K98" i="32" s="1"/>
  <c r="J148" i="32"/>
  <c r="K148" i="32" s="1"/>
  <c r="J52" i="32"/>
  <c r="K52" i="32" s="1"/>
  <c r="J86" i="32"/>
  <c r="K86" i="32" s="1"/>
  <c r="J131" i="32"/>
  <c r="K131" i="32" s="1"/>
  <c r="J167" i="32"/>
  <c r="K167" i="32" s="1"/>
  <c r="J46" i="32"/>
  <c r="K46" i="32" s="1"/>
  <c r="J182" i="32"/>
  <c r="K182" i="32" s="1"/>
  <c r="J162" i="32"/>
  <c r="K162" i="32" s="1"/>
  <c r="J92" i="32"/>
  <c r="K92" i="32" s="1"/>
  <c r="J56" i="32"/>
  <c r="K56" i="32" s="1"/>
  <c r="J70" i="32"/>
  <c r="K70" i="32" s="1"/>
  <c r="J129" i="32"/>
  <c r="K129" i="32" s="1"/>
  <c r="J175" i="32"/>
  <c r="K175" i="32" s="1"/>
  <c r="J107" i="32"/>
  <c r="K107" i="32" s="1"/>
  <c r="J104" i="32"/>
  <c r="K104" i="32" s="1"/>
  <c r="J114" i="32"/>
  <c r="K114" i="32" s="1"/>
  <c r="J125" i="32"/>
  <c r="K125" i="32" s="1"/>
  <c r="J81" i="32"/>
  <c r="K81" i="32" s="1"/>
  <c r="J97" i="32"/>
  <c r="K97" i="32" s="1"/>
  <c r="J71" i="32"/>
  <c r="K71" i="32" s="1"/>
  <c r="J154" i="32"/>
  <c r="K154" i="32" s="1"/>
  <c r="J133" i="32"/>
  <c r="K133" i="32" s="1"/>
  <c r="J117" i="32"/>
  <c r="K117" i="32" s="1"/>
  <c r="J82" i="32"/>
  <c r="K82" i="32" s="1"/>
  <c r="J172" i="32"/>
  <c r="K172" i="32" s="1"/>
  <c r="J43" i="32"/>
  <c r="K43" i="32" s="1"/>
  <c r="J113" i="32"/>
  <c r="K113" i="32" s="1"/>
  <c r="J83" i="32"/>
  <c r="K83" i="32" s="1"/>
  <c r="J54" i="32"/>
  <c r="K54" i="32" s="1"/>
  <c r="J55" i="32"/>
  <c r="K55" i="32" s="1"/>
  <c r="AJ20" i="30"/>
  <c r="AO20" i="30"/>
  <c r="AP20" i="30"/>
  <c r="AI20" i="30"/>
  <c r="AK20" i="30"/>
  <c r="AS19" i="30"/>
  <c r="AR20" i="30"/>
  <c r="AM20" i="30"/>
  <c r="AN20" i="30"/>
  <c r="AD24" i="30"/>
  <c r="AD32" i="30"/>
  <c r="AD45" i="30" s="1"/>
  <c r="C45" i="2"/>
  <c r="J143" i="32" l="1"/>
  <c r="K143" i="32" s="1"/>
  <c r="J74" i="32"/>
  <c r="K74" i="32" s="1"/>
  <c r="J145" i="32"/>
  <c r="K145" i="32" s="1"/>
  <c r="J178" i="32"/>
  <c r="K178" i="32" s="1"/>
  <c r="G6" i="13"/>
  <c r="F6" i="13"/>
  <c r="AH34" i="30"/>
  <c r="AD43" i="30"/>
  <c r="AD44" i="30" s="1"/>
  <c r="AC34" i="30"/>
  <c r="Y43" i="30"/>
  <c r="Y44" i="30" s="1"/>
  <c r="BO27" i="30"/>
  <c r="BW27" i="30"/>
  <c r="BX27" i="30" s="1"/>
  <c r="AC32" i="30"/>
  <c r="AC45" i="30" s="1"/>
  <c r="AD49" i="30"/>
  <c r="AD47" i="30"/>
  <c r="Y49" i="30"/>
  <c r="AC26" i="30"/>
  <c r="Y47" i="30"/>
  <c r="S48" i="30"/>
  <c r="AC24" i="30"/>
  <c r="J184" i="32"/>
  <c r="K184" i="32"/>
  <c r="AV20" i="30"/>
  <c r="BA20" i="30"/>
  <c r="AZ20" i="30"/>
  <c r="BC19" i="30"/>
  <c r="BB20" i="30"/>
  <c r="AS20" i="30"/>
  <c r="AY20" i="30"/>
  <c r="AX20" i="30"/>
  <c r="AW20" i="30"/>
  <c r="AU20" i="30"/>
  <c r="AT20" i="30"/>
  <c r="AH24" i="30"/>
  <c r="AH32" i="30"/>
  <c r="AH45" i="30" s="1"/>
  <c r="AD48" i="30" l="1"/>
  <c r="AC49" i="30"/>
  <c r="AI32" i="30"/>
  <c r="AI45" i="30" s="1"/>
  <c r="AC47" i="30"/>
  <c r="AN34" i="30"/>
  <c r="AH43" i="30"/>
  <c r="AH44" i="30" s="1"/>
  <c r="AI34" i="30"/>
  <c r="AC43" i="30"/>
  <c r="AC44" i="30" s="1"/>
  <c r="AH49" i="30"/>
  <c r="AH47" i="30"/>
  <c r="AH48" i="30" s="1"/>
  <c r="Y48" i="30"/>
  <c r="AI26" i="30"/>
  <c r="AI49" i="30"/>
  <c r="AI24" i="30"/>
  <c r="BK20" i="30"/>
  <c r="BD20" i="30"/>
  <c r="BF20" i="30"/>
  <c r="BC20" i="30"/>
  <c r="BH20" i="30"/>
  <c r="BQ19" i="30"/>
  <c r="BV20" i="30"/>
  <c r="BM19" i="30"/>
  <c r="BJ20" i="30"/>
  <c r="BI20" i="30"/>
  <c r="BL20" i="30"/>
  <c r="BW20" i="30"/>
  <c r="BE20" i="30"/>
  <c r="BG20" i="30"/>
  <c r="AM32" i="30"/>
  <c r="AM45" i="30" s="1"/>
  <c r="AN32" i="30"/>
  <c r="AN45" i="30" s="1"/>
  <c r="AN24" i="30"/>
  <c r="N50" i="2"/>
  <c r="I50" i="2"/>
  <c r="AC48" i="30" l="1"/>
  <c r="AM34" i="30"/>
  <c r="AI43" i="30"/>
  <c r="AI44" i="30" s="1"/>
  <c r="AI47" i="30"/>
  <c r="AI48" i="30" s="1"/>
  <c r="AR34" i="30"/>
  <c r="AN43" i="30"/>
  <c r="AN44" i="30" s="1"/>
  <c r="AN49" i="30"/>
  <c r="AN47" i="30"/>
  <c r="AM26" i="30"/>
  <c r="AM49" i="30"/>
  <c r="AM24" i="30"/>
  <c r="BR20" i="30"/>
  <c r="BQ20" i="30"/>
  <c r="BO20" i="30"/>
  <c r="BM20" i="30"/>
  <c r="BN20" i="30"/>
  <c r="BP20" i="30"/>
  <c r="AR32" i="30"/>
  <c r="AR45" i="30" s="1"/>
  <c r="AR24" i="30"/>
  <c r="AS32" i="30"/>
  <c r="AS45" i="30" s="1"/>
  <c r="H91" i="14"/>
  <c r="H90" i="14"/>
  <c r="H89" i="14"/>
  <c r="H88" i="14"/>
  <c r="H87" i="14"/>
  <c r="H86" i="14"/>
  <c r="H85" i="14"/>
  <c r="H84" i="14"/>
  <c r="H83" i="14"/>
  <c r="H82" i="14"/>
  <c r="H81" i="14"/>
  <c r="H80" i="14"/>
  <c r="H79" i="14"/>
  <c r="H78" i="14"/>
  <c r="H77" i="14"/>
  <c r="H76" i="14"/>
  <c r="H75" i="14"/>
  <c r="H74" i="14"/>
  <c r="H73" i="14"/>
  <c r="H72" i="14"/>
  <c r="B72" i="14"/>
  <c r="AM47" i="30" l="1"/>
  <c r="AM48" i="30" s="1"/>
  <c r="AX34" i="30"/>
  <c r="AR43" i="30"/>
  <c r="AR44" i="30" s="1"/>
  <c r="AS34" i="30"/>
  <c r="AM43" i="30"/>
  <c r="AM44" i="30" s="1"/>
  <c r="AN48" i="30"/>
  <c r="AR49" i="30"/>
  <c r="AR47" i="30"/>
  <c r="AS26" i="30"/>
  <c r="AS49" i="30"/>
  <c r="AS24" i="30"/>
  <c r="AX24" i="30"/>
  <c r="AX32" i="30"/>
  <c r="AX45" i="30" s="1"/>
  <c r="AW32" i="30"/>
  <c r="AW45" i="30" s="1"/>
  <c r="AN105" i="2"/>
  <c r="AR105" i="2" s="1"/>
  <c r="AX105" i="2" s="1"/>
  <c r="BB105" i="2" s="1"/>
  <c r="AI105" i="2"/>
  <c r="AM105" i="2" s="1"/>
  <c r="AS105" i="2" s="1"/>
  <c r="AW105" i="2" s="1"/>
  <c r="AX28" i="2"/>
  <c r="BB28" i="2" s="1"/>
  <c r="BH28" i="2" s="1"/>
  <c r="AX27" i="2"/>
  <c r="BB27" i="2" s="1"/>
  <c r="BH27" i="2" s="1"/>
  <c r="AS28" i="2"/>
  <c r="AW28" i="2" s="1"/>
  <c r="BC28" i="2" s="1"/>
  <c r="AS27" i="2"/>
  <c r="AW27" i="2" s="1"/>
  <c r="BC27" i="2" s="1"/>
  <c r="AD25" i="2"/>
  <c r="AH25" i="2" s="1"/>
  <c r="Y25" i="2"/>
  <c r="AC25" i="2" s="1"/>
  <c r="AI25" i="2" s="1"/>
  <c r="O108" i="2"/>
  <c r="S108" i="2" s="1"/>
  <c r="AS47" i="30" l="1"/>
  <c r="AS48" i="30" s="1"/>
  <c r="AW34" i="30"/>
  <c r="AS43" i="30"/>
  <c r="AS44" i="30" s="1"/>
  <c r="BB34" i="30"/>
  <c r="AX43" i="30"/>
  <c r="AX44" i="30" s="1"/>
  <c r="AX49" i="30"/>
  <c r="AX47" i="30"/>
  <c r="AX48" i="30" s="1"/>
  <c r="AR48" i="30"/>
  <c r="AW26" i="30"/>
  <c r="AW49" i="30"/>
  <c r="AW24" i="30"/>
  <c r="BC45" i="30"/>
  <c r="BB32" i="30"/>
  <c r="BB45" i="30" s="1"/>
  <c r="BB24" i="30"/>
  <c r="S21" i="12"/>
  <c r="S22" i="12"/>
  <c r="S23" i="12"/>
  <c r="S24" i="12"/>
  <c r="S25" i="12"/>
  <c r="S26" i="12"/>
  <c r="S27" i="12"/>
  <c r="S28" i="12"/>
  <c r="S29" i="12"/>
  <c r="S30" i="12"/>
  <c r="S31" i="12"/>
  <c r="S32" i="12"/>
  <c r="S33" i="12"/>
  <c r="S34" i="12"/>
  <c r="S35" i="12"/>
  <c r="S36" i="12"/>
  <c r="S37" i="12"/>
  <c r="S38" i="12"/>
  <c r="S39" i="12"/>
  <c r="S40" i="12"/>
  <c r="AW43" i="30" l="1"/>
  <c r="AW44" i="30" s="1"/>
  <c r="BB43" i="30"/>
  <c r="BB44" i="30" s="1"/>
  <c r="AW47" i="30"/>
  <c r="AW48" i="30" s="1"/>
  <c r="BB49" i="30"/>
  <c r="BB47" i="30"/>
  <c r="BB48" i="30" s="1"/>
  <c r="BC49" i="30"/>
  <c r="BC24" i="30"/>
  <c r="BH24" i="30"/>
  <c r="BG32" i="30"/>
  <c r="BG45" i="30" s="1"/>
  <c r="Z41" i="12"/>
  <c r="AB41" i="12"/>
  <c r="BG34" i="30" l="1"/>
  <c r="BC43" i="30"/>
  <c r="BC44" i="30" s="1"/>
  <c r="BL34" i="30"/>
  <c r="BH43" i="30"/>
  <c r="BH44" i="30" s="1"/>
  <c r="BC47" i="30"/>
  <c r="BC48" i="30" s="1"/>
  <c r="BH49" i="30"/>
  <c r="BH47" i="30"/>
  <c r="BH48" i="30" s="1"/>
  <c r="BG26" i="30"/>
  <c r="BG49" i="30"/>
  <c r="BG24" i="30"/>
  <c r="BO32" i="30"/>
  <c r="BL32" i="30"/>
  <c r="BL45" i="30" s="1"/>
  <c r="BL24" i="30"/>
  <c r="D81" i="14"/>
  <c r="D82" i="14"/>
  <c r="D83" i="14"/>
  <c r="D84" i="14"/>
  <c r="D85" i="14"/>
  <c r="D86" i="14"/>
  <c r="D87" i="14"/>
  <c r="D88" i="14"/>
  <c r="D89" i="14"/>
  <c r="D90" i="14"/>
  <c r="D91" i="14"/>
  <c r="BR32" i="30" l="1"/>
  <c r="BQ32" i="30"/>
  <c r="BT32" i="30" s="1"/>
  <c r="BO45" i="30"/>
  <c r="BG47" i="30"/>
  <c r="BG48" i="30" s="1"/>
  <c r="BP34" i="30"/>
  <c r="BL43" i="30"/>
  <c r="BL44" i="30" s="1"/>
  <c r="BG43" i="30"/>
  <c r="BG44" i="30" s="1"/>
  <c r="BO34" i="30"/>
  <c r="BR34" i="30" s="1"/>
  <c r="BW34" i="30"/>
  <c r="BX34" i="30" s="1"/>
  <c r="BW32" i="30"/>
  <c r="BX32" i="30" s="1"/>
  <c r="BL49" i="30"/>
  <c r="BL47" i="30"/>
  <c r="BO26" i="30"/>
  <c r="BW26" i="30"/>
  <c r="BX26" i="30" s="1"/>
  <c r="BO49" i="30"/>
  <c r="BO24" i="30"/>
  <c r="BP24" i="30"/>
  <c r="BW24" i="30"/>
  <c r="BX24" i="30" s="1"/>
  <c r="BP32" i="30"/>
  <c r="BP45" i="30" s="1"/>
  <c r="BR26" i="30" l="1"/>
  <c r="BR47" i="30" s="1"/>
  <c r="BQ26" i="30"/>
  <c r="BQ45" i="30"/>
  <c r="BQ49" i="30"/>
  <c r="BQ43" i="30"/>
  <c r="BQ47" i="30"/>
  <c r="BR45" i="30"/>
  <c r="BR49" i="30"/>
  <c r="BR43" i="30"/>
  <c r="BL48" i="30"/>
  <c r="BO43" i="30"/>
  <c r="BO44" i="30" s="1"/>
  <c r="BO47" i="30"/>
  <c r="BO48" i="30" s="1"/>
  <c r="BS34" i="30"/>
  <c r="BP43" i="30"/>
  <c r="BP44" i="30" s="1"/>
  <c r="BP49" i="30"/>
  <c r="BP47" i="30"/>
  <c r="BT26" i="30"/>
  <c r="D7" i="13" s="1"/>
  <c r="BT45" i="30"/>
  <c r="BS32" i="30"/>
  <c r="BS45" i="30" s="1"/>
  <c r="BS24" i="30"/>
  <c r="BT24" i="30"/>
  <c r="C47" i="11"/>
  <c r="C48" i="11"/>
  <c r="C49" i="11"/>
  <c r="C50" i="11"/>
  <c r="C51" i="11"/>
  <c r="C52" i="11"/>
  <c r="C53" i="11"/>
  <c r="C54" i="11"/>
  <c r="C55" i="11"/>
  <c r="C56" i="11"/>
  <c r="C57" i="11"/>
  <c r="C58" i="11"/>
  <c r="C59" i="11"/>
  <c r="C60" i="11"/>
  <c r="C61" i="11"/>
  <c r="C62" i="11"/>
  <c r="C63" i="11"/>
  <c r="C64" i="11"/>
  <c r="C65" i="11"/>
  <c r="C66" i="11"/>
  <c r="C67" i="11"/>
  <c r="C68" i="11"/>
  <c r="C69" i="11"/>
  <c r="C70" i="11"/>
  <c r="D70" i="11"/>
  <c r="C71" i="11"/>
  <c r="D71" i="11"/>
  <c r="C72" i="11"/>
  <c r="D72" i="11"/>
  <c r="C73" i="11"/>
  <c r="D73" i="11"/>
  <c r="C74" i="11"/>
  <c r="D74" i="11"/>
  <c r="C75" i="11"/>
  <c r="D75" i="11"/>
  <c r="C76" i="11"/>
  <c r="D76" i="11"/>
  <c r="C77" i="11"/>
  <c r="D77" i="11"/>
  <c r="C78" i="11"/>
  <c r="D78" i="11"/>
  <c r="C79" i="11"/>
  <c r="D79" i="11"/>
  <c r="C80" i="11"/>
  <c r="D80" i="11"/>
  <c r="C81" i="11"/>
  <c r="D81" i="11"/>
  <c r="C82" i="11"/>
  <c r="D82" i="11"/>
  <c r="C83" i="11"/>
  <c r="D83" i="11"/>
  <c r="C84" i="11"/>
  <c r="D84" i="11"/>
  <c r="C85" i="11"/>
  <c r="D85" i="11"/>
  <c r="C86" i="11"/>
  <c r="D86" i="11"/>
  <c r="C87" i="11"/>
  <c r="D87" i="11"/>
  <c r="C89" i="11"/>
  <c r="D89" i="11"/>
  <c r="AA43" i="2"/>
  <c r="AB43" i="2"/>
  <c r="AE43" i="2"/>
  <c r="AF43" i="2"/>
  <c r="AG43" i="2"/>
  <c r="Z43" i="2"/>
  <c r="Q43" i="2"/>
  <c r="R43" i="2"/>
  <c r="U43" i="2"/>
  <c r="V43" i="2"/>
  <c r="W43" i="2"/>
  <c r="P43" i="2"/>
  <c r="F43" i="2"/>
  <c r="G43" i="2"/>
  <c r="H43" i="2"/>
  <c r="J43" i="2"/>
  <c r="K43" i="2"/>
  <c r="L43" i="2"/>
  <c r="M43" i="2"/>
  <c r="E43" i="2"/>
  <c r="N41" i="12"/>
  <c r="BS26" i="30" l="1"/>
  <c r="BP48" i="30"/>
  <c r="BQ48" i="30"/>
  <c r="BS43" i="30"/>
  <c r="BS44" i="30" s="1"/>
  <c r="BR48" i="30"/>
  <c r="BR44" i="30"/>
  <c r="BQ44" i="30"/>
  <c r="BT43" i="30"/>
  <c r="BT44" i="30" s="1"/>
  <c r="BS49" i="30"/>
  <c r="BS47" i="30"/>
  <c r="BS48" i="30" s="1"/>
  <c r="C27" i="31"/>
  <c r="C28" i="31" s="1"/>
  <c r="C29" i="31" s="1"/>
  <c r="D5" i="13"/>
  <c r="J115" i="31" l="1"/>
  <c r="K115" i="31" s="1"/>
  <c r="D11" i="13"/>
  <c r="J42" i="31"/>
  <c r="K42" i="31" s="1"/>
  <c r="J131" i="31"/>
  <c r="K131" i="31" s="1"/>
  <c r="J116" i="31"/>
  <c r="K116" i="31" s="1"/>
  <c r="J168" i="31"/>
  <c r="K168" i="31" s="1"/>
  <c r="J103" i="31"/>
  <c r="K103" i="31" s="1"/>
  <c r="J100" i="31"/>
  <c r="K100" i="31" s="1"/>
  <c r="J107" i="31"/>
  <c r="K107" i="31" s="1"/>
  <c r="J111" i="31"/>
  <c r="K111" i="31" s="1"/>
  <c r="J49" i="31"/>
  <c r="K49" i="31" s="1"/>
  <c r="J67" i="31"/>
  <c r="K67" i="31" s="1"/>
  <c r="J109" i="31"/>
  <c r="K109" i="31" s="1"/>
  <c r="J83" i="31"/>
  <c r="K83" i="31" s="1"/>
  <c r="J55" i="31"/>
  <c r="K55" i="31" s="1"/>
  <c r="J106" i="31"/>
  <c r="K106" i="31" s="1"/>
  <c r="J157" i="31"/>
  <c r="K157" i="31" s="1"/>
  <c r="J39" i="31"/>
  <c r="K39" i="31" s="1"/>
  <c r="J47" i="31"/>
  <c r="K47" i="31" s="1"/>
  <c r="J56" i="31"/>
  <c r="K56" i="31" s="1"/>
  <c r="J145" i="31"/>
  <c r="K145" i="31" s="1"/>
  <c r="J82" i="31"/>
  <c r="K82" i="31" s="1"/>
  <c r="J163" i="31"/>
  <c r="K163" i="31" s="1"/>
  <c r="J97" i="31"/>
  <c r="K97" i="31" s="1"/>
  <c r="J156" i="31"/>
  <c r="K156" i="31" s="1"/>
  <c r="J84" i="31"/>
  <c r="K84" i="31" s="1"/>
  <c r="J183" i="31"/>
  <c r="K183" i="31" s="1"/>
  <c r="J45" i="31"/>
  <c r="K45" i="31" s="1"/>
  <c r="J80" i="31"/>
  <c r="K80" i="31" s="1"/>
  <c r="J37" i="31"/>
  <c r="K37" i="31" s="1"/>
  <c r="J104" i="31"/>
  <c r="K104" i="31" s="1"/>
  <c r="J173" i="31"/>
  <c r="K173" i="31" s="1"/>
  <c r="J40" i="31"/>
  <c r="K40" i="31" s="1"/>
  <c r="J66" i="31"/>
  <c r="K66" i="31" s="1"/>
  <c r="J76" i="31"/>
  <c r="K76" i="31" s="1"/>
  <c r="J58" i="31"/>
  <c r="K58" i="31" s="1"/>
  <c r="J175" i="31"/>
  <c r="K175" i="31" s="1"/>
  <c r="J110" i="31"/>
  <c r="K110" i="31" s="1"/>
  <c r="J62" i="31"/>
  <c r="K62" i="31" s="1"/>
  <c r="J147" i="31"/>
  <c r="K147" i="31" s="1"/>
  <c r="J154" i="31"/>
  <c r="K154" i="31" s="1"/>
  <c r="J112" i="31"/>
  <c r="K112" i="31" s="1"/>
  <c r="J134" i="31"/>
  <c r="K134" i="31" s="1"/>
  <c r="J36" i="31"/>
  <c r="K36" i="31" s="1"/>
  <c r="J35" i="31"/>
  <c r="K35" i="31" s="1"/>
  <c r="J150" i="31"/>
  <c r="K150" i="31" s="1"/>
  <c r="J60" i="31"/>
  <c r="K60" i="31" s="1"/>
  <c r="J43" i="31"/>
  <c r="K43" i="31" s="1"/>
  <c r="J144" i="31"/>
  <c r="K144" i="31" s="1"/>
  <c r="J96" i="31"/>
  <c r="K96" i="31" s="1"/>
  <c r="J61" i="31"/>
  <c r="K61" i="31" s="1"/>
  <c r="J87" i="31"/>
  <c r="K87" i="31" s="1"/>
  <c r="J50" i="31"/>
  <c r="K50" i="31" s="1"/>
  <c r="J105" i="31"/>
  <c r="K105" i="31" s="1"/>
  <c r="J166" i="31"/>
  <c r="K166" i="31" s="1"/>
  <c r="J93" i="31"/>
  <c r="K93" i="31" s="1"/>
  <c r="J172" i="31"/>
  <c r="K172" i="31" s="1"/>
  <c r="J129" i="31"/>
  <c r="K129" i="31" s="1"/>
  <c r="J71" i="31"/>
  <c r="K71" i="31" s="1"/>
  <c r="J86" i="31"/>
  <c r="K86" i="31" s="1"/>
  <c r="J69" i="31"/>
  <c r="K69" i="31" s="1"/>
  <c r="J88" i="31"/>
  <c r="K88" i="31" s="1"/>
  <c r="J41" i="31"/>
  <c r="K41" i="31" s="1"/>
  <c r="J142" i="31"/>
  <c r="K142" i="31" s="1"/>
  <c r="J108" i="31"/>
  <c r="K108" i="31" s="1"/>
  <c r="J102" i="31"/>
  <c r="K102" i="31" s="1"/>
  <c r="J164" i="31"/>
  <c r="K164" i="31" s="1"/>
  <c r="J91" i="31"/>
  <c r="K91" i="31" s="1"/>
  <c r="J149" i="31"/>
  <c r="K149" i="31" s="1"/>
  <c r="J65" i="31"/>
  <c r="K65" i="31" s="1"/>
  <c r="J165" i="31"/>
  <c r="K165" i="31" s="1"/>
  <c r="J51" i="31"/>
  <c r="K51" i="31" s="1"/>
  <c r="J63" i="31"/>
  <c r="K63" i="31" s="1"/>
  <c r="J118" i="31"/>
  <c r="K118" i="31" s="1"/>
  <c r="J133" i="31"/>
  <c r="K133" i="31" s="1"/>
  <c r="J98" i="31"/>
  <c r="K98" i="31" s="1"/>
  <c r="J77" i="31"/>
  <c r="K77" i="31" s="1"/>
  <c r="J64" i="31"/>
  <c r="K64" i="31" s="1"/>
  <c r="J152" i="31"/>
  <c r="K152" i="31" s="1"/>
  <c r="J169" i="31"/>
  <c r="K169" i="31" s="1"/>
  <c r="J127" i="31"/>
  <c r="K127" i="31" s="1"/>
  <c r="J89" i="31"/>
  <c r="K89" i="31" s="1"/>
  <c r="J74" i="31"/>
  <c r="K74" i="31" s="1"/>
  <c r="J85" i="31"/>
  <c r="K85" i="31" s="1"/>
  <c r="J143" i="31"/>
  <c r="K143" i="31" s="1"/>
  <c r="J132" i="31"/>
  <c r="K132" i="31" s="1"/>
  <c r="J120" i="31"/>
  <c r="K120" i="31" s="1"/>
  <c r="J151" i="31"/>
  <c r="K151" i="31" s="1"/>
  <c r="J46" i="31"/>
  <c r="K46" i="31" s="1"/>
  <c r="J137" i="31"/>
  <c r="K137" i="31" s="1"/>
  <c r="J101" i="31"/>
  <c r="K101" i="31" s="1"/>
  <c r="J75" i="31"/>
  <c r="K75" i="31" s="1"/>
  <c r="J153" i="31"/>
  <c r="K153" i="31" s="1"/>
  <c r="J155" i="31"/>
  <c r="K155" i="31" s="1"/>
  <c r="J124" i="31"/>
  <c r="K124" i="31" s="1"/>
  <c r="J59" i="31"/>
  <c r="K59" i="31" s="1"/>
  <c r="J54" i="31"/>
  <c r="K54" i="31" s="1"/>
  <c r="J113" i="31"/>
  <c r="K113" i="31" s="1"/>
  <c r="J177" i="31"/>
  <c r="K177" i="31" s="1"/>
  <c r="J130" i="31"/>
  <c r="K130" i="31" s="1"/>
  <c r="J92" i="31"/>
  <c r="K92" i="31" s="1"/>
  <c r="J34" i="31"/>
  <c r="K34" i="31" s="1"/>
  <c r="J128" i="31"/>
  <c r="K128" i="31" s="1"/>
  <c r="J138" i="31"/>
  <c r="K138" i="31" s="1"/>
  <c r="J70" i="31"/>
  <c r="K70" i="31" s="1"/>
  <c r="J162" i="31"/>
  <c r="K162" i="31" s="1"/>
  <c r="J161" i="31"/>
  <c r="K161" i="31" s="1"/>
  <c r="J180" i="31"/>
  <c r="K180" i="31" s="1"/>
  <c r="J182" i="31"/>
  <c r="K182" i="31" s="1"/>
  <c r="J44" i="31"/>
  <c r="K44" i="31" s="1"/>
  <c r="J139" i="31"/>
  <c r="K139" i="31" s="1"/>
  <c r="J179" i="31"/>
  <c r="K179" i="31" s="1"/>
  <c r="J170" i="31"/>
  <c r="K170" i="31" s="1"/>
  <c r="J181" i="31"/>
  <c r="K181" i="31" s="1"/>
  <c r="J81" i="31"/>
  <c r="K81" i="31" s="1"/>
  <c r="J52" i="31"/>
  <c r="K52" i="31" s="1"/>
  <c r="J90" i="31"/>
  <c r="K90" i="31" s="1"/>
  <c r="J141" i="31"/>
  <c r="K141" i="31" s="1"/>
  <c r="J146" i="31"/>
  <c r="K146" i="31" s="1"/>
  <c r="J135" i="31"/>
  <c r="K135" i="31" s="1"/>
  <c r="J78" i="31"/>
  <c r="K78" i="31" s="1"/>
  <c r="J119" i="31"/>
  <c r="K119" i="31" s="1"/>
  <c r="J95" i="31"/>
  <c r="K95" i="31" s="1"/>
  <c r="J68" i="31"/>
  <c r="K68" i="31" s="1"/>
  <c r="J121" i="31"/>
  <c r="K121" i="31" s="1"/>
  <c r="J148" i="31"/>
  <c r="K148" i="31" s="1"/>
  <c r="J72" i="31"/>
  <c r="K72" i="31" s="1"/>
  <c r="J73" i="31"/>
  <c r="K73" i="31" s="1"/>
  <c r="J167" i="31"/>
  <c r="K167" i="31" s="1"/>
  <c r="J160" i="31"/>
  <c r="K160" i="31" s="1"/>
  <c r="J94" i="31"/>
  <c r="K94" i="31" s="1"/>
  <c r="J53" i="31"/>
  <c r="K53" i="31" s="1"/>
  <c r="J125" i="31"/>
  <c r="K125" i="31" s="1"/>
  <c r="J79" i="31"/>
  <c r="K79" i="31" s="1"/>
  <c r="J122" i="31"/>
  <c r="K122" i="31" s="1"/>
  <c r="J136" i="31"/>
  <c r="K136" i="31" s="1"/>
  <c r="J99" i="31"/>
  <c r="K99" i="31" s="1"/>
  <c r="J174" i="31"/>
  <c r="K174" i="31" s="1"/>
  <c r="J171" i="31"/>
  <c r="K171" i="31" s="1"/>
  <c r="J38" i="31"/>
  <c r="K38" i="31" s="1"/>
  <c r="J126" i="31"/>
  <c r="K126" i="31" s="1"/>
  <c r="J48" i="31"/>
  <c r="K48" i="31" s="1"/>
  <c r="J159" i="31"/>
  <c r="K159" i="31" s="1"/>
  <c r="J176" i="31"/>
  <c r="K176" i="31" s="1"/>
  <c r="J114" i="31"/>
  <c r="K114" i="31" s="1"/>
  <c r="J117" i="31"/>
  <c r="K117" i="31" s="1"/>
  <c r="J57" i="31"/>
  <c r="K57" i="31" s="1"/>
  <c r="J123" i="31"/>
  <c r="K123" i="31" s="1"/>
  <c r="J140" i="31"/>
  <c r="K140" i="31" s="1"/>
  <c r="J158" i="31"/>
  <c r="K158" i="31" s="1"/>
  <c r="J178" i="31"/>
  <c r="K178" i="31" s="1"/>
  <c r="B73" i="14"/>
  <c r="B74" i="14"/>
  <c r="B75" i="14"/>
  <c r="B76" i="14"/>
  <c r="B77" i="14"/>
  <c r="B78" i="14"/>
  <c r="B79" i="14"/>
  <c r="B80" i="14"/>
  <c r="B81" i="14"/>
  <c r="B82" i="14"/>
  <c r="B83" i="14"/>
  <c r="B84" i="14"/>
  <c r="B85" i="14"/>
  <c r="B86" i="14"/>
  <c r="B87" i="14"/>
  <c r="B88" i="14"/>
  <c r="B89" i="14"/>
  <c r="B90" i="14"/>
  <c r="B91" i="14"/>
  <c r="J184" i="31" l="1"/>
  <c r="L37" i="22"/>
  <c r="A28" i="22"/>
  <c r="A29" i="22"/>
  <c r="A30" i="22"/>
  <c r="A31" i="22"/>
  <c r="A32" i="22"/>
  <c r="A33" i="22"/>
  <c r="A34" i="22"/>
  <c r="A35" i="22"/>
  <c r="A36" i="22"/>
  <c r="A18" i="22"/>
  <c r="A19" i="22"/>
  <c r="A20" i="22"/>
  <c r="A21" i="22"/>
  <c r="A22" i="22"/>
  <c r="A23" i="22"/>
  <c r="A24" i="22"/>
  <c r="A25" i="22"/>
  <c r="A26" i="22"/>
  <c r="A27" i="22"/>
  <c r="A17" i="22"/>
  <c r="G22" i="22" l="1" a="1"/>
  <c r="G22" i="22" s="1"/>
  <c r="H22" i="22" a="1"/>
  <c r="H22" i="22" s="1"/>
  <c r="E22" i="22" a="1"/>
  <c r="E22" i="22" s="1"/>
  <c r="F22" i="22" a="1"/>
  <c r="F22" i="22" s="1"/>
  <c r="F21" i="22" a="1"/>
  <c r="F21" i="22" s="1"/>
  <c r="E21" i="22" a="1"/>
  <c r="E21" i="22" s="1"/>
  <c r="G21" i="22" a="1"/>
  <c r="G21" i="22" s="1"/>
  <c r="H21" i="22" a="1"/>
  <c r="H21" i="22" s="1"/>
  <c r="H25" i="22" a="1"/>
  <c r="H25" i="22" s="1"/>
  <c r="F25" i="22" a="1"/>
  <c r="F25" i="22" s="1"/>
  <c r="G25" i="22" a="1"/>
  <c r="G25" i="22" s="1"/>
  <c r="E25" i="22" a="1"/>
  <c r="E25" i="22" s="1"/>
  <c r="B28" i="13"/>
  <c r="B29" i="13"/>
  <c r="B30" i="13"/>
  <c r="B31" i="13"/>
  <c r="B32" i="13"/>
  <c r="B33" i="13"/>
  <c r="B34" i="13"/>
  <c r="B35" i="13"/>
  <c r="B36" i="13"/>
  <c r="B37" i="13"/>
  <c r="B38" i="13"/>
  <c r="B39" i="13"/>
  <c r="B40" i="13"/>
  <c r="B41" i="13"/>
  <c r="B42" i="13"/>
  <c r="B43" i="13"/>
  <c r="B44" i="13"/>
  <c r="F37" i="22" l="1"/>
  <c r="G37" i="22"/>
  <c r="H37" i="22"/>
  <c r="E37" i="22"/>
  <c r="N52" i="2"/>
  <c r="T52" i="2" s="1"/>
  <c r="AD52" i="2" s="1"/>
  <c r="AH52" i="2" s="1"/>
  <c r="AN52" i="2" s="1"/>
  <c r="AR52" i="2" s="1"/>
  <c r="AX52" i="2" s="1"/>
  <c r="BB52" i="2" s="1"/>
  <c r="BH52" i="2" s="1"/>
  <c r="BL52" i="2" s="1"/>
  <c r="BP52" i="2" s="1"/>
  <c r="BS52" i="2" s="1"/>
  <c r="N53" i="2"/>
  <c r="N54" i="2"/>
  <c r="T54" i="2" s="1"/>
  <c r="X54" i="2" s="1"/>
  <c r="AD54" i="2" s="1"/>
  <c r="AH54" i="2" s="1"/>
  <c r="AN54" i="2" s="1"/>
  <c r="AR54" i="2" s="1"/>
  <c r="AX54" i="2" s="1"/>
  <c r="BB54" i="2" s="1"/>
  <c r="BH54" i="2" s="1"/>
  <c r="BL54" i="2" s="1"/>
  <c r="BP54" i="2" s="1"/>
  <c r="BS54" i="2" s="1"/>
  <c r="N55" i="2"/>
  <c r="T55" i="2" s="1"/>
  <c r="X55" i="2" s="1"/>
  <c r="AD55" i="2" s="1"/>
  <c r="AH55" i="2" s="1"/>
  <c r="AN55" i="2" s="1"/>
  <c r="AR55" i="2" s="1"/>
  <c r="AX55" i="2" s="1"/>
  <c r="BB55" i="2" s="1"/>
  <c r="BH55" i="2" s="1"/>
  <c r="BL55" i="2" s="1"/>
  <c r="BP55" i="2" s="1"/>
  <c r="BS55" i="2" s="1"/>
  <c r="N56" i="2"/>
  <c r="T56" i="2" s="1"/>
  <c r="X56" i="2" s="1"/>
  <c r="AD56" i="2" s="1"/>
  <c r="AH56" i="2" s="1"/>
  <c r="AN56" i="2" s="1"/>
  <c r="AR56" i="2" s="1"/>
  <c r="AX56" i="2" s="1"/>
  <c r="BB56" i="2" s="1"/>
  <c r="BH56" i="2" s="1"/>
  <c r="BL56" i="2" s="1"/>
  <c r="BP56" i="2" s="1"/>
  <c r="BS56" i="2" s="1"/>
  <c r="N57" i="2"/>
  <c r="T57" i="2" s="1"/>
  <c r="X57" i="2" s="1"/>
  <c r="AD57" i="2" s="1"/>
  <c r="AH57" i="2" s="1"/>
  <c r="AN57" i="2" s="1"/>
  <c r="AR57" i="2" s="1"/>
  <c r="AX57" i="2" s="1"/>
  <c r="BB57" i="2" s="1"/>
  <c r="BH57" i="2" s="1"/>
  <c r="BL57" i="2" s="1"/>
  <c r="BP57" i="2" s="1"/>
  <c r="N58" i="2"/>
  <c r="T58" i="2" s="1"/>
  <c r="X58" i="2" s="1"/>
  <c r="AD58" i="2" s="1"/>
  <c r="AH58" i="2" s="1"/>
  <c r="AN58" i="2" s="1"/>
  <c r="AR58" i="2" s="1"/>
  <c r="AX58" i="2" s="1"/>
  <c r="BB58" i="2" s="1"/>
  <c r="BH58" i="2" s="1"/>
  <c r="BL58" i="2" s="1"/>
  <c r="BP58" i="2" s="1"/>
  <c r="BS58" i="2" s="1"/>
  <c r="N59" i="2"/>
  <c r="T59" i="2" s="1"/>
  <c r="X59" i="2" s="1"/>
  <c r="AD59" i="2" s="1"/>
  <c r="AH59" i="2" s="1"/>
  <c r="AN59" i="2" s="1"/>
  <c r="AR59" i="2" s="1"/>
  <c r="AX59" i="2" s="1"/>
  <c r="BB59" i="2" s="1"/>
  <c r="BH59" i="2" s="1"/>
  <c r="BL59" i="2" s="1"/>
  <c r="BP59" i="2" s="1"/>
  <c r="BS59" i="2" s="1"/>
  <c r="N60" i="2"/>
  <c r="T60" i="2" s="1"/>
  <c r="X60" i="2" s="1"/>
  <c r="AD60" i="2" s="1"/>
  <c r="AH60" i="2" s="1"/>
  <c r="AN60" i="2" s="1"/>
  <c r="AR60" i="2" s="1"/>
  <c r="AX60" i="2" s="1"/>
  <c r="BB60" i="2" s="1"/>
  <c r="BH60" i="2" s="1"/>
  <c r="BL60" i="2" s="1"/>
  <c r="BP60" i="2" s="1"/>
  <c r="N61" i="2"/>
  <c r="T61" i="2" s="1"/>
  <c r="X61" i="2" s="1"/>
  <c r="AD61" i="2" s="1"/>
  <c r="AH61" i="2" s="1"/>
  <c r="AN61" i="2" s="1"/>
  <c r="AR61" i="2" s="1"/>
  <c r="AX61" i="2" s="1"/>
  <c r="BB61" i="2" s="1"/>
  <c r="BH61" i="2" s="1"/>
  <c r="BL61" i="2" s="1"/>
  <c r="BP61" i="2" s="1"/>
  <c r="BS61" i="2" s="1"/>
  <c r="N62" i="2"/>
  <c r="T62" i="2" s="1"/>
  <c r="X62" i="2" s="1"/>
  <c r="AD62" i="2" s="1"/>
  <c r="AH62" i="2" s="1"/>
  <c r="AN62" i="2" s="1"/>
  <c r="AR62" i="2" s="1"/>
  <c r="AX62" i="2" s="1"/>
  <c r="BB62" i="2" s="1"/>
  <c r="BH62" i="2" s="1"/>
  <c r="BL62" i="2" s="1"/>
  <c r="BP62" i="2" s="1"/>
  <c r="BS62" i="2" s="1"/>
  <c r="N63" i="2"/>
  <c r="T63" i="2" s="1"/>
  <c r="X63" i="2" s="1"/>
  <c r="AD63" i="2" s="1"/>
  <c r="AH63" i="2" s="1"/>
  <c r="AN63" i="2" s="1"/>
  <c r="AR63" i="2" s="1"/>
  <c r="AX63" i="2" s="1"/>
  <c r="BB63" i="2" s="1"/>
  <c r="BH63" i="2" s="1"/>
  <c r="BL63" i="2" s="1"/>
  <c r="BP63" i="2" s="1"/>
  <c r="BS63" i="2" s="1"/>
  <c r="N64" i="2"/>
  <c r="T64" i="2" s="1"/>
  <c r="X64" i="2" s="1"/>
  <c r="AD64" i="2" s="1"/>
  <c r="AH64" i="2" s="1"/>
  <c r="AN64" i="2" s="1"/>
  <c r="AR64" i="2" s="1"/>
  <c r="AX64" i="2" s="1"/>
  <c r="BB64" i="2" s="1"/>
  <c r="BH64" i="2" s="1"/>
  <c r="BL64" i="2" s="1"/>
  <c r="BP64" i="2" s="1"/>
  <c r="BS64" i="2" s="1"/>
  <c r="N65" i="2"/>
  <c r="T65" i="2" s="1"/>
  <c r="X65" i="2" s="1"/>
  <c r="AD65" i="2" s="1"/>
  <c r="AH65" i="2" s="1"/>
  <c r="AN65" i="2" s="1"/>
  <c r="AR65" i="2" s="1"/>
  <c r="AX65" i="2" s="1"/>
  <c r="BB65" i="2" s="1"/>
  <c r="BH65" i="2" s="1"/>
  <c r="BL65" i="2" s="1"/>
  <c r="BP65" i="2" s="1"/>
  <c r="BS65" i="2" s="1"/>
  <c r="N66" i="2"/>
  <c r="T66" i="2" s="1"/>
  <c r="X66" i="2" s="1"/>
  <c r="AD66" i="2" s="1"/>
  <c r="AH66" i="2" s="1"/>
  <c r="AN66" i="2" s="1"/>
  <c r="AR66" i="2" s="1"/>
  <c r="AX66" i="2" s="1"/>
  <c r="BB66" i="2" s="1"/>
  <c r="BH66" i="2" s="1"/>
  <c r="BL66" i="2" s="1"/>
  <c r="BP66" i="2" s="1"/>
  <c r="N67" i="2"/>
  <c r="X67" i="2" s="1"/>
  <c r="AD67" i="2" s="1"/>
  <c r="AH67" i="2" s="1"/>
  <c r="AN67" i="2" s="1"/>
  <c r="AR67" i="2" s="1"/>
  <c r="AX67" i="2" s="1"/>
  <c r="BB67" i="2" s="1"/>
  <c r="BH67" i="2" s="1"/>
  <c r="BL67" i="2" s="1"/>
  <c r="BP67" i="2" s="1"/>
  <c r="N68" i="2"/>
  <c r="T68" i="2" s="1"/>
  <c r="X68" i="2" s="1"/>
  <c r="AD68" i="2" s="1"/>
  <c r="AH68" i="2" s="1"/>
  <c r="AN68" i="2" s="1"/>
  <c r="AR68" i="2" s="1"/>
  <c r="AX68" i="2" s="1"/>
  <c r="BB68" i="2" s="1"/>
  <c r="BH68" i="2" s="1"/>
  <c r="BL68" i="2" s="1"/>
  <c r="BP68" i="2" s="1"/>
  <c r="BS68" i="2" s="1"/>
  <c r="N69" i="2"/>
  <c r="T69" i="2" s="1"/>
  <c r="X69" i="2" s="1"/>
  <c r="AD69" i="2" s="1"/>
  <c r="AH69" i="2" s="1"/>
  <c r="AN69" i="2" s="1"/>
  <c r="AR69" i="2" s="1"/>
  <c r="AX69" i="2" s="1"/>
  <c r="BB69" i="2" s="1"/>
  <c r="BH69" i="2" s="1"/>
  <c r="BL69" i="2" s="1"/>
  <c r="BP69" i="2" s="1"/>
  <c r="BS69" i="2" s="1"/>
  <c r="N70" i="2"/>
  <c r="T70" i="2" s="1"/>
  <c r="X70" i="2" s="1"/>
  <c r="AD70" i="2" s="1"/>
  <c r="AH70" i="2" s="1"/>
  <c r="AN70" i="2" s="1"/>
  <c r="AR70" i="2" s="1"/>
  <c r="AX70" i="2" s="1"/>
  <c r="BB70" i="2" s="1"/>
  <c r="BH70" i="2" s="1"/>
  <c r="BL70" i="2" s="1"/>
  <c r="BP70" i="2" s="1"/>
  <c r="BS70" i="2" s="1"/>
  <c r="I65" i="2"/>
  <c r="O65" i="2" s="1"/>
  <c r="I66" i="2"/>
  <c r="O66" i="2" s="1"/>
  <c r="I67" i="2"/>
  <c r="I68" i="2"/>
  <c r="O68" i="2" s="1"/>
  <c r="I69" i="2"/>
  <c r="O69" i="2" s="1"/>
  <c r="I70" i="2"/>
  <c r="O70" i="2" s="1"/>
  <c r="I52" i="2"/>
  <c r="O52" i="2" s="1"/>
  <c r="I53" i="2"/>
  <c r="I54" i="2"/>
  <c r="O54" i="2" s="1"/>
  <c r="I55" i="2"/>
  <c r="O55" i="2" s="1"/>
  <c r="I56" i="2"/>
  <c r="O56" i="2" s="1"/>
  <c r="I57" i="2"/>
  <c r="O57" i="2" s="1"/>
  <c r="I58" i="2"/>
  <c r="O58" i="2" s="1"/>
  <c r="I59" i="2"/>
  <c r="O59" i="2" s="1"/>
  <c r="I60" i="2"/>
  <c r="O60" i="2" s="1"/>
  <c r="I61" i="2"/>
  <c r="O61" i="2" s="1"/>
  <c r="I62" i="2"/>
  <c r="O62" i="2" s="1"/>
  <c r="I63" i="2"/>
  <c r="O63" i="2" s="1"/>
  <c r="I64" i="2"/>
  <c r="O64" i="2" s="1"/>
  <c r="AJ43" i="2"/>
  <c r="AK43" i="2"/>
  <c r="AL43" i="2"/>
  <c r="AO43" i="2"/>
  <c r="AP43" i="2"/>
  <c r="AQ43" i="2"/>
  <c r="AT43" i="2"/>
  <c r="AU43" i="2"/>
  <c r="AV43" i="2"/>
  <c r="AY43" i="2"/>
  <c r="AZ43" i="2"/>
  <c r="BA43" i="2"/>
  <c r="BD43" i="2"/>
  <c r="BE43" i="2"/>
  <c r="BF43" i="2"/>
  <c r="BI43" i="2"/>
  <c r="BJ43" i="2"/>
  <c r="BK43" i="2"/>
  <c r="BM43" i="2"/>
  <c r="BN43" i="2"/>
  <c r="BQ43" i="2"/>
  <c r="BR43" i="2"/>
  <c r="I40" i="2"/>
  <c r="O40" i="2" s="1"/>
  <c r="N40" i="2"/>
  <c r="T40" i="2" s="1"/>
  <c r="X40" i="2" s="1"/>
  <c r="AD40" i="2" s="1"/>
  <c r="AH40" i="2" s="1"/>
  <c r="AN40" i="2" s="1"/>
  <c r="AR40" i="2" s="1"/>
  <c r="AX40" i="2" s="1"/>
  <c r="BB40" i="2" s="1"/>
  <c r="BH40" i="2" s="1"/>
  <c r="BL40" i="2" s="1"/>
  <c r="BP40" i="2" s="1"/>
  <c r="BS40" i="2" s="1"/>
  <c r="BS57" i="2" l="1"/>
  <c r="T53" i="2"/>
  <c r="O53" i="2"/>
  <c r="S53" i="2" s="1"/>
  <c r="S40" i="2"/>
  <c r="Y40" i="2" s="1"/>
  <c r="AC40" i="2" s="1"/>
  <c r="AI40" i="2" s="1"/>
  <c r="AM40" i="2" s="1"/>
  <c r="AS40" i="2" s="1"/>
  <c r="S58" i="2"/>
  <c r="Y58" i="2" s="1"/>
  <c r="AC58" i="2" s="1"/>
  <c r="AI58" i="2" s="1"/>
  <c r="AM58" i="2" s="1"/>
  <c r="AS58" i="2" s="1"/>
  <c r="S56" i="2"/>
  <c r="Y56" i="2" s="1"/>
  <c r="AC56" i="2" s="1"/>
  <c r="AI56" i="2" s="1"/>
  <c r="AM56" i="2" s="1"/>
  <c r="AS56" i="2" s="1"/>
  <c r="S62" i="2"/>
  <c r="Y62" i="2" s="1"/>
  <c r="AC62" i="2" s="1"/>
  <c r="AI62" i="2" s="1"/>
  <c r="AM62" i="2" s="1"/>
  <c r="AS62" i="2" s="1"/>
  <c r="S54" i="2"/>
  <c r="Y54" i="2" s="1"/>
  <c r="AC54" i="2" s="1"/>
  <c r="AI54" i="2" s="1"/>
  <c r="AM54" i="2" s="1"/>
  <c r="AS54" i="2" s="1"/>
  <c r="S65" i="2"/>
  <c r="Y65" i="2" s="1"/>
  <c r="AC65" i="2" s="1"/>
  <c r="AI65" i="2" s="1"/>
  <c r="AM65" i="2" s="1"/>
  <c r="AS65" i="2" s="1"/>
  <c r="S57" i="2"/>
  <c r="Y57" i="2" s="1"/>
  <c r="AC57" i="2" s="1"/>
  <c r="AI57" i="2" s="1"/>
  <c r="AM57" i="2" s="1"/>
  <c r="AS57" i="2" s="1"/>
  <c r="S66" i="2"/>
  <c r="Y66" i="2" s="1"/>
  <c r="AC66" i="2" s="1"/>
  <c r="AI66" i="2" s="1"/>
  <c r="AM66" i="2" s="1"/>
  <c r="AS66" i="2" s="1"/>
  <c r="S61" i="2"/>
  <c r="Y61" i="2" s="1"/>
  <c r="AC61" i="2" s="1"/>
  <c r="AI61" i="2" s="1"/>
  <c r="AM61" i="2" s="1"/>
  <c r="AS61" i="2" s="1"/>
  <c r="S69" i="2"/>
  <c r="Y69" i="2" s="1"/>
  <c r="AC69" i="2" s="1"/>
  <c r="AI69" i="2" s="1"/>
  <c r="AM69" i="2" s="1"/>
  <c r="AS69" i="2" s="1"/>
  <c r="S64" i="2"/>
  <c r="Y64" i="2" s="1"/>
  <c r="AC64" i="2" s="1"/>
  <c r="AI64" i="2" s="1"/>
  <c r="AM64" i="2" s="1"/>
  <c r="AS64" i="2" s="1"/>
  <c r="S67" i="2"/>
  <c r="Y67" i="2" s="1"/>
  <c r="AC67" i="2" s="1"/>
  <c r="AI67" i="2" s="1"/>
  <c r="AM67" i="2" s="1"/>
  <c r="AS67" i="2" s="1"/>
  <c r="S60" i="2"/>
  <c r="Y60" i="2" s="1"/>
  <c r="AC60" i="2" s="1"/>
  <c r="AI60" i="2" s="1"/>
  <c r="AM60" i="2" s="1"/>
  <c r="AS60" i="2" s="1"/>
  <c r="Y52" i="2"/>
  <c r="AC52" i="2" s="1"/>
  <c r="AI52" i="2" s="1"/>
  <c r="AM52" i="2" s="1"/>
  <c r="AS52" i="2" s="1"/>
  <c r="S68" i="2"/>
  <c r="Y68" i="2" s="1"/>
  <c r="AC68" i="2" s="1"/>
  <c r="AI68" i="2" s="1"/>
  <c r="AM68" i="2" s="1"/>
  <c r="AS68" i="2" s="1"/>
  <c r="S63" i="2"/>
  <c r="Y63" i="2" s="1"/>
  <c r="AC63" i="2" s="1"/>
  <c r="AI63" i="2" s="1"/>
  <c r="AM63" i="2" s="1"/>
  <c r="AS63" i="2" s="1"/>
  <c r="S55" i="2"/>
  <c r="Y55" i="2" s="1"/>
  <c r="AC55" i="2" s="1"/>
  <c r="AI55" i="2" s="1"/>
  <c r="AM55" i="2" s="1"/>
  <c r="AS55" i="2" s="1"/>
  <c r="S59" i="2"/>
  <c r="Y59" i="2" s="1"/>
  <c r="AC59" i="2" s="1"/>
  <c r="AI59" i="2" s="1"/>
  <c r="AM59" i="2" s="1"/>
  <c r="AS59" i="2" s="1"/>
  <c r="S70" i="2"/>
  <c r="Y70" i="2" s="1"/>
  <c r="AC70" i="2" s="1"/>
  <c r="AI70" i="2" s="1"/>
  <c r="AM70" i="2" s="1"/>
  <c r="AS70" i="2" s="1"/>
  <c r="X53" i="2" l="1"/>
  <c r="Y53" i="2"/>
  <c r="AW61" i="2"/>
  <c r="BC61" i="2" s="1"/>
  <c r="BG61" i="2" s="1"/>
  <c r="AW63" i="2"/>
  <c r="BC63" i="2" s="1"/>
  <c r="BG63" i="2" s="1"/>
  <c r="AW65" i="2"/>
  <c r="BC65" i="2" s="1"/>
  <c r="BG65" i="2" s="1"/>
  <c r="AW62" i="2"/>
  <c r="BC62" i="2" s="1"/>
  <c r="BG62" i="2" s="1"/>
  <c r="AW69" i="2"/>
  <c r="BC69" i="2" s="1"/>
  <c r="BG69" i="2" s="1"/>
  <c r="AW56" i="2"/>
  <c r="BC56" i="2" s="1"/>
  <c r="BG56" i="2" s="1"/>
  <c r="AW54" i="2"/>
  <c r="BC54" i="2" s="1"/>
  <c r="BG54" i="2" s="1"/>
  <c r="AW64" i="2"/>
  <c r="BC64" i="2" s="1"/>
  <c r="BG64" i="2" s="1"/>
  <c r="AW52" i="2"/>
  <c r="BC52" i="2" s="1"/>
  <c r="BG52" i="2" s="1"/>
  <c r="AW60" i="2"/>
  <c r="BG60" i="2" s="1"/>
  <c r="AW70" i="2"/>
  <c r="BC70" i="2" s="1"/>
  <c r="BG70" i="2" s="1"/>
  <c r="AW68" i="2"/>
  <c r="BC68" i="2" s="1"/>
  <c r="BG68" i="2" s="1"/>
  <c r="AW66" i="2"/>
  <c r="BC66" i="2" s="1"/>
  <c r="BG66" i="2" s="1"/>
  <c r="AW67" i="2"/>
  <c r="BC67" i="2" s="1"/>
  <c r="BG67" i="2" s="1"/>
  <c r="AW55" i="2"/>
  <c r="BC55" i="2" s="1"/>
  <c r="BG55" i="2" s="1"/>
  <c r="AW57" i="2"/>
  <c r="BC57" i="2" s="1"/>
  <c r="BG57" i="2" s="1"/>
  <c r="AW59" i="2"/>
  <c r="BC59" i="2" s="1"/>
  <c r="BG59" i="2" s="1"/>
  <c r="AW58" i="2"/>
  <c r="BC58" i="2" s="1"/>
  <c r="BG58" i="2" s="1"/>
  <c r="AW40" i="2"/>
  <c r="BC40" i="2" s="1"/>
  <c r="BG40" i="2" s="1"/>
  <c r="Y108" i="2"/>
  <c r="AC108" i="2" s="1"/>
  <c r="I107" i="2"/>
  <c r="O107" i="2" s="1"/>
  <c r="S107" i="2" s="1"/>
  <c r="AD53" i="2" l="1"/>
  <c r="AC53" i="2"/>
  <c r="BO40" i="2"/>
  <c r="BT40" i="2" s="1"/>
  <c r="BW40" i="2"/>
  <c r="BW56" i="2"/>
  <c r="BO56" i="2"/>
  <c r="BO57" i="2"/>
  <c r="BW57" i="2"/>
  <c r="BW55" i="2"/>
  <c r="BO55" i="2"/>
  <c r="BW66" i="2"/>
  <c r="BO66" i="2"/>
  <c r="BO58" i="2"/>
  <c r="D32" i="13" s="1"/>
  <c r="BW58" i="2"/>
  <c r="BO65" i="2"/>
  <c r="D39" i="13" s="1"/>
  <c r="BW65" i="2"/>
  <c r="BO64" i="2"/>
  <c r="D38" i="13" s="1"/>
  <c r="BW64" i="2"/>
  <c r="BW67" i="2"/>
  <c r="BO67" i="2"/>
  <c r="BO68" i="2"/>
  <c r="BW68" i="2"/>
  <c r="BO70" i="2"/>
  <c r="D44" i="13" s="1"/>
  <c r="BW70" i="2"/>
  <c r="BW60" i="2"/>
  <c r="BO60" i="2"/>
  <c r="BO63" i="2"/>
  <c r="D37" i="13" s="1"/>
  <c r="BW63" i="2"/>
  <c r="BO54" i="2"/>
  <c r="BW54" i="2"/>
  <c r="BO69" i="2"/>
  <c r="D43" i="13" s="1"/>
  <c r="BW69" i="2"/>
  <c r="BW62" i="2"/>
  <c r="BO62" i="2"/>
  <c r="D36" i="13" s="1"/>
  <c r="BW59" i="2"/>
  <c r="BO59" i="2"/>
  <c r="D33" i="13" s="1"/>
  <c r="BW52" i="2"/>
  <c r="BO52" i="2"/>
  <c r="D26" i="13" s="1"/>
  <c r="BO61" i="2"/>
  <c r="D35" i="13" s="1"/>
  <c r="BW61" i="2"/>
  <c r="M20" i="2"/>
  <c r="BT68" i="2" l="1"/>
  <c r="D42" i="13" s="1"/>
  <c r="BR60" i="2"/>
  <c r="BQ60" i="2"/>
  <c r="BT57" i="2"/>
  <c r="D31" i="13" s="1"/>
  <c r="BT56" i="2"/>
  <c r="D30" i="13" s="1"/>
  <c r="BT55" i="2"/>
  <c r="D29" i="13" s="1"/>
  <c r="BT60" i="2"/>
  <c r="D34" i="13" s="1"/>
  <c r="BT54" i="2"/>
  <c r="BS67" i="2"/>
  <c r="BT66" i="2"/>
  <c r="D40" i="13" s="1"/>
  <c r="AH53" i="2"/>
  <c r="AI53" i="2"/>
  <c r="O19" i="2"/>
  <c r="N20" i="2"/>
  <c r="L20" i="2"/>
  <c r="K20" i="2"/>
  <c r="J20" i="2"/>
  <c r="I20" i="2"/>
  <c r="G20" i="2"/>
  <c r="E20" i="2"/>
  <c r="BS60" i="2" l="1"/>
  <c r="D28" i="13"/>
  <c r="BT67" i="2"/>
  <c r="D41" i="13" s="1"/>
  <c r="BS66" i="2"/>
  <c r="AN53" i="2"/>
  <c r="AM53" i="2"/>
  <c r="T20" i="2"/>
  <c r="P20" i="2"/>
  <c r="R20" i="2"/>
  <c r="W20" i="2"/>
  <c r="Y19" i="2"/>
  <c r="O20" i="2"/>
  <c r="Q20" i="2"/>
  <c r="S20" i="2"/>
  <c r="U20" i="2"/>
  <c r="V20" i="2"/>
  <c r="X20" i="2"/>
  <c r="AR53" i="2" l="1"/>
  <c r="AS53" i="2"/>
  <c r="AG20" i="2"/>
  <c r="AB20" i="2"/>
  <c r="AC20" i="2"/>
  <c r="AA20" i="2"/>
  <c r="Y20" i="2"/>
  <c r="AH20" i="2"/>
  <c r="AF20" i="2"/>
  <c r="AE20" i="2"/>
  <c r="AD20" i="2"/>
  <c r="Z20" i="2"/>
  <c r="AI19" i="2"/>
  <c r="AX53" i="2" l="1"/>
  <c r="AW53" i="2"/>
  <c r="AL20" i="2"/>
  <c r="AQ20" i="2"/>
  <c r="AK20" i="2"/>
  <c r="AR20" i="2"/>
  <c r="AJ20" i="2"/>
  <c r="AI20" i="2"/>
  <c r="AO20" i="2"/>
  <c r="AN20" i="2"/>
  <c r="AM20" i="2"/>
  <c r="AP20" i="2"/>
  <c r="AS19" i="2"/>
  <c r="BB53" i="2" l="1"/>
  <c r="BC53" i="2"/>
  <c r="AV20" i="2"/>
  <c r="AT20" i="2"/>
  <c r="BA20" i="2"/>
  <c r="AS20" i="2"/>
  <c r="AZ20" i="2"/>
  <c r="AX20" i="2"/>
  <c r="AW20" i="2"/>
  <c r="AU20" i="2"/>
  <c r="BB20" i="2"/>
  <c r="AY20" i="2"/>
  <c r="BC19" i="2"/>
  <c r="BH53" i="2" l="1"/>
  <c r="BG53" i="2"/>
  <c r="BK20" i="2"/>
  <c r="BF20" i="2"/>
  <c r="BD20" i="2"/>
  <c r="E20" i="11"/>
  <c r="BI20" i="2"/>
  <c r="BH20" i="2"/>
  <c r="BE20" i="2"/>
  <c r="BL20" i="2"/>
  <c r="BC20" i="2"/>
  <c r="BJ20" i="2"/>
  <c r="BG20" i="2"/>
  <c r="BV20" i="2"/>
  <c r="BQ19" i="2"/>
  <c r="BM19" i="2"/>
  <c r="BW20" i="2"/>
  <c r="BL53" i="2" l="1"/>
  <c r="BW53" i="2" s="1"/>
  <c r="BO53" i="2"/>
  <c r="BQ20" i="2"/>
  <c r="BR20" i="2"/>
  <c r="E31" i="11"/>
  <c r="E39" i="11"/>
  <c r="E34" i="11"/>
  <c r="E30" i="11"/>
  <c r="E27" i="11"/>
  <c r="E38" i="11"/>
  <c r="E26" i="11"/>
  <c r="E32" i="11"/>
  <c r="E24" i="11"/>
  <c r="E40" i="11"/>
  <c r="E37" i="11"/>
  <c r="E25" i="11"/>
  <c r="E28" i="11"/>
  <c r="E33" i="11"/>
  <c r="E35" i="11"/>
  <c r="E29" i="11"/>
  <c r="E36" i="11"/>
  <c r="BP20" i="2"/>
  <c r="BN20" i="2"/>
  <c r="BM20" i="2"/>
  <c r="BO20" i="2"/>
  <c r="Y59" i="13"/>
  <c r="X59" i="13"/>
  <c r="W59" i="13"/>
  <c r="V59" i="13"/>
  <c r="U59" i="13"/>
  <c r="T59" i="13"/>
  <c r="S59" i="13"/>
  <c r="R59" i="13"/>
  <c r="Q59" i="13"/>
  <c r="P59" i="13"/>
  <c r="O59" i="13"/>
  <c r="N59" i="13"/>
  <c r="M59" i="13"/>
  <c r="L59" i="13"/>
  <c r="K59" i="13"/>
  <c r="J59" i="13"/>
  <c r="I59" i="13"/>
  <c r="H59" i="13"/>
  <c r="G59" i="13"/>
  <c r="F59" i="13"/>
  <c r="BP53" i="2" l="1"/>
  <c r="D27" i="13"/>
  <c r="D100" i="14"/>
  <c r="D101" i="14"/>
  <c r="D102" i="14"/>
  <c r="D103" i="14"/>
  <c r="D104" i="14"/>
  <c r="D105" i="14"/>
  <c r="D106" i="14"/>
  <c r="D107" i="14"/>
  <c r="D108" i="14"/>
  <c r="D99" i="14"/>
  <c r="BS53" i="2" l="1"/>
  <c r="AC41" i="12"/>
  <c r="AA41" i="12"/>
  <c r="Y41" i="12"/>
  <c r="X41" i="12"/>
  <c r="W41" i="12"/>
  <c r="V41" i="12"/>
  <c r="U41" i="12"/>
  <c r="BH105" i="2" l="1"/>
  <c r="BL105" i="2" s="1"/>
  <c r="BP105" i="2" s="1"/>
  <c r="BS105" i="2" s="1"/>
  <c r="BC105" i="2" l="1"/>
  <c r="BG105" i="2" s="1"/>
  <c r="BW105" i="2" l="1"/>
  <c r="BX105" i="2" s="1"/>
  <c r="BO105" i="2"/>
  <c r="BT105" i="2" s="1"/>
  <c r="D209" i="14"/>
  <c r="D208" i="14"/>
  <c r="I24" i="2" l="1"/>
  <c r="E45" i="2"/>
  <c r="N39" i="2"/>
  <c r="N38" i="2"/>
  <c r="N37" i="2"/>
  <c r="N36" i="2"/>
  <c r="N35" i="2"/>
  <c r="N34" i="2"/>
  <c r="N33" i="2"/>
  <c r="N32" i="2"/>
  <c r="N31" i="2"/>
  <c r="N30" i="2"/>
  <c r="N29" i="2"/>
  <c r="N26" i="2"/>
  <c r="N24" i="2"/>
  <c r="I39" i="2"/>
  <c r="I38" i="2"/>
  <c r="I37" i="2"/>
  <c r="I36" i="2"/>
  <c r="I35" i="2"/>
  <c r="I34" i="2"/>
  <c r="I33" i="2"/>
  <c r="I32" i="2"/>
  <c r="I31" i="2"/>
  <c r="I30" i="2"/>
  <c r="I29" i="2"/>
  <c r="N43" i="2" l="1"/>
  <c r="E44" i="2"/>
  <c r="E85" i="2"/>
  <c r="D69" i="11" l="1"/>
  <c r="BL27" i="2" l="1"/>
  <c r="BL28" i="2"/>
  <c r="BG27" i="2"/>
  <c r="BO27" i="2" s="1"/>
  <c r="BG28" i="2"/>
  <c r="BW27" i="2" l="1"/>
  <c r="BW28" i="2"/>
  <c r="BP28" i="2"/>
  <c r="BP27" i="2"/>
  <c r="BO28" i="2"/>
  <c r="BT28" i="2" l="1"/>
  <c r="BS27" i="2"/>
  <c r="BR45" i="2"/>
  <c r="BS28" i="2"/>
  <c r="AI108" i="2"/>
  <c r="BR44" i="2" l="1"/>
  <c r="Y107" i="2"/>
  <c r="AC107" i="2" s="1"/>
  <c r="AI107" i="2" s="1"/>
  <c r="N88" i="2"/>
  <c r="I88" i="2"/>
  <c r="S88" i="2" s="1"/>
  <c r="N74" i="2"/>
  <c r="I74" i="2"/>
  <c r="S74" i="2" s="1"/>
  <c r="T50" i="2"/>
  <c r="X50" i="2" s="1"/>
  <c r="O50" i="2"/>
  <c r="S50" i="2" l="1"/>
  <c r="Y50" i="2" s="1"/>
  <c r="AC50" i="2" s="1"/>
  <c r="I95" i="2"/>
  <c r="I96" i="2"/>
  <c r="I97" i="2"/>
  <c r="I98" i="2"/>
  <c r="I99" i="2"/>
  <c r="I100" i="2"/>
  <c r="I73" i="2"/>
  <c r="I101" i="2"/>
  <c r="I102" i="2"/>
  <c r="I103" i="2"/>
  <c r="I104" i="2"/>
  <c r="D180" i="14" l="1"/>
  <c r="D53" i="11" l="1"/>
  <c r="D54" i="11"/>
  <c r="D55" i="11"/>
  <c r="D56" i="11"/>
  <c r="D57" i="11"/>
  <c r="D58" i="11"/>
  <c r="D59" i="11"/>
  <c r="D60" i="11"/>
  <c r="D61" i="11"/>
  <c r="D62" i="11"/>
  <c r="D63" i="11"/>
  <c r="D64" i="11"/>
  <c r="D65" i="11"/>
  <c r="D66" i="11"/>
  <c r="D67" i="11"/>
  <c r="D68" i="11"/>
  <c r="D43" i="11"/>
  <c r="D44" i="11"/>
  <c r="D45" i="11"/>
  <c r="D46" i="11"/>
  <c r="D47" i="11"/>
  <c r="D48" i="11"/>
  <c r="D49" i="11"/>
  <c r="D50" i="11"/>
  <c r="D51" i="11"/>
  <c r="D52" i="11"/>
  <c r="D42" i="11"/>
  <c r="C43" i="11"/>
  <c r="C44" i="11"/>
  <c r="C45" i="11"/>
  <c r="C46" i="11"/>
  <c r="AM108" i="2" l="1"/>
  <c r="AS108" i="2" s="1"/>
  <c r="AM107" i="2"/>
  <c r="AS107" i="2" s="1"/>
  <c r="AW107" i="2" l="1"/>
  <c r="BC107" i="2" s="1"/>
  <c r="BG107" i="2" s="1"/>
  <c r="BW107" i="2" s="1"/>
  <c r="BX107" i="2" s="1"/>
  <c r="AW108" i="2"/>
  <c r="BC108" i="2" s="1"/>
  <c r="BG108" i="2" s="1"/>
  <c r="E87" i="11" l="1"/>
  <c r="BO107" i="2"/>
  <c r="D75" i="13" s="1"/>
  <c r="BW108" i="2"/>
  <c r="BO108" i="2"/>
  <c r="Y4" i="13"/>
  <c r="X4" i="13"/>
  <c r="W4" i="13"/>
  <c r="V4" i="13"/>
  <c r="U4" i="13"/>
  <c r="T4" i="13"/>
  <c r="S4" i="13"/>
  <c r="R4" i="13"/>
  <c r="Q4" i="13"/>
  <c r="P4" i="13"/>
  <c r="O4" i="13"/>
  <c r="N4" i="13"/>
  <c r="M4" i="13"/>
  <c r="L4" i="13"/>
  <c r="K4" i="13"/>
  <c r="J4" i="13"/>
  <c r="I4" i="13"/>
  <c r="H4" i="13"/>
  <c r="G4" i="13"/>
  <c r="F4" i="13"/>
  <c r="Y64" i="13" l="1"/>
  <c r="Y84" i="13"/>
  <c r="X64" i="13"/>
  <c r="X84" i="13"/>
  <c r="W64" i="13"/>
  <c r="W84" i="13"/>
  <c r="V64" i="13"/>
  <c r="V84" i="13"/>
  <c r="U64" i="13"/>
  <c r="U84" i="13"/>
  <c r="T64" i="13"/>
  <c r="T84" i="13"/>
  <c r="S64" i="13"/>
  <c r="S84" i="13"/>
  <c r="R64" i="13"/>
  <c r="R84" i="13"/>
  <c r="Q64" i="13"/>
  <c r="Q84" i="13"/>
  <c r="P64" i="13"/>
  <c r="P84" i="13"/>
  <c r="O64" i="13"/>
  <c r="O84" i="13"/>
  <c r="M64" i="13"/>
  <c r="M84" i="13"/>
  <c r="L64" i="13"/>
  <c r="L84" i="13"/>
  <c r="BX108" i="2"/>
  <c r="E88" i="11"/>
  <c r="E89" i="11"/>
  <c r="H19" i="13"/>
  <c r="M19" i="13"/>
  <c r="F19" i="13"/>
  <c r="J19" i="13"/>
  <c r="N19" i="13"/>
  <c r="R19" i="13"/>
  <c r="V19" i="13"/>
  <c r="G19" i="13"/>
  <c r="K19" i="13"/>
  <c r="O19" i="13"/>
  <c r="S19" i="13"/>
  <c r="W19" i="13"/>
  <c r="L19" i="13"/>
  <c r="P19" i="13"/>
  <c r="T19" i="13"/>
  <c r="X19" i="13"/>
  <c r="I19" i="13"/>
  <c r="Q19" i="13"/>
  <c r="U19" i="13"/>
  <c r="Y19" i="13"/>
  <c r="N18" i="13"/>
  <c r="R26" i="13"/>
  <c r="R27" i="13"/>
  <c r="R28" i="13"/>
  <c r="R29" i="13"/>
  <c r="R30" i="13"/>
  <c r="R31" i="13"/>
  <c r="R32" i="13"/>
  <c r="R33" i="13"/>
  <c r="R34" i="13"/>
  <c r="R35" i="13"/>
  <c r="R36" i="13"/>
  <c r="R37" i="13"/>
  <c r="R38" i="13"/>
  <c r="R39" i="13"/>
  <c r="R40" i="13"/>
  <c r="R41" i="13"/>
  <c r="R42" i="13"/>
  <c r="R43" i="13"/>
  <c r="R44" i="13"/>
  <c r="R45" i="13"/>
  <c r="V26" i="13"/>
  <c r="V27" i="13"/>
  <c r="V28" i="13"/>
  <c r="V29" i="13"/>
  <c r="V30" i="13"/>
  <c r="V31" i="13"/>
  <c r="V32" i="13"/>
  <c r="V33" i="13"/>
  <c r="V34" i="13"/>
  <c r="V35" i="13"/>
  <c r="V36" i="13"/>
  <c r="V37" i="13"/>
  <c r="V38" i="13"/>
  <c r="V39" i="13"/>
  <c r="V40" i="13"/>
  <c r="V41" i="13"/>
  <c r="V42" i="13"/>
  <c r="V43" i="13"/>
  <c r="V44" i="13"/>
  <c r="V45" i="13"/>
  <c r="O26" i="13"/>
  <c r="O27" i="13"/>
  <c r="O28" i="13"/>
  <c r="O29" i="13"/>
  <c r="O30" i="13"/>
  <c r="O31" i="13"/>
  <c r="O32" i="13"/>
  <c r="O33" i="13"/>
  <c r="O34" i="13"/>
  <c r="O35" i="13"/>
  <c r="O36" i="13"/>
  <c r="O37" i="13"/>
  <c r="O38" i="13"/>
  <c r="O39" i="13"/>
  <c r="O40" i="13"/>
  <c r="O41" i="13"/>
  <c r="O42" i="13"/>
  <c r="O43" i="13"/>
  <c r="O44" i="13"/>
  <c r="O45" i="13"/>
  <c r="S26" i="13"/>
  <c r="S27" i="13"/>
  <c r="S28" i="13"/>
  <c r="S29" i="13"/>
  <c r="S30" i="13"/>
  <c r="S31" i="13"/>
  <c r="S32" i="13"/>
  <c r="S33" i="13"/>
  <c r="S34" i="13"/>
  <c r="S35" i="13"/>
  <c r="S36" i="13"/>
  <c r="S37" i="13"/>
  <c r="S38" i="13"/>
  <c r="S39" i="13"/>
  <c r="S40" i="13"/>
  <c r="S41" i="13"/>
  <c r="S42" i="13"/>
  <c r="S43" i="13"/>
  <c r="S44" i="13"/>
  <c r="S45" i="13"/>
  <c r="W26" i="13"/>
  <c r="W27" i="13"/>
  <c r="W28" i="13"/>
  <c r="W29" i="13"/>
  <c r="W30" i="13"/>
  <c r="W31" i="13"/>
  <c r="W32" i="13"/>
  <c r="W33" i="13"/>
  <c r="W34" i="13"/>
  <c r="W35" i="13"/>
  <c r="W36" i="13"/>
  <c r="W37" i="13"/>
  <c r="W38" i="13"/>
  <c r="W39" i="13"/>
  <c r="W40" i="13"/>
  <c r="W41" i="13"/>
  <c r="W42" i="13"/>
  <c r="W43" i="13"/>
  <c r="W44" i="13"/>
  <c r="W45" i="13"/>
  <c r="L26" i="13"/>
  <c r="L27" i="13"/>
  <c r="L28" i="13"/>
  <c r="L29" i="13"/>
  <c r="L30" i="13"/>
  <c r="L31" i="13"/>
  <c r="L32" i="13"/>
  <c r="L33" i="13"/>
  <c r="L34" i="13"/>
  <c r="L35" i="13"/>
  <c r="L36" i="13"/>
  <c r="L37" i="13"/>
  <c r="L38" i="13"/>
  <c r="L39" i="13"/>
  <c r="L40" i="13"/>
  <c r="L41" i="13"/>
  <c r="L42" i="13"/>
  <c r="L43" i="13"/>
  <c r="L44" i="13"/>
  <c r="L45" i="13"/>
  <c r="P26" i="13"/>
  <c r="P27" i="13"/>
  <c r="P28" i="13"/>
  <c r="P29" i="13"/>
  <c r="P30" i="13"/>
  <c r="P31" i="13"/>
  <c r="P32" i="13"/>
  <c r="P33" i="13"/>
  <c r="P34" i="13"/>
  <c r="P35" i="13"/>
  <c r="P36" i="13"/>
  <c r="P37" i="13"/>
  <c r="P38" i="13"/>
  <c r="P39" i="13"/>
  <c r="P40" i="13"/>
  <c r="P41" i="13"/>
  <c r="P42" i="13"/>
  <c r="P43" i="13"/>
  <c r="P44" i="13"/>
  <c r="P45" i="13"/>
  <c r="T26" i="13"/>
  <c r="T27" i="13"/>
  <c r="T28" i="13"/>
  <c r="T29" i="13"/>
  <c r="T30" i="13"/>
  <c r="T31" i="13"/>
  <c r="T32" i="13"/>
  <c r="T33" i="13"/>
  <c r="T34" i="13"/>
  <c r="T35" i="13"/>
  <c r="T36" i="13"/>
  <c r="T37" i="13"/>
  <c r="T38" i="13"/>
  <c r="T39" i="13"/>
  <c r="T40" i="13"/>
  <c r="T41" i="13"/>
  <c r="T42" i="13"/>
  <c r="T43" i="13"/>
  <c r="T44" i="13"/>
  <c r="T45" i="13"/>
  <c r="X26" i="13"/>
  <c r="X27" i="13"/>
  <c r="X28" i="13"/>
  <c r="X29" i="13"/>
  <c r="X30" i="13"/>
  <c r="X31" i="13"/>
  <c r="X32" i="13"/>
  <c r="X33" i="13"/>
  <c r="X34" i="13"/>
  <c r="X35" i="13"/>
  <c r="X36" i="13"/>
  <c r="X37" i="13"/>
  <c r="X38" i="13"/>
  <c r="X39" i="13"/>
  <c r="X40" i="13"/>
  <c r="X41" i="13"/>
  <c r="X42" i="13"/>
  <c r="X43" i="13"/>
  <c r="X44" i="13"/>
  <c r="X45" i="13"/>
  <c r="M26" i="13"/>
  <c r="M27" i="13"/>
  <c r="M28" i="13"/>
  <c r="M29" i="13"/>
  <c r="M30" i="13"/>
  <c r="M31" i="13"/>
  <c r="M32" i="13"/>
  <c r="M33" i="13"/>
  <c r="M34" i="13"/>
  <c r="M35" i="13"/>
  <c r="M36" i="13"/>
  <c r="M37" i="13"/>
  <c r="M38" i="13"/>
  <c r="M39" i="13"/>
  <c r="M40" i="13"/>
  <c r="M41" i="13"/>
  <c r="M42" i="13"/>
  <c r="M43" i="13"/>
  <c r="M45" i="13"/>
  <c r="M44" i="13"/>
  <c r="Q26" i="13"/>
  <c r="Q27" i="13"/>
  <c r="Q28" i="13"/>
  <c r="Q29" i="13"/>
  <c r="Q30" i="13"/>
  <c r="Q31" i="13"/>
  <c r="Q32" i="13"/>
  <c r="Q33" i="13"/>
  <c r="Q34" i="13"/>
  <c r="Q35" i="13"/>
  <c r="Q36" i="13"/>
  <c r="Q37" i="13"/>
  <c r="Q38" i="13"/>
  <c r="Q39" i="13"/>
  <c r="Q40" i="13"/>
  <c r="Q41" i="13"/>
  <c r="Q42" i="13"/>
  <c r="Q44" i="13"/>
  <c r="Q43" i="13"/>
  <c r="Q45" i="13"/>
  <c r="U26" i="13"/>
  <c r="U27" i="13"/>
  <c r="U28" i="13"/>
  <c r="U29" i="13"/>
  <c r="U30" i="13"/>
  <c r="U31" i="13"/>
  <c r="U32" i="13"/>
  <c r="U33" i="13"/>
  <c r="U34" i="13"/>
  <c r="U35" i="13"/>
  <c r="U36" i="13"/>
  <c r="U37" i="13"/>
  <c r="U38" i="13"/>
  <c r="U39" i="13"/>
  <c r="U40" i="13"/>
  <c r="U41" i="13"/>
  <c r="U42" i="13"/>
  <c r="U43" i="13"/>
  <c r="U45" i="13"/>
  <c r="U44" i="13"/>
  <c r="Y26" i="13"/>
  <c r="Y27" i="13"/>
  <c r="Y28" i="13"/>
  <c r="Y29" i="13"/>
  <c r="Y30" i="13"/>
  <c r="Y31" i="13"/>
  <c r="Y32" i="13"/>
  <c r="Y33" i="13"/>
  <c r="Y34" i="13"/>
  <c r="Y35" i="13"/>
  <c r="Y36" i="13"/>
  <c r="Y37" i="13"/>
  <c r="Y38" i="13"/>
  <c r="Y39" i="13"/>
  <c r="Y40" i="13"/>
  <c r="Y41" i="13"/>
  <c r="Y42" i="13"/>
  <c r="Y45" i="13"/>
  <c r="Y43" i="13"/>
  <c r="Y44" i="13"/>
  <c r="J14" i="13"/>
  <c r="J18" i="13"/>
  <c r="J12" i="13"/>
  <c r="J13" i="13"/>
  <c r="J17" i="13"/>
  <c r="J16" i="13"/>
  <c r="J15" i="13"/>
  <c r="V14" i="13"/>
  <c r="V18" i="13"/>
  <c r="V15" i="13"/>
  <c r="V13" i="13"/>
  <c r="V17" i="13"/>
  <c r="V12" i="13"/>
  <c r="V16" i="13"/>
  <c r="V11" i="13"/>
  <c r="G15" i="13"/>
  <c r="G13" i="13"/>
  <c r="G17" i="13"/>
  <c r="G16" i="13"/>
  <c r="G14" i="13"/>
  <c r="G18" i="13"/>
  <c r="G12" i="13"/>
  <c r="K15" i="13"/>
  <c r="K13" i="13"/>
  <c r="K14" i="13"/>
  <c r="K18" i="13"/>
  <c r="K17" i="13"/>
  <c r="K12" i="13"/>
  <c r="K16" i="13"/>
  <c r="O15" i="13"/>
  <c r="O17" i="13"/>
  <c r="O12" i="13"/>
  <c r="O14" i="13"/>
  <c r="O18" i="13"/>
  <c r="O13" i="13"/>
  <c r="O16" i="13"/>
  <c r="O11" i="13"/>
  <c r="S15" i="13"/>
  <c r="S13" i="13"/>
  <c r="S16" i="13"/>
  <c r="S14" i="13"/>
  <c r="S18" i="13"/>
  <c r="S17" i="13"/>
  <c r="S12" i="13"/>
  <c r="S11" i="13"/>
  <c r="W15" i="13"/>
  <c r="W17" i="13"/>
  <c r="W12" i="13"/>
  <c r="W14" i="13"/>
  <c r="W18" i="13"/>
  <c r="W13" i="13"/>
  <c r="W16" i="13"/>
  <c r="W11" i="13"/>
  <c r="N14" i="13"/>
  <c r="N16" i="13"/>
  <c r="N15" i="13"/>
  <c r="N13" i="13"/>
  <c r="N17" i="13"/>
  <c r="N12" i="13"/>
  <c r="H12" i="13"/>
  <c r="H16" i="13"/>
  <c r="H14" i="13"/>
  <c r="H17" i="13"/>
  <c r="H15" i="13"/>
  <c r="H18" i="13"/>
  <c r="H13" i="13"/>
  <c r="L12" i="13"/>
  <c r="L16" i="13"/>
  <c r="L14" i="13"/>
  <c r="L18" i="13"/>
  <c r="L13" i="13"/>
  <c r="L15" i="13"/>
  <c r="L17" i="13"/>
  <c r="L11" i="13"/>
  <c r="P12" i="13"/>
  <c r="P16" i="13"/>
  <c r="P17" i="13"/>
  <c r="P15" i="13"/>
  <c r="P14" i="13"/>
  <c r="P18" i="13"/>
  <c r="P13" i="13"/>
  <c r="P11" i="13"/>
  <c r="T12" i="13"/>
  <c r="T16" i="13"/>
  <c r="T14" i="13"/>
  <c r="T18" i="13"/>
  <c r="T13" i="13"/>
  <c r="T15" i="13"/>
  <c r="T17" i="13"/>
  <c r="T11" i="13"/>
  <c r="X12" i="13"/>
  <c r="X16" i="13"/>
  <c r="X17" i="13"/>
  <c r="X15" i="13"/>
  <c r="X14" i="13"/>
  <c r="X18" i="13"/>
  <c r="X13" i="13"/>
  <c r="X11" i="13"/>
  <c r="F13" i="13"/>
  <c r="F14" i="13"/>
  <c r="F18" i="13"/>
  <c r="F12" i="13"/>
  <c r="F16" i="13"/>
  <c r="F17" i="13"/>
  <c r="F15" i="13"/>
  <c r="R14" i="13"/>
  <c r="R18" i="13"/>
  <c r="R12" i="13"/>
  <c r="R16" i="13"/>
  <c r="R13" i="13"/>
  <c r="R17" i="13"/>
  <c r="R15" i="13"/>
  <c r="R11" i="13"/>
  <c r="I13" i="13"/>
  <c r="I17" i="13"/>
  <c r="I15" i="13"/>
  <c r="I14" i="13"/>
  <c r="I18" i="13"/>
  <c r="I12" i="13"/>
  <c r="I16" i="13"/>
  <c r="M13" i="13"/>
  <c r="M17" i="13"/>
  <c r="M12" i="13"/>
  <c r="M16" i="13"/>
  <c r="M15" i="13"/>
  <c r="M14" i="13"/>
  <c r="M18" i="13"/>
  <c r="M11" i="13"/>
  <c r="Q13" i="13"/>
  <c r="Q17" i="13"/>
  <c r="Q15" i="13"/>
  <c r="Q14" i="13"/>
  <c r="Q12" i="13"/>
  <c r="Q16" i="13"/>
  <c r="Q18" i="13"/>
  <c r="Q11" i="13"/>
  <c r="U13" i="13"/>
  <c r="U17" i="13"/>
  <c r="U18" i="13"/>
  <c r="U12" i="13"/>
  <c r="U16" i="13"/>
  <c r="U15" i="13"/>
  <c r="U14" i="13"/>
  <c r="U11" i="13"/>
  <c r="Y13" i="13"/>
  <c r="Y17" i="13"/>
  <c r="Y15" i="13"/>
  <c r="Y14" i="13"/>
  <c r="Y12" i="13"/>
  <c r="Y16" i="13"/>
  <c r="Y18" i="13"/>
  <c r="Y11" i="13"/>
  <c r="Y63" i="13"/>
  <c r="X63" i="13"/>
  <c r="W63" i="13"/>
  <c r="V63" i="13"/>
  <c r="U63" i="13"/>
  <c r="T63" i="13"/>
  <c r="S63" i="13"/>
  <c r="R63" i="13"/>
  <c r="Y47" i="13"/>
  <c r="X47" i="13"/>
  <c r="W47" i="13"/>
  <c r="V47" i="13"/>
  <c r="U47" i="13"/>
  <c r="T47" i="13"/>
  <c r="S47" i="13"/>
  <c r="R47" i="13"/>
  <c r="D171" i="14"/>
  <c r="D170" i="14"/>
  <c r="D169" i="14"/>
  <c r="D168" i="14"/>
  <c r="D167" i="14"/>
  <c r="D166" i="14"/>
  <c r="D165" i="14"/>
  <c r="D164" i="14"/>
  <c r="D163" i="14"/>
  <c r="D162" i="14"/>
  <c r="D161" i="14"/>
  <c r="D160" i="14"/>
  <c r="D109" i="14" l="1"/>
  <c r="D110" i="14"/>
  <c r="D111" i="14"/>
  <c r="D112" i="14"/>
  <c r="D113" i="14"/>
  <c r="D114" i="14"/>
  <c r="D115" i="14"/>
  <c r="D116" i="14"/>
  <c r="D117" i="14"/>
  <c r="D118" i="14"/>
  <c r="T27" i="12"/>
  <c r="L27" i="12"/>
  <c r="M27" i="12"/>
  <c r="D23" i="22" s="1"/>
  <c r="J23" i="22" s="1"/>
  <c r="D78" i="14" s="1"/>
  <c r="M22" i="12"/>
  <c r="D18" i="22" s="1"/>
  <c r="J18" i="22" s="1"/>
  <c r="M23" i="12"/>
  <c r="M24" i="12"/>
  <c r="D20" i="22" s="1"/>
  <c r="J20" i="22" s="1"/>
  <c r="M25" i="12"/>
  <c r="D21" i="22" s="1"/>
  <c r="J21" i="22" s="1"/>
  <c r="D76" i="14" s="1"/>
  <c r="M26" i="12"/>
  <c r="D22" i="22" s="1"/>
  <c r="J22" i="22" s="1"/>
  <c r="M28" i="12"/>
  <c r="D24" i="22" s="1"/>
  <c r="J24" i="22" s="1"/>
  <c r="D79" i="14" s="1"/>
  <c r="M29" i="12"/>
  <c r="D25" i="22" s="1"/>
  <c r="J25" i="22" s="1"/>
  <c r="M30" i="12"/>
  <c r="D26" i="22" s="1"/>
  <c r="J26" i="22" s="1"/>
  <c r="M31" i="12"/>
  <c r="D27" i="22" s="1"/>
  <c r="J27" i="22" s="1"/>
  <c r="M32" i="12"/>
  <c r="D28" i="22" s="1"/>
  <c r="J28" i="22" s="1"/>
  <c r="M33" i="12"/>
  <c r="D29" i="22" s="1"/>
  <c r="J29" i="22" s="1"/>
  <c r="M34" i="12"/>
  <c r="D30" i="22" s="1"/>
  <c r="J30" i="22" s="1"/>
  <c r="M35" i="12"/>
  <c r="D31" i="22" s="1"/>
  <c r="J31" i="22" s="1"/>
  <c r="M36" i="12"/>
  <c r="D32" i="22" s="1"/>
  <c r="J32" i="22" s="1"/>
  <c r="M37" i="12"/>
  <c r="D33" i="22" s="1"/>
  <c r="J33" i="22" s="1"/>
  <c r="M38" i="12"/>
  <c r="D34" i="22" s="1"/>
  <c r="J34" i="22" s="1"/>
  <c r="M39" i="12"/>
  <c r="D35" i="22" s="1"/>
  <c r="J35" i="22" s="1"/>
  <c r="M40" i="12"/>
  <c r="D36" i="22" s="1"/>
  <c r="J36" i="22" s="1"/>
  <c r="L22" i="12"/>
  <c r="L23" i="12"/>
  <c r="L24" i="12"/>
  <c r="L25" i="12"/>
  <c r="L26" i="12"/>
  <c r="L28" i="12"/>
  <c r="L29" i="12"/>
  <c r="L30" i="12"/>
  <c r="L31" i="12"/>
  <c r="L32" i="12"/>
  <c r="L33" i="12"/>
  <c r="L34" i="12"/>
  <c r="L35" i="12"/>
  <c r="L36" i="12"/>
  <c r="L37" i="12"/>
  <c r="L38" i="12"/>
  <c r="L39" i="12"/>
  <c r="L40" i="12"/>
  <c r="D19" i="22" l="1"/>
  <c r="J19" i="22" s="1"/>
  <c r="C35" i="22"/>
  <c r="I35" i="22" s="1"/>
  <c r="Q39" i="12"/>
  <c r="C31" i="22"/>
  <c r="I31" i="22" s="1"/>
  <c r="Q35" i="12"/>
  <c r="C27" i="22"/>
  <c r="I27" i="22" s="1"/>
  <c r="Q31" i="12"/>
  <c r="C22" i="22"/>
  <c r="I22" i="22" s="1"/>
  <c r="Q26" i="12"/>
  <c r="C18" i="22"/>
  <c r="I18" i="22" s="1"/>
  <c r="Q22" i="12"/>
  <c r="C23" i="22"/>
  <c r="I23" i="22" s="1"/>
  <c r="Q27" i="12"/>
  <c r="C34" i="22"/>
  <c r="I34" i="22" s="1"/>
  <c r="Q38" i="12"/>
  <c r="C30" i="22"/>
  <c r="I30" i="22" s="1"/>
  <c r="Q34" i="12"/>
  <c r="C26" i="22"/>
  <c r="I26" i="22" s="1"/>
  <c r="Q30" i="12"/>
  <c r="C21" i="22"/>
  <c r="I21" i="22" s="1"/>
  <c r="Q25" i="12"/>
  <c r="C33" i="22"/>
  <c r="I33" i="22" s="1"/>
  <c r="Q37" i="12"/>
  <c r="C29" i="22"/>
  <c r="I29" i="22" s="1"/>
  <c r="Q33" i="12"/>
  <c r="C25" i="22"/>
  <c r="I25" i="22" s="1"/>
  <c r="Q29" i="12"/>
  <c r="C20" i="22"/>
  <c r="I20" i="22" s="1"/>
  <c r="D75" i="14" s="1"/>
  <c r="Q24" i="12"/>
  <c r="C36" i="22"/>
  <c r="I36" i="22" s="1"/>
  <c r="Q40" i="12"/>
  <c r="C32" i="22"/>
  <c r="I32" i="22" s="1"/>
  <c r="Q36" i="12"/>
  <c r="C28" i="22"/>
  <c r="I28" i="22" s="1"/>
  <c r="Q32" i="12"/>
  <c r="C24" i="22"/>
  <c r="I24" i="22" s="1"/>
  <c r="Q28" i="12"/>
  <c r="C19" i="22"/>
  <c r="I19" i="22" s="1"/>
  <c r="Q23" i="12"/>
  <c r="T22" i="12"/>
  <c r="T23" i="12"/>
  <c r="T24" i="12"/>
  <c r="T25" i="12"/>
  <c r="T26" i="12"/>
  <c r="T28" i="12"/>
  <c r="T29" i="12"/>
  <c r="T30" i="12"/>
  <c r="T31" i="12"/>
  <c r="T32" i="12"/>
  <c r="T33" i="12"/>
  <c r="T34" i="12"/>
  <c r="T35" i="12"/>
  <c r="T36" i="12"/>
  <c r="T37" i="12"/>
  <c r="T38" i="12"/>
  <c r="T39" i="12"/>
  <c r="T40" i="12"/>
  <c r="T21" i="12"/>
  <c r="D74" i="14" l="1"/>
  <c r="D77" i="14"/>
  <c r="D80" i="14"/>
  <c r="D73" i="14"/>
  <c r="T41" i="12"/>
  <c r="D210" i="14"/>
  <c r="D211" i="14"/>
  <c r="D212" i="14"/>
  <c r="D213" i="14"/>
  <c r="D214" i="14"/>
  <c r="D215" i="14"/>
  <c r="D216" i="14"/>
  <c r="D217" i="14"/>
  <c r="D218" i="14"/>
  <c r="D219" i="14"/>
  <c r="D220" i="14"/>
  <c r="D221" i="14"/>
  <c r="D222" i="14"/>
  <c r="D223" i="14"/>
  <c r="D224" i="14"/>
  <c r="D225" i="14"/>
  <c r="D226" i="14"/>
  <c r="D227" i="14"/>
  <c r="C136" i="14"/>
  <c r="C137" i="14"/>
  <c r="C138" i="14"/>
  <c r="C139" i="14"/>
  <c r="C140" i="14"/>
  <c r="C141" i="14"/>
  <c r="C142" i="14"/>
  <c r="C143" i="14"/>
  <c r="C144" i="14"/>
  <c r="D193" i="14" l="1"/>
  <c r="D192" i="14"/>
  <c r="D199" i="14"/>
  <c r="D198" i="14"/>
  <c r="D197" i="14"/>
  <c r="D196" i="14"/>
  <c r="D195" i="14"/>
  <c r="D194" i="14"/>
  <c r="D191" i="14"/>
  <c r="H227" i="14"/>
  <c r="H226" i="14"/>
  <c r="H225" i="14"/>
  <c r="H224" i="14"/>
  <c r="H223" i="14"/>
  <c r="H222" i="14"/>
  <c r="H221" i="14"/>
  <c r="H220" i="14"/>
  <c r="H219" i="14"/>
  <c r="H218" i="14"/>
  <c r="H217" i="14"/>
  <c r="H216" i="14"/>
  <c r="H215" i="14"/>
  <c r="H214" i="14"/>
  <c r="H213" i="14"/>
  <c r="H212" i="14"/>
  <c r="H211" i="14"/>
  <c r="H210" i="14"/>
  <c r="H209" i="14"/>
  <c r="H208" i="14"/>
  <c r="H118" i="14"/>
  <c r="H117" i="14"/>
  <c r="H116" i="14"/>
  <c r="H115" i="14"/>
  <c r="H114" i="14"/>
  <c r="H113" i="14"/>
  <c r="H112" i="14"/>
  <c r="H111" i="14"/>
  <c r="H110" i="14"/>
  <c r="H109" i="14"/>
  <c r="H108" i="14"/>
  <c r="H107" i="14"/>
  <c r="H106" i="14"/>
  <c r="H105" i="14"/>
  <c r="H104" i="14"/>
  <c r="H103" i="14"/>
  <c r="H102" i="14"/>
  <c r="H101" i="14"/>
  <c r="H100" i="14"/>
  <c r="H99" i="14"/>
  <c r="H65" i="14"/>
  <c r="H64" i="14"/>
  <c r="H63" i="14"/>
  <c r="H62" i="14"/>
  <c r="H61" i="14"/>
  <c r="H60" i="14"/>
  <c r="H59" i="14"/>
  <c r="H58" i="14"/>
  <c r="H57" i="14"/>
  <c r="H56" i="14"/>
  <c r="H55" i="14"/>
  <c r="H54" i="14"/>
  <c r="H53" i="14"/>
  <c r="H52" i="14"/>
  <c r="H51" i="14"/>
  <c r="H50" i="14"/>
  <c r="H49" i="14"/>
  <c r="H48" i="14"/>
  <c r="H47" i="14"/>
  <c r="H46" i="14"/>
  <c r="B21" i="14"/>
  <c r="B237" i="14" s="1"/>
  <c r="B22" i="14"/>
  <c r="B238" i="14" s="1"/>
  <c r="B23" i="14"/>
  <c r="B239" i="14" s="1"/>
  <c r="B24" i="14"/>
  <c r="B240" i="14" s="1"/>
  <c r="B25" i="14"/>
  <c r="B241" i="14" s="1"/>
  <c r="B26" i="14"/>
  <c r="B242" i="14" s="1"/>
  <c r="B27" i="14"/>
  <c r="B243" i="14" s="1"/>
  <c r="B28" i="14"/>
  <c r="B244" i="14" s="1"/>
  <c r="B29" i="14"/>
  <c r="B245" i="14" s="1"/>
  <c r="B30" i="14"/>
  <c r="B246" i="14" s="1"/>
  <c r="B31" i="14"/>
  <c r="B247" i="14" s="1"/>
  <c r="B32" i="14"/>
  <c r="B248" i="14" s="1"/>
  <c r="B33" i="14"/>
  <c r="B249" i="14" s="1"/>
  <c r="B34" i="14"/>
  <c r="B250" i="14" s="1"/>
  <c r="B35" i="14"/>
  <c r="B251" i="14" s="1"/>
  <c r="B36" i="14"/>
  <c r="B252" i="14" s="1"/>
  <c r="B37" i="14"/>
  <c r="B253" i="14" s="1"/>
  <c r="B38" i="14"/>
  <c r="B254" i="14" s="1"/>
  <c r="B39" i="14"/>
  <c r="B255" i="14" s="1"/>
  <c r="B20" i="14"/>
  <c r="B236" i="14" s="1"/>
  <c r="H170" i="14"/>
  <c r="H169" i="14"/>
  <c r="H167" i="14"/>
  <c r="H166" i="14"/>
  <c r="H165" i="14"/>
  <c r="H163" i="14"/>
  <c r="H162" i="14"/>
  <c r="H161" i="14"/>
  <c r="H159" i="14"/>
  <c r="H158" i="14"/>
  <c r="H157" i="14"/>
  <c r="H156" i="14"/>
  <c r="H155" i="14"/>
  <c r="H154" i="14"/>
  <c r="H153" i="14"/>
  <c r="G144" i="14"/>
  <c r="G143" i="14"/>
  <c r="G140" i="14"/>
  <c r="G137" i="14"/>
  <c r="G136" i="14"/>
  <c r="G135" i="14"/>
  <c r="G134" i="14"/>
  <c r="G132" i="14"/>
  <c r="G131" i="14"/>
  <c r="G130" i="14"/>
  <c r="G129" i="14"/>
  <c r="G128" i="14"/>
  <c r="G127" i="14"/>
  <c r="G126" i="14"/>
  <c r="G125" i="14"/>
  <c r="D59" i="14"/>
  <c r="E38" i="14" l="1"/>
  <c r="E30" i="14"/>
  <c r="E31" i="14"/>
  <c r="E36" i="14"/>
  <c r="E39" i="14"/>
  <c r="E29" i="14"/>
  <c r="E35" i="14"/>
  <c r="E27" i="14"/>
  <c r="E34" i="14"/>
  <c r="E26" i="14"/>
  <c r="E37" i="14"/>
  <c r="E33" i="14"/>
  <c r="E32" i="14"/>
  <c r="B167" i="14"/>
  <c r="B159" i="14"/>
  <c r="B170" i="14"/>
  <c r="B166" i="14"/>
  <c r="B162" i="14"/>
  <c r="B158" i="14"/>
  <c r="D158" i="14" s="1"/>
  <c r="B171" i="14"/>
  <c r="B163" i="14"/>
  <c r="B169" i="14"/>
  <c r="B165" i="14"/>
  <c r="B161" i="14"/>
  <c r="B157" i="14"/>
  <c r="D157" i="14" s="1"/>
  <c r="B168" i="14"/>
  <c r="B164" i="14"/>
  <c r="B160" i="14"/>
  <c r="D159" i="14"/>
  <c r="B154" i="14"/>
  <c r="B153" i="14"/>
  <c r="B152" i="14"/>
  <c r="B144" i="14"/>
  <c r="B143" i="14"/>
  <c r="B142" i="14"/>
  <c r="B139" i="14"/>
  <c r="B138" i="14"/>
  <c r="B137" i="14"/>
  <c r="B136" i="14"/>
  <c r="B135" i="14"/>
  <c r="B134" i="14"/>
  <c r="B156" i="14"/>
  <c r="B155" i="14"/>
  <c r="B141" i="14"/>
  <c r="B140" i="14"/>
  <c r="H168" i="14"/>
  <c r="H164" i="14"/>
  <c r="H160" i="14"/>
  <c r="H171" i="14"/>
  <c r="G141" i="14"/>
  <c r="G142" i="14"/>
  <c r="G133" i="14"/>
  <c r="G139" i="14"/>
  <c r="G138" i="14"/>
  <c r="B47" i="14"/>
  <c r="B48" i="14"/>
  <c r="B49" i="14"/>
  <c r="B50" i="14"/>
  <c r="B51" i="14"/>
  <c r="B52" i="14"/>
  <c r="E242" i="14" s="1"/>
  <c r="F242" i="14" s="1"/>
  <c r="B53" i="14"/>
  <c r="B54" i="14"/>
  <c r="B55" i="14"/>
  <c r="E245" i="14" s="1"/>
  <c r="F245" i="14" s="1"/>
  <c r="B56" i="14"/>
  <c r="E246" i="14" s="1"/>
  <c r="F246" i="14" s="1"/>
  <c r="B57" i="14"/>
  <c r="B58" i="14"/>
  <c r="B59" i="14"/>
  <c r="E249" i="14" s="1"/>
  <c r="F249" i="14" s="1"/>
  <c r="B60" i="14"/>
  <c r="E250" i="14" s="1"/>
  <c r="F250" i="14" s="1"/>
  <c r="B61" i="14"/>
  <c r="B62" i="14"/>
  <c r="E252" i="14" s="1"/>
  <c r="F252" i="14" s="1"/>
  <c r="B63" i="14"/>
  <c r="E253" i="14" s="1"/>
  <c r="F253" i="14" s="1"/>
  <c r="B64" i="14"/>
  <c r="E254" i="14" s="1"/>
  <c r="F254" i="14" s="1"/>
  <c r="B65" i="14"/>
  <c r="B46" i="14"/>
  <c r="E248" i="14" l="1"/>
  <c r="F248" i="14" s="1"/>
  <c r="E255" i="14"/>
  <c r="F255" i="14" s="1"/>
  <c r="E247" i="14"/>
  <c r="F247" i="14" s="1"/>
  <c r="E251" i="14"/>
  <c r="F251" i="14" s="1"/>
  <c r="E243" i="14"/>
  <c r="F243" i="14" s="1"/>
  <c r="E65" i="14"/>
  <c r="E64" i="14"/>
  <c r="E56" i="14"/>
  <c r="E48" i="14"/>
  <c r="E53" i="14"/>
  <c r="E49" i="14"/>
  <c r="E47" i="14"/>
  <c r="E57" i="14"/>
  <c r="E63" i="14"/>
  <c r="E55" i="14"/>
  <c r="E62" i="14"/>
  <c r="E54" i="14"/>
  <c r="E61" i="14"/>
  <c r="E52" i="14"/>
  <c r="E59" i="14"/>
  <c r="F59" i="14" s="1"/>
  <c r="E60" i="14"/>
  <c r="E51" i="14"/>
  <c r="E46" i="14"/>
  <c r="E58" i="14"/>
  <c r="E50" i="14"/>
  <c r="D156" i="14"/>
  <c r="D155" i="14"/>
  <c r="D154" i="14"/>
  <c r="D153" i="14"/>
  <c r="D152" i="14"/>
  <c r="D65" i="14" l="1"/>
  <c r="F65" i="14" s="1"/>
  <c r="D63" i="14"/>
  <c r="F63" i="14" s="1"/>
  <c r="D61" i="14"/>
  <c r="F61" i="14" s="1"/>
  <c r="K41" i="12"/>
  <c r="J41" i="12"/>
  <c r="D47" i="14"/>
  <c r="F47" i="14" s="1"/>
  <c r="D48" i="14"/>
  <c r="F48" i="14" s="1"/>
  <c r="D50" i="14"/>
  <c r="F50" i="14" s="1"/>
  <c r="M21" i="12"/>
  <c r="D17" i="22" s="1"/>
  <c r="L21" i="12"/>
  <c r="D46" i="14" l="1"/>
  <c r="F46" i="14" s="1"/>
  <c r="C17" i="22"/>
  <c r="Q21" i="12"/>
  <c r="D37" i="22"/>
  <c r="J17" i="22"/>
  <c r="J37" i="22" s="1"/>
  <c r="D49" i="14"/>
  <c r="F49" i="14" s="1"/>
  <c r="D51" i="14"/>
  <c r="F51" i="14" s="1"/>
  <c r="D53" i="14"/>
  <c r="F53" i="14" s="1"/>
  <c r="D55" i="14"/>
  <c r="F55" i="14" s="1"/>
  <c r="D57" i="14"/>
  <c r="F57" i="14" s="1"/>
  <c r="D60" i="14"/>
  <c r="F60" i="14" s="1"/>
  <c r="D62" i="14"/>
  <c r="F62" i="14" s="1"/>
  <c r="D64" i="14"/>
  <c r="F64" i="14" s="1"/>
  <c r="D52" i="14"/>
  <c r="F52" i="14" s="1"/>
  <c r="D54" i="14"/>
  <c r="F54" i="14" s="1"/>
  <c r="D56" i="14"/>
  <c r="F56" i="14" s="1"/>
  <c r="D58" i="14"/>
  <c r="F58" i="14" s="1"/>
  <c r="M41" i="12"/>
  <c r="L41" i="12"/>
  <c r="Q41" i="12" l="1"/>
  <c r="G10" i="13"/>
  <c r="C37" i="22"/>
  <c r="I17" i="22"/>
  <c r="BK80" i="2"/>
  <c r="BJ80" i="2"/>
  <c r="BI80" i="2"/>
  <c r="BF80" i="2"/>
  <c r="BE80" i="2"/>
  <c r="BD80" i="2"/>
  <c r="BK45" i="2"/>
  <c r="BJ45" i="2"/>
  <c r="BI45" i="2"/>
  <c r="BF45" i="2"/>
  <c r="BE45" i="2"/>
  <c r="BD45" i="2"/>
  <c r="T39" i="2"/>
  <c r="X39" i="2" s="1"/>
  <c r="AD39" i="2" s="1"/>
  <c r="AH39" i="2" s="1"/>
  <c r="AN39" i="2" s="1"/>
  <c r="AR39" i="2" s="1"/>
  <c r="AX39" i="2" s="1"/>
  <c r="BB39" i="2" s="1"/>
  <c r="O39" i="2"/>
  <c r="T38" i="2"/>
  <c r="X38" i="2" s="1"/>
  <c r="AD38" i="2" s="1"/>
  <c r="AH38" i="2" s="1"/>
  <c r="AN38" i="2" s="1"/>
  <c r="AR38" i="2" s="1"/>
  <c r="AX38" i="2" s="1"/>
  <c r="BB38" i="2" s="1"/>
  <c r="O38" i="2"/>
  <c r="S39" i="2" l="1"/>
  <c r="Y39" i="2" s="1"/>
  <c r="AC39" i="2" s="1"/>
  <c r="AI39" i="2" s="1"/>
  <c r="AM39" i="2" s="1"/>
  <c r="AS39" i="2" s="1"/>
  <c r="S38" i="2"/>
  <c r="Y38" i="2" s="1"/>
  <c r="AC38" i="2" s="1"/>
  <c r="AI38" i="2" s="1"/>
  <c r="AM38" i="2" s="1"/>
  <c r="AS38" i="2" s="1"/>
  <c r="AW38" i="2" s="1"/>
  <c r="BC38" i="2" s="1"/>
  <c r="BG38" i="2" s="1"/>
  <c r="D72" i="14"/>
  <c r="I37" i="22"/>
  <c r="BJ44" i="2"/>
  <c r="BI44" i="2"/>
  <c r="BF44" i="2"/>
  <c r="BE44" i="2"/>
  <c r="BD85" i="2"/>
  <c r="BJ85" i="2"/>
  <c r="BH38" i="2"/>
  <c r="BL38" i="2" s="1"/>
  <c r="BP38" i="2" s="1"/>
  <c r="BS38" i="2" s="1"/>
  <c r="BH39" i="2"/>
  <c r="BL39" i="2" s="1"/>
  <c r="BP39" i="2" s="1"/>
  <c r="BE85" i="2"/>
  <c r="BK85" i="2"/>
  <c r="BI85" i="2"/>
  <c r="BF85" i="2"/>
  <c r="BK44" i="2"/>
  <c r="BD44" i="2"/>
  <c r="T36" i="2"/>
  <c r="X36" i="2" s="1"/>
  <c r="AD36" i="2" s="1"/>
  <c r="AH36" i="2" s="1"/>
  <c r="AN36" i="2" s="1"/>
  <c r="AR36" i="2" s="1"/>
  <c r="AX36" i="2" s="1"/>
  <c r="BB36" i="2" s="1"/>
  <c r="BH36" i="2" s="1"/>
  <c r="BL36" i="2" s="1"/>
  <c r="BP36" i="2" s="1"/>
  <c r="BS36" i="2" s="1"/>
  <c r="O36" i="2"/>
  <c r="S36" i="2" l="1"/>
  <c r="Y36" i="2" s="1"/>
  <c r="AC36" i="2" s="1"/>
  <c r="AI36" i="2" s="1"/>
  <c r="AM36" i="2" s="1"/>
  <c r="AS36" i="2" s="1"/>
  <c r="AW36" i="2" s="1"/>
  <c r="BC36" i="2" s="1"/>
  <c r="BG36" i="2" s="1"/>
  <c r="K17" i="22"/>
  <c r="K28" i="22"/>
  <c r="K29" i="22"/>
  <c r="K36" i="22"/>
  <c r="K26" i="22"/>
  <c r="K27" i="22"/>
  <c r="K24" i="22"/>
  <c r="K21" i="22"/>
  <c r="K22" i="22"/>
  <c r="K34" i="22"/>
  <c r="K35" i="22"/>
  <c r="K32" i="22"/>
  <c r="K30" i="22"/>
  <c r="K31" i="22"/>
  <c r="K25" i="22"/>
  <c r="K20" i="22"/>
  <c r="K23" i="22"/>
  <c r="K19" i="22"/>
  <c r="K33" i="22"/>
  <c r="K18" i="22"/>
  <c r="AW39" i="2"/>
  <c r="BC39" i="2" s="1"/>
  <c r="BG39" i="2" s="1"/>
  <c r="BS39" i="2"/>
  <c r="BO38" i="2"/>
  <c r="BT38" i="2" s="1"/>
  <c r="BW38" i="2"/>
  <c r="D41" i="12"/>
  <c r="N45" i="13" s="1"/>
  <c r="O104" i="2"/>
  <c r="N104" i="2"/>
  <c r="T104" i="2" s="1"/>
  <c r="X104" i="2" s="1"/>
  <c r="AD104" i="2" s="1"/>
  <c r="AH104" i="2" s="1"/>
  <c r="AN104" i="2" s="1"/>
  <c r="AR104" i="2" s="1"/>
  <c r="AX104" i="2" s="1"/>
  <c r="BB104" i="2" s="1"/>
  <c r="O103" i="2"/>
  <c r="N103" i="2"/>
  <c r="T103" i="2" s="1"/>
  <c r="X103" i="2" s="1"/>
  <c r="AD103" i="2" s="1"/>
  <c r="AH103" i="2" s="1"/>
  <c r="AN103" i="2" s="1"/>
  <c r="AR103" i="2" s="1"/>
  <c r="AX103" i="2" s="1"/>
  <c r="BB103" i="2" s="1"/>
  <c r="O102" i="2"/>
  <c r="N102" i="2"/>
  <c r="T102" i="2" s="1"/>
  <c r="X102" i="2" s="1"/>
  <c r="AD102" i="2" s="1"/>
  <c r="AH102" i="2" s="1"/>
  <c r="AN102" i="2" s="1"/>
  <c r="AR102" i="2" s="1"/>
  <c r="AX102" i="2" s="1"/>
  <c r="BB102" i="2" s="1"/>
  <c r="BH102" i="2" s="1"/>
  <c r="BL102" i="2" s="1"/>
  <c r="BP102" i="2" s="1"/>
  <c r="BS102" i="2" s="1"/>
  <c r="O101" i="2"/>
  <c r="N101" i="2"/>
  <c r="T101" i="2" s="1"/>
  <c r="X101" i="2" s="1"/>
  <c r="AD101" i="2" s="1"/>
  <c r="AH101" i="2" s="1"/>
  <c r="AN101" i="2" s="1"/>
  <c r="AR101" i="2" s="1"/>
  <c r="AX101" i="2" s="1"/>
  <c r="BB101" i="2" s="1"/>
  <c r="I48" i="2"/>
  <c r="I49" i="2"/>
  <c r="O49" i="2" s="1"/>
  <c r="AI50" i="2"/>
  <c r="AM50" i="2" s="1"/>
  <c r="AS50" i="2" s="1"/>
  <c r="I51" i="2"/>
  <c r="O51" i="2" s="1"/>
  <c r="I71" i="2"/>
  <c r="I72" i="2"/>
  <c r="O95" i="2"/>
  <c r="O96" i="2"/>
  <c r="O97" i="2"/>
  <c r="O98" i="2"/>
  <c r="O99" i="2"/>
  <c r="O100" i="2"/>
  <c r="Y74" i="2"/>
  <c r="I75" i="2"/>
  <c r="O75" i="2" s="1"/>
  <c r="I76" i="2"/>
  <c r="O76" i="2" s="1"/>
  <c r="I77" i="2"/>
  <c r="O77" i="2" s="1"/>
  <c r="I78" i="2"/>
  <c r="O78" i="2" s="1"/>
  <c r="AM25" i="2"/>
  <c r="AS25" i="2" s="1"/>
  <c r="I26" i="2"/>
  <c r="I43" i="2" s="1"/>
  <c r="O29" i="2"/>
  <c r="O30" i="2"/>
  <c r="O31" i="2"/>
  <c r="O32" i="2"/>
  <c r="O33" i="2"/>
  <c r="O34" i="2"/>
  <c r="S34" i="2" s="1"/>
  <c r="O35" i="2"/>
  <c r="O37" i="2"/>
  <c r="I82" i="2"/>
  <c r="I83" i="2"/>
  <c r="O83" i="2" s="1"/>
  <c r="S83" i="2" s="1"/>
  <c r="Y88" i="2"/>
  <c r="N48" i="2"/>
  <c r="N49" i="2"/>
  <c r="T49" i="2" s="1"/>
  <c r="X49" i="2" s="1"/>
  <c r="AD49" i="2" s="1"/>
  <c r="AH49" i="2" s="1"/>
  <c r="AN49" i="2" s="1"/>
  <c r="AR49" i="2" s="1"/>
  <c r="AX49" i="2" s="1"/>
  <c r="BB49" i="2" s="1"/>
  <c r="BH49" i="2" s="1"/>
  <c r="BL49" i="2" s="1"/>
  <c r="BP49" i="2" s="1"/>
  <c r="AD50" i="2"/>
  <c r="AH50" i="2" s="1"/>
  <c r="AN50" i="2" s="1"/>
  <c r="AR50" i="2" s="1"/>
  <c r="AX50" i="2" s="1"/>
  <c r="BB50" i="2" s="1"/>
  <c r="N51" i="2"/>
  <c r="T51" i="2" s="1"/>
  <c r="X51" i="2" s="1"/>
  <c r="AD51" i="2" s="1"/>
  <c r="AH51" i="2" s="1"/>
  <c r="AN51" i="2" s="1"/>
  <c r="AR51" i="2" s="1"/>
  <c r="AX51" i="2" s="1"/>
  <c r="BB51" i="2" s="1"/>
  <c r="BH51" i="2" s="1"/>
  <c r="BL51" i="2" s="1"/>
  <c r="BP51" i="2" s="1"/>
  <c r="BS51" i="2" s="1"/>
  <c r="N71" i="2"/>
  <c r="N72" i="2"/>
  <c r="T72" i="2" s="1"/>
  <c r="X72" i="2" s="1"/>
  <c r="AD72" i="2" s="1"/>
  <c r="AH72" i="2" s="1"/>
  <c r="AN72" i="2" s="1"/>
  <c r="AR72" i="2" s="1"/>
  <c r="AX72" i="2" s="1"/>
  <c r="BB72" i="2" s="1"/>
  <c r="N95" i="2"/>
  <c r="T95" i="2" s="1"/>
  <c r="X95" i="2" s="1"/>
  <c r="AD95" i="2" s="1"/>
  <c r="AH95" i="2" s="1"/>
  <c r="AN95" i="2" s="1"/>
  <c r="AR95" i="2" s="1"/>
  <c r="AX95" i="2" s="1"/>
  <c r="BB95" i="2" s="1"/>
  <c r="N96" i="2"/>
  <c r="T96" i="2" s="1"/>
  <c r="X96" i="2" s="1"/>
  <c r="AD96" i="2" s="1"/>
  <c r="AH96" i="2" s="1"/>
  <c r="AN96" i="2" s="1"/>
  <c r="AR96" i="2" s="1"/>
  <c r="AX96" i="2" s="1"/>
  <c r="BB96" i="2" s="1"/>
  <c r="N97" i="2"/>
  <c r="T97" i="2" s="1"/>
  <c r="X97" i="2" s="1"/>
  <c r="AD97" i="2" s="1"/>
  <c r="AH97" i="2" s="1"/>
  <c r="AN97" i="2" s="1"/>
  <c r="AR97" i="2" s="1"/>
  <c r="AX97" i="2" s="1"/>
  <c r="BB97" i="2" s="1"/>
  <c r="BH97" i="2" s="1"/>
  <c r="BL97" i="2" s="1"/>
  <c r="BP97" i="2" s="1"/>
  <c r="BS97" i="2" s="1"/>
  <c r="N98" i="2"/>
  <c r="T98" i="2" s="1"/>
  <c r="X98" i="2" s="1"/>
  <c r="AD98" i="2" s="1"/>
  <c r="AH98" i="2" s="1"/>
  <c r="AN98" i="2" s="1"/>
  <c r="AR98" i="2" s="1"/>
  <c r="AX98" i="2" s="1"/>
  <c r="BB98" i="2" s="1"/>
  <c r="BH98" i="2" s="1"/>
  <c r="BL98" i="2" s="1"/>
  <c r="BP98" i="2" s="1"/>
  <c r="BS98" i="2" s="1"/>
  <c r="N99" i="2"/>
  <c r="T99" i="2" s="1"/>
  <c r="X99" i="2" s="1"/>
  <c r="N100" i="2"/>
  <c r="T100" i="2" s="1"/>
  <c r="X100" i="2" s="1"/>
  <c r="AD100" i="2" s="1"/>
  <c r="AH100" i="2" s="1"/>
  <c r="AN100" i="2" s="1"/>
  <c r="AR100" i="2" s="1"/>
  <c r="AX100" i="2" s="1"/>
  <c r="BB100" i="2" s="1"/>
  <c r="BH100" i="2" s="1"/>
  <c r="BL100" i="2" s="1"/>
  <c r="BP100" i="2" s="1"/>
  <c r="BS100" i="2" s="1"/>
  <c r="N73" i="2"/>
  <c r="T73" i="2" s="1"/>
  <c r="X73" i="2" s="1"/>
  <c r="AD73" i="2" s="1"/>
  <c r="AH73" i="2" s="1"/>
  <c r="AN73" i="2" s="1"/>
  <c r="AR73" i="2" s="1"/>
  <c r="AX73" i="2" s="1"/>
  <c r="BB73" i="2" s="1"/>
  <c r="BH73" i="2" s="1"/>
  <c r="BL73" i="2" s="1"/>
  <c r="BP73" i="2" s="1"/>
  <c r="BS73" i="2" s="1"/>
  <c r="X74" i="2"/>
  <c r="AD74" i="2" s="1"/>
  <c r="AH74" i="2" s="1"/>
  <c r="AN74" i="2" s="1"/>
  <c r="AR74" i="2" s="1"/>
  <c r="AX74" i="2" s="1"/>
  <c r="BB74" i="2" s="1"/>
  <c r="BH74" i="2" s="1"/>
  <c r="BL74" i="2" s="1"/>
  <c r="BP74" i="2" s="1"/>
  <c r="BS74" i="2" s="1"/>
  <c r="N75" i="2"/>
  <c r="T75" i="2" s="1"/>
  <c r="X75" i="2" s="1"/>
  <c r="AD75" i="2" s="1"/>
  <c r="AH75" i="2" s="1"/>
  <c r="AN75" i="2" s="1"/>
  <c r="AR75" i="2" s="1"/>
  <c r="AX75" i="2" s="1"/>
  <c r="BB75" i="2" s="1"/>
  <c r="BH75" i="2" s="1"/>
  <c r="BL75" i="2" s="1"/>
  <c r="BP75" i="2" s="1"/>
  <c r="BS75" i="2" s="1"/>
  <c r="N76" i="2"/>
  <c r="T76" i="2" s="1"/>
  <c r="X76" i="2" s="1"/>
  <c r="AD76" i="2" s="1"/>
  <c r="AH76" i="2" s="1"/>
  <c r="AN76" i="2" s="1"/>
  <c r="AR76" i="2" s="1"/>
  <c r="AX76" i="2" s="1"/>
  <c r="BB76" i="2" s="1"/>
  <c r="BH76" i="2" s="1"/>
  <c r="BL76" i="2" s="1"/>
  <c r="BP76" i="2" s="1"/>
  <c r="BS76" i="2" s="1"/>
  <c r="N77" i="2"/>
  <c r="T77" i="2" s="1"/>
  <c r="N78" i="2"/>
  <c r="T78" i="2" s="1"/>
  <c r="X78" i="2" s="1"/>
  <c r="AD78" i="2" s="1"/>
  <c r="AH78" i="2" s="1"/>
  <c r="AN78" i="2" s="1"/>
  <c r="AR78" i="2" s="1"/>
  <c r="AX78" i="2" s="1"/>
  <c r="BB78" i="2" s="1"/>
  <c r="BH78" i="2" s="1"/>
  <c r="BL78" i="2" s="1"/>
  <c r="BP78" i="2" s="1"/>
  <c r="BS78" i="2" s="1"/>
  <c r="T29" i="2"/>
  <c r="X29" i="2" s="1"/>
  <c r="T30" i="2"/>
  <c r="X30" i="2" s="1"/>
  <c r="AD30" i="2" s="1"/>
  <c r="AH30" i="2" s="1"/>
  <c r="AN30" i="2" s="1"/>
  <c r="AR30" i="2" s="1"/>
  <c r="AX30" i="2" s="1"/>
  <c r="BB30" i="2" s="1"/>
  <c r="BH30" i="2" s="1"/>
  <c r="BL30" i="2" s="1"/>
  <c r="BP30" i="2" s="1"/>
  <c r="BS30" i="2" s="1"/>
  <c r="T31" i="2"/>
  <c r="X31" i="2" s="1"/>
  <c r="AD31" i="2" s="1"/>
  <c r="AH31" i="2" s="1"/>
  <c r="AN31" i="2" s="1"/>
  <c r="AR31" i="2" s="1"/>
  <c r="AX31" i="2" s="1"/>
  <c r="BB31" i="2" s="1"/>
  <c r="BH31" i="2" s="1"/>
  <c r="BL31" i="2" s="1"/>
  <c r="BP31" i="2" s="1"/>
  <c r="BS31" i="2" s="1"/>
  <c r="T32" i="2"/>
  <c r="T33" i="2"/>
  <c r="X33" i="2" s="1"/>
  <c r="AD33" i="2" s="1"/>
  <c r="AH33" i="2" s="1"/>
  <c r="AN33" i="2" s="1"/>
  <c r="AR33" i="2" s="1"/>
  <c r="AX33" i="2" s="1"/>
  <c r="BB33" i="2" s="1"/>
  <c r="BH33" i="2" s="1"/>
  <c r="BL33" i="2" s="1"/>
  <c r="BP33" i="2" s="1"/>
  <c r="BS33" i="2" s="1"/>
  <c r="T34" i="2"/>
  <c r="T35" i="2"/>
  <c r="X35" i="2" s="1"/>
  <c r="AD35" i="2" s="1"/>
  <c r="AH35" i="2" s="1"/>
  <c r="AN35" i="2" s="1"/>
  <c r="AR35" i="2" s="1"/>
  <c r="AX35" i="2" s="1"/>
  <c r="BB35" i="2" s="1"/>
  <c r="BH35" i="2" s="1"/>
  <c r="BL35" i="2" s="1"/>
  <c r="BP35" i="2" s="1"/>
  <c r="BS35" i="2" s="1"/>
  <c r="T37" i="2"/>
  <c r="X37" i="2" s="1"/>
  <c r="AD37" i="2" s="1"/>
  <c r="AH37" i="2" s="1"/>
  <c r="AN37" i="2" s="1"/>
  <c r="AR37" i="2" s="1"/>
  <c r="N82" i="2"/>
  <c r="N83" i="2"/>
  <c r="T83" i="2" s="1"/>
  <c r="X88" i="2"/>
  <c r="AD88" i="2" s="1"/>
  <c r="AH88" i="2" s="1"/>
  <c r="AN88" i="2" s="1"/>
  <c r="AR88" i="2" s="1"/>
  <c r="AX88" i="2" s="1"/>
  <c r="BB88" i="2" s="1"/>
  <c r="BH88" i="2" s="1"/>
  <c r="BL88" i="2" s="1"/>
  <c r="BP88" i="2" s="1"/>
  <c r="BV45" i="2"/>
  <c r="I31" i="16"/>
  <c r="I18" i="16"/>
  <c r="I19" i="16"/>
  <c r="I33" i="16"/>
  <c r="I34" i="16"/>
  <c r="BA80" i="2"/>
  <c r="BA85" i="2" s="1"/>
  <c r="AZ80" i="2"/>
  <c r="AZ85" i="2" s="1"/>
  <c r="AY80" i="2"/>
  <c r="AY85" i="2" s="1"/>
  <c r="AV80" i="2"/>
  <c r="AV85" i="2" s="1"/>
  <c r="AU80" i="2"/>
  <c r="AT80" i="2"/>
  <c r="AT85" i="2" s="1"/>
  <c r="BA45" i="2"/>
  <c r="AZ45" i="2"/>
  <c r="AY45" i="2"/>
  <c r="AV45" i="2"/>
  <c r="AU45" i="2"/>
  <c r="AU44" i="2" s="1"/>
  <c r="AT45" i="2"/>
  <c r="H181" i="14"/>
  <c r="H182" i="14"/>
  <c r="H183" i="14"/>
  <c r="H184" i="14"/>
  <c r="H185" i="14"/>
  <c r="H186" i="14"/>
  <c r="H187" i="14"/>
  <c r="H188" i="14"/>
  <c r="H189" i="14"/>
  <c r="H190" i="14"/>
  <c r="H191" i="14"/>
  <c r="H192" i="14"/>
  <c r="H193" i="14"/>
  <c r="H194" i="14"/>
  <c r="H195" i="14"/>
  <c r="H196" i="14"/>
  <c r="H197" i="14"/>
  <c r="H198" i="14"/>
  <c r="H199" i="14"/>
  <c r="H180" i="14"/>
  <c r="AJ45" i="2"/>
  <c r="AQ80" i="2"/>
  <c r="AQ85" i="2" s="1"/>
  <c r="AP80" i="2"/>
  <c r="AO80" i="2"/>
  <c r="AO85" i="2" s="1"/>
  <c r="AL80" i="2"/>
  <c r="AL85" i="2" s="1"/>
  <c r="AK80" i="2"/>
  <c r="AJ80" i="2"/>
  <c r="AJ85" i="2" s="1"/>
  <c r="AQ45" i="2"/>
  <c r="AP45" i="2"/>
  <c r="AO45" i="2"/>
  <c r="AL45" i="2"/>
  <c r="AL44" i="2" s="1"/>
  <c r="AK45" i="2"/>
  <c r="H20" i="14"/>
  <c r="D20" i="14"/>
  <c r="H23" i="14"/>
  <c r="H25" i="14"/>
  <c r="H26" i="14"/>
  <c r="D27" i="14"/>
  <c r="F27" i="14" s="1"/>
  <c r="H28" i="14"/>
  <c r="D29" i="14"/>
  <c r="F29" i="14" s="1"/>
  <c r="D30" i="14"/>
  <c r="F30" i="14" s="1"/>
  <c r="D31" i="14"/>
  <c r="F31" i="14" s="1"/>
  <c r="H32" i="14"/>
  <c r="D34" i="14"/>
  <c r="F34" i="14" s="1"/>
  <c r="D35" i="14"/>
  <c r="F35" i="14" s="1"/>
  <c r="H36" i="14"/>
  <c r="H38" i="14"/>
  <c r="D39" i="14"/>
  <c r="F39" i="14" s="1"/>
  <c r="B212" i="14"/>
  <c r="E212" i="14" s="1"/>
  <c r="F212" i="14" s="1"/>
  <c r="B213" i="14"/>
  <c r="E213" i="14" s="1"/>
  <c r="F213" i="14" s="1"/>
  <c r="B105" i="14"/>
  <c r="B215" i="14"/>
  <c r="E215" i="14" s="1"/>
  <c r="F215" i="14" s="1"/>
  <c r="B216" i="14"/>
  <c r="E216" i="14" s="1"/>
  <c r="F216" i="14" s="1"/>
  <c r="B189" i="14"/>
  <c r="B190" i="14"/>
  <c r="B219" i="14"/>
  <c r="E219" i="14" s="1"/>
  <c r="F219" i="14" s="1"/>
  <c r="B220" i="14"/>
  <c r="E220" i="14" s="1"/>
  <c r="F220" i="14" s="1"/>
  <c r="B221" i="14"/>
  <c r="E221" i="14" s="1"/>
  <c r="F221" i="14" s="1"/>
  <c r="B222" i="14"/>
  <c r="E222" i="14" s="1"/>
  <c r="F222" i="14" s="1"/>
  <c r="B223" i="14"/>
  <c r="E223" i="14" s="1"/>
  <c r="F223" i="14" s="1"/>
  <c r="B224" i="14"/>
  <c r="E224" i="14" s="1"/>
  <c r="F224" i="14" s="1"/>
  <c r="B198" i="14"/>
  <c r="B227" i="14"/>
  <c r="E227" i="14" s="1"/>
  <c r="F227" i="14" s="1"/>
  <c r="D60" i="13"/>
  <c r="H24" i="14"/>
  <c r="D24" i="14"/>
  <c r="H22" i="14"/>
  <c r="D22" i="14"/>
  <c r="H39" i="14"/>
  <c r="D37" i="14"/>
  <c r="F37" i="14" s="1"/>
  <c r="H37" i="14"/>
  <c r="D33" i="14"/>
  <c r="F33" i="14" s="1"/>
  <c r="H33" i="14"/>
  <c r="D21" i="14"/>
  <c r="H21" i="14"/>
  <c r="F41" i="12"/>
  <c r="G41" i="12"/>
  <c r="S41" i="12" s="1"/>
  <c r="N11" i="13" s="1"/>
  <c r="I41" i="12"/>
  <c r="N84" i="13" s="1"/>
  <c r="E41" i="12"/>
  <c r="BN80" i="2"/>
  <c r="BN85" i="2" s="1"/>
  <c r="BM80" i="2"/>
  <c r="AG80" i="2"/>
  <c r="AG85" i="2" s="1"/>
  <c r="AF80" i="2"/>
  <c r="AA80" i="2"/>
  <c r="AA85" i="2" s="1"/>
  <c r="Z80" i="2"/>
  <c r="W80" i="2"/>
  <c r="W85" i="2" s="1"/>
  <c r="V80" i="2"/>
  <c r="V85" i="2" s="1"/>
  <c r="P80" i="2"/>
  <c r="P85" i="2" s="1"/>
  <c r="F80" i="2"/>
  <c r="AE80" i="2"/>
  <c r="AE85" i="2" s="1"/>
  <c r="AB80" i="2"/>
  <c r="AB85" i="2" s="1"/>
  <c r="AG45" i="2"/>
  <c r="AF45" i="2"/>
  <c r="AF44" i="2" s="1"/>
  <c r="AE45" i="2"/>
  <c r="AE44" i="2" s="1"/>
  <c r="AB45" i="2"/>
  <c r="AB44" i="2" s="1"/>
  <c r="AA45" i="2"/>
  <c r="AA44" i="2" s="1"/>
  <c r="Z45" i="2"/>
  <c r="Z44" i="2" s="1"/>
  <c r="BM45" i="2"/>
  <c r="BM44" i="2" s="1"/>
  <c r="BN45" i="2"/>
  <c r="BN44" i="2" s="1"/>
  <c r="G80" i="2"/>
  <c r="H80" i="2"/>
  <c r="H85" i="2" s="1"/>
  <c r="K80" i="2"/>
  <c r="L80" i="2"/>
  <c r="M80" i="2"/>
  <c r="Q80" i="2"/>
  <c r="R80" i="2"/>
  <c r="U80" i="2"/>
  <c r="U85" i="2" s="1"/>
  <c r="F45" i="2"/>
  <c r="F44" i="2" s="1"/>
  <c r="G45" i="2"/>
  <c r="G44" i="2" s="1"/>
  <c r="H45" i="2"/>
  <c r="K45" i="2"/>
  <c r="K44" i="2" s="1"/>
  <c r="L45" i="2"/>
  <c r="L44" i="2" s="1"/>
  <c r="M45" i="2"/>
  <c r="M44" i="2" s="1"/>
  <c r="P45" i="2"/>
  <c r="P44" i="2" s="1"/>
  <c r="Q45" i="2"/>
  <c r="Q44" i="2" s="1"/>
  <c r="R45" i="2"/>
  <c r="R44" i="2" s="1"/>
  <c r="U45" i="2"/>
  <c r="V45" i="2"/>
  <c r="W45" i="2"/>
  <c r="J80" i="2"/>
  <c r="J85" i="2" s="1"/>
  <c r="J45" i="2"/>
  <c r="N30" i="13" l="1"/>
  <c r="N38" i="13"/>
  <c r="N31" i="13"/>
  <c r="N39" i="13"/>
  <c r="N32" i="13"/>
  <c r="N40" i="13"/>
  <c r="N33" i="13"/>
  <c r="N41" i="13"/>
  <c r="N26" i="13"/>
  <c r="N34" i="13"/>
  <c r="N42" i="13"/>
  <c r="N27" i="13"/>
  <c r="N35" i="13"/>
  <c r="N43" i="13"/>
  <c r="N64" i="13"/>
  <c r="N28" i="13"/>
  <c r="N36" i="13"/>
  <c r="N44" i="13"/>
  <c r="N29" i="13"/>
  <c r="N37" i="13"/>
  <c r="C81" i="13"/>
  <c r="K64" i="13"/>
  <c r="F28" i="13"/>
  <c r="F36" i="13"/>
  <c r="F44" i="13"/>
  <c r="J32" i="13"/>
  <c r="J40" i="13"/>
  <c r="K32" i="13"/>
  <c r="K40" i="13"/>
  <c r="G32" i="13"/>
  <c r="G40" i="13"/>
  <c r="H28" i="13"/>
  <c r="H36" i="13"/>
  <c r="H44" i="13"/>
  <c r="I32" i="13"/>
  <c r="I40" i="13"/>
  <c r="F29" i="13"/>
  <c r="F37" i="13"/>
  <c r="J33" i="13"/>
  <c r="J41" i="13"/>
  <c r="K33" i="13"/>
  <c r="K41" i="13"/>
  <c r="G33" i="13"/>
  <c r="G41" i="13"/>
  <c r="H29" i="13"/>
  <c r="H37" i="13"/>
  <c r="I33" i="13"/>
  <c r="I41" i="13"/>
  <c r="H64" i="13"/>
  <c r="F30" i="13"/>
  <c r="F38" i="13"/>
  <c r="J26" i="13"/>
  <c r="J34" i="13"/>
  <c r="J42" i="13"/>
  <c r="K26" i="13"/>
  <c r="K34" i="13"/>
  <c r="K42" i="13"/>
  <c r="G26" i="13"/>
  <c r="G34" i="13"/>
  <c r="G42" i="13"/>
  <c r="H30" i="13"/>
  <c r="H38" i="13"/>
  <c r="I26" i="13"/>
  <c r="I34" i="13"/>
  <c r="I42" i="13"/>
  <c r="F31" i="13"/>
  <c r="F39" i="13"/>
  <c r="J27" i="13"/>
  <c r="J35" i="13"/>
  <c r="J43" i="13"/>
  <c r="K27" i="13"/>
  <c r="K35" i="13"/>
  <c r="K43" i="13"/>
  <c r="G27" i="13"/>
  <c r="G35" i="13"/>
  <c r="G43" i="13"/>
  <c r="H31" i="13"/>
  <c r="H39" i="13"/>
  <c r="I27" i="13"/>
  <c r="I35" i="13"/>
  <c r="I43" i="13"/>
  <c r="I64" i="13"/>
  <c r="F46" i="13"/>
  <c r="F32" i="13"/>
  <c r="F40" i="13"/>
  <c r="J28" i="13"/>
  <c r="J36" i="13"/>
  <c r="J44" i="13"/>
  <c r="K28" i="13"/>
  <c r="K36" i="13"/>
  <c r="K44" i="13"/>
  <c r="G28" i="13"/>
  <c r="G36" i="13"/>
  <c r="G44" i="13"/>
  <c r="H32" i="13"/>
  <c r="H40" i="13"/>
  <c r="I28" i="13"/>
  <c r="I36" i="13"/>
  <c r="F64" i="13"/>
  <c r="F33" i="13"/>
  <c r="F41" i="13"/>
  <c r="J29" i="13"/>
  <c r="J37" i="13"/>
  <c r="K29" i="13"/>
  <c r="K37" i="13"/>
  <c r="G29" i="13"/>
  <c r="G37" i="13"/>
  <c r="H33" i="13"/>
  <c r="H41" i="13"/>
  <c r="I29" i="13"/>
  <c r="I37" i="13"/>
  <c r="I44" i="13"/>
  <c r="J64" i="13"/>
  <c r="G46" i="13"/>
  <c r="F26" i="13"/>
  <c r="F34" i="13"/>
  <c r="F42" i="13"/>
  <c r="J30" i="13"/>
  <c r="J38" i="13"/>
  <c r="K30" i="13"/>
  <c r="K38" i="13"/>
  <c r="G30" i="13"/>
  <c r="G38" i="13"/>
  <c r="H26" i="13"/>
  <c r="H34" i="13"/>
  <c r="H42" i="13"/>
  <c r="I30" i="13"/>
  <c r="I38" i="13"/>
  <c r="G64" i="13"/>
  <c r="F27" i="13"/>
  <c r="F35" i="13"/>
  <c r="F43" i="13"/>
  <c r="J31" i="13"/>
  <c r="J39" i="13"/>
  <c r="K31" i="13"/>
  <c r="K39" i="13"/>
  <c r="G31" i="13"/>
  <c r="G39" i="13"/>
  <c r="H27" i="13"/>
  <c r="H35" i="13"/>
  <c r="H43" i="13"/>
  <c r="I31" i="13"/>
  <c r="I39" i="13"/>
  <c r="F84" i="13"/>
  <c r="G84" i="13"/>
  <c r="K84" i="13"/>
  <c r="H84" i="13"/>
  <c r="I84" i="13"/>
  <c r="J84" i="13"/>
  <c r="C80" i="13"/>
  <c r="I11" i="13"/>
  <c r="H11" i="13"/>
  <c r="J11" i="13"/>
  <c r="K11" i="13"/>
  <c r="S71" i="2"/>
  <c r="Y71" i="2" s="1"/>
  <c r="AC71" i="2" s="1"/>
  <c r="AI71" i="2" s="1"/>
  <c r="AM71" i="2" s="1"/>
  <c r="AS71" i="2" s="1"/>
  <c r="I86" i="2"/>
  <c r="X71" i="2"/>
  <c r="AD71" i="2" s="1"/>
  <c r="AH71" i="2" s="1"/>
  <c r="AN71" i="2" s="1"/>
  <c r="AR71" i="2" s="1"/>
  <c r="AX71" i="2" s="1"/>
  <c r="BB71" i="2" s="1"/>
  <c r="O48" i="2"/>
  <c r="F11" i="13"/>
  <c r="G11" i="13"/>
  <c r="N21" i="14"/>
  <c r="N37" i="14"/>
  <c r="N34" i="14"/>
  <c r="N32" i="14"/>
  <c r="N27" i="14"/>
  <c r="N25" i="14"/>
  <c r="N22" i="14"/>
  <c r="N38" i="14"/>
  <c r="N36" i="14"/>
  <c r="N31" i="14"/>
  <c r="N29" i="14"/>
  <c r="N26" i="14"/>
  <c r="N24" i="14"/>
  <c r="N20" i="14"/>
  <c r="N35" i="14"/>
  <c r="N33" i="14"/>
  <c r="N30" i="14"/>
  <c r="N28" i="14"/>
  <c r="N23" i="14"/>
  <c r="N39" i="14"/>
  <c r="J65" i="13"/>
  <c r="G65" i="13"/>
  <c r="K65" i="13"/>
  <c r="O65" i="13"/>
  <c r="S65" i="13"/>
  <c r="W65" i="13"/>
  <c r="H65" i="13"/>
  <c r="L65" i="13"/>
  <c r="P65" i="13"/>
  <c r="T65" i="13"/>
  <c r="X65" i="13"/>
  <c r="I65" i="13"/>
  <c r="M65" i="13"/>
  <c r="Q65" i="13"/>
  <c r="U65" i="13"/>
  <c r="Y65" i="13"/>
  <c r="N65" i="13"/>
  <c r="R65" i="13"/>
  <c r="V65" i="13"/>
  <c r="F65" i="13"/>
  <c r="S35" i="2"/>
  <c r="Y35" i="2" s="1"/>
  <c r="AC35" i="2" s="1"/>
  <c r="AI35" i="2" s="1"/>
  <c r="AM35" i="2" s="1"/>
  <c r="AS35" i="2" s="1"/>
  <c r="AW35" i="2" s="1"/>
  <c r="BC35" i="2" s="1"/>
  <c r="BG35" i="2" s="1"/>
  <c r="S31" i="2"/>
  <c r="Y31" i="2" s="1"/>
  <c r="AC31" i="2" s="1"/>
  <c r="AI31" i="2" s="1"/>
  <c r="AM31" i="2" s="1"/>
  <c r="AS31" i="2" s="1"/>
  <c r="AW31" i="2" s="1"/>
  <c r="BC31" i="2" s="1"/>
  <c r="BG31" i="2" s="1"/>
  <c r="S75" i="2"/>
  <c r="Y75" i="2" s="1"/>
  <c r="AC75" i="2" s="1"/>
  <c r="AI75" i="2" s="1"/>
  <c r="AM75" i="2" s="1"/>
  <c r="AS75" i="2" s="1"/>
  <c r="S99" i="2"/>
  <c r="Y99" i="2" s="1"/>
  <c r="AC99" i="2" s="1"/>
  <c r="AI99" i="2" s="1"/>
  <c r="AM99" i="2" s="1"/>
  <c r="AS99" i="2" s="1"/>
  <c r="AW99" i="2" s="1"/>
  <c r="BC99" i="2" s="1"/>
  <c r="BG99" i="2" s="1"/>
  <c r="S95" i="2"/>
  <c r="Y95" i="2" s="1"/>
  <c r="AC95" i="2" s="1"/>
  <c r="AI95" i="2" s="1"/>
  <c r="AM95" i="2" s="1"/>
  <c r="AS95" i="2" s="1"/>
  <c r="Y83" i="2"/>
  <c r="AC83" i="2" s="1"/>
  <c r="AI83" i="2" s="1"/>
  <c r="AM83" i="2" s="1"/>
  <c r="AS83" i="2" s="1"/>
  <c r="AW83" i="2" s="1"/>
  <c r="BC83" i="2" s="1"/>
  <c r="BG83" i="2" s="1"/>
  <c r="S30" i="2"/>
  <c r="Y30" i="2" s="1"/>
  <c r="AC30" i="2" s="1"/>
  <c r="AI30" i="2" s="1"/>
  <c r="AM30" i="2" s="1"/>
  <c r="AS30" i="2" s="1"/>
  <c r="AW30" i="2" s="1"/>
  <c r="BC30" i="2" s="1"/>
  <c r="BG30" i="2" s="1"/>
  <c r="S78" i="2"/>
  <c r="Y78" i="2" s="1"/>
  <c r="AC78" i="2" s="1"/>
  <c r="AI78" i="2" s="1"/>
  <c r="AM78" i="2" s="1"/>
  <c r="AS78" i="2" s="1"/>
  <c r="AW78" i="2" s="1"/>
  <c r="BC78" i="2" s="1"/>
  <c r="BG78" i="2" s="1"/>
  <c r="S98" i="2"/>
  <c r="Y98" i="2" s="1"/>
  <c r="AC98" i="2" s="1"/>
  <c r="AI98" i="2" s="1"/>
  <c r="AM98" i="2" s="1"/>
  <c r="AS98" i="2" s="1"/>
  <c r="S49" i="2"/>
  <c r="Y49" i="2" s="1"/>
  <c r="AC49" i="2" s="1"/>
  <c r="AI49" i="2" s="1"/>
  <c r="AM49" i="2" s="1"/>
  <c r="AS49" i="2" s="1"/>
  <c r="S101" i="2"/>
  <c r="Y101" i="2" s="1"/>
  <c r="AC101" i="2" s="1"/>
  <c r="AI101" i="2" s="1"/>
  <c r="AM101" i="2" s="1"/>
  <c r="AS101" i="2" s="1"/>
  <c r="AW101" i="2" s="1"/>
  <c r="BC101" i="2" s="1"/>
  <c r="BG101" i="2" s="1"/>
  <c r="S103" i="2"/>
  <c r="Y103" i="2" s="1"/>
  <c r="AC103" i="2" s="1"/>
  <c r="AI103" i="2" s="1"/>
  <c r="AM103" i="2" s="1"/>
  <c r="AS103" i="2" s="1"/>
  <c r="AW103" i="2" s="1"/>
  <c r="BC103" i="2" s="1"/>
  <c r="BG103" i="2" s="1"/>
  <c r="K37" i="22"/>
  <c r="S33" i="2"/>
  <c r="Y33" i="2" s="1"/>
  <c r="AC33" i="2" s="1"/>
  <c r="AI33" i="2" s="1"/>
  <c r="AM33" i="2" s="1"/>
  <c r="AS33" i="2" s="1"/>
  <c r="AW33" i="2" s="1"/>
  <c r="BC33" i="2" s="1"/>
  <c r="BG33" i="2" s="1"/>
  <c r="S29" i="2"/>
  <c r="Y29" i="2" s="1"/>
  <c r="AC29" i="2" s="1"/>
  <c r="AI29" i="2" s="1"/>
  <c r="AM29" i="2" s="1"/>
  <c r="AS29" i="2" s="1"/>
  <c r="AW29" i="2" s="1"/>
  <c r="BC29" i="2" s="1"/>
  <c r="BG29" i="2" s="1"/>
  <c r="S77" i="2"/>
  <c r="Y77" i="2" s="1"/>
  <c r="AC77" i="2" s="1"/>
  <c r="AI77" i="2" s="1"/>
  <c r="AM77" i="2" s="1"/>
  <c r="AS77" i="2" s="1"/>
  <c r="S73" i="2"/>
  <c r="Y73" i="2" s="1"/>
  <c r="AC73" i="2" s="1"/>
  <c r="AI73" i="2" s="1"/>
  <c r="AM73" i="2" s="1"/>
  <c r="AS73" i="2" s="1"/>
  <c r="S97" i="2"/>
  <c r="Y97" i="2" s="1"/>
  <c r="AC97" i="2" s="1"/>
  <c r="AI97" i="2" s="1"/>
  <c r="AM97" i="2" s="1"/>
  <c r="AS97" i="2" s="1"/>
  <c r="S37" i="2"/>
  <c r="Y37" i="2" s="1"/>
  <c r="AC37" i="2" s="1"/>
  <c r="AI37" i="2" s="1"/>
  <c r="AM37" i="2" s="1"/>
  <c r="AS37" i="2" s="1"/>
  <c r="AW37" i="2" s="1"/>
  <c r="BC37" i="2" s="1"/>
  <c r="BG37" i="2" s="1"/>
  <c r="S32" i="2"/>
  <c r="Y32" i="2" s="1"/>
  <c r="S76" i="2"/>
  <c r="Y76" i="2" s="1"/>
  <c r="AC76" i="2" s="1"/>
  <c r="AI76" i="2" s="1"/>
  <c r="AM76" i="2" s="1"/>
  <c r="AS76" i="2" s="1"/>
  <c r="AW76" i="2" s="1"/>
  <c r="BC76" i="2" s="1"/>
  <c r="BG76" i="2" s="1"/>
  <c r="S100" i="2"/>
  <c r="Y100" i="2" s="1"/>
  <c r="AC100" i="2" s="1"/>
  <c r="AI100" i="2" s="1"/>
  <c r="AM100" i="2" s="1"/>
  <c r="AS100" i="2" s="1"/>
  <c r="AW100" i="2" s="1"/>
  <c r="BC100" i="2" s="1"/>
  <c r="BG100" i="2" s="1"/>
  <c r="S96" i="2"/>
  <c r="Y96" i="2" s="1"/>
  <c r="AC96" i="2" s="1"/>
  <c r="AI96" i="2" s="1"/>
  <c r="AM96" i="2" s="1"/>
  <c r="AS96" i="2" s="1"/>
  <c r="S102" i="2"/>
  <c r="Y102" i="2" s="1"/>
  <c r="AC102" i="2" s="1"/>
  <c r="AI102" i="2" s="1"/>
  <c r="AM102" i="2" s="1"/>
  <c r="AS102" i="2" s="1"/>
  <c r="AW102" i="2" s="1"/>
  <c r="BC102" i="2" s="1"/>
  <c r="BG102" i="2" s="1"/>
  <c r="S104" i="2"/>
  <c r="Y104" i="2" s="1"/>
  <c r="AC104" i="2" s="1"/>
  <c r="AI104" i="2" s="1"/>
  <c r="AM104" i="2" s="1"/>
  <c r="AS104" i="2" s="1"/>
  <c r="AW104" i="2" s="1"/>
  <c r="BC104" i="2" s="1"/>
  <c r="BG104" i="2" s="1"/>
  <c r="I36" i="16"/>
  <c r="I35" i="16"/>
  <c r="S51" i="2"/>
  <c r="Y51" i="2" s="1"/>
  <c r="AC51" i="2" s="1"/>
  <c r="AI51" i="2" s="1"/>
  <c r="AM51" i="2" s="1"/>
  <c r="AS51" i="2" s="1"/>
  <c r="AW51" i="2" s="1"/>
  <c r="BC51" i="2" s="1"/>
  <c r="BG51" i="2" s="1"/>
  <c r="S72" i="2"/>
  <c r="Y72" i="2" s="1"/>
  <c r="AC72" i="2" s="1"/>
  <c r="AI72" i="2" s="1"/>
  <c r="AM72" i="2" s="1"/>
  <c r="AS72" i="2" s="1"/>
  <c r="AC88" i="2"/>
  <c r="AI88" i="2" s="1"/>
  <c r="AM88" i="2" s="1"/>
  <c r="AS88" i="2" s="1"/>
  <c r="AW88" i="2" s="1"/>
  <c r="BC88" i="2" s="1"/>
  <c r="BG88" i="2" s="1"/>
  <c r="AC74" i="2"/>
  <c r="AI74" i="2" s="1"/>
  <c r="AM74" i="2" s="1"/>
  <c r="AS74" i="2" s="1"/>
  <c r="AW50" i="2"/>
  <c r="BC50" i="2" s="1"/>
  <c r="BG50" i="2" s="1"/>
  <c r="BO50" i="2" s="1"/>
  <c r="BO39" i="2"/>
  <c r="BT39" i="2" s="1"/>
  <c r="BW39" i="2"/>
  <c r="AW25" i="2"/>
  <c r="BC25" i="2" s="1"/>
  <c r="BG25" i="2" s="1"/>
  <c r="T82" i="2"/>
  <c r="X82" i="2" s="1"/>
  <c r="AD82" i="2" s="1"/>
  <c r="AH82" i="2" s="1"/>
  <c r="AN82" i="2" s="1"/>
  <c r="AR82" i="2" s="1"/>
  <c r="AX82" i="2" s="1"/>
  <c r="BB82" i="2" s="1"/>
  <c r="BH82" i="2" s="1"/>
  <c r="BL82" i="2" s="1"/>
  <c r="BP82" i="2" s="1"/>
  <c r="BS82" i="2" s="1"/>
  <c r="T48" i="2"/>
  <c r="T86" i="2" s="1"/>
  <c r="T91" i="2" s="1"/>
  <c r="N80" i="2"/>
  <c r="Y34" i="2"/>
  <c r="Q63" i="13"/>
  <c r="P63" i="13"/>
  <c r="O63" i="13"/>
  <c r="N63" i="13"/>
  <c r="I5" i="16"/>
  <c r="C42" i="11"/>
  <c r="N45" i="2"/>
  <c r="F32" i="16"/>
  <c r="G41" i="16"/>
  <c r="G23" i="16"/>
  <c r="D40" i="16"/>
  <c r="D190" i="14"/>
  <c r="D189" i="14"/>
  <c r="G28" i="16"/>
  <c r="G13" i="16"/>
  <c r="D42" i="16"/>
  <c r="G39" i="16"/>
  <c r="F27" i="16"/>
  <c r="F22" i="16"/>
  <c r="F17" i="16"/>
  <c r="F12" i="16"/>
  <c r="I38" i="16"/>
  <c r="I30" i="16"/>
  <c r="D21" i="16"/>
  <c r="I15" i="16"/>
  <c r="G10" i="16"/>
  <c r="F44" i="16"/>
  <c r="G37" i="16"/>
  <c r="G29" i="16"/>
  <c r="I24" i="16"/>
  <c r="G14" i="16"/>
  <c r="G8" i="16"/>
  <c r="I43" i="16"/>
  <c r="I42" i="16"/>
  <c r="F41" i="16"/>
  <c r="I40" i="16"/>
  <c r="F39" i="16"/>
  <c r="G38" i="16"/>
  <c r="F37" i="16"/>
  <c r="G30" i="16"/>
  <c r="F29" i="16"/>
  <c r="F28" i="16"/>
  <c r="I25" i="16"/>
  <c r="G24" i="16"/>
  <c r="F23" i="16"/>
  <c r="I21" i="16"/>
  <c r="I20" i="16"/>
  <c r="I16" i="16"/>
  <c r="G15" i="16"/>
  <c r="F14" i="16"/>
  <c r="F13" i="16"/>
  <c r="I11" i="16"/>
  <c r="F10" i="16"/>
  <c r="G7" i="16"/>
  <c r="I44" i="16"/>
  <c r="G43" i="16"/>
  <c r="G42" i="16"/>
  <c r="G40" i="16"/>
  <c r="J39" i="16"/>
  <c r="D39" i="16"/>
  <c r="F38" i="16"/>
  <c r="I32" i="16"/>
  <c r="F30" i="16"/>
  <c r="D29" i="16"/>
  <c r="I27" i="16"/>
  <c r="I26" i="16"/>
  <c r="G25" i="16"/>
  <c r="F24" i="16"/>
  <c r="I22" i="16"/>
  <c r="G21" i="16"/>
  <c r="G20" i="16"/>
  <c r="I17" i="16"/>
  <c r="G16" i="16"/>
  <c r="F15" i="16"/>
  <c r="G11" i="16"/>
  <c r="G9" i="16"/>
  <c r="F7" i="16"/>
  <c r="I4" i="16"/>
  <c r="G44" i="16"/>
  <c r="F43" i="16"/>
  <c r="F42" i="16"/>
  <c r="I41" i="16"/>
  <c r="F40" i="16"/>
  <c r="I39" i="16"/>
  <c r="C39" i="16"/>
  <c r="E39" i="16" s="1"/>
  <c r="H39" i="16" s="1"/>
  <c r="I37" i="16"/>
  <c r="G32" i="16"/>
  <c r="I29" i="16"/>
  <c r="I28" i="16"/>
  <c r="G27" i="16"/>
  <c r="G26" i="16"/>
  <c r="F25" i="16"/>
  <c r="I23" i="16"/>
  <c r="G22" i="16"/>
  <c r="F21" i="16"/>
  <c r="F20" i="16"/>
  <c r="G17" i="16"/>
  <c r="F16" i="16"/>
  <c r="I14" i="16"/>
  <c r="I13" i="16"/>
  <c r="I12" i="16"/>
  <c r="I10" i="16"/>
  <c r="F9" i="16"/>
  <c r="F6" i="16"/>
  <c r="BV44" i="2"/>
  <c r="BO36" i="2"/>
  <c r="BW36" i="2"/>
  <c r="I80" i="2"/>
  <c r="D7" i="16"/>
  <c r="C30" i="16"/>
  <c r="C29" i="16"/>
  <c r="E29" i="16" s="1"/>
  <c r="H29" i="16" s="1"/>
  <c r="L85" i="2"/>
  <c r="T24" i="2"/>
  <c r="I45" i="2"/>
  <c r="K85" i="2"/>
  <c r="BH95" i="2"/>
  <c r="BL95" i="2" s="1"/>
  <c r="BP95" i="2" s="1"/>
  <c r="BH104" i="2"/>
  <c r="BL104" i="2" s="1"/>
  <c r="BP104" i="2" s="1"/>
  <c r="BS104" i="2" s="1"/>
  <c r="O24" i="2"/>
  <c r="BH96" i="2"/>
  <c r="BL96" i="2" s="1"/>
  <c r="BP96" i="2" s="1"/>
  <c r="F85" i="2"/>
  <c r="Z85" i="2"/>
  <c r="AP85" i="2"/>
  <c r="AU85" i="2"/>
  <c r="BH72" i="2"/>
  <c r="BL72" i="2" s="1"/>
  <c r="BP72" i="2" s="1"/>
  <c r="BH50" i="2"/>
  <c r="BL50" i="2" s="1"/>
  <c r="BP50" i="2" s="1"/>
  <c r="C23" i="16"/>
  <c r="AF85" i="2"/>
  <c r="R85" i="2"/>
  <c r="O45" i="2"/>
  <c r="Q85" i="2"/>
  <c r="M85" i="2"/>
  <c r="G85" i="2"/>
  <c r="AK85" i="2"/>
  <c r="BH71" i="2"/>
  <c r="BL71" i="2" s="1"/>
  <c r="BP71" i="2" s="1"/>
  <c r="O82" i="2"/>
  <c r="S82" i="2" s="1"/>
  <c r="D20" i="16"/>
  <c r="BH101" i="2"/>
  <c r="BL101" i="2" s="1"/>
  <c r="BP101" i="2" s="1"/>
  <c r="BS101" i="2" s="1"/>
  <c r="BH103" i="2"/>
  <c r="BL103" i="2" s="1"/>
  <c r="BP103" i="2" s="1"/>
  <c r="BS103" i="2" s="1"/>
  <c r="J29" i="16"/>
  <c r="M75" i="13"/>
  <c r="D23" i="14"/>
  <c r="D25" i="14"/>
  <c r="H35" i="14"/>
  <c r="D28" i="14"/>
  <c r="H30" i="14"/>
  <c r="D32" i="14"/>
  <c r="F32" i="14" s="1"/>
  <c r="D26" i="14"/>
  <c r="F26" i="14" s="1"/>
  <c r="H34" i="14"/>
  <c r="Y7" i="13"/>
  <c r="Y10" i="13"/>
  <c r="X10" i="13"/>
  <c r="X7" i="13"/>
  <c r="W7" i="13"/>
  <c r="W10" i="13"/>
  <c r="V7" i="13"/>
  <c r="V10" i="13"/>
  <c r="U10" i="13"/>
  <c r="U7" i="13"/>
  <c r="T10" i="13"/>
  <c r="T7" i="13"/>
  <c r="S10" i="13"/>
  <c r="S7" i="13"/>
  <c r="R10" i="13"/>
  <c r="R7" i="13"/>
  <c r="B211" i="14"/>
  <c r="E211" i="14" s="1"/>
  <c r="F211" i="14" s="1"/>
  <c r="B210" i="14"/>
  <c r="E210" i="14" s="1"/>
  <c r="F210" i="14" s="1"/>
  <c r="B209" i="14"/>
  <c r="E209" i="14" s="1"/>
  <c r="F209" i="14" s="1"/>
  <c r="B208" i="14"/>
  <c r="E208" i="14" s="1"/>
  <c r="F208" i="14" s="1"/>
  <c r="Y76" i="13"/>
  <c r="Y22" i="13"/>
  <c r="Y25" i="13"/>
  <c r="Y49" i="13"/>
  <c r="Y69" i="13"/>
  <c r="Y5" i="13"/>
  <c r="Y23" i="13"/>
  <c r="Y50" i="13"/>
  <c r="Y8" i="13"/>
  <c r="Y48" i="13"/>
  <c r="Y24" i="13"/>
  <c r="Y46" i="13"/>
  <c r="Y51" i="13"/>
  <c r="Y9" i="13"/>
  <c r="Y52" i="13"/>
  <c r="X76" i="13"/>
  <c r="X22" i="13"/>
  <c r="X24" i="13"/>
  <c r="X25" i="13"/>
  <c r="X46" i="13"/>
  <c r="X49" i="13"/>
  <c r="X51" i="13"/>
  <c r="X9" i="13"/>
  <c r="X69" i="13"/>
  <c r="X5" i="13"/>
  <c r="X23" i="13"/>
  <c r="X48" i="13"/>
  <c r="X50" i="13"/>
  <c r="X52" i="13"/>
  <c r="X8" i="13"/>
  <c r="W75" i="13"/>
  <c r="W22" i="13"/>
  <c r="W25" i="13"/>
  <c r="W49" i="13"/>
  <c r="W69" i="13"/>
  <c r="W5" i="13"/>
  <c r="W48" i="13"/>
  <c r="W52" i="13"/>
  <c r="W24" i="13"/>
  <c r="W46" i="13"/>
  <c r="W51" i="13"/>
  <c r="W9" i="13"/>
  <c r="W23" i="13"/>
  <c r="W50" i="13"/>
  <c r="W8" i="13"/>
  <c r="V75" i="13"/>
  <c r="V22" i="13"/>
  <c r="V23" i="13"/>
  <c r="V24" i="13"/>
  <c r="V25" i="13"/>
  <c r="V46" i="13"/>
  <c r="V48" i="13"/>
  <c r="V49" i="13"/>
  <c r="V50" i="13"/>
  <c r="V51" i="13"/>
  <c r="V52" i="13"/>
  <c r="V8" i="13"/>
  <c r="V9" i="13"/>
  <c r="V69" i="13"/>
  <c r="V5" i="13"/>
  <c r="U76" i="13"/>
  <c r="U22" i="13"/>
  <c r="U25" i="13"/>
  <c r="U49" i="13"/>
  <c r="U69" i="13"/>
  <c r="U5" i="13"/>
  <c r="U23" i="13"/>
  <c r="U50" i="13"/>
  <c r="U8" i="13"/>
  <c r="U24" i="13"/>
  <c r="U46" i="13"/>
  <c r="U51" i="13"/>
  <c r="U9" i="13"/>
  <c r="U48" i="13"/>
  <c r="U52" i="13"/>
  <c r="T76" i="13"/>
  <c r="T22" i="13"/>
  <c r="T24" i="13"/>
  <c r="T25" i="13"/>
  <c r="T46" i="13"/>
  <c r="T49" i="13"/>
  <c r="T51" i="13"/>
  <c r="T9" i="13"/>
  <c r="T69" i="13"/>
  <c r="T5" i="13"/>
  <c r="T23" i="13"/>
  <c r="T48" i="13"/>
  <c r="T50" i="13"/>
  <c r="T52" i="13"/>
  <c r="T8" i="13"/>
  <c r="S75" i="13"/>
  <c r="S22" i="13"/>
  <c r="S25" i="13"/>
  <c r="S49" i="13"/>
  <c r="S69" i="13"/>
  <c r="S5" i="13"/>
  <c r="S48" i="13"/>
  <c r="S52" i="13"/>
  <c r="S24" i="13"/>
  <c r="S46" i="13"/>
  <c r="S51" i="13"/>
  <c r="S9" i="13"/>
  <c r="S23" i="13"/>
  <c r="S50" i="13"/>
  <c r="S8" i="13"/>
  <c r="R76" i="13"/>
  <c r="R22" i="13"/>
  <c r="R23" i="13"/>
  <c r="R24" i="13"/>
  <c r="R25" i="13"/>
  <c r="R46" i="13"/>
  <c r="R48" i="13"/>
  <c r="R49" i="13"/>
  <c r="R50" i="13"/>
  <c r="R51" i="13"/>
  <c r="R52" i="13"/>
  <c r="R8" i="13"/>
  <c r="R9" i="13"/>
  <c r="R69" i="13"/>
  <c r="R5" i="13"/>
  <c r="Q76" i="13"/>
  <c r="Q23" i="13"/>
  <c r="P76" i="13"/>
  <c r="P23" i="13"/>
  <c r="N75" i="13"/>
  <c r="R75" i="13"/>
  <c r="B99" i="14"/>
  <c r="V76" i="13"/>
  <c r="Q75" i="13"/>
  <c r="P75" i="13"/>
  <c r="Y75" i="13"/>
  <c r="T75" i="13"/>
  <c r="B117" i="14"/>
  <c r="X75" i="13"/>
  <c r="U75" i="13"/>
  <c r="B114" i="14"/>
  <c r="B194" i="14"/>
  <c r="B113" i="14"/>
  <c r="B112" i="14"/>
  <c r="B109" i="14"/>
  <c r="B107" i="14"/>
  <c r="B106" i="14"/>
  <c r="B104" i="14"/>
  <c r="B184" i="14"/>
  <c r="BM85" i="2"/>
  <c r="H41" i="12"/>
  <c r="B101" i="14"/>
  <c r="B182" i="14"/>
  <c r="B100" i="14"/>
  <c r="B186" i="14"/>
  <c r="Y55" i="13"/>
  <c r="W55" i="13"/>
  <c r="S76" i="13"/>
  <c r="O75" i="13"/>
  <c r="B180" i="14"/>
  <c r="H29" i="14"/>
  <c r="D38" i="14"/>
  <c r="F38" i="14" s="1"/>
  <c r="B183" i="14"/>
  <c r="B191" i="14"/>
  <c r="B199" i="14"/>
  <c r="B192" i="14"/>
  <c r="B102" i="14"/>
  <c r="B110" i="14"/>
  <c r="B118" i="14"/>
  <c r="B115" i="14"/>
  <c r="W76" i="13"/>
  <c r="B187" i="14"/>
  <c r="B195" i="14"/>
  <c r="H27" i="14"/>
  <c r="H31" i="14"/>
  <c r="D36" i="14"/>
  <c r="F36" i="14" s="1"/>
  <c r="B108" i="14"/>
  <c r="B116" i="14"/>
  <c r="B103" i="14"/>
  <c r="B111" i="14"/>
  <c r="T55" i="13"/>
  <c r="T56" i="13"/>
  <c r="B226" i="14"/>
  <c r="E226" i="14" s="1"/>
  <c r="F226" i="14" s="1"/>
  <c r="B218" i="14"/>
  <c r="E218" i="14" s="1"/>
  <c r="F218" i="14" s="1"/>
  <c r="B214" i="14"/>
  <c r="E214" i="14" s="1"/>
  <c r="F214" i="14" s="1"/>
  <c r="X56" i="13"/>
  <c r="V56" i="13"/>
  <c r="B181" i="14"/>
  <c r="B185" i="14"/>
  <c r="B193" i="14"/>
  <c r="B188" i="14"/>
  <c r="B196" i="14"/>
  <c r="S55" i="13"/>
  <c r="S56" i="13"/>
  <c r="B225" i="14"/>
  <c r="E225" i="14" s="1"/>
  <c r="F225" i="14" s="1"/>
  <c r="B217" i="14"/>
  <c r="E217" i="14" s="1"/>
  <c r="F217" i="14" s="1"/>
  <c r="X55" i="13"/>
  <c r="V55" i="13"/>
  <c r="R55" i="13"/>
  <c r="R56" i="13"/>
  <c r="Y56" i="13"/>
  <c r="W56" i="13"/>
  <c r="B197" i="14"/>
  <c r="U55" i="13"/>
  <c r="U56" i="13"/>
  <c r="G12" i="16"/>
  <c r="F11" i="16"/>
  <c r="I9" i="16"/>
  <c r="F8" i="16"/>
  <c r="G6" i="16"/>
  <c r="O26" i="2"/>
  <c r="S26" i="2" s="1"/>
  <c r="T26" i="2"/>
  <c r="X32" i="2"/>
  <c r="AD32" i="2" s="1"/>
  <c r="T45" i="2"/>
  <c r="AO44" i="2"/>
  <c r="AQ44" i="2"/>
  <c r="G5" i="16"/>
  <c r="C24" i="16"/>
  <c r="D23" i="16"/>
  <c r="V44" i="2"/>
  <c r="I8" i="16"/>
  <c r="I7" i="16"/>
  <c r="I6" i="16"/>
  <c r="C20" i="16"/>
  <c r="O80" i="2"/>
  <c r="C21" i="16"/>
  <c r="E21" i="16" s="1"/>
  <c r="H21" i="16" s="1"/>
  <c r="C22" i="16"/>
  <c r="H44" i="2"/>
  <c r="AK44" i="2"/>
  <c r="F5" i="16"/>
  <c r="AP44" i="2"/>
  <c r="J44" i="2"/>
  <c r="AJ44" i="2"/>
  <c r="BA44" i="2"/>
  <c r="AV44" i="2"/>
  <c r="D5" i="16"/>
  <c r="AT44" i="2"/>
  <c r="AD29" i="2"/>
  <c r="AH29" i="2" s="1"/>
  <c r="AN29" i="2" s="1"/>
  <c r="AR29" i="2" s="1"/>
  <c r="AX29" i="2" s="1"/>
  <c r="BB29" i="2" s="1"/>
  <c r="X77" i="2"/>
  <c r="AD77" i="2" s="1"/>
  <c r="AH77" i="2" s="1"/>
  <c r="AN77" i="2" s="1"/>
  <c r="AR77" i="2" s="1"/>
  <c r="AX77" i="2" s="1"/>
  <c r="BB77" i="2" s="1"/>
  <c r="BH77" i="2" s="1"/>
  <c r="BL77" i="2" s="1"/>
  <c r="BP77" i="2" s="1"/>
  <c r="BS77" i="2" s="1"/>
  <c r="X34" i="2"/>
  <c r="AD34" i="2" s="1"/>
  <c r="AH34" i="2" s="1"/>
  <c r="AN34" i="2" s="1"/>
  <c r="AR34" i="2" s="1"/>
  <c r="AX34" i="2" s="1"/>
  <c r="BB34" i="2" s="1"/>
  <c r="BH34" i="2" s="1"/>
  <c r="BL34" i="2" s="1"/>
  <c r="BP34" i="2" s="1"/>
  <c r="BS34" i="2" s="1"/>
  <c r="AD99" i="2"/>
  <c r="AN25" i="2"/>
  <c r="AG44" i="2"/>
  <c r="AZ44" i="2"/>
  <c r="AY44" i="2"/>
  <c r="W44" i="2"/>
  <c r="AX37" i="2"/>
  <c r="U44" i="2"/>
  <c r="E238" i="14" l="1"/>
  <c r="F238" i="14" s="1"/>
  <c r="E241" i="14"/>
  <c r="F241" i="14" s="1"/>
  <c r="E237" i="14"/>
  <c r="F237" i="14" s="1"/>
  <c r="E236" i="14"/>
  <c r="F236" i="14" s="1"/>
  <c r="E239" i="14"/>
  <c r="F239" i="14" s="1"/>
  <c r="E240" i="14"/>
  <c r="F240" i="14" s="1"/>
  <c r="E244" i="14"/>
  <c r="F244" i="14" s="1"/>
  <c r="O91" i="2"/>
  <c r="X48" i="2"/>
  <c r="X86" i="2" s="1"/>
  <c r="X91" i="2" s="1"/>
  <c r="S48" i="2"/>
  <c r="S86" i="2" s="1"/>
  <c r="S91" i="2" s="1"/>
  <c r="S45" i="2"/>
  <c r="E76" i="14"/>
  <c r="F76" i="14" s="1"/>
  <c r="E80" i="14"/>
  <c r="F80" i="14" s="1"/>
  <c r="E84" i="14"/>
  <c r="F84" i="14" s="1"/>
  <c r="E88" i="14"/>
  <c r="F88" i="14" s="1"/>
  <c r="E72" i="14"/>
  <c r="F72" i="14" s="1"/>
  <c r="E73" i="14"/>
  <c r="F73" i="14" s="1"/>
  <c r="E77" i="14"/>
  <c r="F77" i="14" s="1"/>
  <c r="E81" i="14"/>
  <c r="F81" i="14" s="1"/>
  <c r="E85" i="14"/>
  <c r="F85" i="14" s="1"/>
  <c r="E89" i="14"/>
  <c r="F89" i="14" s="1"/>
  <c r="E74" i="14"/>
  <c r="F74" i="14" s="1"/>
  <c r="E78" i="14"/>
  <c r="F78" i="14" s="1"/>
  <c r="E82" i="14"/>
  <c r="F82" i="14" s="1"/>
  <c r="E86" i="14"/>
  <c r="F86" i="14" s="1"/>
  <c r="E90" i="14"/>
  <c r="F90" i="14" s="1"/>
  <c r="E75" i="14"/>
  <c r="F75" i="14" s="1"/>
  <c r="E79" i="14"/>
  <c r="F79" i="14" s="1"/>
  <c r="E83" i="14"/>
  <c r="F83" i="14" s="1"/>
  <c r="E87" i="14"/>
  <c r="F87" i="14" s="1"/>
  <c r="E91" i="14"/>
  <c r="F91" i="14" s="1"/>
  <c r="Y45" i="2"/>
  <c r="AC32" i="2"/>
  <c r="AC45" i="2" s="1"/>
  <c r="O43" i="2"/>
  <c r="X24" i="2"/>
  <c r="T43" i="2"/>
  <c r="BH29" i="2"/>
  <c r="BL29" i="2" s="1"/>
  <c r="D41" i="16"/>
  <c r="U20" i="13"/>
  <c r="X20" i="13"/>
  <c r="R20" i="13"/>
  <c r="S20" i="13"/>
  <c r="Y20" i="13"/>
  <c r="T20" i="13"/>
  <c r="V20" i="13"/>
  <c r="W20" i="13"/>
  <c r="T80" i="2"/>
  <c r="T67" i="13"/>
  <c r="V67" i="13"/>
  <c r="U67" i="13"/>
  <c r="W67" i="13"/>
  <c r="X67" i="13"/>
  <c r="R67" i="13"/>
  <c r="S67" i="13"/>
  <c r="Y67" i="13"/>
  <c r="AW96" i="2"/>
  <c r="BC96" i="2" s="1"/>
  <c r="BG96" i="2" s="1"/>
  <c r="AW97" i="2"/>
  <c r="BC97" i="2" s="1"/>
  <c r="BG97" i="2" s="1"/>
  <c r="AW98" i="2"/>
  <c r="BC98" i="2" s="1"/>
  <c r="BG98" i="2" s="1"/>
  <c r="AW95" i="2"/>
  <c r="BC95" i="2" s="1"/>
  <c r="BG95" i="2" s="1"/>
  <c r="AW74" i="2"/>
  <c r="BC74" i="2" s="1"/>
  <c r="BG74" i="2" s="1"/>
  <c r="AW71" i="2"/>
  <c r="BC71" i="2" s="1"/>
  <c r="BG71" i="2" s="1"/>
  <c r="AW75" i="2"/>
  <c r="BC75" i="2" s="1"/>
  <c r="BG75" i="2" s="1"/>
  <c r="AW77" i="2"/>
  <c r="BC77" i="2" s="1"/>
  <c r="BG77" i="2" s="1"/>
  <c r="AW49" i="2"/>
  <c r="BC49" i="2" s="1"/>
  <c r="BG49" i="2" s="1"/>
  <c r="AW73" i="2"/>
  <c r="BC73" i="2" s="1"/>
  <c r="BG73" i="2" s="1"/>
  <c r="AW72" i="2"/>
  <c r="AC34" i="2"/>
  <c r="AI34" i="2" s="1"/>
  <c r="AM34" i="2" s="1"/>
  <c r="AS34" i="2" s="1"/>
  <c r="AI32" i="2"/>
  <c r="E228" i="14"/>
  <c r="N85" i="2"/>
  <c r="L75" i="13"/>
  <c r="D6" i="16"/>
  <c r="BS50" i="2"/>
  <c r="D12" i="16"/>
  <c r="BS96" i="2"/>
  <c r="D10" i="16"/>
  <c r="BS72" i="2"/>
  <c r="D9" i="16"/>
  <c r="BS71" i="2"/>
  <c r="D11" i="16"/>
  <c r="BS95" i="2"/>
  <c r="BT36" i="2"/>
  <c r="I85" i="2"/>
  <c r="I44" i="2"/>
  <c r="D188" i="14"/>
  <c r="D187" i="14"/>
  <c r="G34" i="16"/>
  <c r="F34" i="16"/>
  <c r="G33" i="16"/>
  <c r="F33" i="16"/>
  <c r="G19" i="16"/>
  <c r="F19" i="16"/>
  <c r="G35" i="16"/>
  <c r="F35" i="16"/>
  <c r="D186" i="14"/>
  <c r="D185" i="14"/>
  <c r="D184" i="14"/>
  <c r="D183" i="14"/>
  <c r="D182" i="14"/>
  <c r="D181" i="14"/>
  <c r="O23" i="13"/>
  <c r="BO104" i="2"/>
  <c r="BT104" i="2" s="1"/>
  <c r="BW104" i="2"/>
  <c r="E86" i="11" s="1"/>
  <c r="BO37" i="2"/>
  <c r="BO31" i="2"/>
  <c r="C35" i="16" s="1"/>
  <c r="BW31" i="2"/>
  <c r="BO101" i="2"/>
  <c r="BT101" i="2" s="1"/>
  <c r="BW101" i="2"/>
  <c r="BO29" i="2"/>
  <c r="C33" i="16" s="1"/>
  <c r="BO103" i="2"/>
  <c r="BW103" i="2"/>
  <c r="BO30" i="2"/>
  <c r="C34" i="16" s="1"/>
  <c r="BW30" i="2"/>
  <c r="J34" i="16" s="1"/>
  <c r="BO51" i="2"/>
  <c r="BW51" i="2"/>
  <c r="BO35" i="2"/>
  <c r="C42" i="16" s="1"/>
  <c r="E42" i="16" s="1"/>
  <c r="H42" i="16" s="1"/>
  <c r="BW35" i="2"/>
  <c r="J42" i="16" s="1"/>
  <c r="BO76" i="2"/>
  <c r="C28" i="16" s="1"/>
  <c r="BW76" i="2"/>
  <c r="BX76" i="2" s="1"/>
  <c r="BO33" i="2"/>
  <c r="C40" i="16" s="1"/>
  <c r="E40" i="16" s="1"/>
  <c r="H40" i="16" s="1"/>
  <c r="BW33" i="2"/>
  <c r="BO102" i="2"/>
  <c r="BT102" i="2" s="1"/>
  <c r="BW102" i="2"/>
  <c r="BO99" i="2"/>
  <c r="C15" i="16" s="1"/>
  <c r="BO88" i="2"/>
  <c r="BW88" i="2"/>
  <c r="BX88" i="2" s="1"/>
  <c r="BW50" i="2"/>
  <c r="BO78" i="2"/>
  <c r="BW78" i="2"/>
  <c r="BX78" i="2" s="1"/>
  <c r="BT50" i="2"/>
  <c r="D24" i="13" s="1"/>
  <c r="I24" i="13" s="1"/>
  <c r="BO83" i="2"/>
  <c r="BO100" i="2"/>
  <c r="C16" i="16" s="1"/>
  <c r="BW100" i="2"/>
  <c r="BX100" i="2" s="1"/>
  <c r="BO25" i="2"/>
  <c r="C19" i="16" s="1"/>
  <c r="G75" i="13"/>
  <c r="J75" i="13"/>
  <c r="K75" i="13"/>
  <c r="H75" i="13"/>
  <c r="F75" i="13"/>
  <c r="I75" i="13"/>
  <c r="O85" i="2"/>
  <c r="E20" i="16"/>
  <c r="H20" i="16" s="1"/>
  <c r="N23" i="13"/>
  <c r="D22" i="16"/>
  <c r="E22" i="16" s="1"/>
  <c r="H22" i="16" s="1"/>
  <c r="L23" i="13"/>
  <c r="M23" i="13"/>
  <c r="S24" i="2"/>
  <c r="K24" i="13"/>
  <c r="P77" i="13"/>
  <c r="W77" i="13"/>
  <c r="Y77" i="13"/>
  <c r="U77" i="13"/>
  <c r="S77" i="13"/>
  <c r="X77" i="13"/>
  <c r="V77" i="13"/>
  <c r="R68" i="13"/>
  <c r="V68" i="13"/>
  <c r="Q77" i="13"/>
  <c r="T68" i="13"/>
  <c r="X68" i="13"/>
  <c r="S68" i="13"/>
  <c r="U68" i="13"/>
  <c r="W68" i="13"/>
  <c r="Y68" i="13"/>
  <c r="H24" i="13"/>
  <c r="R77" i="13"/>
  <c r="T77" i="13"/>
  <c r="W57" i="13"/>
  <c r="W73" i="13" s="1"/>
  <c r="T57" i="13"/>
  <c r="T73" i="13" s="1"/>
  <c r="Y57" i="13"/>
  <c r="Y73" i="13" s="1"/>
  <c r="X57" i="13"/>
  <c r="X73" i="13" s="1"/>
  <c r="V57" i="13"/>
  <c r="V73" i="13" s="1"/>
  <c r="S53" i="13"/>
  <c r="S57" i="13"/>
  <c r="S73" i="13" s="1"/>
  <c r="T53" i="13"/>
  <c r="U57" i="13"/>
  <c r="U73" i="13" s="1"/>
  <c r="R57" i="13"/>
  <c r="R73" i="13" s="1"/>
  <c r="X53" i="13"/>
  <c r="V53" i="13"/>
  <c r="Y53" i="13"/>
  <c r="U53" i="13"/>
  <c r="W53" i="13"/>
  <c r="R53" i="13"/>
  <c r="X83" i="2"/>
  <c r="E23" i="16"/>
  <c r="H23" i="16" s="1"/>
  <c r="C6" i="16"/>
  <c r="E6" i="16" s="1"/>
  <c r="H6" i="16" s="1"/>
  <c r="X45" i="2"/>
  <c r="N44" i="2"/>
  <c r="X26" i="2"/>
  <c r="AH32" i="2"/>
  <c r="AN32" i="2" s="1"/>
  <c r="AD45" i="2"/>
  <c r="X80" i="2"/>
  <c r="C7" i="16"/>
  <c r="E7" i="16" s="1"/>
  <c r="H7" i="16" s="1"/>
  <c r="J7" i="16"/>
  <c r="D30" i="16"/>
  <c r="E30" i="16" s="1"/>
  <c r="H30" i="16" s="1"/>
  <c r="D76" i="13"/>
  <c r="J20" i="16"/>
  <c r="D14" i="16"/>
  <c r="J30" i="16"/>
  <c r="E49" i="11"/>
  <c r="D8" i="16"/>
  <c r="E50" i="11"/>
  <c r="J22" i="16"/>
  <c r="D16" i="16"/>
  <c r="E60" i="11"/>
  <c r="D27" i="16"/>
  <c r="D24" i="16"/>
  <c r="E24" i="16" s="1"/>
  <c r="H24" i="16" s="1"/>
  <c r="D13" i="16"/>
  <c r="D17" i="16"/>
  <c r="D35" i="16"/>
  <c r="AR25" i="2"/>
  <c r="J24" i="16"/>
  <c r="D28" i="16"/>
  <c r="D34" i="16"/>
  <c r="D37" i="16"/>
  <c r="J23" i="16"/>
  <c r="J21" i="16"/>
  <c r="D44" i="16"/>
  <c r="D25" i="16"/>
  <c r="D26" i="16"/>
  <c r="AH99" i="2"/>
  <c r="C43" i="16"/>
  <c r="BB37" i="2"/>
  <c r="BH37" i="2" s="1"/>
  <c r="BL37" i="2" s="1"/>
  <c r="BP37" i="2" s="1"/>
  <c r="BS37" i="2" s="1"/>
  <c r="BQ83" i="2" l="1"/>
  <c r="BR83" i="2"/>
  <c r="BR88" i="2"/>
  <c r="BQ88" i="2"/>
  <c r="E256" i="14"/>
  <c r="C38" i="16"/>
  <c r="BC72" i="2"/>
  <c r="BG72" i="2" s="1"/>
  <c r="S80" i="2"/>
  <c r="Y48" i="2"/>
  <c r="Y86" i="2" s="1"/>
  <c r="Y91" i="2" s="1"/>
  <c r="AD48" i="2"/>
  <c r="AD86" i="2" s="1"/>
  <c r="AD91" i="2" s="1"/>
  <c r="E84" i="11"/>
  <c r="E85" i="11"/>
  <c r="BX103" i="2"/>
  <c r="T85" i="2"/>
  <c r="J6" i="16"/>
  <c r="N77" i="14"/>
  <c r="N87" i="14"/>
  <c r="P87" i="14" s="1"/>
  <c r="N91" i="14"/>
  <c r="P91" i="14" s="1"/>
  <c r="N79" i="14"/>
  <c r="P79" i="14" s="1"/>
  <c r="N86" i="14"/>
  <c r="P86" i="14" s="1"/>
  <c r="N85" i="14"/>
  <c r="P85" i="14" s="1"/>
  <c r="N89" i="14"/>
  <c r="P89" i="14" s="1"/>
  <c r="N80" i="14"/>
  <c r="N76" i="14"/>
  <c r="N75" i="14"/>
  <c r="N78" i="14"/>
  <c r="P78" i="14" s="1"/>
  <c r="N88" i="14"/>
  <c r="P88" i="14" s="1"/>
  <c r="N73" i="14"/>
  <c r="N90" i="14"/>
  <c r="P90" i="14" s="1"/>
  <c r="N82" i="14"/>
  <c r="P82" i="14" s="1"/>
  <c r="N84" i="14"/>
  <c r="P84" i="14" s="1"/>
  <c r="N81" i="14"/>
  <c r="P81" i="14" s="1"/>
  <c r="N72" i="14"/>
  <c r="N83" i="14"/>
  <c r="P83" i="14" s="1"/>
  <c r="N74" i="14"/>
  <c r="BP29" i="2"/>
  <c r="BS29" i="2" s="1"/>
  <c r="BW29" i="2"/>
  <c r="J33" i="16" s="1"/>
  <c r="E83" i="11"/>
  <c r="X43" i="2"/>
  <c r="J40" i="16"/>
  <c r="Y24" i="2"/>
  <c r="AC24" i="2" s="1"/>
  <c r="S43" i="2"/>
  <c r="BO98" i="2"/>
  <c r="BW98" i="2"/>
  <c r="BX98" i="2" s="1"/>
  <c r="BO96" i="2"/>
  <c r="BW96" i="2"/>
  <c r="BX96" i="2" s="1"/>
  <c r="BW97" i="2"/>
  <c r="BX97" i="2" s="1"/>
  <c r="BO97" i="2"/>
  <c r="BO95" i="2"/>
  <c r="BW95" i="2"/>
  <c r="J11" i="16" s="1"/>
  <c r="BO77" i="2"/>
  <c r="C32" i="16" s="1"/>
  <c r="BW77" i="2"/>
  <c r="BX77" i="2" s="1"/>
  <c r="BW75" i="2"/>
  <c r="BX75" i="2" s="1"/>
  <c r="BO75" i="2"/>
  <c r="BO49" i="2"/>
  <c r="BW49" i="2"/>
  <c r="BO71" i="2"/>
  <c r="BW71" i="2"/>
  <c r="BX71" i="2" s="1"/>
  <c r="BO73" i="2"/>
  <c r="BW73" i="2"/>
  <c r="BX73" i="2" s="1"/>
  <c r="BW74" i="2"/>
  <c r="BX74" i="2" s="1"/>
  <c r="BO74" i="2"/>
  <c r="AW34" i="2"/>
  <c r="BC34" i="2" s="1"/>
  <c r="BG34" i="2" s="1"/>
  <c r="AM32" i="2"/>
  <c r="AI45" i="2"/>
  <c r="E58" i="11"/>
  <c r="J16" i="16"/>
  <c r="E82" i="11"/>
  <c r="J26" i="16"/>
  <c r="J44" i="16"/>
  <c r="E52" i="11"/>
  <c r="E72" i="11"/>
  <c r="E64" i="11"/>
  <c r="E63" i="11"/>
  <c r="E46" i="11"/>
  <c r="M63" i="13"/>
  <c r="K63" i="13"/>
  <c r="I63" i="13"/>
  <c r="G63" i="13"/>
  <c r="L63" i="13"/>
  <c r="H63" i="13"/>
  <c r="J63" i="13"/>
  <c r="F63" i="13"/>
  <c r="C44" i="16"/>
  <c r="E44" i="16" s="1"/>
  <c r="H44" i="16" s="1"/>
  <c r="D52" i="13"/>
  <c r="C8" i="16"/>
  <c r="E8" i="16" s="1"/>
  <c r="H8" i="16" s="1"/>
  <c r="D25" i="13"/>
  <c r="L25" i="13" s="1"/>
  <c r="M24" i="13"/>
  <c r="G24" i="13"/>
  <c r="L24" i="13"/>
  <c r="J24" i="13"/>
  <c r="E48" i="11"/>
  <c r="F24" i="13"/>
  <c r="O44" i="2"/>
  <c r="BT35" i="2"/>
  <c r="E51" i="11"/>
  <c r="BT37" i="2"/>
  <c r="BT33" i="2"/>
  <c r="BT100" i="2"/>
  <c r="T44" i="2"/>
  <c r="C26" i="16"/>
  <c r="E26" i="16" s="1"/>
  <c r="Q47" i="13"/>
  <c r="N47" i="13"/>
  <c r="O47" i="13"/>
  <c r="M47" i="13"/>
  <c r="P47" i="13"/>
  <c r="Q51" i="13"/>
  <c r="P51" i="13"/>
  <c r="Q48" i="13"/>
  <c r="P48" i="13"/>
  <c r="P49" i="13"/>
  <c r="Q49" i="13"/>
  <c r="P50" i="13"/>
  <c r="Q50" i="13"/>
  <c r="Q46" i="13"/>
  <c r="P46" i="13"/>
  <c r="O24" i="13"/>
  <c r="P24" i="13"/>
  <c r="N24" i="13"/>
  <c r="Q24" i="13"/>
  <c r="P25" i="13"/>
  <c r="Q25" i="13"/>
  <c r="L47" i="13"/>
  <c r="G47" i="13"/>
  <c r="I47" i="13"/>
  <c r="K47" i="13"/>
  <c r="J47" i="13"/>
  <c r="H47" i="13"/>
  <c r="F47" i="13"/>
  <c r="BT30" i="2"/>
  <c r="I9" i="13" s="1"/>
  <c r="BT31" i="2"/>
  <c r="F10" i="13" s="1"/>
  <c r="J28" i="16"/>
  <c r="J8" i="16"/>
  <c r="BT76" i="2"/>
  <c r="D50" i="13" s="1"/>
  <c r="I50" i="13" s="1"/>
  <c r="E47" i="11"/>
  <c r="E34" i="16"/>
  <c r="H34" i="16" s="1"/>
  <c r="E35" i="16"/>
  <c r="H35" i="16" s="1"/>
  <c r="E16" i="16"/>
  <c r="H16" i="16" s="1"/>
  <c r="E28" i="16"/>
  <c r="H28" i="16" s="1"/>
  <c r="J35" i="16"/>
  <c r="BW37" i="2"/>
  <c r="O9" i="13"/>
  <c r="N51" i="13"/>
  <c r="O51" i="13"/>
  <c r="L76" i="13"/>
  <c r="L77" i="13" s="1"/>
  <c r="M76" i="13"/>
  <c r="M77" i="13" s="1"/>
  <c r="N76" i="13"/>
  <c r="N77" i="13" s="1"/>
  <c r="O76" i="13"/>
  <c r="O77" i="13" s="1"/>
  <c r="J76" i="13"/>
  <c r="J77" i="13" s="1"/>
  <c r="K76" i="13"/>
  <c r="K77" i="13" s="1"/>
  <c r="I76" i="13"/>
  <c r="I77" i="13" s="1"/>
  <c r="M49" i="13"/>
  <c r="N49" i="13"/>
  <c r="K49" i="13"/>
  <c r="O49" i="13"/>
  <c r="J49" i="13"/>
  <c r="I49" i="13"/>
  <c r="L49" i="13"/>
  <c r="N48" i="13"/>
  <c r="M48" i="13"/>
  <c r="L48" i="13"/>
  <c r="O48" i="13"/>
  <c r="O10" i="13"/>
  <c r="J50" i="13"/>
  <c r="O50" i="13"/>
  <c r="N50" i="13"/>
  <c r="N25" i="13"/>
  <c r="O25" i="13"/>
  <c r="AD24" i="2"/>
  <c r="X85" i="2"/>
  <c r="Y82" i="2"/>
  <c r="AC82" i="2" s="1"/>
  <c r="O46" i="13"/>
  <c r="M46" i="13"/>
  <c r="K46" i="13"/>
  <c r="J46" i="13"/>
  <c r="I46" i="13"/>
  <c r="L46" i="13"/>
  <c r="N46" i="13"/>
  <c r="N9" i="13"/>
  <c r="N10" i="13"/>
  <c r="H46" i="13"/>
  <c r="G51" i="13"/>
  <c r="G49" i="13"/>
  <c r="H49" i="13"/>
  <c r="D77" i="13"/>
  <c r="H76" i="13"/>
  <c r="H77" i="13" s="1"/>
  <c r="F76" i="13"/>
  <c r="F77" i="13" s="1"/>
  <c r="G76" i="13"/>
  <c r="G77" i="13" s="1"/>
  <c r="F49" i="13"/>
  <c r="AD83" i="2"/>
  <c r="AH45" i="2"/>
  <c r="Y26" i="2"/>
  <c r="AD26" i="2"/>
  <c r="Y80" i="2"/>
  <c r="D32" i="16"/>
  <c r="D33" i="16"/>
  <c r="E33" i="16" s="1"/>
  <c r="H33" i="16" s="1"/>
  <c r="BT29" i="2"/>
  <c r="AN45" i="2"/>
  <c r="AR32" i="2"/>
  <c r="AX25" i="2"/>
  <c r="AN99" i="2"/>
  <c r="BR80" i="2" l="1"/>
  <c r="BQ86" i="2"/>
  <c r="BQ91" i="2" s="1"/>
  <c r="BT88" i="2"/>
  <c r="BO72" i="2"/>
  <c r="BT72" i="2" s="1"/>
  <c r="BW72" i="2"/>
  <c r="BX72" i="2" s="1"/>
  <c r="AC48" i="2"/>
  <c r="AC86" i="2" s="1"/>
  <c r="AC91" i="2" s="1"/>
  <c r="BT77" i="2"/>
  <c r="D51" i="13" s="1"/>
  <c r="I51" i="13" s="1"/>
  <c r="S85" i="2"/>
  <c r="AH48" i="2"/>
  <c r="AH86" i="2" s="1"/>
  <c r="AH91" i="2" s="1"/>
  <c r="AD80" i="2"/>
  <c r="BT95" i="2"/>
  <c r="C11" i="16"/>
  <c r="E11" i="16" s="1"/>
  <c r="H11" i="16" s="1"/>
  <c r="D63" i="13"/>
  <c r="C12" i="16"/>
  <c r="E12" i="16" s="1"/>
  <c r="H12" i="16" s="1"/>
  <c r="J12" i="16"/>
  <c r="E77" i="11"/>
  <c r="BX95" i="2"/>
  <c r="E78" i="11"/>
  <c r="J32" i="16"/>
  <c r="E181" i="14"/>
  <c r="F181" i="14" s="1"/>
  <c r="E185" i="14"/>
  <c r="F185" i="14" s="1"/>
  <c r="E189" i="14"/>
  <c r="F189" i="14" s="1"/>
  <c r="E193" i="14"/>
  <c r="F193" i="14" s="1"/>
  <c r="E197" i="14"/>
  <c r="F197" i="14" s="1"/>
  <c r="E195" i="14"/>
  <c r="F195" i="14" s="1"/>
  <c r="E184" i="14"/>
  <c r="F184" i="14" s="1"/>
  <c r="E192" i="14"/>
  <c r="F192" i="14" s="1"/>
  <c r="E180" i="14"/>
  <c r="F180" i="14" s="1"/>
  <c r="E182" i="14"/>
  <c r="F182" i="14" s="1"/>
  <c r="E186" i="14"/>
  <c r="F186" i="14" s="1"/>
  <c r="E190" i="14"/>
  <c r="F190" i="14" s="1"/>
  <c r="E194" i="14"/>
  <c r="F194" i="14" s="1"/>
  <c r="E198" i="14"/>
  <c r="F198" i="14" s="1"/>
  <c r="E187" i="14"/>
  <c r="F187" i="14" s="1"/>
  <c r="E191" i="14"/>
  <c r="F191" i="14" s="1"/>
  <c r="E199" i="14"/>
  <c r="F199" i="14" s="1"/>
  <c r="E188" i="14"/>
  <c r="F188" i="14" s="1"/>
  <c r="E196" i="14"/>
  <c r="F196" i="14" s="1"/>
  <c r="E183" i="14"/>
  <c r="F183" i="14" s="1"/>
  <c r="J5" i="16"/>
  <c r="J10" i="16"/>
  <c r="E71" i="11"/>
  <c r="E76" i="11"/>
  <c r="AD43" i="2"/>
  <c r="E32" i="16"/>
  <c r="H32" i="16" s="1"/>
  <c r="C13" i="16"/>
  <c r="E13" i="16" s="1"/>
  <c r="H13" i="16" s="1"/>
  <c r="BT97" i="2"/>
  <c r="E79" i="11"/>
  <c r="J13" i="16"/>
  <c r="J14" i="16"/>
  <c r="C14" i="16"/>
  <c r="E14" i="16" s="1"/>
  <c r="H14" i="16" s="1"/>
  <c r="BT98" i="2"/>
  <c r="BT49" i="2"/>
  <c r="C5" i="16"/>
  <c r="E5" i="16" s="1"/>
  <c r="H5" i="16" s="1"/>
  <c r="C25" i="16"/>
  <c r="E25" i="16" s="1"/>
  <c r="H25" i="16" s="1"/>
  <c r="BT74" i="2"/>
  <c r="D48" i="13" s="1"/>
  <c r="E68" i="11"/>
  <c r="J17" i="16"/>
  <c r="C27" i="16"/>
  <c r="E27" i="16" s="1"/>
  <c r="H27" i="16" s="1"/>
  <c r="BT75" i="2"/>
  <c r="D49" i="13" s="1"/>
  <c r="E69" i="11"/>
  <c r="J25" i="16"/>
  <c r="C17" i="16"/>
  <c r="E17" i="16" s="1"/>
  <c r="H17" i="16" s="1"/>
  <c r="D47" i="13"/>
  <c r="E70" i="11"/>
  <c r="J27" i="16"/>
  <c r="E67" i="11"/>
  <c r="D46" i="13"/>
  <c r="C10" i="16"/>
  <c r="E10" i="16" s="1"/>
  <c r="H10" i="16" s="1"/>
  <c r="J9" i="16"/>
  <c r="E66" i="11"/>
  <c r="E44" i="11"/>
  <c r="BT71" i="2"/>
  <c r="D45" i="13" s="1"/>
  <c r="C9" i="16"/>
  <c r="E9" i="16" s="1"/>
  <c r="H9" i="16" s="1"/>
  <c r="BO34" i="2"/>
  <c r="BW34" i="2"/>
  <c r="J41" i="16" s="1"/>
  <c r="AS32" i="2"/>
  <c r="AM45" i="2"/>
  <c r="AC26" i="2"/>
  <c r="AC43" i="2" s="1"/>
  <c r="Y43" i="2"/>
  <c r="Y44" i="2" s="1"/>
  <c r="AH24" i="2"/>
  <c r="K50" i="13"/>
  <c r="G50" i="13"/>
  <c r="K51" i="13"/>
  <c r="H50" i="13"/>
  <c r="F51" i="13"/>
  <c r="F50" i="13"/>
  <c r="L50" i="13"/>
  <c r="L51" i="13"/>
  <c r="M51" i="13"/>
  <c r="M50" i="13"/>
  <c r="J51" i="13"/>
  <c r="J25" i="13"/>
  <c r="H51" i="13"/>
  <c r="K25" i="13"/>
  <c r="F25" i="13"/>
  <c r="M25" i="13"/>
  <c r="H25" i="13"/>
  <c r="I25" i="13"/>
  <c r="H10" i="13"/>
  <c r="I10" i="13"/>
  <c r="L10" i="13"/>
  <c r="K10" i="13"/>
  <c r="M10" i="13"/>
  <c r="G25" i="13"/>
  <c r="M9" i="13"/>
  <c r="K9" i="13"/>
  <c r="F9" i="13"/>
  <c r="H9" i="13"/>
  <c r="J9" i="13"/>
  <c r="L9" i="13"/>
  <c r="D4" i="16"/>
  <c r="F26" i="16"/>
  <c r="H26" i="16" s="1"/>
  <c r="BS88" i="2"/>
  <c r="H8" i="13"/>
  <c r="X44" i="2"/>
  <c r="J10" i="13"/>
  <c r="Q10" i="13"/>
  <c r="P10" i="13"/>
  <c r="Q8" i="13"/>
  <c r="P8" i="13"/>
  <c r="G9" i="13"/>
  <c r="Q9" i="13"/>
  <c r="P9" i="13"/>
  <c r="F36" i="16"/>
  <c r="BQ45" i="2"/>
  <c r="G36" i="16"/>
  <c r="S44" i="2"/>
  <c r="O8" i="13"/>
  <c r="AD85" i="2"/>
  <c r="N8" i="13"/>
  <c r="AH83" i="2"/>
  <c r="AI26" i="2"/>
  <c r="AM26" i="2" s="1"/>
  <c r="AS26" i="2" s="1"/>
  <c r="AW26" i="2" s="1"/>
  <c r="AH26" i="2"/>
  <c r="AI24" i="2"/>
  <c r="AI48" i="2"/>
  <c r="AI86" i="2" s="1"/>
  <c r="AI91" i="2" s="1"/>
  <c r="AC80" i="2"/>
  <c r="BB25" i="2"/>
  <c r="AR99" i="2"/>
  <c r="AX32" i="2"/>
  <c r="AR45" i="2"/>
  <c r="D43" i="16"/>
  <c r="E43" i="16" s="1"/>
  <c r="H43" i="16" s="1"/>
  <c r="J43" i="16"/>
  <c r="G48" i="13" l="1"/>
  <c r="H48" i="13"/>
  <c r="I48" i="13"/>
  <c r="K48" i="13"/>
  <c r="F48" i="13"/>
  <c r="J48" i="13"/>
  <c r="I45" i="13"/>
  <c r="J45" i="13"/>
  <c r="K45" i="13"/>
  <c r="G45" i="13"/>
  <c r="H45" i="13"/>
  <c r="F45" i="13"/>
  <c r="D23" i="13"/>
  <c r="BR86" i="2"/>
  <c r="BR91" i="2" s="1"/>
  <c r="BQ80" i="2"/>
  <c r="BS49" i="2"/>
  <c r="D82" i="13"/>
  <c r="AC42" i="12"/>
  <c r="AC43" i="12" s="1"/>
  <c r="AN48" i="2"/>
  <c r="AN86" i="2" s="1"/>
  <c r="AN91" i="2" s="1"/>
  <c r="AH80" i="2"/>
  <c r="BT34" i="2"/>
  <c r="C41" i="16"/>
  <c r="E41" i="16" s="1"/>
  <c r="H41" i="16" s="1"/>
  <c r="Y85" i="2"/>
  <c r="AW32" i="2"/>
  <c r="AS45" i="2"/>
  <c r="BH25" i="2"/>
  <c r="BL25" i="2" s="1"/>
  <c r="AM24" i="2"/>
  <c r="AM43" i="2" s="1"/>
  <c r="AI43" i="2"/>
  <c r="AI44" i="2" s="1"/>
  <c r="AH43" i="2"/>
  <c r="D59" i="13"/>
  <c r="D61" i="13" s="1"/>
  <c r="M8" i="13"/>
  <c r="J8" i="13"/>
  <c r="G8" i="13"/>
  <c r="I8" i="13"/>
  <c r="K8" i="13"/>
  <c r="L8" i="13"/>
  <c r="F8" i="13"/>
  <c r="AC85" i="2"/>
  <c r="BC26" i="2"/>
  <c r="BG26" i="2" s="1"/>
  <c r="AI82" i="2"/>
  <c r="AN24" i="2"/>
  <c r="AN83" i="2"/>
  <c r="AD44" i="2"/>
  <c r="AN26" i="2"/>
  <c r="AM48" i="2"/>
  <c r="AM86" i="2" s="1"/>
  <c r="AM91" i="2" s="1"/>
  <c r="AI80" i="2"/>
  <c r="AX99" i="2"/>
  <c r="BB32" i="2"/>
  <c r="BH32" i="2" s="1"/>
  <c r="AX45" i="2"/>
  <c r="I23" i="13" l="1"/>
  <c r="J23" i="13"/>
  <c r="F23" i="13"/>
  <c r="H23" i="13"/>
  <c r="K23" i="13"/>
  <c r="G23" i="13"/>
  <c r="AH85" i="2"/>
  <c r="AR48" i="2"/>
  <c r="AR86" i="2" s="1"/>
  <c r="AR91" i="2" s="1"/>
  <c r="AN80" i="2"/>
  <c r="AN85" i="2" s="1"/>
  <c r="AW45" i="2"/>
  <c r="BC32" i="2"/>
  <c r="BP25" i="2"/>
  <c r="BS25" i="2" s="1"/>
  <c r="BW25" i="2"/>
  <c r="J19" i="16" s="1"/>
  <c r="AN43" i="2"/>
  <c r="G31" i="16"/>
  <c r="F31" i="16"/>
  <c r="BO26" i="2"/>
  <c r="AC44" i="2"/>
  <c r="BL32" i="2"/>
  <c r="BH45" i="2"/>
  <c r="AM82" i="2"/>
  <c r="AI85" i="2"/>
  <c r="AR24" i="2"/>
  <c r="AR83" i="2"/>
  <c r="AH44" i="2"/>
  <c r="AR26" i="2"/>
  <c r="AM80" i="2"/>
  <c r="AS48" i="2"/>
  <c r="AS86" i="2" s="1"/>
  <c r="AS91" i="2" s="1"/>
  <c r="AS24" i="2"/>
  <c r="AM44" i="2"/>
  <c r="BB99" i="2"/>
  <c r="BH99" i="2" s="1"/>
  <c r="BL99" i="2" s="1"/>
  <c r="BB45" i="2"/>
  <c r="BT25" i="2"/>
  <c r="D19" i="16"/>
  <c r="E19" i="16" s="1"/>
  <c r="H19" i="16" s="1"/>
  <c r="AW48" i="2" l="1"/>
  <c r="AW86" i="2" s="1"/>
  <c r="AW91" i="2" s="1"/>
  <c r="AX48" i="2"/>
  <c r="AX86" i="2" s="1"/>
  <c r="AX91" i="2" s="1"/>
  <c r="AR80" i="2"/>
  <c r="AS43" i="2"/>
  <c r="AW24" i="2"/>
  <c r="AW43" i="2" s="1"/>
  <c r="AR43" i="2"/>
  <c r="BC45" i="2"/>
  <c r="BG32" i="2"/>
  <c r="BW32" i="2" s="1"/>
  <c r="C31" i="16"/>
  <c r="BP99" i="2"/>
  <c r="BS99" i="2" s="1"/>
  <c r="BW99" i="2"/>
  <c r="BL45" i="2"/>
  <c r="BP32" i="2"/>
  <c r="AX24" i="2"/>
  <c r="BB24" i="2" s="1"/>
  <c r="BH24" i="2" s="1"/>
  <c r="AS82" i="2"/>
  <c r="AW82" i="2" s="1"/>
  <c r="AM85" i="2"/>
  <c r="AX83" i="2"/>
  <c r="AN44" i="2"/>
  <c r="AX26" i="2"/>
  <c r="AS44" i="2"/>
  <c r="AS80" i="2"/>
  <c r="J36" i="16"/>
  <c r="BC48" i="2" l="1"/>
  <c r="BC86" i="2" s="1"/>
  <c r="BC91" i="2" s="1"/>
  <c r="AR85" i="2"/>
  <c r="BB48" i="2"/>
  <c r="BB86" i="2" s="1"/>
  <c r="BB91" i="2" s="1"/>
  <c r="AX80" i="2"/>
  <c r="E80" i="11"/>
  <c r="BX99" i="2"/>
  <c r="BG45" i="2"/>
  <c r="BW45" i="2" s="1"/>
  <c r="BO32" i="2"/>
  <c r="BT32" i="2" s="1"/>
  <c r="E62" i="11"/>
  <c r="E81" i="11"/>
  <c r="AX43" i="2"/>
  <c r="E61" i="11"/>
  <c r="E65" i="11"/>
  <c r="BP45" i="2"/>
  <c r="BS32" i="2"/>
  <c r="BS45" i="2" s="1"/>
  <c r="D36" i="16"/>
  <c r="BC24" i="2"/>
  <c r="AS85" i="2"/>
  <c r="BG48" i="2"/>
  <c r="BG86" i="2" s="1"/>
  <c r="BG91" i="2" s="1"/>
  <c r="AX85" i="2"/>
  <c r="BB83" i="2"/>
  <c r="AR44" i="2"/>
  <c r="BB26" i="2"/>
  <c r="BH26" i="2" s="1"/>
  <c r="AW80" i="2"/>
  <c r="J15" i="16"/>
  <c r="E53" i="11"/>
  <c r="D15" i="16"/>
  <c r="E15" i="16" s="1"/>
  <c r="H15" i="16" s="1"/>
  <c r="BT99" i="2"/>
  <c r="BC80" i="2" l="1"/>
  <c r="BH48" i="2"/>
  <c r="BH86" i="2" s="1"/>
  <c r="BH91" i="2" s="1"/>
  <c r="BB80" i="2"/>
  <c r="C36" i="16"/>
  <c r="E36" i="16" s="1"/>
  <c r="H36" i="16" s="1"/>
  <c r="BO45" i="2"/>
  <c r="BT45" i="2" s="1"/>
  <c r="P71" i="13" s="1"/>
  <c r="BG24" i="2"/>
  <c r="BG43" i="2" s="1"/>
  <c r="BC43" i="2"/>
  <c r="BC44" i="2" s="1"/>
  <c r="BB43" i="2"/>
  <c r="BB85" i="2" s="1"/>
  <c r="P52" i="13"/>
  <c r="Q52" i="13"/>
  <c r="BG80" i="2"/>
  <c r="BO48" i="2"/>
  <c r="BO86" i="2" s="1"/>
  <c r="BO91" i="2" s="1"/>
  <c r="N52" i="13"/>
  <c r="K52" i="13"/>
  <c r="O52" i="13"/>
  <c r="M52" i="13"/>
  <c r="L52" i="13"/>
  <c r="J52" i="13"/>
  <c r="I52" i="13"/>
  <c r="AW85" i="2"/>
  <c r="BC82" i="2"/>
  <c r="H52" i="13"/>
  <c r="G52" i="13"/>
  <c r="F52" i="13"/>
  <c r="BH83" i="2"/>
  <c r="AX44" i="2"/>
  <c r="AW44" i="2"/>
  <c r="BH80" i="2" l="1"/>
  <c r="BL48" i="2"/>
  <c r="E43" i="11"/>
  <c r="M72" i="14"/>
  <c r="P72" i="14" s="1"/>
  <c r="M81" i="14"/>
  <c r="M84" i="14"/>
  <c r="M73" i="14"/>
  <c r="P73" i="14" s="1"/>
  <c r="M78" i="14"/>
  <c r="M83" i="14"/>
  <c r="M77" i="14"/>
  <c r="P77" i="14" s="1"/>
  <c r="M82" i="14"/>
  <c r="M75" i="14"/>
  <c r="P75" i="14" s="1"/>
  <c r="M79" i="14"/>
  <c r="M88" i="14"/>
  <c r="M89" i="14"/>
  <c r="M90" i="14"/>
  <c r="M85" i="14"/>
  <c r="M76" i="14"/>
  <c r="P76" i="14" s="1"/>
  <c r="M80" i="14"/>
  <c r="P80" i="14" s="1"/>
  <c r="M91" i="14"/>
  <c r="M74" i="14"/>
  <c r="P74" i="14" s="1"/>
  <c r="M87" i="14"/>
  <c r="M86" i="14"/>
  <c r="BH43" i="2"/>
  <c r="BH44" i="2" s="1"/>
  <c r="J71" i="13"/>
  <c r="W71" i="13"/>
  <c r="K71" i="13"/>
  <c r="N71" i="13"/>
  <c r="R71" i="13"/>
  <c r="F71" i="13"/>
  <c r="I71" i="13"/>
  <c r="M71" i="13"/>
  <c r="X71" i="13"/>
  <c r="V71" i="13"/>
  <c r="Y71" i="13"/>
  <c r="T71" i="13"/>
  <c r="S71" i="13"/>
  <c r="H71" i="13"/>
  <c r="BL24" i="2"/>
  <c r="G71" i="13"/>
  <c r="Q71" i="13"/>
  <c r="U71" i="13"/>
  <c r="L71" i="13"/>
  <c r="O71" i="13"/>
  <c r="BO80" i="2"/>
  <c r="J69" i="13"/>
  <c r="J4" i="16"/>
  <c r="E45" i="11"/>
  <c r="N69" i="13"/>
  <c r="O69" i="13"/>
  <c r="F4" i="16"/>
  <c r="G4" i="16"/>
  <c r="C4" i="16"/>
  <c r="E4" i="16" s="1"/>
  <c r="BO24" i="2"/>
  <c r="O22" i="13"/>
  <c r="N22" i="13"/>
  <c r="BC85" i="2"/>
  <c r="BG82" i="2"/>
  <c r="BL26" i="2"/>
  <c r="BW26" i="2" s="1"/>
  <c r="J31" i="16" s="1"/>
  <c r="E57" i="11"/>
  <c r="BL83" i="2"/>
  <c r="BB44" i="2"/>
  <c r="BL86" i="2" l="1"/>
  <c r="BL91" i="2" s="1"/>
  <c r="BL80" i="2"/>
  <c r="BW80" i="2" s="1"/>
  <c r="BP48" i="2"/>
  <c r="BW48" i="2"/>
  <c r="E92" i="14"/>
  <c r="BO43" i="2"/>
  <c r="BO44" i="2" s="1"/>
  <c r="BW24" i="2"/>
  <c r="J18" i="16" s="1"/>
  <c r="BL43" i="2"/>
  <c r="I69" i="13"/>
  <c r="G69" i="13"/>
  <c r="K69" i="13"/>
  <c r="L69" i="13"/>
  <c r="F69" i="13"/>
  <c r="M69" i="13"/>
  <c r="D71" i="13"/>
  <c r="BP24" i="2"/>
  <c r="H69" i="13"/>
  <c r="Q69" i="13"/>
  <c r="P69" i="13"/>
  <c r="Q22" i="13"/>
  <c r="P22" i="13"/>
  <c r="H4" i="16"/>
  <c r="BQ44" i="2"/>
  <c r="F18" i="16"/>
  <c r="G18" i="16"/>
  <c r="BH85" i="2"/>
  <c r="BP83" i="2"/>
  <c r="D38" i="16" s="1"/>
  <c r="E38" i="16" s="1"/>
  <c r="H38" i="16" s="1"/>
  <c r="BW83" i="2"/>
  <c r="BG44" i="2"/>
  <c r="BO82" i="2"/>
  <c r="BW82" i="2"/>
  <c r="BX82" i="2" s="1"/>
  <c r="C18" i="16"/>
  <c r="BL44" i="2"/>
  <c r="BP26" i="2"/>
  <c r="BG85" i="2"/>
  <c r="N53" i="13"/>
  <c r="O53" i="13"/>
  <c r="BP86" i="2" l="1"/>
  <c r="BP91" i="2" s="1"/>
  <c r="BX48" i="2"/>
  <c r="E42" i="11"/>
  <c r="BS48" i="2"/>
  <c r="BP80" i="2"/>
  <c r="BT48" i="2"/>
  <c r="E103" i="14"/>
  <c r="E107" i="14"/>
  <c r="E111" i="14"/>
  <c r="E115" i="14"/>
  <c r="E99" i="14"/>
  <c r="E100" i="14"/>
  <c r="E104" i="14"/>
  <c r="E108" i="14"/>
  <c r="E112" i="14"/>
  <c r="E116" i="14"/>
  <c r="E101" i="14"/>
  <c r="E105" i="14"/>
  <c r="E109" i="14"/>
  <c r="E113" i="14"/>
  <c r="E117" i="14"/>
  <c r="E102" i="14"/>
  <c r="E106" i="14"/>
  <c r="E110" i="14"/>
  <c r="E114" i="14"/>
  <c r="E118" i="14"/>
  <c r="E74" i="11"/>
  <c r="E73" i="11"/>
  <c r="E56" i="11"/>
  <c r="E75" i="11"/>
  <c r="BP43" i="2"/>
  <c r="I22" i="13"/>
  <c r="G22" i="13"/>
  <c r="J22" i="13"/>
  <c r="L22" i="13"/>
  <c r="H22" i="13"/>
  <c r="K22" i="13"/>
  <c r="F22" i="13"/>
  <c r="BS24" i="2"/>
  <c r="D18" i="16"/>
  <c r="E18" i="16" s="1"/>
  <c r="H18" i="16" s="1"/>
  <c r="BT24" i="2"/>
  <c r="D69" i="13"/>
  <c r="BT83" i="2"/>
  <c r="BS83" i="2"/>
  <c r="BS26" i="2"/>
  <c r="BT26" i="2"/>
  <c r="P5" i="13"/>
  <c r="Q5" i="13"/>
  <c r="N5" i="13"/>
  <c r="O5" i="13"/>
  <c r="Q56" i="13"/>
  <c r="P56" i="13"/>
  <c r="P53" i="13"/>
  <c r="Q53" i="13"/>
  <c r="BR85" i="2"/>
  <c r="BQ85" i="2"/>
  <c r="BW43" i="2"/>
  <c r="BL85" i="2"/>
  <c r="J37" i="16"/>
  <c r="E54" i="11"/>
  <c r="BW44" i="2"/>
  <c r="BO85" i="2"/>
  <c r="C37" i="16"/>
  <c r="E37" i="16" s="1"/>
  <c r="H37" i="16" s="1"/>
  <c r="BT82" i="2"/>
  <c r="D55" i="13" s="1"/>
  <c r="E55" i="11"/>
  <c r="J38" i="16"/>
  <c r="D31" i="16"/>
  <c r="E31" i="16" s="1"/>
  <c r="H31" i="16" s="1"/>
  <c r="O56" i="13"/>
  <c r="N56" i="13"/>
  <c r="D56" i="13" l="1"/>
  <c r="F56" i="13" s="1"/>
  <c r="BT86" i="2"/>
  <c r="BT91" i="2" s="1"/>
  <c r="BT112" i="2" s="1"/>
  <c r="BS86" i="2"/>
  <c r="BS91" i="2" s="1"/>
  <c r="BT80" i="2"/>
  <c r="D22" i="13"/>
  <c r="BS80" i="2"/>
  <c r="F53" i="13"/>
  <c r="J53" i="13"/>
  <c r="K53" i="13"/>
  <c r="G53" i="13"/>
  <c r="H53" i="13"/>
  <c r="I53" i="13"/>
  <c r="L53" i="13"/>
  <c r="P67" i="13"/>
  <c r="Q67" i="13"/>
  <c r="O67" i="13"/>
  <c r="N67" i="13"/>
  <c r="BS43" i="2"/>
  <c r="BS44" i="2" s="1"/>
  <c r="G5" i="13"/>
  <c r="BT43" i="2"/>
  <c r="BT44" i="2" s="1"/>
  <c r="BW85" i="2"/>
  <c r="BX85" i="2" s="1"/>
  <c r="L56" i="13"/>
  <c r="I56" i="13"/>
  <c r="J56" i="13"/>
  <c r="H56" i="13"/>
  <c r="M56" i="13"/>
  <c r="G56" i="13"/>
  <c r="K56" i="13"/>
  <c r="L5" i="13"/>
  <c r="K5" i="13"/>
  <c r="F5" i="13"/>
  <c r="M5" i="13"/>
  <c r="J5" i="13"/>
  <c r="I5" i="13"/>
  <c r="H5" i="13"/>
  <c r="L55" i="13"/>
  <c r="P55" i="13"/>
  <c r="P57" i="13" s="1"/>
  <c r="P73" i="13" s="1"/>
  <c r="Q55" i="13"/>
  <c r="Q57" i="13" s="1"/>
  <c r="Q73" i="13" s="1"/>
  <c r="N55" i="13"/>
  <c r="N57" i="13" s="1"/>
  <c r="N73" i="13" s="1"/>
  <c r="O55" i="13"/>
  <c r="O57" i="13" s="1"/>
  <c r="O73" i="13" s="1"/>
  <c r="M55" i="13"/>
  <c r="BW91" i="2"/>
  <c r="E59" i="11" s="1"/>
  <c r="K55" i="13"/>
  <c r="F55" i="13"/>
  <c r="G55" i="13"/>
  <c r="J55" i="13"/>
  <c r="H55" i="13"/>
  <c r="I55" i="13"/>
  <c r="D57" i="13"/>
  <c r="BP85" i="2"/>
  <c r="BP44" i="2"/>
  <c r="F57" i="13" l="1"/>
  <c r="F73" i="13" s="1"/>
  <c r="E152" i="14" s="1"/>
  <c r="F152" i="14" s="1"/>
  <c r="M22" i="13"/>
  <c r="M53" i="13" s="1"/>
  <c r="D53" i="13"/>
  <c r="D20" i="13"/>
  <c r="I67" i="13"/>
  <c r="M67" i="13"/>
  <c r="L67" i="13"/>
  <c r="J67" i="13"/>
  <c r="F67" i="13"/>
  <c r="K67" i="13"/>
  <c r="H67" i="13"/>
  <c r="G67" i="13"/>
  <c r="BT85" i="2"/>
  <c r="BS85" i="2"/>
  <c r="J57" i="13"/>
  <c r="J73" i="13" s="1"/>
  <c r="L57" i="13"/>
  <c r="L73" i="13" s="1"/>
  <c r="I57" i="13"/>
  <c r="I73" i="13" s="1"/>
  <c r="H57" i="13"/>
  <c r="H73" i="13" s="1"/>
  <c r="M57" i="13"/>
  <c r="G57" i="13"/>
  <c r="G73" i="13" s="1"/>
  <c r="K57" i="13"/>
  <c r="K73" i="13" s="1"/>
  <c r="L7" i="13"/>
  <c r="L20" i="13" s="1"/>
  <c r="Q7" i="13"/>
  <c r="Q20" i="13" s="1"/>
  <c r="P7" i="13"/>
  <c r="P20" i="13" s="1"/>
  <c r="M7" i="13"/>
  <c r="M20" i="13" s="1"/>
  <c r="N7" i="13"/>
  <c r="N20" i="13" s="1"/>
  <c r="O7" i="13"/>
  <c r="O20" i="13" s="1"/>
  <c r="F7" i="13"/>
  <c r="F20" i="13" s="1"/>
  <c r="I7" i="13"/>
  <c r="I20" i="13" s="1"/>
  <c r="J7" i="13"/>
  <c r="J20" i="13" s="1"/>
  <c r="G7" i="13"/>
  <c r="G20" i="13" s="1"/>
  <c r="K7" i="13"/>
  <c r="K20" i="13" s="1"/>
  <c r="H7" i="13"/>
  <c r="H20" i="13" s="1"/>
  <c r="E155" i="14" l="1"/>
  <c r="F155" i="14" s="1"/>
  <c r="E167" i="14"/>
  <c r="F167" i="14" s="1"/>
  <c r="M73" i="13"/>
  <c r="E164" i="14"/>
  <c r="F164" i="14" s="1"/>
  <c r="E170" i="14"/>
  <c r="F170" i="14" s="1"/>
  <c r="E154" i="14"/>
  <c r="F154" i="14" s="1"/>
  <c r="E161" i="14"/>
  <c r="F161" i="14" s="1"/>
  <c r="E166" i="14"/>
  <c r="F166" i="14" s="1"/>
  <c r="E157" i="14"/>
  <c r="F157" i="14" s="1"/>
  <c r="E160" i="14"/>
  <c r="F160" i="14" s="1"/>
  <c r="E165" i="14"/>
  <c r="F165" i="14" s="1"/>
  <c r="E163" i="14"/>
  <c r="F163" i="14" s="1"/>
  <c r="E158" i="14"/>
  <c r="F158" i="14" s="1"/>
  <c r="E156" i="14"/>
  <c r="F156" i="14" s="1"/>
  <c r="E153" i="14"/>
  <c r="F153" i="14" s="1"/>
  <c r="E159" i="14"/>
  <c r="F159" i="14" s="1"/>
  <c r="E169" i="14"/>
  <c r="F169" i="14" s="1"/>
  <c r="E168" i="14"/>
  <c r="F168" i="14" s="1"/>
  <c r="E162" i="14"/>
  <c r="F162" i="14" s="1"/>
  <c r="E171" i="14"/>
  <c r="F171" i="14" s="1"/>
  <c r="E200" i="14"/>
  <c r="D67" i="13"/>
  <c r="L68" i="13"/>
  <c r="M68" i="13"/>
  <c r="P68" i="13"/>
  <c r="O68" i="13"/>
  <c r="Q68" i="13"/>
  <c r="N68" i="13"/>
  <c r="J68" i="13"/>
  <c r="E24" i="14" s="1"/>
  <c r="F24" i="14" s="1"/>
  <c r="H68" i="13"/>
  <c r="E22" i="14" s="1"/>
  <c r="F22" i="14" s="1"/>
  <c r="I68" i="13"/>
  <c r="E23" i="14" s="1"/>
  <c r="F23" i="14" s="1"/>
  <c r="K68" i="13"/>
  <c r="E25" i="14" s="1"/>
  <c r="F25" i="14" s="1"/>
  <c r="F68" i="13"/>
  <c r="E20" i="14" s="1"/>
  <c r="F20" i="14" s="1"/>
  <c r="G68" i="13"/>
  <c r="E21" i="14" s="1"/>
  <c r="F21" i="14" s="1"/>
  <c r="E28" i="14" l="1"/>
  <c r="F28" i="14" s="1"/>
  <c r="F105" i="14"/>
  <c r="F116" i="14"/>
  <c r="F108" i="14"/>
  <c r="F102" i="14"/>
  <c r="F111" i="14"/>
  <c r="F107" i="14"/>
  <c r="F113" i="14"/>
  <c r="F106" i="14"/>
  <c r="F101" i="14"/>
  <c r="F110" i="14"/>
  <c r="F99" i="14"/>
  <c r="F115" i="14"/>
  <c r="F104" i="14"/>
  <c r="F100" i="14"/>
  <c r="F114" i="14"/>
  <c r="F109" i="14"/>
  <c r="F118" i="14"/>
  <c r="F112" i="14"/>
  <c r="F117" i="14"/>
  <c r="F103" i="14"/>
  <c r="D73" i="13"/>
  <c r="D68" i="13"/>
  <c r="E172" i="14" l="1"/>
  <c r="E40" i="14"/>
  <c r="E119" i="14"/>
  <c r="E66"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Pina Pacione</author>
  </authors>
  <commentList>
    <comment ref="BF31" authorId="0" shapeId="0" xr:uid="{ECF57B38-F8EE-4E73-9199-0AF52D1CACB5}">
      <text>
        <r>
          <rPr>
            <b/>
            <sz val="9"/>
            <color indexed="81"/>
            <rFont val="Tahoma"/>
            <family val="2"/>
          </rPr>
          <t>Pina Pacione:</t>
        </r>
        <r>
          <rPr>
            <sz val="9"/>
            <color indexed="81"/>
            <rFont val="Tahoma"/>
            <family val="2"/>
          </rPr>
          <t xml:space="preserve">
CT2148 adjustment split</t>
        </r>
      </text>
    </comment>
    <comment ref="BU36" authorId="0" shapeId="0" xr:uid="{3E27B579-529B-4612-8643-E70F804DBB11}">
      <text>
        <r>
          <rPr>
            <b/>
            <sz val="9"/>
            <color indexed="81"/>
            <rFont val="Tahoma"/>
            <family val="2"/>
          </rPr>
          <t>Pina Pacione:</t>
        </r>
        <r>
          <rPr>
            <sz val="9"/>
            <color indexed="81"/>
            <rFont val="Tahoma"/>
            <family val="2"/>
          </rPr>
          <t xml:space="preserve">
removed 1595 2108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abramoma</author>
    <author>Donna Kwan</author>
  </authors>
  <commentList>
    <comment ref="C6" authorId="0" shapeId="0" xr:uid="{00000000-0006-0000-0800-000001000000}">
      <text>
        <r>
          <rPr>
            <b/>
            <sz val="9"/>
            <color indexed="81"/>
            <rFont val="Tahoma"/>
            <family val="2"/>
          </rPr>
          <t>OEB Staff:</t>
        </r>
        <r>
          <rPr>
            <sz val="9"/>
            <color indexed="81"/>
            <rFont val="Tahoma"/>
            <family val="2"/>
          </rPr>
          <t xml:space="preserve">
1551 balance is allocated to the residential and Gs&lt;50 class only.  A macro that runs in the background generates the formula based on inputs on sheet 4.</t>
        </r>
      </text>
    </comment>
    <comment ref="C12" authorId="1" shapeId="0" xr:uid="{00000000-0006-0000-0800-000002000000}">
      <text>
        <r>
          <rPr>
            <b/>
            <sz val="9"/>
            <color indexed="81"/>
            <rFont val="Tahoma"/>
            <family val="2"/>
          </rPr>
          <t xml:space="preserve">OEB Staff: 
</t>
        </r>
        <r>
          <rPr>
            <sz val="9"/>
            <color indexed="81"/>
            <rFont val="Tahoma"/>
            <family val="2"/>
          </rPr>
          <t xml:space="preserve">For each proposed 1595 vintage year disposition, ensure that the appropriate billing determinant is inputted in Sheet 4.
</t>
        </r>
      </text>
    </comment>
  </commentList>
</comments>
</file>

<file path=xl/sharedStrings.xml><?xml version="1.0" encoding="utf-8"?>
<sst xmlns="http://schemas.openxmlformats.org/spreadsheetml/2006/main" count="16443" uniqueCount="3504">
  <si>
    <t>Account Number</t>
  </si>
  <si>
    <t>RSVA - Wholesale Market Service Charge</t>
  </si>
  <si>
    <t>RSVA - Retail Transmission Network Charge</t>
  </si>
  <si>
    <t>RSVA - Retail Transmission Connection Charge</t>
  </si>
  <si>
    <t>Retail Cost Variance Account - Retail</t>
  </si>
  <si>
    <t>Retail Cost Variance Account - STR</t>
  </si>
  <si>
    <t>Deferred Rate Impact Amounts</t>
  </si>
  <si>
    <t>Other Deferred Credits</t>
  </si>
  <si>
    <t>Deferred Payments in Lieu of Taxes</t>
  </si>
  <si>
    <t>Misc. Deferred Debits</t>
  </si>
  <si>
    <t>Extra-Ordinary Event Costs</t>
  </si>
  <si>
    <t>Claim before Forecasted Transactions</t>
  </si>
  <si>
    <t>Smart Grid Capital Deferral Account</t>
  </si>
  <si>
    <t>Smart Grid OM&amp;A Deferral Account</t>
  </si>
  <si>
    <t>Group 2 Sub-Total</t>
  </si>
  <si>
    <t>Smart Grid Funding Adder Deferral Account</t>
  </si>
  <si>
    <t>Account Descriptions</t>
  </si>
  <si>
    <t xml:space="preserve">Renewable Generation Connection Funding Adder Deferral Account </t>
  </si>
  <si>
    <t>Total Claim</t>
  </si>
  <si>
    <t>2.1.7 RRR</t>
  </si>
  <si>
    <t>Explanation</t>
  </si>
  <si>
    <t>Group 1 Accounts</t>
  </si>
  <si>
    <t>Group 2 Accounts</t>
  </si>
  <si>
    <t>LV Variance Account</t>
  </si>
  <si>
    <t>RSVA - One-time</t>
  </si>
  <si>
    <t>Renewable Generation Connection Capital Deferral Account</t>
  </si>
  <si>
    <t>Renewable Generation Connection OM&amp;A Deferral Account</t>
  </si>
  <si>
    <t>Board-Approved CDM Variance Account</t>
  </si>
  <si>
    <t>Other Regulatory Assets - Sub-Account - Deferred IFRS Transition Costs</t>
  </si>
  <si>
    <t>Other Regulatory Assets - Sub-Account - Incremental Capital Charges</t>
  </si>
  <si>
    <t>PILs and Tax Variance for 2006 and Subsequent Years - Sub-Account HST/OVAT                          Input Tax Credits (ITCs)</t>
  </si>
  <si>
    <t>PILs and Tax Variance for 2006 and Subsequent Years                                                                          (excludes sub-account and contra account below)</t>
  </si>
  <si>
    <t>Other Regulatory Assets - Sub-Account - Financial Assistance Payment and Recovery Carrying Charges</t>
  </si>
  <si>
    <r>
      <t xml:space="preserve">Other Regulatory Assets - Sub-Account - Other </t>
    </r>
    <r>
      <rPr>
        <vertAlign val="superscript"/>
        <sz val="11"/>
        <rFont val="Arial"/>
        <family val="2"/>
      </rPr>
      <t>4</t>
    </r>
  </si>
  <si>
    <r>
      <t>Other Regulatory Assets - Sub-Account - Financial Assistance Payment and Recovery Variance - Ontario Clean Energy Benefit Act</t>
    </r>
    <r>
      <rPr>
        <vertAlign val="superscript"/>
        <sz val="11"/>
        <rFont val="Arial"/>
        <family val="2"/>
      </rPr>
      <t>8</t>
    </r>
  </si>
  <si>
    <r>
      <t>Disposition and Recovery/Refund of Regulatory Balances (2008)</t>
    </r>
    <r>
      <rPr>
        <vertAlign val="superscript"/>
        <sz val="11"/>
        <rFont val="Arial"/>
        <family val="2"/>
      </rPr>
      <t>7</t>
    </r>
  </si>
  <si>
    <r>
      <t>Disposition and Recovery/Refund of Regulatory Balances (2009)</t>
    </r>
    <r>
      <rPr>
        <vertAlign val="superscript"/>
        <sz val="11"/>
        <rFont val="Arial"/>
        <family val="2"/>
      </rPr>
      <t>7</t>
    </r>
  </si>
  <si>
    <r>
      <t>Disposition and Recovery/Refund of Regulatory Balances (2010)</t>
    </r>
    <r>
      <rPr>
        <vertAlign val="superscript"/>
        <sz val="11"/>
        <rFont val="Arial"/>
        <family val="2"/>
      </rPr>
      <t>7</t>
    </r>
  </si>
  <si>
    <t>RSVA - Power (excluding Global Adjustment)</t>
  </si>
  <si>
    <t xml:space="preserve">Utility Name   </t>
  </si>
  <si>
    <t>Service Territory</t>
  </si>
  <si>
    <t>Assigned EB Number</t>
  </si>
  <si>
    <t>Name of Contact and Title</t>
  </si>
  <si>
    <t xml:space="preserve">Phone Number   </t>
  </si>
  <si>
    <t xml:space="preserve">Email Address   </t>
  </si>
  <si>
    <t>Notes</t>
  </si>
  <si>
    <t>Pale green cells represent input cells.</t>
  </si>
  <si>
    <t>Pale blue cells represent drop-down lists.  The applicant should select the appropriate item from the drop-down list.</t>
  </si>
  <si>
    <t xml:space="preserve">White cells contain fixed values, automatically generated values or formulae. </t>
  </si>
  <si>
    <r>
      <rPr>
        <b/>
        <u/>
        <sz val="11"/>
        <color theme="1"/>
        <rFont val="Calibri"/>
        <family val="2"/>
        <scheme val="minor"/>
      </rPr>
      <t>General Notes</t>
    </r>
    <r>
      <rPr>
        <sz val="11"/>
        <color theme="1"/>
        <rFont val="Calibri"/>
        <family val="2"/>
        <scheme val="minor"/>
      </rPr>
      <t xml:space="preserve">
1.  Please ensure that your macros have been enabled.  (Tools -&gt; Macro -&gt; Security)
2.  Due to the time lag of deferral/variance account dispositions, this model assumes that all opening balances include previously disposed of amounts.  Accordingly, all "Board Approved Dispositions" are deducted from the opening balance.
3.  Please provide information in this model since the last time your balances were disposed.
4.  For all Board-Approved dispositions, please ensure that the disposition amount has the same sign (e.g: debit balances are to have a positive figure and credit balance are to have a negative figure) as per the related Board decision.
</t>
    </r>
  </si>
  <si>
    <t>LRAM Variance Account</t>
  </si>
  <si>
    <t>Units</t>
  </si>
  <si>
    <t>Total</t>
  </si>
  <si>
    <t>Balance as per Sheet 2</t>
  </si>
  <si>
    <t>Variance</t>
  </si>
  <si>
    <t>Disposition and Recovery/Refund of Regulatory Balances (2009)</t>
  </si>
  <si>
    <t>Disposition and Recovery/Refund of Regulatory Balances (2010)</t>
  </si>
  <si>
    <t>Allocator</t>
  </si>
  <si>
    <t>Total of Group 2 Accounts</t>
  </si>
  <si>
    <t># of Customers</t>
  </si>
  <si>
    <r>
      <t xml:space="preserve">Rate Class 
</t>
    </r>
    <r>
      <rPr>
        <b/>
        <sz val="8"/>
        <rFont val="Arial"/>
        <family val="2"/>
      </rPr>
      <t>(Enter Rate Classes in cells below)</t>
    </r>
  </si>
  <si>
    <t>PILs and Tax Variance for 2006 and Subsequent Years 
      (excludes sub-account and contra account)</t>
  </si>
  <si>
    <t>Amounts from Sheet 2</t>
  </si>
  <si>
    <t>(Account 1568 - total amount allocated to classes)</t>
  </si>
  <si>
    <t>Rate Rider for Deferral/Variance Accounts</t>
  </si>
  <si>
    <t>kW / kWh / # of Customers</t>
  </si>
  <si>
    <t>RSVA - Global Adjustment</t>
  </si>
  <si>
    <t>Group 1 Sub-Total (including Account 1589 - Global Adjustment)</t>
  </si>
  <si>
    <t>Group 1 Sub-Total (excluding Account 1589 - Global Adjustment)</t>
  </si>
  <si>
    <r>
      <t>Disposition and Recovery/Refund of Regulatory Balances (2011)</t>
    </r>
    <r>
      <rPr>
        <vertAlign val="superscript"/>
        <sz val="11"/>
        <rFont val="Arial"/>
        <family val="2"/>
      </rPr>
      <t>7</t>
    </r>
  </si>
  <si>
    <r>
      <t>Smart Meter Capital and Recovery Offset Variance - Sub-Account - Capital</t>
    </r>
    <r>
      <rPr>
        <vertAlign val="superscript"/>
        <sz val="11"/>
        <rFont val="Arial"/>
        <family val="2"/>
      </rPr>
      <t>10</t>
    </r>
  </si>
  <si>
    <r>
      <t>Smart Meter Capital and Recovery Offset Variance - Sub-Account - Recoveries</t>
    </r>
    <r>
      <rPr>
        <vertAlign val="superscript"/>
        <sz val="11"/>
        <rFont val="Arial"/>
        <family val="2"/>
      </rPr>
      <t>10</t>
    </r>
  </si>
  <si>
    <r>
      <t>Smart Meter Capital and Recovery Offset Variance - Sub-Account - Stranded Meter Costs</t>
    </r>
    <r>
      <rPr>
        <vertAlign val="superscript"/>
        <sz val="11"/>
        <rFont val="Arial"/>
        <family val="2"/>
      </rPr>
      <t>10</t>
    </r>
  </si>
  <si>
    <r>
      <t>Smart Meter OM&amp;A Variance</t>
    </r>
    <r>
      <rPr>
        <vertAlign val="superscript"/>
        <sz val="11"/>
        <rFont val="Arial"/>
        <family val="2"/>
      </rPr>
      <t>10</t>
    </r>
  </si>
  <si>
    <t>Total including Account 1568</t>
  </si>
  <si>
    <t>Rate Rider Calculation for Accounts 1575 and 1576</t>
  </si>
  <si>
    <t>Rate Rider for Accounts 1575 and 1576</t>
  </si>
  <si>
    <t>Algoma Power Inc.</t>
  </si>
  <si>
    <t>Atikokan Hydro Inc.</t>
  </si>
  <si>
    <t>Bluewater Power Distribution Corporation</t>
  </si>
  <si>
    <t>Brantford Power Inc.</t>
  </si>
  <si>
    <t>Burlington Hydro Inc.</t>
  </si>
  <si>
    <t>Canadian Niagara Power Inc.</t>
  </si>
  <si>
    <t>Centre Wellington Hydro Ltd.</t>
  </si>
  <si>
    <t>Chapleau Public Utilities Corporation</t>
  </si>
  <si>
    <t>Cooperative Hydro Embrun Inc.</t>
  </si>
  <si>
    <t>E.L.K. Energy Inc.</t>
  </si>
  <si>
    <t>Entegrus Powerlines Inc.</t>
  </si>
  <si>
    <t>Espanola Regional Hydro Distribution Corporation</t>
  </si>
  <si>
    <t>Essex Powerlines Corporation</t>
  </si>
  <si>
    <t>Festival Hydro Inc.</t>
  </si>
  <si>
    <t>Fort Frances Power Corporation</t>
  </si>
  <si>
    <t>Greater Sudbury Hydro Inc.</t>
  </si>
  <si>
    <t>Halton Hills Hydro Inc.</t>
  </si>
  <si>
    <t>Hydro 2000 Inc.</t>
  </si>
  <si>
    <t>Hydro Hawkesbury Inc.</t>
  </si>
  <si>
    <t>Hydro One Networks Inc.</t>
  </si>
  <si>
    <t>Hydro Ottawa Limited</t>
  </si>
  <si>
    <t>Kingston Hydro Corporation</t>
  </si>
  <si>
    <t>Kitchener-Wilmot Hydro Inc.</t>
  </si>
  <si>
    <t>Lakefront Utilities Inc.</t>
  </si>
  <si>
    <t>Lakeland Power Distribution Ltd.</t>
  </si>
  <si>
    <t>London Hydro Inc.</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</si>
  <si>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</si>
  <si>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</si>
  <si>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</si>
  <si>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</si>
  <si>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</si>
  <si>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</si>
  <si>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</si>
  <si>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</si>
  <si>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</si>
  <si>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</si>
  <si>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PUC Distribution Inc.</t>
  </si>
  <si>
    <t>Renfrew Hydro Inc.</t>
  </si>
  <si>
    <t>Sioux Lookout Hydro Inc.</t>
  </si>
  <si>
    <t>Tillsonburg Hydro Inc.</t>
  </si>
  <si>
    <t>Toronto Hydro-Electric System Limited</t>
  </si>
  <si>
    <t>Wasaga Distribution Inc.</t>
  </si>
  <si>
    <t>Waterloo North Hydro Inc.</t>
  </si>
  <si>
    <t>Wellington North Power Inc.</t>
  </si>
  <si>
    <t>Westario Power Inc.</t>
  </si>
  <si>
    <r>
      <t>IFRS-CGAAP Transition PP&amp;E Amounts Balance + Return Component</t>
    </r>
    <r>
      <rPr>
        <vertAlign val="superscript"/>
        <sz val="11"/>
        <rFont val="Arial"/>
        <family val="2"/>
      </rPr>
      <t>9</t>
    </r>
  </si>
  <si>
    <r>
      <t>Accounting Changes Under CGAAP Balance + Return Component</t>
    </r>
    <r>
      <rPr>
        <vertAlign val="superscript"/>
        <sz val="11"/>
        <rFont val="Arial"/>
        <family val="2"/>
      </rPr>
      <t>9</t>
    </r>
  </si>
  <si>
    <t>IFRS-CGAAP Transition PP&amp;E Amounts Balance + Return Component</t>
  </si>
  <si>
    <t>Accounting Changes Under CGAAP Balance + Return Component</t>
  </si>
  <si>
    <t>Balance of RSVA - Power - Global Adjustment</t>
  </si>
  <si>
    <t>Rate Rider for RSVA - Power - Global Adjustment</t>
  </si>
  <si>
    <t>Non-RPP kW / kWh / # of Customers</t>
  </si>
  <si>
    <t>Milton Hydro Distribution Inc.</t>
  </si>
  <si>
    <r>
      <t>Disposition and Recovery/Refund of Regulatory Balances (2012)</t>
    </r>
    <r>
      <rPr>
        <vertAlign val="superscript"/>
        <sz val="11"/>
        <rFont val="Arial"/>
        <family val="2"/>
      </rPr>
      <t>7</t>
    </r>
  </si>
  <si>
    <t>Smart Metering Entity Charge Variance Account</t>
  </si>
  <si>
    <t>Closing Principal Balances as of Dec 31-13 Adjusted for Dispositions during 2014</t>
  </si>
  <si>
    <t>Closing Interest Balances as of Dec 31-13 Adjusted for Dispositions during 2014</t>
  </si>
  <si>
    <r>
      <t xml:space="preserve">Projected Interest from Jan 1, 2014 to December 31, 2014 on                        Dec 31 -13 balance adjusted for disposition during 2014 </t>
    </r>
    <r>
      <rPr>
        <b/>
        <vertAlign val="superscript"/>
        <sz val="10"/>
        <rFont val="Book Antiqua"/>
        <family val="1"/>
      </rPr>
      <t>6</t>
    </r>
  </si>
  <si>
    <r>
      <t xml:space="preserve">Variance                           RRR vs. 2013 Balance                        </t>
    </r>
    <r>
      <rPr>
        <b/>
        <i/>
        <sz val="10"/>
        <rFont val="Book Antiqua"/>
        <family val="1"/>
      </rPr>
      <t>(Principal + Interest)</t>
    </r>
  </si>
  <si>
    <r>
      <t xml:space="preserve">Projected Interest from January 1, 2015 to April 30, 2015 on Dec 31 -13 balance adjusted for disposition during 2014  </t>
    </r>
    <r>
      <rPr>
        <b/>
        <vertAlign val="superscript"/>
        <sz val="10"/>
        <rFont val="Book Antiqua"/>
        <family val="1"/>
      </rPr>
      <t>6</t>
    </r>
  </si>
  <si>
    <t>December 31, 2013 Audited Balances</t>
  </si>
  <si>
    <t>2.1.7
As of Dec 31-13</t>
  </si>
  <si>
    <t>kWh</t>
  </si>
  <si>
    <t>Rate Rider Calculation for Accounts 1568</t>
  </si>
  <si>
    <t>Rate Rider for Account 1568</t>
  </si>
  <si>
    <t>Disposition and Recovery/Refund of Regulatory Balances (2013)</t>
  </si>
  <si>
    <t>Disposition and Recovery/Refund of Regulatory Balances (2014)</t>
  </si>
  <si>
    <r>
      <t xml:space="preserve">Rate Class 
</t>
    </r>
    <r>
      <rPr>
        <b/>
        <sz val="8"/>
        <color rgb="FFFF0000"/>
        <rFont val="Arial"/>
        <family val="2"/>
      </rPr>
      <t>(Enter Rate Classes in cells below as they appear on your current tariff of rates and charges)</t>
    </r>
  </si>
  <si>
    <r>
      <t xml:space="preserve">Total Metered </t>
    </r>
    <r>
      <rPr>
        <b/>
        <sz val="10"/>
        <color rgb="FFFF0000"/>
        <rFont val="Arial"/>
        <family val="2"/>
      </rPr>
      <t xml:space="preserve">kWh </t>
    </r>
    <r>
      <rPr>
        <b/>
        <u/>
        <sz val="10"/>
        <rFont val="Arial"/>
        <family val="2"/>
      </rPr>
      <t>less</t>
    </r>
    <r>
      <rPr>
        <b/>
        <sz val="10"/>
        <rFont val="Arial"/>
        <family val="2"/>
      </rPr>
      <t xml:space="preserve"> WMP consumption 
</t>
    </r>
    <r>
      <rPr>
        <b/>
        <i/>
        <sz val="10"/>
        <rFont val="Arial"/>
        <family val="2"/>
      </rPr>
      <t>(if applicable)</t>
    </r>
    <r>
      <rPr>
        <b/>
        <sz val="10"/>
        <rFont val="Arial"/>
        <family val="2"/>
      </rPr>
      <t xml:space="preserve"> </t>
    </r>
  </si>
  <si>
    <t>%</t>
  </si>
  <si>
    <t>Total of Group 1 Accounts (1550, 1551, 1584, 1586 and 1595)</t>
  </si>
  <si>
    <t>1580 and 1588</t>
  </si>
  <si>
    <t>Total of Account 1580 and 1588 (not allocated to WMPs)</t>
  </si>
  <si>
    <t>1589/total kwh</t>
  </si>
  <si>
    <t>Account 1589 reference calculation by customer and consumption</t>
  </si>
  <si>
    <t>Balance of Account 1589 allocated to Class A Non-WMP Customers</t>
  </si>
  <si>
    <t>Account 1589 / Number of Customers</t>
  </si>
  <si>
    <t>Balance of Account 1589 Allocated to Non-WMPs</t>
  </si>
  <si>
    <t>Rate Rider Calculation for RSVA - Power - Global Adjustment - Class A Non-WMP Customers</t>
  </si>
  <si>
    <t>Rate Rider Calculation for Group 2 Accounts</t>
  </si>
  <si>
    <t>Non-RPP kWh</t>
  </si>
  <si>
    <r>
      <t xml:space="preserve">In the green shaded cells, enter the data related to the </t>
    </r>
    <r>
      <rPr>
        <b/>
        <sz val="10"/>
        <rFont val="Arial"/>
        <family val="2"/>
      </rPr>
      <t>proposed</t>
    </r>
    <r>
      <rPr>
        <sz val="10"/>
        <rFont val="Arial"/>
        <family val="2"/>
      </rPr>
      <t xml:space="preserve"> load forecast.  Do not enter data for the MicroFit class.</t>
    </r>
  </si>
  <si>
    <t>Total Interest</t>
  </si>
  <si>
    <t>For all OEB-Approved dispositions, please ensure that the disposition amount has the same sign (e.g: debit balances are to have a positive figure and credit balance are to have a negative figure) as per the related OEB decision.</t>
  </si>
  <si>
    <t>1580 CBDR A</t>
  </si>
  <si>
    <t>1580 CBDR B</t>
  </si>
  <si>
    <t>1595 (2009)</t>
  </si>
  <si>
    <t>1595 (2010)</t>
  </si>
  <si>
    <t>1595 (2011)</t>
  </si>
  <si>
    <t>1595 (2012)</t>
  </si>
  <si>
    <t>1595 (2013)</t>
  </si>
  <si>
    <t>1595 (2015)</t>
  </si>
  <si>
    <t>1595 (2014)</t>
  </si>
  <si>
    <t>kW</t>
  </si>
  <si>
    <t xml:space="preserve">Distribution Revenue </t>
  </si>
  <si>
    <r>
      <t xml:space="preserve">1595 Recovery Share Proportion (2009) </t>
    </r>
    <r>
      <rPr>
        <b/>
        <vertAlign val="superscript"/>
        <sz val="10"/>
        <rFont val="Arial"/>
        <family val="2"/>
      </rPr>
      <t>1</t>
    </r>
  </si>
  <si>
    <r>
      <t>Number of Customers for Residential and GS&lt;50 classes</t>
    </r>
    <r>
      <rPr>
        <b/>
        <vertAlign val="superscript"/>
        <sz val="11"/>
        <color theme="1"/>
        <rFont val="Calibri"/>
        <family val="2"/>
        <scheme val="minor"/>
      </rPr>
      <t>2</t>
    </r>
  </si>
  <si>
    <r>
      <t>2</t>
    </r>
    <r>
      <rPr>
        <sz val="10"/>
        <rFont val="Arial"/>
        <family val="2"/>
      </rPr>
      <t xml:space="preserve"> The proportion of customers for the Residential and GS&lt;50 Classes will be used to allocate Account 1551.</t>
    </r>
  </si>
  <si>
    <r>
      <t>GA Allocator for Class A, 
Non-WMP Customers 
(if applicable)</t>
    </r>
    <r>
      <rPr>
        <b/>
        <vertAlign val="superscript"/>
        <sz val="10"/>
        <rFont val="Arial"/>
        <family val="2"/>
      </rPr>
      <t>2</t>
    </r>
  </si>
  <si>
    <t>Allocation of Total GA Balance $</t>
  </si>
  <si>
    <t>Total GA Balance</t>
  </si>
  <si>
    <t>Total of Group 1 and Group 2 Accounts (including 1592)</t>
  </si>
  <si>
    <r>
      <t xml:space="preserve">Total Metered </t>
    </r>
    <r>
      <rPr>
        <b/>
        <sz val="10"/>
        <color rgb="FFFF0000"/>
        <rFont val="Arial"/>
        <family val="2"/>
      </rPr>
      <t xml:space="preserve">kW </t>
    </r>
    <r>
      <rPr>
        <b/>
        <u/>
        <sz val="10"/>
        <rFont val="Arial"/>
        <family val="2"/>
      </rPr>
      <t>less</t>
    </r>
    <r>
      <rPr>
        <b/>
        <sz val="10"/>
        <rFont val="Arial"/>
        <family val="2"/>
      </rPr>
      <t xml:space="preserve"> WMP consumption  
</t>
    </r>
    <r>
      <rPr>
        <b/>
        <i/>
        <sz val="10"/>
        <rFont val="Arial"/>
        <family val="2"/>
      </rPr>
      <t>(if applicable)</t>
    </r>
  </si>
  <si>
    <r>
      <t xml:space="preserve">Total Metered </t>
    </r>
    <r>
      <rPr>
        <b/>
        <sz val="10"/>
        <color rgb="FFFF0000"/>
        <rFont val="Arial"/>
        <family val="2"/>
      </rPr>
      <t>kW</t>
    </r>
    <r>
      <rPr>
        <b/>
        <sz val="10"/>
        <rFont val="Arial"/>
        <family val="2"/>
      </rPr>
      <t xml:space="preserve"> for
Non-RPP Customers </t>
    </r>
    <r>
      <rPr>
        <b/>
        <u/>
        <sz val="10"/>
        <rFont val="Arial"/>
        <family val="2"/>
      </rPr>
      <t>less</t>
    </r>
    <r>
      <rPr>
        <b/>
        <sz val="10"/>
        <rFont val="Arial"/>
        <family val="2"/>
      </rPr>
      <t xml:space="preserve"> WMP and 
Class A Consumption</t>
    </r>
  </si>
  <si>
    <t>Total of Account 1592</t>
  </si>
  <si>
    <t>Disposition and Recovery/Refund of Regulatory Balances (2015)</t>
  </si>
  <si>
    <r>
      <t>1568 LRAM Variance Account Class Allocation</t>
    </r>
    <r>
      <rPr>
        <b/>
        <vertAlign val="superscript"/>
        <sz val="10"/>
        <rFont val="Arial"/>
        <family val="2"/>
      </rPr>
      <t>3</t>
    </r>
    <r>
      <rPr>
        <b/>
        <sz val="10"/>
        <rFont val="Arial"/>
        <family val="2"/>
      </rPr>
      <t xml:space="preserve">
</t>
    </r>
    <r>
      <rPr>
        <b/>
        <sz val="10"/>
        <color rgb="FFFF0000"/>
        <rFont val="Arial"/>
        <family val="2"/>
      </rPr>
      <t>($ amounts)</t>
    </r>
  </si>
  <si>
    <r>
      <t>3</t>
    </r>
    <r>
      <rPr>
        <sz val="10"/>
        <rFont val="Arial"/>
        <family val="2"/>
      </rPr>
      <t xml:space="preserve"> Input the allocation as determined in the LRAMVA model.  The associated rate riders will be calculated in the EDDVAR model.</t>
    </r>
  </si>
  <si>
    <t xml:space="preserve">Accounts that produced a variance on the  continuity schedule are listed below.  
Please provide a detailed explanation for each variance below.
</t>
  </si>
  <si>
    <t>A</t>
  </si>
  <si>
    <t>B</t>
  </si>
  <si>
    <t>Customer</t>
  </si>
  <si>
    <t>% of kWh</t>
  </si>
  <si>
    <t>Monthly Equal Payments</t>
  </si>
  <si>
    <r>
      <t xml:space="preserve"> Metered </t>
    </r>
    <r>
      <rPr>
        <b/>
        <sz val="10"/>
        <color rgb="FFFF0000"/>
        <rFont val="Arial"/>
        <family val="2"/>
      </rPr>
      <t>kW</t>
    </r>
    <r>
      <rPr>
        <b/>
        <sz val="10"/>
        <rFont val="Arial"/>
        <family val="2"/>
      </rPr>
      <t xml:space="preserve"> Consumption for New Class A customer(s) in the period prior to becoming Class A (i.e. Jan. 1 - June 30, 2015) </t>
    </r>
  </si>
  <si>
    <t>C</t>
  </si>
  <si>
    <t>D=A-C</t>
  </si>
  <si>
    <t>E</t>
  </si>
  <si>
    <t>Customer 1</t>
  </si>
  <si>
    <t>Customer 2</t>
  </si>
  <si>
    <t>Alectra Utilities Corporation</t>
  </si>
  <si>
    <t>Energy+ Inc.</t>
  </si>
  <si>
    <t>Grimsby Power Incorporated</t>
  </si>
  <si>
    <t>InnPower Corporation</t>
  </si>
  <si>
    <t>Welland Hydro-Electric System Corp.</t>
  </si>
  <si>
    <t>Non-RPP Metered Consumption for Current Class B Customers (Non-RPP Consumption excluding WMP, Class A and Transition Customers' Consumption</t>
  </si>
  <si>
    <t>Years since Account 1589 GA  balance was last disposed (up to 2016)</t>
  </si>
  <si>
    <t>2a</t>
  </si>
  <si>
    <t>2b</t>
  </si>
  <si>
    <t>3a</t>
  </si>
  <si>
    <t>Rate Class</t>
  </si>
  <si>
    <t>January to June</t>
  </si>
  <si>
    <t>July to December</t>
  </si>
  <si>
    <t>Class A/B</t>
  </si>
  <si>
    <t>Customer 3</t>
  </si>
  <si>
    <t>Customer 4</t>
  </si>
  <si>
    <t>Customer 5</t>
  </si>
  <si>
    <t>Customer 6</t>
  </si>
  <si>
    <t>Customer 7</t>
  </si>
  <si>
    <t>Customer 8</t>
  </si>
  <si>
    <t>Customer 9</t>
  </si>
  <si>
    <t>Customer 10</t>
  </si>
  <si>
    <t>Customer 11</t>
  </si>
  <si>
    <t>Customer 12</t>
  </si>
  <si>
    <t>Customer 13</t>
  </si>
  <si>
    <t>Customer 14</t>
  </si>
  <si>
    <t>Customer 15</t>
  </si>
  <si>
    <t>Customer 16</t>
  </si>
  <si>
    <t>Customer 17</t>
  </si>
  <si>
    <t>Customer 18</t>
  </si>
  <si>
    <t>Customer 19</t>
  </si>
  <si>
    <t>Customer 20</t>
  </si>
  <si>
    <t>Customer 21</t>
  </si>
  <si>
    <t>Customer 22</t>
  </si>
  <si>
    <t>Customer 23</t>
  </si>
  <si>
    <t>Customer 24</t>
  </si>
  <si>
    <t>Customer 25</t>
  </si>
  <si>
    <t>Customer 26</t>
  </si>
  <si>
    <t>Customer 27</t>
  </si>
  <si>
    <t>Customer 28</t>
  </si>
  <si>
    <t>Customer 29</t>
  </si>
  <si>
    <t>Customer 30</t>
  </si>
  <si>
    <t>Customer 31</t>
  </si>
  <si>
    <t>Customer 32</t>
  </si>
  <si>
    <t>Customer 33</t>
  </si>
  <si>
    <t>Customer 34</t>
  </si>
  <si>
    <t>Customer 35</t>
  </si>
  <si>
    <t>Customer 36</t>
  </si>
  <si>
    <t>Customer 37</t>
  </si>
  <si>
    <t>Customer 38</t>
  </si>
  <si>
    <t>Customer 39</t>
  </si>
  <si>
    <t>Customer 40</t>
  </si>
  <si>
    <t>Customer 41</t>
  </si>
  <si>
    <t>Customer 42</t>
  </si>
  <si>
    <t>Customer 43</t>
  </si>
  <si>
    <t>Customer 44</t>
  </si>
  <si>
    <t>Customer 45</t>
  </si>
  <si>
    <t>Customer 46</t>
  </si>
  <si>
    <t>Customer 47</t>
  </si>
  <si>
    <t>Customer 48</t>
  </si>
  <si>
    <t>Customer 49</t>
  </si>
  <si>
    <t>Customer 50</t>
  </si>
  <si>
    <t>Customer 51</t>
  </si>
  <si>
    <t>Customer 52</t>
  </si>
  <si>
    <t>Customer 53</t>
  </si>
  <si>
    <t>Customer 54</t>
  </si>
  <si>
    <t>Customer 55</t>
  </si>
  <si>
    <t>Customer 56</t>
  </si>
  <si>
    <t>Customer 57</t>
  </si>
  <si>
    <t>Customer 58</t>
  </si>
  <si>
    <t>Customer 59</t>
  </si>
  <si>
    <t>Customer 60</t>
  </si>
  <si>
    <t>Customer 61</t>
  </si>
  <si>
    <t>Customer 62</t>
  </si>
  <si>
    <t>Customer 63</t>
  </si>
  <si>
    <t>Customer 64</t>
  </si>
  <si>
    <t>Customer 65</t>
  </si>
  <si>
    <t>Customer 66</t>
  </si>
  <si>
    <t>Customer 67</t>
  </si>
  <si>
    <t>Customer 68</t>
  </si>
  <si>
    <t>Customer 69</t>
  </si>
  <si>
    <t>Customer 70</t>
  </si>
  <si>
    <t>Customer 71</t>
  </si>
  <si>
    <t>Customer 72</t>
  </si>
  <si>
    <t>Customer 73</t>
  </si>
  <si>
    <t>Customer 74</t>
  </si>
  <si>
    <t>Customer 75</t>
  </si>
  <si>
    <t>Customer 76</t>
  </si>
  <si>
    <t>Customer 77</t>
  </si>
  <si>
    <t>Customer 78</t>
  </si>
  <si>
    <t>Customer 79</t>
  </si>
  <si>
    <t>Customer 80</t>
  </si>
  <si>
    <t>Customer 81</t>
  </si>
  <si>
    <t>Customer 82</t>
  </si>
  <si>
    <t>Customer 83</t>
  </si>
  <si>
    <t>Customer 84</t>
  </si>
  <si>
    <t>Customer 85</t>
  </si>
  <si>
    <t>Customer 86</t>
  </si>
  <si>
    <t>Customer 87</t>
  </si>
  <si>
    <t>Customer 88</t>
  </si>
  <si>
    <t>Customer 89</t>
  </si>
  <si>
    <t>Customer 90</t>
  </si>
  <si>
    <t>Customer 91</t>
  </si>
  <si>
    <t>Customer 92</t>
  </si>
  <si>
    <t>Customer 93</t>
  </si>
  <si>
    <t>Customer 94</t>
  </si>
  <si>
    <t>Customer 95</t>
  </si>
  <si>
    <t>Customer 96</t>
  </si>
  <si>
    <t>Customer 97</t>
  </si>
  <si>
    <t>Customer 98</t>
  </si>
  <si>
    <t>Customer 99</t>
  </si>
  <si>
    <t>Customer 100</t>
  </si>
  <si>
    <t>Customer 101</t>
  </si>
  <si>
    <t>Customer 102</t>
  </si>
  <si>
    <t>Customer 103</t>
  </si>
  <si>
    <t>Customer 104</t>
  </si>
  <si>
    <t>Customer 105</t>
  </si>
  <si>
    <t>Customer 106</t>
  </si>
  <si>
    <t>Customer 107</t>
  </si>
  <si>
    <t>Customer 108</t>
  </si>
  <si>
    <t>Customer 109</t>
  </si>
  <si>
    <t>Customer 110</t>
  </si>
  <si>
    <t>Customer 111</t>
  </si>
  <si>
    <t>Customer 112</t>
  </si>
  <si>
    <t>Customer 113</t>
  </si>
  <si>
    <t>Customer 114</t>
  </si>
  <si>
    <t>Customer 115</t>
  </si>
  <si>
    <t>Customer 116</t>
  </si>
  <si>
    <t>Customer 117</t>
  </si>
  <si>
    <t>Customer 118</t>
  </si>
  <si>
    <t>Customer 119</t>
  </si>
  <si>
    <t>Customer 120</t>
  </si>
  <si>
    <t>Customer 121</t>
  </si>
  <si>
    <t>Customer 122</t>
  </si>
  <si>
    <t>Customer 123</t>
  </si>
  <si>
    <t>Customer 124</t>
  </si>
  <si>
    <t>Customer 125</t>
  </si>
  <si>
    <t>Customer 126</t>
  </si>
  <si>
    <t>Customer 127</t>
  </si>
  <si>
    <t>Customer 128</t>
  </si>
  <si>
    <t>Customer 129</t>
  </si>
  <si>
    <t>Customer 130</t>
  </si>
  <si>
    <t>Customer 131</t>
  </si>
  <si>
    <t>Customer 132</t>
  </si>
  <si>
    <t>Customer 133</t>
  </si>
  <si>
    <t>Customer 134</t>
  </si>
  <si>
    <t>Customer 135</t>
  </si>
  <si>
    <t>Customer 136</t>
  </si>
  <si>
    <t>Customer 137</t>
  </si>
  <si>
    <t>Customer 138</t>
  </si>
  <si>
    <t>Customer 139</t>
  </si>
  <si>
    <t>Customer 140</t>
  </si>
  <si>
    <t>Customer 141</t>
  </si>
  <si>
    <t>Customer 142</t>
  </si>
  <si>
    <t>Customer 143</t>
  </si>
  <si>
    <t>Customer 144</t>
  </si>
  <si>
    <t>Customer 145</t>
  </si>
  <si>
    <t>Customer 146</t>
  </si>
  <si>
    <t>Customer 147</t>
  </si>
  <si>
    <t>Customer 148</t>
  </si>
  <si>
    <t>Customer 149</t>
  </si>
  <si>
    <t>Customer 150</t>
  </si>
  <si>
    <t>3b</t>
  </si>
  <si>
    <t>Allocation of total Non-RPP Consumption (kWh) between Current Class B and Class A/B Transition Customers</t>
  </si>
  <si>
    <t xml:space="preserve">Transition Customers' Portion of Total Consumption </t>
  </si>
  <si>
    <t>Transition Customers Portion of GA Balance</t>
  </si>
  <si>
    <t>GA Balance to be disposed to Current Class B Customers through Rate Rider</t>
  </si>
  <si>
    <t>Allocation of GA Balances to Class A/B Transition Customers</t>
  </si>
  <si>
    <t># of Class A/B Transition Customers</t>
  </si>
  <si>
    <t>Unit</t>
  </si>
  <si>
    <t>CBR Class B Rate Rider</t>
  </si>
  <si>
    <t>Total CBR Class B $ allocated to Current Class B Customers</t>
  </si>
  <si>
    <t>% of total kWh</t>
  </si>
  <si>
    <t>Metered Consumption for Current Class B Customers (Total Consumption LESS WMP, Class A and Transition Customers' Consumption)</t>
  </si>
  <si>
    <t>Rate Rider for Group 2 Accounts</t>
  </si>
  <si>
    <t/>
  </si>
  <si>
    <t>If the allocated Account 1580 sub-account CBR Class B amount does not produce a rate rider in one or more rate class (except for the Standby rate class), a distributor is to transfer the entire OEB-approved CBR Class B amount into account 1595 for disposition at a later date (see Accounting Guidance, Capacity Based Recovery July 25, 2016)</t>
  </si>
  <si>
    <t xml:space="preserve">Customer </t>
  </si>
  <si>
    <t>Allocation of CBR Class B Balances to Transition Customers</t>
  </si>
  <si>
    <t>CBR Class B Balance to be disposed to Current Class B Customers through Rate Rider</t>
  </si>
  <si>
    <t>Transition Customers Portion of CBR Class B Balance</t>
  </si>
  <si>
    <t xml:space="preserve">Total CBR Class B Balance </t>
  </si>
  <si>
    <t>Allocation of Total CBR Class B Balance $</t>
  </si>
  <si>
    <t>1580, Sub-account CBR Class B</t>
  </si>
  <si>
    <t>Rate Rider Calculation for Account 1580, sub-account CBR Class B</t>
  </si>
  <si>
    <t>Rate rider calculated separately only if Class A customers exist during the period the balance accumulated</t>
  </si>
  <si>
    <t>Tab</t>
  </si>
  <si>
    <t>Tab Details</t>
  </si>
  <si>
    <t xml:space="preserve">Step </t>
  </si>
  <si>
    <t>Complete the DVA continuity schedule.</t>
  </si>
  <si>
    <t>3. Appendix A</t>
  </si>
  <si>
    <t>This tab shows the year end balance variances between the continuity schedule and that reported in the RRR.</t>
  </si>
  <si>
    <t>Provide an explanation for the variances identified.</t>
  </si>
  <si>
    <t>4 - Billing Determinant</t>
  </si>
  <si>
    <t>This tab shows the billing determinants that will be used to allocate account balances and calculate rate riders.</t>
  </si>
  <si>
    <t>5 - Allocating Def-Var Balances</t>
  </si>
  <si>
    <r>
      <t>1</t>
    </r>
    <r>
      <rPr>
        <sz val="10"/>
        <rFont val="Arial"/>
        <family val="2"/>
      </rPr>
      <t xml:space="preserve"> Account 1595 sub-accounts are to be allocated to rate classes in proportion to the recovery share as established when rate riders were implemented.</t>
    </r>
  </si>
  <si>
    <t>Disposition and Recovery/Refund of Regulatory Balances (2016)</t>
  </si>
  <si>
    <t>F =B-C-E (deduct E if applicable)</t>
  </si>
  <si>
    <r>
      <t>Smart Meter Capital and Recovery Offset Variance - Sub-Account - Capital</t>
    </r>
    <r>
      <rPr>
        <vertAlign val="superscript"/>
        <sz val="11"/>
        <rFont val="Arial"/>
        <family val="2"/>
      </rPr>
      <t>4</t>
    </r>
  </si>
  <si>
    <r>
      <t>Smart Meter Capital and Recovery Offset Variance - Sub-Account - Recoveries</t>
    </r>
    <r>
      <rPr>
        <vertAlign val="superscript"/>
        <sz val="11"/>
        <rFont val="Arial"/>
        <family val="2"/>
      </rPr>
      <t>4</t>
    </r>
  </si>
  <si>
    <r>
      <t>Smart Meter OM&amp;A Variance</t>
    </r>
    <r>
      <rPr>
        <vertAlign val="superscript"/>
        <sz val="11"/>
        <rFont val="Arial"/>
        <family val="2"/>
      </rPr>
      <t>4</t>
    </r>
  </si>
  <si>
    <r>
      <t>Disposition and Recovery/Refund of Regulatory Balances (2013)</t>
    </r>
    <r>
      <rPr>
        <vertAlign val="superscript"/>
        <sz val="11"/>
        <rFont val="Arial"/>
        <family val="2"/>
      </rPr>
      <t>7</t>
    </r>
  </si>
  <si>
    <r>
      <t>Disposition and Recovery/Refund of Regulatory Balances (2014)</t>
    </r>
    <r>
      <rPr>
        <vertAlign val="superscript"/>
        <sz val="11"/>
        <rFont val="Arial"/>
        <family val="2"/>
      </rPr>
      <t>7</t>
    </r>
  </si>
  <si>
    <r>
      <t>Disposition and Recovery/Refund of Regulatory Balances (2015)</t>
    </r>
    <r>
      <rPr>
        <vertAlign val="superscript"/>
        <sz val="11"/>
        <rFont val="Arial"/>
        <family val="2"/>
      </rPr>
      <t>7</t>
    </r>
  </si>
  <si>
    <r>
      <t>Disposition and Recovery/Refund of Regulatory Balances (2016)</t>
    </r>
    <r>
      <rPr>
        <vertAlign val="superscript"/>
        <sz val="11"/>
        <rFont val="Arial"/>
        <family val="2"/>
      </rPr>
      <t>7</t>
    </r>
  </si>
  <si>
    <r>
      <t>RSVA - Wholesale Market Service Charge</t>
    </r>
    <r>
      <rPr>
        <vertAlign val="superscript"/>
        <sz val="11"/>
        <rFont val="Arial"/>
        <family val="2"/>
      </rPr>
      <t>9</t>
    </r>
  </si>
  <si>
    <r>
      <t>Variance WMS – Sub-account CBR Class A</t>
    </r>
    <r>
      <rPr>
        <vertAlign val="superscript"/>
        <sz val="11"/>
        <rFont val="Arial"/>
        <family val="2"/>
      </rPr>
      <t>9</t>
    </r>
  </si>
  <si>
    <r>
      <t>Variance WMS – Sub-account CBR Class B</t>
    </r>
    <r>
      <rPr>
        <vertAlign val="superscript"/>
        <sz val="11"/>
        <rFont val="Arial"/>
        <family val="2"/>
      </rPr>
      <t>9</t>
    </r>
  </si>
  <si>
    <t>Revised Rate Rider for Deferral/Variance Accounts</t>
  </si>
  <si>
    <t>Rate Rider Calculation for Group 1 Deferral / Variance Accounts Balances (excluding Global Adj.)</t>
  </si>
  <si>
    <t>Rate Rider Calculation for Group 1 Deferral / Variance Accounts Balances (excluding Global Adj.) - NON-WMP</t>
  </si>
  <si>
    <t>Allocated Group 1 Balance (excluding 1589)</t>
  </si>
  <si>
    <t>Allocated Group 1 Balance - Non-WMP</t>
  </si>
  <si>
    <t>Allocated Global Adjustment Balance</t>
  </si>
  <si>
    <t>Allocated Group 2 Balance</t>
  </si>
  <si>
    <t>Allocated Accounts 1575 and 1576 Balances</t>
  </si>
  <si>
    <t>Allocated
Account 1568 Balance</t>
  </si>
  <si>
    <t xml:space="preserve">Allocated Sub-account 1580 CBR Class B Balance </t>
  </si>
  <si>
    <r>
      <t>RSVA - Power (excluding Global Adjustment)</t>
    </r>
    <r>
      <rPr>
        <vertAlign val="superscript"/>
        <sz val="11"/>
        <rFont val="Arial"/>
        <family val="2"/>
      </rPr>
      <t>12</t>
    </r>
  </si>
  <si>
    <r>
      <t xml:space="preserve">RSVA - Global Adjustment </t>
    </r>
    <r>
      <rPr>
        <vertAlign val="superscript"/>
        <sz val="11"/>
        <rFont val="Arial"/>
        <family val="2"/>
      </rPr>
      <t>12</t>
    </r>
  </si>
  <si>
    <t>Transition Customers - Non-loss Adjusted Billing Determinants by Customer</t>
  </si>
  <si>
    <t>Instructions</t>
  </si>
  <si>
    <t>Only for rate classes with WMP customers are the Deferral/Variance Account Rate Riders for Non-WMP calculated separately in the table above. For all rate classes without WMP customers, balances in Accounts 1580 and 1588 are included in Deferral/Variance Account Rate Riders calculated in the first table above and disposed through a combined Deferral/Variance Account and Rate Rider.</t>
  </si>
  <si>
    <t>Not to be disposed of until a year after rate rider has expired and that balance has been audited</t>
  </si>
  <si>
    <t>The Year the Account 1580 CBR Class B was Last Disposed.</t>
  </si>
  <si>
    <t>version 1.0</t>
  </si>
  <si>
    <r>
      <t xml:space="preserve">1595 Recovery Share Proportion (2017) </t>
    </r>
    <r>
      <rPr>
        <b/>
        <vertAlign val="superscript"/>
        <sz val="10"/>
        <rFont val="Arial"/>
        <family val="2"/>
      </rPr>
      <t>1</t>
    </r>
  </si>
  <si>
    <t>Disposition and Recovery/Refund of Regulatory Balances (2017)</t>
  </si>
  <si>
    <t xml:space="preserve"> Please indicate the Rate Rider Recovery Period (in months)</t>
  </si>
  <si>
    <t>6 - Class A Data Consumption</t>
  </si>
  <si>
    <t>6.1a. - GA Allocation</t>
  </si>
  <si>
    <t xml:space="preserve">6.2 - CBR </t>
  </si>
  <si>
    <t>6.2a - CBR_B Allocation</t>
  </si>
  <si>
    <t>7 - Calculation of Def-Var RR</t>
  </si>
  <si>
    <t>This tab calculates all the applicable DVA rate riders.</t>
  </si>
  <si>
    <t>Enter the proposed rate rider recovery period if different than the default 12 month period. For each rate class of each rate rider, select whether the rate rider is to be calculated on a kWh, kW or number of customers basis. The rest of the information in the tab is auto-populated and the rate riders are calculated accordingly .</t>
  </si>
  <si>
    <t>Rate Rider for Sub-account 1580 CBR Class B</t>
  </si>
  <si>
    <t>ENWIN Utilities Ltd.</t>
  </si>
  <si>
    <t>EPCOR Electricity Distribution Ontario Inc.</t>
  </si>
  <si>
    <t>ERTH Power Corporation - ERTH Power Main Rate Zone</t>
  </si>
  <si>
    <t>ERTH POWER CORPORATION – GODERICH RATE ZONE</t>
  </si>
  <si>
    <t>Hearst Power Distribution Co. Ltd.</t>
  </si>
  <si>
    <t>Rideau St. Lawrence Distribution Inc.</t>
  </si>
  <si>
    <t>Pale grey cell represent auto-populated RRR data</t>
  </si>
  <si>
    <t>To determine the first year the continuity schedules in tabs 2a and 2b will be generated for input, answer the following questions:</t>
  </si>
  <si>
    <t>Disposition and Recovery/Refund of Regulatory Balances (2018)</t>
  </si>
  <si>
    <t>Pole Attachment Revenue Variance</t>
  </si>
  <si>
    <t>Retail Service Charge Incremental Revenue</t>
  </si>
  <si>
    <t>Pension &amp; OPEB Forecast Accrual versus Actual Cash Payment Differential Carrying Charges</t>
  </si>
  <si>
    <t>Pension &amp; OPEB Forecast Accrual versus Actual Cash Payment Differential</t>
  </si>
  <si>
    <r>
      <t xml:space="preserve">Total 
Metered </t>
    </r>
    <r>
      <rPr>
        <b/>
        <sz val="10"/>
        <color rgb="FFFF0000"/>
        <rFont val="Arial"/>
        <family val="2"/>
      </rPr>
      <t>kWh</t>
    </r>
  </si>
  <si>
    <r>
      <t xml:space="preserve">Total 
Metered </t>
    </r>
    <r>
      <rPr>
        <b/>
        <sz val="10"/>
        <color rgb="FFFF0000"/>
        <rFont val="Arial"/>
        <family val="2"/>
      </rPr>
      <t>kW</t>
    </r>
  </si>
  <si>
    <r>
      <t xml:space="preserve">Metered </t>
    </r>
    <r>
      <rPr>
        <b/>
        <sz val="11"/>
        <color rgb="FFFF0000"/>
        <rFont val="Arial"/>
        <family val="2"/>
      </rPr>
      <t>kWh</t>
    </r>
    <r>
      <rPr>
        <b/>
        <sz val="10"/>
        <rFont val="Arial"/>
        <family val="2"/>
      </rPr>
      <t xml:space="preserve"> for Wholesale Market Participants (WMP)</t>
    </r>
  </si>
  <si>
    <r>
      <t xml:space="preserve">Metered </t>
    </r>
    <r>
      <rPr>
        <b/>
        <sz val="11"/>
        <color rgb="FFFF0000"/>
        <rFont val="Arial"/>
        <family val="2"/>
      </rPr>
      <t>kW</t>
    </r>
    <r>
      <rPr>
        <b/>
        <sz val="10"/>
        <rFont val="Arial"/>
        <family val="2"/>
      </rPr>
      <t xml:space="preserve"> for Wholesale Market Participants (WMP)</t>
    </r>
  </si>
  <si>
    <t>Variance WMS - Sub-account CBR Class B (separate rate rider if Class A Customers)</t>
  </si>
  <si>
    <t>Smart Meter Capital and Recovery Offset Variance - Sub-Account - Stranded Meter Costs</t>
  </si>
  <si>
    <t>Total of Accounts 1575 and 1576</t>
  </si>
  <si>
    <t xml:space="preserve">No Input Required in this tab. The purpose of this tab is to calculate the billing determinants for CBR rate riders for all current Class B customers who did not transition between Class A and B in the period since the Account 1580, sub-account CBR Class B balance accumulated.
</t>
  </si>
  <si>
    <t>This tab allocates the GA balance to transition customers (i.e Class A customers who were former Class B customers and Class B customers who were former Class A customers) who contributed to the current GA balance. The tables below calculate specific amounts for each customer who made the change. The general GA rate rider to non-RPP customers is not to be charged to the transition customers that are allocated amounts in the table below. Consistent with prior decisions, distributors are generally expected to settle the amount through 12 equal adjustments to bills.</t>
  </si>
  <si>
    <t>Non-RPP Consumption Less WMP Consumption</t>
  </si>
  <si>
    <t xml:space="preserve">   Less Class A Consumption for Partial Year Class A Customers</t>
  </si>
  <si>
    <t xml:space="preserve">   Less Consumption for Full Year Class A Customers</t>
  </si>
  <si>
    <t xml:space="preserve">Total Class B Consumption for Years During Balance Accumulation </t>
  </si>
  <si>
    <t>D = A-B-C</t>
  </si>
  <si>
    <t>All Class B Consumption for Transition Customers</t>
  </si>
  <si>
    <t>F = E/D</t>
  </si>
  <si>
    <t>Total Metered Consumption (kWh) for Transition Customers During the Period When They Were Class B Customers</t>
  </si>
  <si>
    <t>Metered Consumption (kWh) for Transition Customers During the Period When They Were Class B Customers in 2018</t>
  </si>
  <si>
    <t>Metered Consumption (kWh) for Transition Customers During the Period When They Were Class B Customers in 2017</t>
  </si>
  <si>
    <t>Customer Specific GA Allocation for the Period When They Were a Class B customer</t>
  </si>
  <si>
    <t>This tab allocates the CBR Class B balance to transition customers (i.e Class A customers who were former Class B customers and Class B customers who were former Class A customers) who contributed to the current CBR Class B balance. The tables below calculate specific amounts for each customer who made the change. The general CBR Class B rate rider is not to be charged to the transition customers that are allocated amounts in the table below. Consistent with prior decisions, distributors are generally expected to settle the amount through 12 equal adjustments to bills.</t>
  </si>
  <si>
    <t>Year Account 1580 CBR Class B was Last Disposed</t>
  </si>
  <si>
    <t>Allocation of Total Consumption (kWh) between Current Class B and Class A/B Transition Customers</t>
  </si>
  <si>
    <t>Total Consumption Less WMP Consumption</t>
  </si>
  <si>
    <t>Total Metered Class B Consumption (kWh)  for Transition Customers During the Period When They were Class B Customers</t>
  </si>
  <si>
    <t>Metered Class B Consumption (kWh)  for Transition Customers During the Period When They were Class B Customers in 2018</t>
  </si>
  <si>
    <t>Metered Class B Consumption (kWh)  for Transition Customers During the Period When They were Class B Customers in 2017</t>
  </si>
  <si>
    <t>Customer Specific CBR Class B Allocation for the Period When They Were a Class B Customer</t>
  </si>
  <si>
    <t>1a</t>
  </si>
  <si>
    <t>The year Account 1589 GA was last disposed</t>
  </si>
  <si>
    <t>1b</t>
  </si>
  <si>
    <t>The year Account 1580 CBR Class B was last disposed</t>
  </si>
  <si>
    <t>Note that the sub-account was established in 2015.</t>
  </si>
  <si>
    <t>Enter the number of transition customer you had during the period the Account 1589 GA or Account 1580 CBR B balance accumulated</t>
  </si>
  <si>
    <t>Rate Classes with Class A Customers - Billing Determinants by Rate Class</t>
  </si>
  <si>
    <t>Rate Class 1</t>
  </si>
  <si>
    <t>Rate Class 2</t>
  </si>
  <si>
    <t>Rate Class 3</t>
  </si>
  <si>
    <t>Rate Class 4</t>
  </si>
  <si>
    <t>Rate Class 5</t>
  </si>
  <si>
    <t>Rate Class 6</t>
  </si>
  <si>
    <t>Rate Class 7</t>
  </si>
  <si>
    <t>Rate Class 8</t>
  </si>
  <si>
    <t>Rate Class 9</t>
  </si>
  <si>
    <t>Rate Class 10</t>
  </si>
  <si>
    <t>Rate Class 11</t>
  </si>
  <si>
    <t>Rate Class 12</t>
  </si>
  <si>
    <t>Rate Class 13</t>
  </si>
  <si>
    <t>Rate Class 14</t>
  </si>
  <si>
    <t>Rate Class 15</t>
  </si>
  <si>
    <t>Rate Class 16</t>
  </si>
  <si>
    <t>Rate Class 17</t>
  </si>
  <si>
    <t>Rate Class 18</t>
  </si>
  <si>
    <t>Rate Class 19</t>
  </si>
  <si>
    <t>Rate Class 20</t>
  </si>
  <si>
    <t>Rate Class 21</t>
  </si>
  <si>
    <t>Rate Class 22</t>
  </si>
  <si>
    <t>Rate Class 23</t>
  </si>
  <si>
    <t>Rate Class 24</t>
  </si>
  <si>
    <t>Rate Class 25</t>
  </si>
  <si>
    <t>Rate Class 26</t>
  </si>
  <si>
    <t>Rate Class 27</t>
  </si>
  <si>
    <t>Rate Class 28</t>
  </si>
  <si>
    <t>Rate Class 29</t>
  </si>
  <si>
    <t>Rate Class 30</t>
  </si>
  <si>
    <t>Rate Class 31</t>
  </si>
  <si>
    <t>Rate Class 32</t>
  </si>
  <si>
    <t>Rate Class 33</t>
  </si>
  <si>
    <t>Rate Class 34</t>
  </si>
  <si>
    <t>Rate Class 35</t>
  </si>
  <si>
    <t>Rate Class 36</t>
  </si>
  <si>
    <t>Rate Class 37</t>
  </si>
  <si>
    <t>Rate Class 38</t>
  </si>
  <si>
    <t>Rate Class 39</t>
  </si>
  <si>
    <t>Rate Class 40</t>
  </si>
  <si>
    <t>Rate Class 41</t>
  </si>
  <si>
    <t>Rate Class 42</t>
  </si>
  <si>
    <t>Rate Class 43</t>
  </si>
  <si>
    <t>Rate Class 44</t>
  </si>
  <si>
    <t>Rate Class 45</t>
  </si>
  <si>
    <t>Rate Class 46</t>
  </si>
  <si>
    <t>Rate Class 47</t>
  </si>
  <si>
    <t>Rate Class 48</t>
  </si>
  <si>
    <t>Rate Class 49</t>
  </si>
  <si>
    <t>Rate Class 50</t>
  </si>
  <si>
    <t>Rate Class 51</t>
  </si>
  <si>
    <t>Rate Class 52</t>
  </si>
  <si>
    <t>Rate Class 53</t>
  </si>
  <si>
    <t>Rate Class 54</t>
  </si>
  <si>
    <t>Rate Class 55</t>
  </si>
  <si>
    <t>Rate Class 56</t>
  </si>
  <si>
    <t>Rate Class 57</t>
  </si>
  <si>
    <t>Rate Class 58</t>
  </si>
  <si>
    <t>Rate Class 59</t>
  </si>
  <si>
    <t>Rate Class 60</t>
  </si>
  <si>
    <t>Rate Class 61</t>
  </si>
  <si>
    <t>Rate Class 62</t>
  </si>
  <si>
    <t>Rate Class 63</t>
  </si>
  <si>
    <t>Rate Class 64</t>
  </si>
  <si>
    <t>Rate Class 65</t>
  </si>
  <si>
    <t>Rate Class 66</t>
  </si>
  <si>
    <t>Rate Class 67</t>
  </si>
  <si>
    <t>Rate Class 68</t>
  </si>
  <si>
    <t>Rate Class 69</t>
  </si>
  <si>
    <t>Rate Class 70</t>
  </si>
  <si>
    <t>Rate Class 71</t>
  </si>
  <si>
    <t>Rate Class 72</t>
  </si>
  <si>
    <t>Rate Class 73</t>
  </si>
  <si>
    <t>Rate Class 74</t>
  </si>
  <si>
    <t>Rate Class 75</t>
  </si>
  <si>
    <t>Rate Class 76</t>
  </si>
  <si>
    <t>Rate Class 77</t>
  </si>
  <si>
    <t>Rate Class 78</t>
  </si>
  <si>
    <t>Rate Class 79</t>
  </si>
  <si>
    <t>Rate Class 80</t>
  </si>
  <si>
    <t>Rate Class 81</t>
  </si>
  <si>
    <t>Rate Class 82</t>
  </si>
  <si>
    <t>Rate Class 83</t>
  </si>
  <si>
    <t>Rate Class 84</t>
  </si>
  <si>
    <t>Rate Class 85</t>
  </si>
  <si>
    <t>Rate Class 86</t>
  </si>
  <si>
    <t>Rate Class 87</t>
  </si>
  <si>
    <t>Rate Class 88</t>
  </si>
  <si>
    <t>Rate Class 89</t>
  </si>
  <si>
    <t>Rate Class 90</t>
  </si>
  <si>
    <t>Rate Class 91</t>
  </si>
  <si>
    <t>Rate Class 92</t>
  </si>
  <si>
    <t>Rate Class 93</t>
  </si>
  <si>
    <t>Rate Class 94</t>
  </si>
  <si>
    <t>Rate Class 95</t>
  </si>
  <si>
    <t>Rate Class 96</t>
  </si>
  <si>
    <t>Rate Class 97</t>
  </si>
  <si>
    <t>Rate Class 98</t>
  </si>
  <si>
    <t>Rate Class 99</t>
  </si>
  <si>
    <t>Rate Class 100</t>
  </si>
  <si>
    <t>Rate Class 101</t>
  </si>
  <si>
    <t>Rate Class 102</t>
  </si>
  <si>
    <t>Rate Class 103</t>
  </si>
  <si>
    <t>Rate Class 104</t>
  </si>
  <si>
    <t>Rate Class 105</t>
  </si>
  <si>
    <t>Rate Class 106</t>
  </si>
  <si>
    <t>Rate Class 107</t>
  </si>
  <si>
    <t>Rate Class 108</t>
  </si>
  <si>
    <t>Rate Class 109</t>
  </si>
  <si>
    <t>Rate Class 110</t>
  </si>
  <si>
    <t>Rate Class 111</t>
  </si>
  <si>
    <t>Rate Class 112</t>
  </si>
  <si>
    <t>Rate Class 113</t>
  </si>
  <si>
    <t>Rate Class 114</t>
  </si>
  <si>
    <t>Rate Class 115</t>
  </si>
  <si>
    <t>Rate Class 116</t>
  </si>
  <si>
    <t>Rate Class 117</t>
  </si>
  <si>
    <t>Rate Class 118</t>
  </si>
  <si>
    <t>Rate Class 119</t>
  </si>
  <si>
    <t>Rate Class 120</t>
  </si>
  <si>
    <t>Rate Class 121</t>
  </si>
  <si>
    <t>Rate Class 122</t>
  </si>
  <si>
    <t>Rate Class 123</t>
  </si>
  <si>
    <t>Rate Class 124</t>
  </si>
  <si>
    <t>Rate Class 125</t>
  </si>
  <si>
    <t>Rate Class 126</t>
  </si>
  <si>
    <t>Rate Class 127</t>
  </si>
  <si>
    <t>Rate Class 128</t>
  </si>
  <si>
    <t>Rate Class 129</t>
  </si>
  <si>
    <t>Rate Class 130</t>
  </si>
  <si>
    <t>Rate Class 131</t>
  </si>
  <si>
    <t>Rate Class 132</t>
  </si>
  <si>
    <t>Rate Class 133</t>
  </si>
  <si>
    <t>Rate Class 134</t>
  </si>
  <si>
    <t>Rate Class 135</t>
  </si>
  <si>
    <t>Rate Class 136</t>
  </si>
  <si>
    <t>Rate Class 137</t>
  </si>
  <si>
    <t>Rate Class 138</t>
  </si>
  <si>
    <t>Rate Class 139</t>
  </si>
  <si>
    <t>Rate Class 140</t>
  </si>
  <si>
    <t>Rate Class 141</t>
  </si>
  <si>
    <t>Rate Class 142</t>
  </si>
  <si>
    <t>Rate Class 143</t>
  </si>
  <si>
    <t>Rate Class 144</t>
  </si>
  <si>
    <t>Rate Class 145</t>
  </si>
  <si>
    <t>Rate Class 146</t>
  </si>
  <si>
    <t>Rate Class 147</t>
  </si>
  <si>
    <t>Rate Class 148</t>
  </si>
  <si>
    <t>Rate Class 149</t>
  </si>
  <si>
    <t>Rate Class 150</t>
  </si>
  <si>
    <t>Test Year Forecast</t>
  </si>
  <si>
    <t>Transition Customers  (Total Class A and B Consumption)</t>
  </si>
  <si>
    <t>Class A Customer for Full Year (Total Class A Consumption)</t>
  </si>
  <si>
    <t>Accounts To Dispose
Yes/No</t>
  </si>
  <si>
    <t>No</t>
  </si>
  <si>
    <t>Accounts to Dispose
Yes/No</t>
  </si>
  <si>
    <t>Company_Name</t>
  </si>
  <si>
    <t>Due Year</t>
  </si>
  <si>
    <t>Account_No</t>
  </si>
  <si>
    <t>Company and Account_No</t>
  </si>
  <si>
    <t>Account_Description</t>
  </si>
  <si>
    <t>value</t>
  </si>
  <si>
    <t>Group1</t>
  </si>
  <si>
    <t>Group2</t>
  </si>
  <si>
    <t>Principal</t>
  </si>
  <si>
    <t>Interest</t>
  </si>
  <si>
    <t>Total_Balance</t>
  </si>
  <si>
    <t>Rate Model Total Value</t>
  </si>
  <si>
    <t>1508</t>
  </si>
  <si>
    <t>Alectra Utilities Corporation1508</t>
  </si>
  <si>
    <t>Other Regulatory Assets</t>
  </si>
  <si>
    <t>YES</t>
  </si>
  <si>
    <t>1518</t>
  </si>
  <si>
    <t>Alectra Utilities Corporation1518</t>
  </si>
  <si>
    <t>RCVARetail</t>
  </si>
  <si>
    <t>1522</t>
  </si>
  <si>
    <t>Alectra Utilities Corporation1522</t>
  </si>
  <si>
    <t>1525</t>
  </si>
  <si>
    <t>Alectra Utilities Corporation1525</t>
  </si>
  <si>
    <t>Miscellaneous Deferred Debits</t>
  </si>
  <si>
    <t>1531</t>
  </si>
  <si>
    <t>Alectra Utilities Corporation1531</t>
  </si>
  <si>
    <t>Renewable Connection Capital Deferral Account</t>
  </si>
  <si>
    <t>1532</t>
  </si>
  <si>
    <t>Alectra Utilities Corporation1532</t>
  </si>
  <si>
    <t>Renewable Connection OM&amp;A Deferral Account</t>
  </si>
  <si>
    <t>1533</t>
  </si>
  <si>
    <t>Alectra Utilities Corporation1533</t>
  </si>
  <si>
    <t>Renewable Generation Connection Funding Adder Deferral Account</t>
  </si>
  <si>
    <t>1534</t>
  </si>
  <si>
    <t>Alectra Utilities Corporation1534</t>
  </si>
  <si>
    <t>1535</t>
  </si>
  <si>
    <t>Alectra Utilities Corporation1535</t>
  </si>
  <si>
    <t>1536</t>
  </si>
  <si>
    <t>Alectra Utilities Corporation1536</t>
  </si>
  <si>
    <t>1548</t>
  </si>
  <si>
    <t>Alectra Utilities Corporation1548</t>
  </si>
  <si>
    <t>RCVASTR</t>
  </si>
  <si>
    <t>1550</t>
  </si>
  <si>
    <t>Alectra Utilities Corporation1550</t>
  </si>
  <si>
    <t>1551</t>
  </si>
  <si>
    <t>Alectra Utilities Corporation1551</t>
  </si>
  <si>
    <t>1555</t>
  </si>
  <si>
    <t>Alectra Utilities Corporation1555</t>
  </si>
  <si>
    <t>Smart Meter Capital and Recovery Offset Variance Account</t>
  </si>
  <si>
    <t>Sub-account Stranded Meter Costs</t>
  </si>
  <si>
    <t>1557</t>
  </si>
  <si>
    <t>Alectra Utilities Corporation1557</t>
  </si>
  <si>
    <t>Meter Cost Deferral Account</t>
  </si>
  <si>
    <t>1568</t>
  </si>
  <si>
    <t>Alectra Utilities Corporation1568</t>
  </si>
  <si>
    <t>1572</t>
  </si>
  <si>
    <t>Alectra Utilities Corporation1572</t>
  </si>
  <si>
    <t>Extraordinary Event Costs</t>
  </si>
  <si>
    <t>1574</t>
  </si>
  <si>
    <t>Alectra Utilities Corporation1574</t>
  </si>
  <si>
    <t>1575</t>
  </si>
  <si>
    <t>Alectra Utilities Corporation1575</t>
  </si>
  <si>
    <t>IFRS-CGAAP Transitional PP&amp;E Amounts</t>
  </si>
  <si>
    <t>1576</t>
  </si>
  <si>
    <t>Alectra Utilities Corporation1576</t>
  </si>
  <si>
    <t>CGAAP Accounting Changes</t>
  </si>
  <si>
    <t>1580</t>
  </si>
  <si>
    <t>Alectra Utilities Corporation1580</t>
  </si>
  <si>
    <t>Sub-account CBR class A - Interest</t>
  </si>
  <si>
    <t>Sub-account CBR class A - Principal</t>
  </si>
  <si>
    <t>Sub-account CBR class B - Interest</t>
  </si>
  <si>
    <t>Sub-account CBR class B - Principal</t>
  </si>
  <si>
    <t>1582</t>
  </si>
  <si>
    <t>Alectra Utilities Corporation1582</t>
  </si>
  <si>
    <t>RSVAONE-TIME</t>
  </si>
  <si>
    <t>1584</t>
  </si>
  <si>
    <t>Alectra Utilities Corporation1584</t>
  </si>
  <si>
    <t>1586</t>
  </si>
  <si>
    <t>Alectra Utilities Corporation1586</t>
  </si>
  <si>
    <t>1588</t>
  </si>
  <si>
    <t>Alectra Utilities Corporation1588</t>
  </si>
  <si>
    <t>1589</t>
  </si>
  <si>
    <t>Alectra Utilities Corporation1589</t>
  </si>
  <si>
    <t>1592</t>
  </si>
  <si>
    <t>Alectra Utilities Corporation1592</t>
  </si>
  <si>
    <t>PILs and Tax Variance for 2006 and Subsequent Years</t>
  </si>
  <si>
    <t>1595</t>
  </si>
  <si>
    <t>Alectra Utilities Corporation1595</t>
  </si>
  <si>
    <t>Alectra Utilities Corporation1595_(2008)</t>
  </si>
  <si>
    <t>Disposition and Recovery/Refund of Regulatory Balances (2008)</t>
  </si>
  <si>
    <t>Alectra Utilities Corporation1595_(2009)</t>
  </si>
  <si>
    <t>Alectra Utilities Corporation1595_(2010)</t>
  </si>
  <si>
    <t>Alectra Utilities Corporation1595_(2011)</t>
  </si>
  <si>
    <t>Disposition and Recovery/Refund of Regulatory Balances (2011)</t>
  </si>
  <si>
    <t>Alectra Utilities Corporation1595_(2012)</t>
  </si>
  <si>
    <t>Disposition and Recovery/Refund of Regulatory Balances (2012)</t>
  </si>
  <si>
    <t>Alectra Utilities Corporation1595_(2013)</t>
  </si>
  <si>
    <t>Alectra Utilities Corporation1595_(2014)</t>
  </si>
  <si>
    <t>Alectra Utilities Corporation1595_(2015)</t>
  </si>
  <si>
    <t>Alectra Utilities Corporation1595_(2016)</t>
  </si>
  <si>
    <t>Alectra Utilities Corporation1595_(2017)</t>
  </si>
  <si>
    <t>Alectra Utilities Corporation1595_ControlAccount</t>
  </si>
  <si>
    <t>Disposition and Recovery/Refund of Regulatory Balances Control Account</t>
  </si>
  <si>
    <t>2425</t>
  </si>
  <si>
    <t>Alectra Utilities Corporation2425</t>
  </si>
  <si>
    <t>Algoma Power Inc.1508</t>
  </si>
  <si>
    <t>Algoma Power Inc.1518</t>
  </si>
  <si>
    <t>Algoma Power Inc.1522</t>
  </si>
  <si>
    <t>Algoma Power Inc.1525</t>
  </si>
  <si>
    <t>Algoma Power Inc.1531</t>
  </si>
  <si>
    <t>Algoma Power Inc.1532</t>
  </si>
  <si>
    <t>Algoma Power Inc.1533</t>
  </si>
  <si>
    <t>Algoma Power Inc.1534</t>
  </si>
  <si>
    <t>Algoma Power Inc.1535</t>
  </si>
  <si>
    <t>Smart Grid Capital OM&amp;A Account</t>
  </si>
  <si>
    <t>Algoma Power Inc.1536</t>
  </si>
  <si>
    <t>Algoma Power Inc.1548</t>
  </si>
  <si>
    <t>Algoma Power Inc.1550</t>
  </si>
  <si>
    <t>Algoma Power Inc.1551</t>
  </si>
  <si>
    <t>Algoma Power Inc.1555</t>
  </si>
  <si>
    <t>Algoma Power Inc.1557</t>
  </si>
  <si>
    <t>Algoma Power Inc.1568</t>
  </si>
  <si>
    <t>Algoma Power Inc.1572</t>
  </si>
  <si>
    <t>Algoma Power Inc.1574</t>
  </si>
  <si>
    <t>Algoma Power Inc.1575</t>
  </si>
  <si>
    <t>Algoma Power Inc.1576</t>
  </si>
  <si>
    <t>Algoma Power Inc.1580</t>
  </si>
  <si>
    <t>Algoma Power Inc.1582</t>
  </si>
  <si>
    <t>Algoma Power Inc.1584</t>
  </si>
  <si>
    <t>Algoma Power Inc.1586</t>
  </si>
  <si>
    <t>Algoma Power Inc.1588</t>
  </si>
  <si>
    <t>Algoma Power Inc.1589</t>
  </si>
  <si>
    <t>Algoma Power Inc.1592</t>
  </si>
  <si>
    <t>2006 PILs &amp; Taxes Variance</t>
  </si>
  <si>
    <t>Algoma Power Inc.1595</t>
  </si>
  <si>
    <t>Algoma Power Inc.1595_(2008)</t>
  </si>
  <si>
    <t>Algoma Power Inc.1595_(2009)</t>
  </si>
  <si>
    <t>Algoma Power Inc.1595_(2010)</t>
  </si>
  <si>
    <t>Algoma Power Inc.1595_(2011)</t>
  </si>
  <si>
    <t>Algoma Power Inc.1595_(2012)</t>
  </si>
  <si>
    <t>Algoma Power Inc.1595_(2013)</t>
  </si>
  <si>
    <t>Algoma Power Inc.1595_(2014)</t>
  </si>
  <si>
    <t>Algoma Power Inc.1595_(2015)</t>
  </si>
  <si>
    <t>Algoma Power Inc.1595_(2016)</t>
  </si>
  <si>
    <t>Algoma Power Inc.1595_(2017)</t>
  </si>
  <si>
    <t>Algoma Power Inc.1595_ControlAccount</t>
  </si>
  <si>
    <t>Algoma Power Inc.2425</t>
  </si>
  <si>
    <t>Atikokan Hydro Inc.1508</t>
  </si>
  <si>
    <t>Atikokan Hydro Inc.1518</t>
  </si>
  <si>
    <t>Atikokan Hydro Inc.1522</t>
  </si>
  <si>
    <t>Atikokan Hydro Inc.1525</t>
  </si>
  <si>
    <t>Atikokan Hydro Inc.1531</t>
  </si>
  <si>
    <t>Atikokan Hydro Inc.1532</t>
  </si>
  <si>
    <t>Atikokan Hydro Inc.1533</t>
  </si>
  <si>
    <t>Atikokan Hydro Inc.1534</t>
  </si>
  <si>
    <t>Atikokan Hydro Inc.1535</t>
  </si>
  <si>
    <t>Atikokan Hydro Inc.1536</t>
  </si>
  <si>
    <t>Atikokan Hydro Inc.1548</t>
  </si>
  <si>
    <t>Atikokan Hydro Inc.1550</t>
  </si>
  <si>
    <t>Atikokan Hydro Inc.1551</t>
  </si>
  <si>
    <t>Atikokan Hydro Inc.1555</t>
  </si>
  <si>
    <t>Atikokan Hydro Inc.1557</t>
  </si>
  <si>
    <t>Atikokan Hydro Inc.1568</t>
  </si>
  <si>
    <t>Atikokan Hydro Inc.1572</t>
  </si>
  <si>
    <t>Atikokan Hydro Inc.1574</t>
  </si>
  <si>
    <t>Atikokan Hydro Inc.1575</t>
  </si>
  <si>
    <t>Atikokan Hydro Inc.1576</t>
  </si>
  <si>
    <t>Atikokan Hydro Inc.1580</t>
  </si>
  <si>
    <t>Atikokan Hydro Inc.1582</t>
  </si>
  <si>
    <t>Atikokan Hydro Inc.1584</t>
  </si>
  <si>
    <t>Atikokan Hydro Inc.1586</t>
  </si>
  <si>
    <t>Atikokan Hydro Inc.1588</t>
  </si>
  <si>
    <t>Atikokan Hydro Inc.1589</t>
  </si>
  <si>
    <t>Atikokan Hydro Inc.1592</t>
  </si>
  <si>
    <t>Atikokan Hydro Inc.1595</t>
  </si>
  <si>
    <t>Atikokan Hydro Inc.1595_(2008)</t>
  </si>
  <si>
    <t>Atikokan Hydro Inc.1595_(2009)</t>
  </si>
  <si>
    <t>Atikokan Hydro Inc.1595_(2010)</t>
  </si>
  <si>
    <t>Atikokan Hydro Inc.1595_(2011)</t>
  </si>
  <si>
    <t>Atikokan Hydro Inc.1595_(2012)</t>
  </si>
  <si>
    <t>Atikokan Hydro Inc.1595_(2013)</t>
  </si>
  <si>
    <t>Atikokan Hydro Inc.1595_(2014)</t>
  </si>
  <si>
    <t>Atikokan Hydro Inc.1595_(2015)</t>
  </si>
  <si>
    <t>Atikokan Hydro Inc.1595_(2016)</t>
  </si>
  <si>
    <t>Atikokan Hydro Inc.1595_(2017)</t>
  </si>
  <si>
    <t>Atikokan Hydro Inc.1595_ControlAccount</t>
  </si>
  <si>
    <t>Atikokan Hydro Inc.2425</t>
  </si>
  <si>
    <t>Bluewater Power Distribution Corporation1508</t>
  </si>
  <si>
    <t>Bluewater Power Distribution Corporation1518</t>
  </si>
  <si>
    <t>Bluewater Power Distribution Corporation1522</t>
  </si>
  <si>
    <t>Bluewater Power Distribution Corporation1525</t>
  </si>
  <si>
    <t>Bluewater Power Distribution Corporation1531</t>
  </si>
  <si>
    <t>Bluewater Power Distribution Corporation1532</t>
  </si>
  <si>
    <t>Bluewater Power Distribution Corporation1533</t>
  </si>
  <si>
    <t>Bluewater Power Distribution Corporation1534</t>
  </si>
  <si>
    <t>Bluewater Power Distribution Corporation1535</t>
  </si>
  <si>
    <t>Bluewater Power Distribution Corporation1536</t>
  </si>
  <si>
    <t>Bluewater Power Distribution Corporation1548</t>
  </si>
  <si>
    <t>Bluewater Power Distribution Corporation1550</t>
  </si>
  <si>
    <t>Bluewater Power Distribution Corporation1551</t>
  </si>
  <si>
    <t>Bluewater Power Distribution Corporation1555</t>
  </si>
  <si>
    <t>Bluewater Power Distribution Corporation1557</t>
  </si>
  <si>
    <t>Bluewater Power Distribution Corporation1568</t>
  </si>
  <si>
    <t>Bluewater Power Distribution Corporation1572</t>
  </si>
  <si>
    <t>Bluewater Power Distribution Corporation1574</t>
  </si>
  <si>
    <t>Bluewater Power Distribution Corporation1575</t>
  </si>
  <si>
    <t>Bluewater Power Distribution Corporation1576</t>
  </si>
  <si>
    <t>Bluewater Power Distribution Corporation1580</t>
  </si>
  <si>
    <t>Bluewater Power Distribution Corporation1582</t>
  </si>
  <si>
    <t>Bluewater Power Distribution Corporation1584</t>
  </si>
  <si>
    <t>Bluewater Power Distribution Corporation1586</t>
  </si>
  <si>
    <t>Bluewater Power Distribution Corporation1588</t>
  </si>
  <si>
    <t>Bluewater Power Distribution Corporation1589</t>
  </si>
  <si>
    <t>Bluewater Power Distribution Corporation1592</t>
  </si>
  <si>
    <t>Bluewater Power Distribution Corporation1595</t>
  </si>
  <si>
    <t>Bluewater Power Distribution Corporation1595_(2008)</t>
  </si>
  <si>
    <t>Bluewater Power Distribution Corporation1595_(2009)</t>
  </si>
  <si>
    <t>Bluewater Power Distribution Corporation1595_(2010)</t>
  </si>
  <si>
    <t>Bluewater Power Distribution Corporation1595_(2011)</t>
  </si>
  <si>
    <t>Bluewater Power Distribution Corporation1595_(2012)</t>
  </si>
  <si>
    <t>Bluewater Power Distribution Corporation1595_(2013)</t>
  </si>
  <si>
    <t>Bluewater Power Distribution Corporation1595_(2014)</t>
  </si>
  <si>
    <t>Bluewater Power Distribution Corporation1595_(2015)</t>
  </si>
  <si>
    <t>Bluewater Power Distribution Corporation1595_(2016)</t>
  </si>
  <si>
    <t>Bluewater Power Distribution Corporation1595_(2017)</t>
  </si>
  <si>
    <t>Bluewater Power Distribution Corporation1595_ControlAccount</t>
  </si>
  <si>
    <t>Bluewater Power Distribution Corporation2425</t>
  </si>
  <si>
    <t>Brantford Power Inc.1508</t>
  </si>
  <si>
    <t>Brantford Power Inc.1518</t>
  </si>
  <si>
    <t>Brantford Power Inc.1522</t>
  </si>
  <si>
    <t>Brantford Power Inc.1525</t>
  </si>
  <si>
    <t>Brantford Power Inc.1531</t>
  </si>
  <si>
    <t>Brantford Power Inc.1532</t>
  </si>
  <si>
    <t>Brantford Power Inc.1533</t>
  </si>
  <si>
    <t>Brantford Power Inc.1534</t>
  </si>
  <si>
    <t>Brantford Power Inc.1535</t>
  </si>
  <si>
    <t>Brantford Power Inc.1536</t>
  </si>
  <si>
    <t>Brantford Power Inc.1548</t>
  </si>
  <si>
    <t>Brantford Power Inc.1550</t>
  </si>
  <si>
    <t>Brantford Power Inc.1551</t>
  </si>
  <si>
    <t>Brantford Power Inc.1555</t>
  </si>
  <si>
    <t>Brantford Power Inc.1557</t>
  </si>
  <si>
    <t>Brantford Power Inc.1568</t>
  </si>
  <si>
    <t>Brantford Power Inc.1572</t>
  </si>
  <si>
    <t>Brantford Power Inc.1574</t>
  </si>
  <si>
    <t>Brantford Power Inc.1575</t>
  </si>
  <si>
    <t>Brantford Power Inc.1576</t>
  </si>
  <si>
    <t>Brantford Power Inc.1580</t>
  </si>
  <si>
    <t>Brantford Power Inc.1582</t>
  </si>
  <si>
    <t>Brantford Power Inc.1584</t>
  </si>
  <si>
    <t>Brantford Power Inc.1586</t>
  </si>
  <si>
    <t>Brantford Power Inc.1588</t>
  </si>
  <si>
    <t>Brantford Power Inc.1589</t>
  </si>
  <si>
    <t>Brantford Power Inc.1592</t>
  </si>
  <si>
    <t>Brantford Power Inc.1595</t>
  </si>
  <si>
    <t>Brantford Power Inc.1595_(2008)</t>
  </si>
  <si>
    <t>Brantford Power Inc.1595_(2009)</t>
  </si>
  <si>
    <t>Brantford Power Inc.1595_(2010)</t>
  </si>
  <si>
    <t>Brantford Power Inc.1595_(2011)</t>
  </si>
  <si>
    <t>Brantford Power Inc.1595_(2012)</t>
  </si>
  <si>
    <t>Brantford Power Inc.1595_(2013)</t>
  </si>
  <si>
    <t>Brantford Power Inc.1595_(2014)</t>
  </si>
  <si>
    <t>Brantford Power Inc.1595_(2015)</t>
  </si>
  <si>
    <t>Brantford Power Inc.1595_(2016)</t>
  </si>
  <si>
    <t>Brantford Power Inc.1595_(2017)</t>
  </si>
  <si>
    <t>Brantford Power Inc.1595_ControlAccount</t>
  </si>
  <si>
    <t>Brantford Power Inc.2425</t>
  </si>
  <si>
    <t>Burlington Hydro Inc.1508</t>
  </si>
  <si>
    <t>Burlington Hydro Inc.1518</t>
  </si>
  <si>
    <t>Burlington Hydro Inc.1522</t>
  </si>
  <si>
    <t>Burlington Hydro Inc.1525</t>
  </si>
  <si>
    <t>Burlington Hydro Inc.1531</t>
  </si>
  <si>
    <t>Burlington Hydro Inc.1532</t>
  </si>
  <si>
    <t>Burlington Hydro Inc.1533</t>
  </si>
  <si>
    <t>Burlington Hydro Inc.1534</t>
  </si>
  <si>
    <t>Burlington Hydro Inc.1535</t>
  </si>
  <si>
    <t>Burlington Hydro Inc.1536</t>
  </si>
  <si>
    <t>Burlington Hydro Inc.1548</t>
  </si>
  <si>
    <t>Burlington Hydro Inc.1550</t>
  </si>
  <si>
    <t>Burlington Hydro Inc.1551</t>
  </si>
  <si>
    <t>Burlington Hydro Inc.1555</t>
  </si>
  <si>
    <t>Burlington Hydro Inc.1557</t>
  </si>
  <si>
    <t>Burlington Hydro Inc.1568</t>
  </si>
  <si>
    <t>Burlington Hydro Inc.1572</t>
  </si>
  <si>
    <t>Burlington Hydro Inc.1574</t>
  </si>
  <si>
    <t>Burlington Hydro Inc.1575</t>
  </si>
  <si>
    <t>Burlington Hydro Inc.1576</t>
  </si>
  <si>
    <t>Burlington Hydro Inc.1580</t>
  </si>
  <si>
    <t>Burlington Hydro Inc.1582</t>
  </si>
  <si>
    <t>Burlington Hydro Inc.1584</t>
  </si>
  <si>
    <t>Burlington Hydro Inc.1586</t>
  </si>
  <si>
    <t>Burlington Hydro Inc.1588</t>
  </si>
  <si>
    <t>Burlington Hydro Inc.1589</t>
  </si>
  <si>
    <t>Burlington Hydro Inc.1592</t>
  </si>
  <si>
    <t>Burlington Hydro Inc.1595</t>
  </si>
  <si>
    <t>Burlington Hydro Inc.1595_(2008)</t>
  </si>
  <si>
    <t>Burlington Hydro Inc.1595_(2009)</t>
  </si>
  <si>
    <t>Burlington Hydro Inc.1595_(2010)</t>
  </si>
  <si>
    <t>Burlington Hydro Inc.1595_(2011)</t>
  </si>
  <si>
    <t>Burlington Hydro Inc.1595_(2012)</t>
  </si>
  <si>
    <t>Burlington Hydro Inc.1595_(2013)</t>
  </si>
  <si>
    <t>Burlington Hydro Inc.1595_(2014)</t>
  </si>
  <si>
    <t>Burlington Hydro Inc.1595_(2015)</t>
  </si>
  <si>
    <t>Burlington Hydro Inc.1595_(2016)</t>
  </si>
  <si>
    <t>Burlington Hydro Inc.1595_(2017)</t>
  </si>
  <si>
    <t>Burlington Hydro Inc.1595_ControlAccount</t>
  </si>
  <si>
    <t>Burlington Hydro Inc.2425</t>
  </si>
  <si>
    <t>Canadian Niagara Power Inc.1508</t>
  </si>
  <si>
    <t>Canadian Niagara Power Inc.1518</t>
  </si>
  <si>
    <t>Canadian Niagara Power Inc.1522</t>
  </si>
  <si>
    <t>Canadian Niagara Power Inc.1525</t>
  </si>
  <si>
    <t>Canadian Niagara Power Inc.1531</t>
  </si>
  <si>
    <t>Canadian Niagara Power Inc.1532</t>
  </si>
  <si>
    <t>Canadian Niagara Power Inc.1533</t>
  </si>
  <si>
    <t>Canadian Niagara Power Inc.1534</t>
  </si>
  <si>
    <t>Canadian Niagara Power Inc.1535</t>
  </si>
  <si>
    <t>Canadian Niagara Power Inc.1536</t>
  </si>
  <si>
    <t>Canadian Niagara Power Inc.1548</t>
  </si>
  <si>
    <t>Canadian Niagara Power Inc.1550</t>
  </si>
  <si>
    <t>Canadian Niagara Power Inc.1551</t>
  </si>
  <si>
    <t>Canadian Niagara Power Inc.1555</t>
  </si>
  <si>
    <t>Canadian Niagara Power Inc.1557</t>
  </si>
  <si>
    <t>Canadian Niagara Power Inc.1568</t>
  </si>
  <si>
    <t>Canadian Niagara Power Inc.1572</t>
  </si>
  <si>
    <t>Canadian Niagara Power Inc.1574</t>
  </si>
  <si>
    <t>Canadian Niagara Power Inc.1575</t>
  </si>
  <si>
    <t>Canadian Niagara Power Inc.1576</t>
  </si>
  <si>
    <t>Canadian Niagara Power Inc.1580</t>
  </si>
  <si>
    <t>Canadian Niagara Power Inc.1582</t>
  </si>
  <si>
    <t>Canadian Niagara Power Inc.1584</t>
  </si>
  <si>
    <t>Canadian Niagara Power Inc.1586</t>
  </si>
  <si>
    <t>Canadian Niagara Power Inc.1588</t>
  </si>
  <si>
    <t>Canadian Niagara Power Inc.1589</t>
  </si>
  <si>
    <t>Canadian Niagara Power Inc.1592</t>
  </si>
  <si>
    <t>Canadian Niagara Power Inc.1595</t>
  </si>
  <si>
    <t>Canadian Niagara Power Inc.1595_(2008)</t>
  </si>
  <si>
    <t>Canadian Niagara Power Inc.1595_(2009)</t>
  </si>
  <si>
    <t>Canadian Niagara Power Inc.1595_(2010)</t>
  </si>
  <si>
    <t>Canadian Niagara Power Inc.1595_(2011)</t>
  </si>
  <si>
    <t>Canadian Niagara Power Inc.1595_(2012)</t>
  </si>
  <si>
    <t>Canadian Niagara Power Inc.1595_(2013)</t>
  </si>
  <si>
    <t>Canadian Niagara Power Inc.1595_(2014)</t>
  </si>
  <si>
    <t>Canadian Niagara Power Inc.1595_(2015)</t>
  </si>
  <si>
    <t>Canadian Niagara Power Inc.1595_(2016)</t>
  </si>
  <si>
    <t>Canadian Niagara Power Inc.1595_(2017)</t>
  </si>
  <si>
    <t>Canadian Niagara Power Inc.1595_ControlAccount</t>
  </si>
  <si>
    <t>Canadian Niagara Power Inc.2425</t>
  </si>
  <si>
    <t>Centre Wellington Hydro Ltd.1508</t>
  </si>
  <si>
    <t>Centre Wellington Hydro Ltd.1518</t>
  </si>
  <si>
    <t>Centre Wellington Hydro Ltd.1522</t>
  </si>
  <si>
    <t>Centre Wellington Hydro Ltd.1525</t>
  </si>
  <si>
    <t>Centre Wellington Hydro Ltd.1531</t>
  </si>
  <si>
    <t>Centre Wellington Hydro Ltd.1532</t>
  </si>
  <si>
    <t>Centre Wellington Hydro Ltd.1533</t>
  </si>
  <si>
    <t>Centre Wellington Hydro Ltd.1534</t>
  </si>
  <si>
    <t>Centre Wellington Hydro Ltd.1535</t>
  </si>
  <si>
    <t>Centre Wellington Hydro Ltd.1536</t>
  </si>
  <si>
    <t>Centre Wellington Hydro Ltd.1548</t>
  </si>
  <si>
    <t>Centre Wellington Hydro Ltd.1550</t>
  </si>
  <si>
    <t>Centre Wellington Hydro Ltd.1551</t>
  </si>
  <si>
    <t>Centre Wellington Hydro Ltd.1555</t>
  </si>
  <si>
    <t>Centre Wellington Hydro Ltd.1557</t>
  </si>
  <si>
    <t>Centre Wellington Hydro Ltd.1568</t>
  </si>
  <si>
    <t>Centre Wellington Hydro Ltd.1572</t>
  </si>
  <si>
    <t>Centre Wellington Hydro Ltd.1574</t>
  </si>
  <si>
    <t>Centre Wellington Hydro Ltd.1575</t>
  </si>
  <si>
    <t>Centre Wellington Hydro Ltd.1576</t>
  </si>
  <si>
    <t>Centre Wellington Hydro Ltd.1580</t>
  </si>
  <si>
    <t>Centre Wellington Hydro Ltd.1582</t>
  </si>
  <si>
    <t>Centre Wellington Hydro Ltd.1584</t>
  </si>
  <si>
    <t>Centre Wellington Hydro Ltd.1586</t>
  </si>
  <si>
    <t>Centre Wellington Hydro Ltd.1588</t>
  </si>
  <si>
    <t>Centre Wellington Hydro Ltd.1589</t>
  </si>
  <si>
    <t>Centre Wellington Hydro Ltd.1592</t>
  </si>
  <si>
    <t>Centre Wellington Hydro Ltd.1595</t>
  </si>
  <si>
    <t>Centre Wellington Hydro Ltd.1595_(2008)</t>
  </si>
  <si>
    <t>Centre Wellington Hydro Ltd.1595_(2009)</t>
  </si>
  <si>
    <t>Centre Wellington Hydro Ltd.1595_(2010)</t>
  </si>
  <si>
    <t>Centre Wellington Hydro Ltd.1595_(2011)</t>
  </si>
  <si>
    <t>Centre Wellington Hydro Ltd.1595_(2012)</t>
  </si>
  <si>
    <t>Centre Wellington Hydro Ltd.1595_(2013)</t>
  </si>
  <si>
    <t>Centre Wellington Hydro Ltd.1595_(2014)</t>
  </si>
  <si>
    <t>Centre Wellington Hydro Ltd.1595_(2015)</t>
  </si>
  <si>
    <t>Centre Wellington Hydro Ltd.1595_(2016)</t>
  </si>
  <si>
    <t>Centre Wellington Hydro Ltd.1595_(2017)</t>
  </si>
  <si>
    <t>Centre Wellington Hydro Ltd.1595_ControlAccount</t>
  </si>
  <si>
    <t>Centre Wellington Hydro Ltd.2425</t>
  </si>
  <si>
    <t>Chapleau Public Utilities Corporation1508</t>
  </si>
  <si>
    <t>Chapleau Public Utilities Corporation1518</t>
  </si>
  <si>
    <t>Chapleau Public Utilities Corporation1522</t>
  </si>
  <si>
    <t>Chapleau Public Utilities Corporation1525</t>
  </si>
  <si>
    <t>Chapleau Public Utilities Corporation1531</t>
  </si>
  <si>
    <t>Chapleau Public Utilities Corporation1532</t>
  </si>
  <si>
    <t>Chapleau Public Utilities Corporation1533</t>
  </si>
  <si>
    <t>Chapleau Public Utilities Corporation1534</t>
  </si>
  <si>
    <t>Chapleau Public Utilities Corporation1535</t>
  </si>
  <si>
    <t>Chapleau Public Utilities Corporation1536</t>
  </si>
  <si>
    <t>Chapleau Public Utilities Corporation1548</t>
  </si>
  <si>
    <t>Chapleau Public Utilities Corporation1550</t>
  </si>
  <si>
    <t>Chapleau Public Utilities Corporation1551</t>
  </si>
  <si>
    <t>Chapleau Public Utilities Corporation1555</t>
  </si>
  <si>
    <t>Chapleau Public Utilities Corporation1557</t>
  </si>
  <si>
    <t>Chapleau Public Utilities Corporation1568</t>
  </si>
  <si>
    <t>Chapleau Public Utilities Corporation1572</t>
  </si>
  <si>
    <t>Chapleau Public Utilities Corporation1574</t>
  </si>
  <si>
    <t>Chapleau Public Utilities Corporation1575</t>
  </si>
  <si>
    <t>Chapleau Public Utilities Corporation1576</t>
  </si>
  <si>
    <t>Chapleau Public Utilities Corporation1580</t>
  </si>
  <si>
    <t>Chapleau Public Utilities Corporation1582</t>
  </si>
  <si>
    <t>Chapleau Public Utilities Corporation1584</t>
  </si>
  <si>
    <t>Chapleau Public Utilities Corporation1586</t>
  </si>
  <si>
    <t>Chapleau Public Utilities Corporation1588</t>
  </si>
  <si>
    <t>Chapleau Public Utilities Corporation1589</t>
  </si>
  <si>
    <t>Chapleau Public Utilities Corporation1592</t>
  </si>
  <si>
    <t>Chapleau Public Utilities Corporation1595</t>
  </si>
  <si>
    <t>Chapleau Public Utilities Corporation1595_(2008)</t>
  </si>
  <si>
    <t>Chapleau Public Utilities Corporation1595_(2009)</t>
  </si>
  <si>
    <t>Chapleau Public Utilities Corporation1595_(2010)</t>
  </si>
  <si>
    <t>Chapleau Public Utilities Corporation1595_(2011)</t>
  </si>
  <si>
    <t>Chapleau Public Utilities Corporation1595_(2012)</t>
  </si>
  <si>
    <t>Chapleau Public Utilities Corporation1595_(2013)</t>
  </si>
  <si>
    <t>Chapleau Public Utilities Corporation1595_(2014)</t>
  </si>
  <si>
    <t>Chapleau Public Utilities Corporation1595_(2015)</t>
  </si>
  <si>
    <t>Chapleau Public Utilities Corporation1595_(2016)</t>
  </si>
  <si>
    <t>Chapleau Public Utilities Corporation1595_(2017)</t>
  </si>
  <si>
    <t>Chapleau Public Utilities Corporation1595_ControlAccount</t>
  </si>
  <si>
    <t>Chapleau Public Utilities Corporation2425</t>
  </si>
  <si>
    <t>Cooperative Hydro Embrun Inc.1508</t>
  </si>
  <si>
    <t>Cooperative Hydro Embrun Inc.1518</t>
  </si>
  <si>
    <t>Cooperative Hydro Embrun Inc.1522</t>
  </si>
  <si>
    <t>Cooperative Hydro Embrun Inc.1525</t>
  </si>
  <si>
    <t>Cooperative Hydro Embrun Inc.1531</t>
  </si>
  <si>
    <t>Cooperative Hydro Embrun Inc.1532</t>
  </si>
  <si>
    <t>Cooperative Hydro Embrun Inc.1533</t>
  </si>
  <si>
    <t>Cooperative Hydro Embrun Inc.1534</t>
  </si>
  <si>
    <t>Cooperative Hydro Embrun Inc.1535</t>
  </si>
  <si>
    <t>Cooperative Hydro Embrun Inc.1536</t>
  </si>
  <si>
    <t>Cooperative Hydro Embrun Inc.1548</t>
  </si>
  <si>
    <t>Cooperative Hydro Embrun Inc.1550</t>
  </si>
  <si>
    <t>Cooperative Hydro Embrun Inc.1551</t>
  </si>
  <si>
    <t>Cooperative Hydro Embrun Inc.1555</t>
  </si>
  <si>
    <t>Cooperative Hydro Embrun Inc.1557</t>
  </si>
  <si>
    <t>Cooperative Hydro Embrun Inc.1568</t>
  </si>
  <si>
    <t>Cooperative Hydro Embrun Inc.1572</t>
  </si>
  <si>
    <t>Cooperative Hydro Embrun Inc.1574</t>
  </si>
  <si>
    <t>Cooperative Hydro Embrun Inc.1575</t>
  </si>
  <si>
    <t>Cooperative Hydro Embrun Inc.1576</t>
  </si>
  <si>
    <t>Cooperative Hydro Embrun Inc.1580</t>
  </si>
  <si>
    <t>Cooperative Hydro Embrun Inc.1582</t>
  </si>
  <si>
    <t>Cooperative Hydro Embrun Inc.1584</t>
  </si>
  <si>
    <t>Cooperative Hydro Embrun Inc.1586</t>
  </si>
  <si>
    <t>Cooperative Hydro Embrun Inc.1588</t>
  </si>
  <si>
    <t>Cooperative Hydro Embrun Inc.1589</t>
  </si>
  <si>
    <t>Cooperative Hydro Embrun Inc.1592</t>
  </si>
  <si>
    <t>Cooperative Hydro Embrun Inc.1595</t>
  </si>
  <si>
    <t>Cooperative Hydro Embrun Inc.1595_(2008)</t>
  </si>
  <si>
    <t>Cooperative Hydro Embrun Inc.1595_(2009)</t>
  </si>
  <si>
    <t>Cooperative Hydro Embrun Inc.1595_(2010)</t>
  </si>
  <si>
    <t>Cooperative Hydro Embrun Inc.1595_(2011)</t>
  </si>
  <si>
    <t>Cooperative Hydro Embrun Inc.1595_(2012)</t>
  </si>
  <si>
    <t>Cooperative Hydro Embrun Inc.1595_(2013)</t>
  </si>
  <si>
    <t>Cooperative Hydro Embrun Inc.1595_(2014)</t>
  </si>
  <si>
    <t>Cooperative Hydro Embrun Inc.1595_(2015)</t>
  </si>
  <si>
    <t>Cooperative Hydro Embrun Inc.1595_(2016)</t>
  </si>
  <si>
    <t>Cooperative Hydro Embrun Inc.1595_(2017)</t>
  </si>
  <si>
    <t>Cooperative Hydro Embrun Inc.1595_ControlAccount</t>
  </si>
  <si>
    <t>Cooperative Hydro Embrun Inc.2425</t>
  </si>
  <si>
    <t>E.L.K. Energy Inc.1508</t>
  </si>
  <si>
    <t>E.L.K. Energy Inc.1518</t>
  </si>
  <si>
    <t>E.L.K. Energy Inc.1522</t>
  </si>
  <si>
    <t>E.L.K. Energy Inc.1525</t>
  </si>
  <si>
    <t>E.L.K. Energy Inc.1531</t>
  </si>
  <si>
    <t>E.L.K. Energy Inc.1532</t>
  </si>
  <si>
    <t>E.L.K. Energy Inc.1533</t>
  </si>
  <si>
    <t>E.L.K. Energy Inc.1534</t>
  </si>
  <si>
    <t>E.L.K. Energy Inc.1535</t>
  </si>
  <si>
    <t>E.L.K. Energy Inc.1536</t>
  </si>
  <si>
    <t>E.L.K. Energy Inc.1548</t>
  </si>
  <si>
    <t>E.L.K. Energy Inc.1550</t>
  </si>
  <si>
    <t>E.L.K. Energy Inc.1551</t>
  </si>
  <si>
    <t>E.L.K. Energy Inc.1555</t>
  </si>
  <si>
    <t>E.L.K. Energy Inc.1557</t>
  </si>
  <si>
    <t>E.L.K. Energy Inc.1568</t>
  </si>
  <si>
    <t>E.L.K. Energy Inc.1572</t>
  </si>
  <si>
    <t>E.L.K. Energy Inc.1574</t>
  </si>
  <si>
    <t>E.L.K. Energy Inc.1575</t>
  </si>
  <si>
    <t>E.L.K. Energy Inc.1576</t>
  </si>
  <si>
    <t>E.L.K. Energy Inc.1580</t>
  </si>
  <si>
    <t>E.L.K. Energy Inc.1582</t>
  </si>
  <si>
    <t>E.L.K. Energy Inc.1584</t>
  </si>
  <si>
    <t>E.L.K. Energy Inc.1586</t>
  </si>
  <si>
    <t>E.L.K. Energy Inc.1588</t>
  </si>
  <si>
    <t>E.L.K. Energy Inc.1589</t>
  </si>
  <si>
    <t>E.L.K. Energy Inc.1592</t>
  </si>
  <si>
    <t>E.L.K. Energy Inc.1595</t>
  </si>
  <si>
    <t>E.L.K. Energy Inc.1595_(2008)</t>
  </si>
  <si>
    <t>E.L.K. Energy Inc.1595_(2009)</t>
  </si>
  <si>
    <t>E.L.K. Energy Inc.1595_(2010)</t>
  </si>
  <si>
    <t>E.L.K. Energy Inc.1595_(2011)</t>
  </si>
  <si>
    <t>E.L.K. Energy Inc.1595_(2012)</t>
  </si>
  <si>
    <t>E.L.K. Energy Inc.1595_(2013)</t>
  </si>
  <si>
    <t>E.L.K. Energy Inc.1595_(2014)</t>
  </si>
  <si>
    <t>E.L.K. Energy Inc.1595_(2015)</t>
  </si>
  <si>
    <t>E.L.K. Energy Inc.1595_(2016)</t>
  </si>
  <si>
    <t>E.L.K. Energy Inc.1595_(2017)</t>
  </si>
  <si>
    <t>E.L.K. Energy Inc.1595_ControlAccount</t>
  </si>
  <si>
    <t>E.L.K. Energy Inc.2425</t>
  </si>
  <si>
    <t>EPCOR Electricity Distribution Ontario Inc.1508</t>
  </si>
  <si>
    <t>EPCOR Electricity Distribution Ontario Inc.1518</t>
  </si>
  <si>
    <t>EPCOR Electricity Distribution Ontario Inc.1522</t>
  </si>
  <si>
    <t>EPCOR Electricity Distribution Ontario Inc.1525</t>
  </si>
  <si>
    <t>EPCOR Electricity Distribution Ontario Inc.1531</t>
  </si>
  <si>
    <t>EPCOR Electricity Distribution Ontario Inc.1532</t>
  </si>
  <si>
    <t>EPCOR Electricity Distribution Ontario Inc.1533</t>
  </si>
  <si>
    <t>EPCOR Electricity Distribution Ontario Inc.1534</t>
  </si>
  <si>
    <t>EPCOR Electricity Distribution Ontario Inc.1535</t>
  </si>
  <si>
    <t>EPCOR Electricity Distribution Ontario Inc.1536</t>
  </si>
  <si>
    <t>EPCOR Electricity Distribution Ontario Inc.1548</t>
  </si>
  <si>
    <t>EPCOR Electricity Distribution Ontario Inc.1550</t>
  </si>
  <si>
    <t>EPCOR Electricity Distribution Ontario Inc.1551</t>
  </si>
  <si>
    <t>EPCOR Electricity Distribution Ontario Inc.1555</t>
  </si>
  <si>
    <t>EPCOR Electricity Distribution Ontario Inc.1557</t>
  </si>
  <si>
    <t>EPCOR Electricity Distribution Ontario Inc.1568</t>
  </si>
  <si>
    <t>EPCOR Electricity Distribution Ontario Inc.1572</t>
  </si>
  <si>
    <t>EPCOR Electricity Distribution Ontario Inc.1574</t>
  </si>
  <si>
    <t>EPCOR Electricity Distribution Ontario Inc.1575</t>
  </si>
  <si>
    <t>EPCOR Electricity Distribution Ontario Inc.1576</t>
  </si>
  <si>
    <t>EPCOR Electricity Distribution Ontario Inc.1580</t>
  </si>
  <si>
    <t>EPCOR Electricity Distribution Ontario Inc.1582</t>
  </si>
  <si>
    <t>EPCOR Electricity Distribution Ontario Inc.1584</t>
  </si>
  <si>
    <t>EPCOR Electricity Distribution Ontario Inc.1586</t>
  </si>
  <si>
    <t>EPCOR Electricity Distribution Ontario Inc.1588</t>
  </si>
  <si>
    <t>EPCOR Electricity Distribution Ontario Inc.1589</t>
  </si>
  <si>
    <t>EPCOR Electricity Distribution Ontario Inc.1592</t>
  </si>
  <si>
    <t>EPCOR Electricity Distribution Ontario Inc.1595</t>
  </si>
  <si>
    <t>EPCOR Electricity Distribution Ontario Inc.1595_(2008)</t>
  </si>
  <si>
    <t>EPCOR Electricity Distribution Ontario Inc.1595_(2009)</t>
  </si>
  <si>
    <t>EPCOR Electricity Distribution Ontario Inc.1595_(2010)</t>
  </si>
  <si>
    <t>EPCOR Electricity Distribution Ontario Inc.1595_(2011)</t>
  </si>
  <si>
    <t>EPCOR Electricity Distribution Ontario Inc.1595_(2012)</t>
  </si>
  <si>
    <t>EPCOR Electricity Distribution Ontario Inc.1595_(2013)</t>
  </si>
  <si>
    <t>EPCOR Electricity Distribution Ontario Inc.1595_(2014)</t>
  </si>
  <si>
    <t>EPCOR Electricity Distribution Ontario Inc.1595_(2015)</t>
  </si>
  <si>
    <t>EPCOR Electricity Distribution Ontario Inc.1595_(2016)</t>
  </si>
  <si>
    <t>EPCOR Electricity Distribution Ontario Inc.1595_(2017)</t>
  </si>
  <si>
    <t>EPCOR Electricity Distribution Ontario Inc.1595_ControlAccount</t>
  </si>
  <si>
    <t>EPCOR Electricity Distribution Ontario Inc.2425</t>
  </si>
  <si>
    <t>Energy Plus Inc.1508</t>
  </si>
  <si>
    <t>Energy Plus Inc.1518</t>
  </si>
  <si>
    <t>Energy Plus Inc.1522</t>
  </si>
  <si>
    <t>Energy Plus Inc.1525</t>
  </si>
  <si>
    <t>Energy Plus Inc.1531</t>
  </si>
  <si>
    <t>Energy Plus Inc.1532</t>
  </si>
  <si>
    <t>Energy Plus Inc.1533</t>
  </si>
  <si>
    <t>Energy Plus Inc.1534</t>
  </si>
  <si>
    <t>Energy Plus Inc.1535</t>
  </si>
  <si>
    <t>Energy Plus Inc.1536</t>
  </si>
  <si>
    <t>Energy Plus Inc.1548</t>
  </si>
  <si>
    <t>Energy Plus Inc.1550</t>
  </si>
  <si>
    <t>Energy Plus Inc.1551</t>
  </si>
  <si>
    <t>Energy Plus Inc.1555</t>
  </si>
  <si>
    <t>Energy Plus Inc.1557</t>
  </si>
  <si>
    <t>Energy Plus Inc.1568</t>
  </si>
  <si>
    <t>Energy Plus Inc.1572</t>
  </si>
  <si>
    <t>Energy Plus Inc.1574</t>
  </si>
  <si>
    <t>Energy Plus Inc.1575</t>
  </si>
  <si>
    <t>Energy Plus Inc.1576</t>
  </si>
  <si>
    <t>Energy Plus Inc.1580</t>
  </si>
  <si>
    <t>Energy Plus Inc.1582</t>
  </si>
  <si>
    <t>Energy Plus Inc.1584</t>
  </si>
  <si>
    <t>Energy Plus Inc.1586</t>
  </si>
  <si>
    <t>Energy Plus Inc.1588</t>
  </si>
  <si>
    <t>Energy Plus Inc.1589</t>
  </si>
  <si>
    <t>Energy Plus Inc.1592</t>
  </si>
  <si>
    <t>Energy Plus Inc.1595</t>
  </si>
  <si>
    <t>Energy Plus Inc.1595_(2008)</t>
  </si>
  <si>
    <t>Energy Plus Inc.1595_(2009)</t>
  </si>
  <si>
    <t>Energy Plus Inc.1595_(2010)</t>
  </si>
  <si>
    <t>Energy Plus Inc.1595_(2011)</t>
  </si>
  <si>
    <t>Energy Plus Inc.1595_(2012)</t>
  </si>
  <si>
    <t>Energy Plus Inc.1595_(2013)</t>
  </si>
  <si>
    <t>Energy Plus Inc.1595_(2014)</t>
  </si>
  <si>
    <t>Energy Plus Inc.1595_(2015)</t>
  </si>
  <si>
    <t>Energy Plus Inc.1595_(2016)</t>
  </si>
  <si>
    <t>Energy Plus Inc.1595_(2017)</t>
  </si>
  <si>
    <t>Energy Plus Inc.1595_ControlAccount</t>
  </si>
  <si>
    <t>Energy Plus Inc.2425</t>
  </si>
  <si>
    <t>Entegrus Powerlines Inc.1508</t>
  </si>
  <si>
    <t>Entegrus Powerlines Inc.1518</t>
  </si>
  <si>
    <t>Entegrus Powerlines Inc.1522</t>
  </si>
  <si>
    <t>Entegrus Powerlines Inc.1525</t>
  </si>
  <si>
    <t>Entegrus Powerlines Inc.1531</t>
  </si>
  <si>
    <t>Entegrus Powerlines Inc.1532</t>
  </si>
  <si>
    <t>Entegrus Powerlines Inc.1533</t>
  </si>
  <si>
    <t>Entegrus Powerlines Inc.1534</t>
  </si>
  <si>
    <t>Entegrus Powerlines Inc.1535</t>
  </si>
  <si>
    <t>Entegrus Powerlines Inc.1536</t>
  </si>
  <si>
    <t>Entegrus Powerlines Inc.1548</t>
  </si>
  <si>
    <t>Entegrus Powerlines Inc.1550</t>
  </si>
  <si>
    <t>Entegrus Powerlines Inc.1551</t>
  </si>
  <si>
    <t>Entegrus Powerlines Inc.1555</t>
  </si>
  <si>
    <t>Entegrus Powerlines Inc.1557</t>
  </si>
  <si>
    <t>Entegrus Powerlines Inc.1568</t>
  </si>
  <si>
    <t>Entegrus Powerlines Inc.1572</t>
  </si>
  <si>
    <t>Entegrus Powerlines Inc.1574</t>
  </si>
  <si>
    <t>Entegrus Powerlines Inc.1575</t>
  </si>
  <si>
    <t>Entegrus Powerlines Inc.1576</t>
  </si>
  <si>
    <t>Entegrus Powerlines Inc.1580</t>
  </si>
  <si>
    <t>Entegrus Powerlines Inc.1582</t>
  </si>
  <si>
    <t>Entegrus Powerlines Inc.1584</t>
  </si>
  <si>
    <t>Entegrus Powerlines Inc.1586</t>
  </si>
  <si>
    <t>Entegrus Powerlines Inc.1588</t>
  </si>
  <si>
    <t>Entegrus Powerlines Inc.1589</t>
  </si>
  <si>
    <t>Entegrus Powerlines Inc.1592</t>
  </si>
  <si>
    <t>Entegrus Powerlines Inc.1595</t>
  </si>
  <si>
    <t>Entegrus Powerlines Inc.1595_(2008)</t>
  </si>
  <si>
    <t>Entegrus Powerlines Inc.1595_(2009)</t>
  </si>
  <si>
    <t>Entegrus Powerlines Inc.1595_(2010)</t>
  </si>
  <si>
    <t>Entegrus Powerlines Inc.1595_(2011)</t>
  </si>
  <si>
    <t>Entegrus Powerlines Inc.1595_(2012)</t>
  </si>
  <si>
    <t>Entegrus Powerlines Inc.1595_(2013)</t>
  </si>
  <si>
    <t>Entegrus Powerlines Inc.1595_(2014)</t>
  </si>
  <si>
    <t>Entegrus Powerlines Inc.1595_(2015)</t>
  </si>
  <si>
    <t>Entegrus Powerlines Inc.1595_(2016)</t>
  </si>
  <si>
    <t>Entegrus Powerlines Inc.1595_(2017)</t>
  </si>
  <si>
    <t>Entegrus Powerlines Inc.1595_ControlAccount</t>
  </si>
  <si>
    <t>Entegrus Powerlines Inc.2425</t>
  </si>
  <si>
    <t>Espanola Regional Hydro Distribution Corporation1508</t>
  </si>
  <si>
    <t>Espanola Regional Hydro Distribution Corporation1518</t>
  </si>
  <si>
    <t>Espanola Regional Hydro Distribution Corporation1522</t>
  </si>
  <si>
    <t>Espanola Regional Hydro Distribution Corporation1525</t>
  </si>
  <si>
    <t>Espanola Regional Hydro Distribution Corporation1531</t>
  </si>
  <si>
    <t>Espanola Regional Hydro Distribution Corporation1532</t>
  </si>
  <si>
    <t>Espanola Regional Hydro Distribution Corporation1533</t>
  </si>
  <si>
    <t>Espanola Regional Hydro Distribution Corporation1534</t>
  </si>
  <si>
    <t>Espanola Regional Hydro Distribution Corporation1535</t>
  </si>
  <si>
    <t>Espanola Regional Hydro Distribution Corporation1536</t>
  </si>
  <si>
    <t>Espanola Regional Hydro Distribution Corporation1548</t>
  </si>
  <si>
    <t>Espanola Regional Hydro Distribution Corporation1550</t>
  </si>
  <si>
    <t>Espanola Regional Hydro Distribution Corporation1551</t>
  </si>
  <si>
    <t>Espanola Regional Hydro Distribution Corporation1555</t>
  </si>
  <si>
    <t>Espanola Regional Hydro Distribution Corporation1557</t>
  </si>
  <si>
    <t>Espanola Regional Hydro Distribution Corporation1568</t>
  </si>
  <si>
    <t>Espanola Regional Hydro Distribution Corporation1572</t>
  </si>
  <si>
    <t>Espanola Regional Hydro Distribution Corporation1574</t>
  </si>
  <si>
    <t>Espanola Regional Hydro Distribution Corporation1575</t>
  </si>
  <si>
    <t>Espanola Regional Hydro Distribution Corporation1576</t>
  </si>
  <si>
    <t>Espanola Regional Hydro Distribution Corporation1580</t>
  </si>
  <si>
    <t>Espanola Regional Hydro Distribution Corporation1582</t>
  </si>
  <si>
    <t>Espanola Regional Hydro Distribution Corporation1584</t>
  </si>
  <si>
    <t>Espanola Regional Hydro Distribution Corporation1586</t>
  </si>
  <si>
    <t>Espanola Regional Hydro Distribution Corporation1588</t>
  </si>
  <si>
    <t>Espanola Regional Hydro Distribution Corporation1589</t>
  </si>
  <si>
    <t>Espanola Regional Hydro Distribution Corporation1592</t>
  </si>
  <si>
    <t>Espanola Regional Hydro Distribution Corporation1595</t>
  </si>
  <si>
    <t>Espanola Regional Hydro Distribution Corporation1595_(2008)</t>
  </si>
  <si>
    <t>Espanola Regional Hydro Distribution Corporation1595_(2009)</t>
  </si>
  <si>
    <t>Espanola Regional Hydro Distribution Corporation1595_(2010)</t>
  </si>
  <si>
    <t>Espanola Regional Hydro Distribution Corporation1595_(2011)</t>
  </si>
  <si>
    <t>Espanola Regional Hydro Distribution Corporation1595_(2012)</t>
  </si>
  <si>
    <t>Espanola Regional Hydro Distribution Corporation1595_(2013)</t>
  </si>
  <si>
    <t>Espanola Regional Hydro Distribution Corporation1595_(2014)</t>
  </si>
  <si>
    <t>Espanola Regional Hydro Distribution Corporation1595_(2015)</t>
  </si>
  <si>
    <t>Espanola Regional Hydro Distribution Corporation1595_(2016)</t>
  </si>
  <si>
    <t>Espanola Regional Hydro Distribution Corporation1595_(2017)</t>
  </si>
  <si>
    <t>Espanola Regional Hydro Distribution Corporation1595_ControlAccount</t>
  </si>
  <si>
    <t>Espanola Regional Hydro Distribution Corporation2425</t>
  </si>
  <si>
    <t>Essex Powerlines Corporation1508</t>
  </si>
  <si>
    <t>Essex Powerlines Corporation1518</t>
  </si>
  <si>
    <t>Essex Powerlines Corporation1522</t>
  </si>
  <si>
    <t>Essex Powerlines Corporation1525</t>
  </si>
  <si>
    <t>Essex Powerlines Corporation1531</t>
  </si>
  <si>
    <t>Essex Powerlines Corporation1532</t>
  </si>
  <si>
    <t>Essex Powerlines Corporation1533</t>
  </si>
  <si>
    <t>Essex Powerlines Corporation1534</t>
  </si>
  <si>
    <t>Essex Powerlines Corporation1535</t>
  </si>
  <si>
    <t>Essex Powerlines Corporation1536</t>
  </si>
  <si>
    <t>Essex Powerlines Corporation1548</t>
  </si>
  <si>
    <t>Essex Powerlines Corporation1550</t>
  </si>
  <si>
    <t>Essex Powerlines Corporation1551</t>
  </si>
  <si>
    <t>Essex Powerlines Corporation1555</t>
  </si>
  <si>
    <t>Essex Powerlines Corporation1557</t>
  </si>
  <si>
    <t>Essex Powerlines Corporation1568</t>
  </si>
  <si>
    <t>Essex Powerlines Corporation1572</t>
  </si>
  <si>
    <t>Essex Powerlines Corporation1574</t>
  </si>
  <si>
    <t>Essex Powerlines Corporation1575</t>
  </si>
  <si>
    <t>Essex Powerlines Corporation1576</t>
  </si>
  <si>
    <t>Essex Powerlines Corporation1580</t>
  </si>
  <si>
    <t>Essex Powerlines Corporation1582</t>
  </si>
  <si>
    <t>Essex Powerlines Corporation1584</t>
  </si>
  <si>
    <t>Essex Powerlines Corporation1586</t>
  </si>
  <si>
    <t>Essex Powerlines Corporation1588</t>
  </si>
  <si>
    <t>Essex Powerlines Corporation1589</t>
  </si>
  <si>
    <t>Essex Powerlines Corporation1592</t>
  </si>
  <si>
    <t>Essex Powerlines Corporation1595</t>
  </si>
  <si>
    <t>Essex Powerlines Corporation1595_(2008)</t>
  </si>
  <si>
    <t>Essex Powerlines Corporation1595_(2009)</t>
  </si>
  <si>
    <t>Essex Powerlines Corporation1595_(2010)</t>
  </si>
  <si>
    <t>Essex Powerlines Corporation1595_(2011)</t>
  </si>
  <si>
    <t>Essex Powerlines Corporation1595_(2012)</t>
  </si>
  <si>
    <t>Essex Powerlines Corporation1595_(2013)</t>
  </si>
  <si>
    <t>Essex Powerlines Corporation1595_(2014)</t>
  </si>
  <si>
    <t>Essex Powerlines Corporation1595_(2015)</t>
  </si>
  <si>
    <t>Essex Powerlines Corporation1595_(2016)</t>
  </si>
  <si>
    <t>Essex Powerlines Corporation1595_(2017)</t>
  </si>
  <si>
    <t>Essex Powerlines Corporation1595_ControlAccount</t>
  </si>
  <si>
    <t>Essex Powerlines Corporation2425</t>
  </si>
  <si>
    <t>Festival Hydro Inc.1508</t>
  </si>
  <si>
    <t>Festival Hydro Inc.1518</t>
  </si>
  <si>
    <t>Festival Hydro Inc.1522</t>
  </si>
  <si>
    <t>Festival Hydro Inc.1525</t>
  </si>
  <si>
    <t>Festival Hydro Inc.1531</t>
  </si>
  <si>
    <t>Festival Hydro Inc.1532</t>
  </si>
  <si>
    <t>Festival Hydro Inc.1533</t>
  </si>
  <si>
    <t>Festival Hydro Inc.1534</t>
  </si>
  <si>
    <t>Festival Hydro Inc.1535</t>
  </si>
  <si>
    <t>Festival Hydro Inc.1536</t>
  </si>
  <si>
    <t>Festival Hydro Inc.1548</t>
  </si>
  <si>
    <t>Festival Hydro Inc.1550</t>
  </si>
  <si>
    <t>Festival Hydro Inc.1551</t>
  </si>
  <si>
    <t>Festival Hydro Inc.1555</t>
  </si>
  <si>
    <t>Festival Hydro Inc.1557</t>
  </si>
  <si>
    <t>Festival Hydro Inc.1568</t>
  </si>
  <si>
    <t>Festival Hydro Inc.1572</t>
  </si>
  <si>
    <t>Festival Hydro Inc.1574</t>
  </si>
  <si>
    <t>Festival Hydro Inc.1575</t>
  </si>
  <si>
    <t>Festival Hydro Inc.1576</t>
  </si>
  <si>
    <t>Festival Hydro Inc.1580</t>
  </si>
  <si>
    <t>Festival Hydro Inc.1582</t>
  </si>
  <si>
    <t>Festival Hydro Inc.1584</t>
  </si>
  <si>
    <t>Festival Hydro Inc.1586</t>
  </si>
  <si>
    <t>Festival Hydro Inc.1588</t>
  </si>
  <si>
    <t>Festival Hydro Inc.1589</t>
  </si>
  <si>
    <t>Festival Hydro Inc.1592</t>
  </si>
  <si>
    <t>Festival Hydro Inc.1595</t>
  </si>
  <si>
    <t>Festival Hydro Inc.1595_(2008)</t>
  </si>
  <si>
    <t>Festival Hydro Inc.1595_(2009)</t>
  </si>
  <si>
    <t>Festival Hydro Inc.1595_(2010)</t>
  </si>
  <si>
    <t>Festival Hydro Inc.1595_(2011)</t>
  </si>
  <si>
    <t>Festival Hydro Inc.1595_(2012)</t>
  </si>
  <si>
    <t>Festival Hydro Inc.1595_(2013)</t>
  </si>
  <si>
    <t>Festival Hydro Inc.1595_(2014)</t>
  </si>
  <si>
    <t>Festival Hydro Inc.1595_(2015)</t>
  </si>
  <si>
    <t>Festival Hydro Inc.1595_(2016)</t>
  </si>
  <si>
    <t>Festival Hydro Inc.1595_(2017)</t>
  </si>
  <si>
    <t>Festival Hydro Inc.1595_ControlAccount</t>
  </si>
  <si>
    <t>Festival Hydro Inc.2425</t>
  </si>
  <si>
    <t>Fort Frances Power Corporation1508</t>
  </si>
  <si>
    <t>Fort Frances Power Corporation1518</t>
  </si>
  <si>
    <t>Fort Frances Power Corporation1522</t>
  </si>
  <si>
    <t>Fort Frances Power Corporation1525</t>
  </si>
  <si>
    <t>Fort Frances Power Corporation1531</t>
  </si>
  <si>
    <t>Fort Frances Power Corporation1532</t>
  </si>
  <si>
    <t>Fort Frances Power Corporation1533</t>
  </si>
  <si>
    <t>Fort Frances Power Corporation1534</t>
  </si>
  <si>
    <t>Fort Frances Power Corporation1535</t>
  </si>
  <si>
    <t>Fort Frances Power Corporation1536</t>
  </si>
  <si>
    <t>Fort Frances Power Corporation1548</t>
  </si>
  <si>
    <t>Fort Frances Power Corporation1550</t>
  </si>
  <si>
    <t>Fort Frances Power Corporation1551</t>
  </si>
  <si>
    <t>Fort Frances Power Corporation1555</t>
  </si>
  <si>
    <t>Fort Frances Power Corporation1557</t>
  </si>
  <si>
    <t>Fort Frances Power Corporation1568</t>
  </si>
  <si>
    <t>Fort Frances Power Corporation1572</t>
  </si>
  <si>
    <t>Fort Frances Power Corporation1574</t>
  </si>
  <si>
    <t>Fort Frances Power Corporation1575</t>
  </si>
  <si>
    <t>Fort Frances Power Corporation1576</t>
  </si>
  <si>
    <t>Fort Frances Power Corporation1580</t>
  </si>
  <si>
    <t>Fort Frances Power Corporation1582</t>
  </si>
  <si>
    <t>Fort Frances Power Corporation1584</t>
  </si>
  <si>
    <t>Fort Frances Power Corporation1586</t>
  </si>
  <si>
    <t>Fort Frances Power Corporation1588</t>
  </si>
  <si>
    <t>Fort Frances Power Corporation1589</t>
  </si>
  <si>
    <t>Fort Frances Power Corporation1592</t>
  </si>
  <si>
    <t>Fort Frances Power Corporation1595</t>
  </si>
  <si>
    <t>Fort Frances Power Corporation1595_(2008)</t>
  </si>
  <si>
    <t>Fort Frances Power Corporation1595_(2009)</t>
  </si>
  <si>
    <t>Fort Frances Power Corporation1595_(2010)</t>
  </si>
  <si>
    <t>Fort Frances Power Corporation1595_(2011)</t>
  </si>
  <si>
    <t>Fort Frances Power Corporation1595_(2012)</t>
  </si>
  <si>
    <t>Fort Frances Power Corporation1595_(2013)</t>
  </si>
  <si>
    <t>Fort Frances Power Corporation1595_(2014)</t>
  </si>
  <si>
    <t>Fort Frances Power Corporation1595_(2015)</t>
  </si>
  <si>
    <t>Fort Frances Power Corporation1595_(2016)</t>
  </si>
  <si>
    <t>Fort Frances Power Corporation1595_(2017)</t>
  </si>
  <si>
    <t>Fort Frances Power Corporation1595_ControlAccount</t>
  </si>
  <si>
    <t>Fort Frances Power Corporation2425</t>
  </si>
  <si>
    <t>Greater Sudbury Hydro Inc.1508</t>
  </si>
  <si>
    <t>Greater Sudbury Hydro Inc.1518</t>
  </si>
  <si>
    <t>Greater Sudbury Hydro Inc.1522</t>
  </si>
  <si>
    <t>Greater Sudbury Hydro Inc.1525</t>
  </si>
  <si>
    <t>Greater Sudbury Hydro Inc.1531</t>
  </si>
  <si>
    <t>Greater Sudbury Hydro Inc.1532</t>
  </si>
  <si>
    <t>Greater Sudbury Hydro Inc.1533</t>
  </si>
  <si>
    <t>Greater Sudbury Hydro Inc.1534</t>
  </si>
  <si>
    <t>Greater Sudbury Hydro Inc.1535</t>
  </si>
  <si>
    <t>Greater Sudbury Hydro Inc.1536</t>
  </si>
  <si>
    <t>Greater Sudbury Hydro Inc.1548</t>
  </si>
  <si>
    <t>Greater Sudbury Hydro Inc.1550</t>
  </si>
  <si>
    <t>Greater Sudbury Hydro Inc.1551</t>
  </si>
  <si>
    <t>Greater Sudbury Hydro Inc.1555</t>
  </si>
  <si>
    <t>Greater Sudbury Hydro Inc.1557</t>
  </si>
  <si>
    <t>Greater Sudbury Hydro Inc.1568</t>
  </si>
  <si>
    <t>Greater Sudbury Hydro Inc.1572</t>
  </si>
  <si>
    <t>Greater Sudbury Hydro Inc.1574</t>
  </si>
  <si>
    <t>Greater Sudbury Hydro Inc.1575</t>
  </si>
  <si>
    <t>Greater Sudbury Hydro Inc.1576</t>
  </si>
  <si>
    <t>Greater Sudbury Hydro Inc.1580</t>
  </si>
  <si>
    <t>Greater Sudbury Hydro Inc.1582</t>
  </si>
  <si>
    <t>Greater Sudbury Hydro Inc.1584</t>
  </si>
  <si>
    <t>Greater Sudbury Hydro Inc.1586</t>
  </si>
  <si>
    <t>Greater Sudbury Hydro Inc.1588</t>
  </si>
  <si>
    <t>Greater Sudbury Hydro Inc.1589</t>
  </si>
  <si>
    <t>Greater Sudbury Hydro Inc.1592</t>
  </si>
  <si>
    <t>Greater Sudbury Hydro Inc.1595</t>
  </si>
  <si>
    <t>Greater Sudbury Hydro Inc.1595_(2008)</t>
  </si>
  <si>
    <t>Greater Sudbury Hydro Inc.1595_(2009)</t>
  </si>
  <si>
    <t>Greater Sudbury Hydro Inc.1595_(2010)</t>
  </si>
  <si>
    <t>Greater Sudbury Hydro Inc.1595_(2011)</t>
  </si>
  <si>
    <t>Greater Sudbury Hydro Inc.1595_(2012)</t>
  </si>
  <si>
    <t>Greater Sudbury Hydro Inc.1595_(2013)</t>
  </si>
  <si>
    <t>Greater Sudbury Hydro Inc.1595_(2014)</t>
  </si>
  <si>
    <t>Greater Sudbury Hydro Inc.1595_(2015)</t>
  </si>
  <si>
    <t>Greater Sudbury Hydro Inc.1595_(2016)</t>
  </si>
  <si>
    <t>Greater Sudbury Hydro Inc.1595_(2017)</t>
  </si>
  <si>
    <t>Greater Sudbury Hydro Inc.1595_ControlAccount</t>
  </si>
  <si>
    <t>Greater Sudbury Hydro Inc.2425</t>
  </si>
  <si>
    <t>Grimsby Power Incorporated1508</t>
  </si>
  <si>
    <t>Grimsby Power Incorporated1518</t>
  </si>
  <si>
    <t>Grimsby Power Incorporated1522</t>
  </si>
  <si>
    <t>Grimsby Power Incorporated1525</t>
  </si>
  <si>
    <t>Grimsby Power Incorporated1531</t>
  </si>
  <si>
    <t>Grimsby Power Incorporated1532</t>
  </si>
  <si>
    <t>Grimsby Power Incorporated1533</t>
  </si>
  <si>
    <t>Grimsby Power Incorporated1534</t>
  </si>
  <si>
    <t>Grimsby Power Incorporated1535</t>
  </si>
  <si>
    <t>Grimsby Power Incorporated1536</t>
  </si>
  <si>
    <t>Grimsby Power Incorporated1548</t>
  </si>
  <si>
    <t>Grimsby Power Incorporated1550</t>
  </si>
  <si>
    <t>Grimsby Power Incorporated1551</t>
  </si>
  <si>
    <t>Grimsby Power Incorporated1555</t>
  </si>
  <si>
    <t>Grimsby Power Incorporated1557</t>
  </si>
  <si>
    <t>Grimsby Power Incorporated1568</t>
  </si>
  <si>
    <t>Grimsby Power Incorporated1572</t>
  </si>
  <si>
    <t>Grimsby Power Incorporated1574</t>
  </si>
  <si>
    <t>Grimsby Power Incorporated1575</t>
  </si>
  <si>
    <t>Grimsby Power Incorporated1576</t>
  </si>
  <si>
    <t>Grimsby Power Incorporated1580</t>
  </si>
  <si>
    <t>Grimsby Power Incorporated1582</t>
  </si>
  <si>
    <t>Grimsby Power Incorporated1584</t>
  </si>
  <si>
    <t>Grimsby Power Incorporated1586</t>
  </si>
  <si>
    <t>Grimsby Power Incorporated1588</t>
  </si>
  <si>
    <t>Grimsby Power Incorporated1589</t>
  </si>
  <si>
    <t>Grimsby Power Incorporated1592</t>
  </si>
  <si>
    <t>Grimsby Power Incorporated1595</t>
  </si>
  <si>
    <t>Grimsby Power Incorporated1595_(2008)</t>
  </si>
  <si>
    <t>Grimsby Power Incorporated1595_(2009)</t>
  </si>
  <si>
    <t>Grimsby Power Incorporated1595_(2010)</t>
  </si>
  <si>
    <t>Grimsby Power Incorporated1595_(2011)</t>
  </si>
  <si>
    <t>Grimsby Power Incorporated1595_(2012)</t>
  </si>
  <si>
    <t>Grimsby Power Incorporated1595_(2013)</t>
  </si>
  <si>
    <t>Grimsby Power Incorporated1595_(2014)</t>
  </si>
  <si>
    <t>Grimsby Power Incorporated1595_(2015)</t>
  </si>
  <si>
    <t>Grimsby Power Incorporated1595_(2016)</t>
  </si>
  <si>
    <t>Grimsby Power Incorporated1595_(2017)</t>
  </si>
  <si>
    <t>Grimsby Power Incorporated1595_ControlAccount</t>
  </si>
  <si>
    <t>Grimsby Power Incorporated2425</t>
  </si>
  <si>
    <t>Halton Hills Hydro Inc.1508</t>
  </si>
  <si>
    <t>Halton Hills Hydro Inc.1518</t>
  </si>
  <si>
    <t>Halton Hills Hydro Inc.1522</t>
  </si>
  <si>
    <t>Halton Hills Hydro Inc.1525</t>
  </si>
  <si>
    <t>Halton Hills Hydro Inc.1531</t>
  </si>
  <si>
    <t>Halton Hills Hydro Inc.1532</t>
  </si>
  <si>
    <t>Halton Hills Hydro Inc.1533</t>
  </si>
  <si>
    <t>Halton Hills Hydro Inc.1534</t>
  </si>
  <si>
    <t>Halton Hills Hydro Inc.1535</t>
  </si>
  <si>
    <t>Halton Hills Hydro Inc.1536</t>
  </si>
  <si>
    <t>Halton Hills Hydro Inc.1548</t>
  </si>
  <si>
    <t>Halton Hills Hydro Inc.1550</t>
  </si>
  <si>
    <t>Halton Hills Hydro Inc.1551</t>
  </si>
  <si>
    <t>Halton Hills Hydro Inc.1555</t>
  </si>
  <si>
    <t>Halton Hills Hydro Inc.1557</t>
  </si>
  <si>
    <t>Halton Hills Hydro Inc.1568</t>
  </si>
  <si>
    <t>Halton Hills Hydro Inc.1572</t>
  </si>
  <si>
    <t>Halton Hills Hydro Inc.1574</t>
  </si>
  <si>
    <t>Halton Hills Hydro Inc.1575</t>
  </si>
  <si>
    <t>Halton Hills Hydro Inc.1576</t>
  </si>
  <si>
    <t>Halton Hills Hydro Inc.1580</t>
  </si>
  <si>
    <t>Halton Hills Hydro Inc.1582</t>
  </si>
  <si>
    <t>Halton Hills Hydro Inc.1584</t>
  </si>
  <si>
    <t>Halton Hills Hydro Inc.1586</t>
  </si>
  <si>
    <t>Halton Hills Hydro Inc.1588</t>
  </si>
  <si>
    <t>Halton Hills Hydro Inc.1589</t>
  </si>
  <si>
    <t>Halton Hills Hydro Inc.1592</t>
  </si>
  <si>
    <t>Halton Hills Hydro Inc.1595</t>
  </si>
  <si>
    <t>Halton Hills Hydro Inc.1595_(2008)</t>
  </si>
  <si>
    <t>Halton Hills Hydro Inc.1595_(2009)</t>
  </si>
  <si>
    <t>Halton Hills Hydro Inc.1595_(2010)</t>
  </si>
  <si>
    <t>Halton Hills Hydro Inc.1595_(2011)</t>
  </si>
  <si>
    <t>Halton Hills Hydro Inc.1595_(2012)</t>
  </si>
  <si>
    <t>Halton Hills Hydro Inc.1595_(2013)</t>
  </si>
  <si>
    <t>Halton Hills Hydro Inc.1595_(2014)</t>
  </si>
  <si>
    <t>Halton Hills Hydro Inc.1595_(2015)</t>
  </si>
  <si>
    <t>Halton Hills Hydro Inc.1595_(2016)</t>
  </si>
  <si>
    <t>Halton Hills Hydro Inc.1595_(2017)</t>
  </si>
  <si>
    <t>Halton Hills Hydro Inc.1595_ControlAccount</t>
  </si>
  <si>
    <t>Halton Hills Hydro Inc.2425</t>
  </si>
  <si>
    <t>Hydro 2000 Inc.1508</t>
  </si>
  <si>
    <t>Hydro 2000 Inc.1518</t>
  </si>
  <si>
    <t>Hydro 2000 Inc.1522</t>
  </si>
  <si>
    <t>Hydro 2000 Inc.1525</t>
  </si>
  <si>
    <t>Hydro 2000 Inc.1531</t>
  </si>
  <si>
    <t>Hydro 2000 Inc.1532</t>
  </si>
  <si>
    <t>Hydro 2000 Inc.1533</t>
  </si>
  <si>
    <t>Hydro 2000 Inc.1534</t>
  </si>
  <si>
    <t>Hydro 2000 Inc.1535</t>
  </si>
  <si>
    <t>Hydro 2000 Inc.1536</t>
  </si>
  <si>
    <t>Hydro 2000 Inc.1548</t>
  </si>
  <si>
    <t>Hydro 2000 Inc.1550</t>
  </si>
  <si>
    <t>Hydro 2000 Inc.1551</t>
  </si>
  <si>
    <t>Hydro 2000 Inc.1555</t>
  </si>
  <si>
    <t>Hydro 2000 Inc.1557</t>
  </si>
  <si>
    <t>Hydro 2000 Inc.1568</t>
  </si>
  <si>
    <t>Hydro 2000 Inc.1572</t>
  </si>
  <si>
    <t>Hydro 2000 Inc.1574</t>
  </si>
  <si>
    <t>Hydro 2000 Inc.1575</t>
  </si>
  <si>
    <t>Hydro 2000 Inc.1576</t>
  </si>
  <si>
    <t>Hydro 2000 Inc.1580</t>
  </si>
  <si>
    <t>Hydro 2000 Inc.1582</t>
  </si>
  <si>
    <t>Hydro 2000 Inc.1584</t>
  </si>
  <si>
    <t>Hydro 2000 Inc.1586</t>
  </si>
  <si>
    <t>Hydro 2000 Inc.1588</t>
  </si>
  <si>
    <t>Hydro 2000 Inc.1589</t>
  </si>
  <si>
    <t>Hydro 2000 Inc.1592</t>
  </si>
  <si>
    <t>Hydro 2000 Inc.1595</t>
  </si>
  <si>
    <t>Hydro 2000 Inc.1595_(2008)</t>
  </si>
  <si>
    <t>Hydro 2000 Inc.1595_(2009)</t>
  </si>
  <si>
    <t>Hydro 2000 Inc.1595_(2010)</t>
  </si>
  <si>
    <t>Hydro 2000 Inc.1595_(2011)</t>
  </si>
  <si>
    <t>Hydro 2000 Inc.1595_(2012)</t>
  </si>
  <si>
    <t>Hydro 2000 Inc.1595_(2013)</t>
  </si>
  <si>
    <t>Hydro 2000 Inc.1595_(2014)</t>
  </si>
  <si>
    <t>Hydro 2000 Inc.1595_(2015)</t>
  </si>
  <si>
    <t>Hydro 2000 Inc.1595_(2016)</t>
  </si>
  <si>
    <t>Hydro 2000 Inc.1595_(2017)</t>
  </si>
  <si>
    <t>Hydro 2000 Inc.1595_ControlAccount</t>
  </si>
  <si>
    <t>Hydro 2000 Inc.2425</t>
  </si>
  <si>
    <t>Hydro Hawkesbury Inc.1508</t>
  </si>
  <si>
    <t>Hydro Hawkesbury Inc.1518</t>
  </si>
  <si>
    <t>Hydro Hawkesbury Inc.1522</t>
  </si>
  <si>
    <t>Hydro Hawkesbury Inc.1525</t>
  </si>
  <si>
    <t>Hydro Hawkesbury Inc.1531</t>
  </si>
  <si>
    <t>Hydro Hawkesbury Inc.1532</t>
  </si>
  <si>
    <t>Hydro Hawkesbury Inc.1533</t>
  </si>
  <si>
    <t>Hydro Hawkesbury Inc.1534</t>
  </si>
  <si>
    <t>Hydro Hawkesbury Inc.1535</t>
  </si>
  <si>
    <t>Hydro Hawkesbury Inc.1536</t>
  </si>
  <si>
    <t>Hydro Hawkesbury Inc.1548</t>
  </si>
  <si>
    <t>Hydro Hawkesbury Inc.1550</t>
  </si>
  <si>
    <t>Hydro Hawkesbury Inc.1551</t>
  </si>
  <si>
    <t>Hydro Hawkesbury Inc.1555</t>
  </si>
  <si>
    <t>Hydro Hawkesbury Inc.1557</t>
  </si>
  <si>
    <t>Hydro Hawkesbury Inc.1568</t>
  </si>
  <si>
    <t>Hydro Hawkesbury Inc.1572</t>
  </si>
  <si>
    <t>Hydro Hawkesbury Inc.1574</t>
  </si>
  <si>
    <t>Hydro Hawkesbury Inc.1575</t>
  </si>
  <si>
    <t>Hydro Hawkesbury Inc.1576</t>
  </si>
  <si>
    <t>Hydro Hawkesbury Inc.1580</t>
  </si>
  <si>
    <t>Hydro Hawkesbury Inc.1582</t>
  </si>
  <si>
    <t>Hydro Hawkesbury Inc.1584</t>
  </si>
  <si>
    <t>Hydro Hawkesbury Inc.1586</t>
  </si>
  <si>
    <t>Hydro Hawkesbury Inc.1588</t>
  </si>
  <si>
    <t>Hydro Hawkesbury Inc.1589</t>
  </si>
  <si>
    <t>Hydro Hawkesbury Inc.1592</t>
  </si>
  <si>
    <t>Hydro Hawkesbury Inc.1595</t>
  </si>
  <si>
    <t>Hydro Hawkesbury Inc.1595_(2008)</t>
  </si>
  <si>
    <t>Hydro Hawkesbury Inc.1595_(2009)</t>
  </si>
  <si>
    <t>Hydro Hawkesbury Inc.1595_(2010)</t>
  </si>
  <si>
    <t>Hydro Hawkesbury Inc.1595_(2011)</t>
  </si>
  <si>
    <t>Hydro Hawkesbury Inc.1595_(2012)</t>
  </si>
  <si>
    <t>Hydro Hawkesbury Inc.1595_(2013)</t>
  </si>
  <si>
    <t>Hydro Hawkesbury Inc.1595_(2014)</t>
  </si>
  <si>
    <t>Hydro Hawkesbury Inc.1595_(2015)</t>
  </si>
  <si>
    <t>Hydro Hawkesbury Inc.1595_(2016)</t>
  </si>
  <si>
    <t>Hydro Hawkesbury Inc.1595_(2017)</t>
  </si>
  <si>
    <t>Hydro Hawkesbury Inc.1595_ControlAccount</t>
  </si>
  <si>
    <t>Hydro Hawkesbury Inc.2425</t>
  </si>
  <si>
    <t>Hydro One Networks Inc.1508</t>
  </si>
  <si>
    <t>Hydro One Networks Inc.1518</t>
  </si>
  <si>
    <t>Hydro One Networks Inc.1522</t>
  </si>
  <si>
    <t>Hydro One Networks Inc.1525</t>
  </si>
  <si>
    <t>Hydro One Networks Inc.1531</t>
  </si>
  <si>
    <t>Hydro One Networks Inc.1532</t>
  </si>
  <si>
    <t>Hydro One Networks Inc.1533</t>
  </si>
  <si>
    <t>Hydro One Networks Inc.1534</t>
  </si>
  <si>
    <t>Hydro One Networks Inc.1535</t>
  </si>
  <si>
    <t>Hydro One Networks Inc.1536</t>
  </si>
  <si>
    <t>Hydro One Networks Inc.1548</t>
  </si>
  <si>
    <t>Hydro One Networks Inc.1550</t>
  </si>
  <si>
    <t>Hydro One Networks Inc.1551</t>
  </si>
  <si>
    <t>Hydro One Networks Inc.1555</t>
  </si>
  <si>
    <t>Hydro One Networks Inc.1557</t>
  </si>
  <si>
    <t>Hydro One Networks Inc.1568</t>
  </si>
  <si>
    <t>Hydro One Networks Inc.1572</t>
  </si>
  <si>
    <t>Hydro One Networks Inc.1574</t>
  </si>
  <si>
    <t>Hydro One Networks Inc.1575</t>
  </si>
  <si>
    <t>Hydro One Networks Inc.1576</t>
  </si>
  <si>
    <t>Hydro One Networks Inc.1580</t>
  </si>
  <si>
    <t>Hydro One Networks Inc.1582</t>
  </si>
  <si>
    <t>Hydro One Networks Inc.1584</t>
  </si>
  <si>
    <t>Hydro One Networks Inc.1586</t>
  </si>
  <si>
    <t>Hydro One Networks Inc.1588</t>
  </si>
  <si>
    <t>Hydro One Networks Inc.1589</t>
  </si>
  <si>
    <t>Hydro One Networks Inc.1592</t>
  </si>
  <si>
    <t>Hydro One Networks Inc.1595</t>
  </si>
  <si>
    <t>Hydro One Networks Inc.1595_(2008)</t>
  </si>
  <si>
    <t>Hydro One Networks Inc.1595_(2009)</t>
  </si>
  <si>
    <t>Hydro One Networks Inc.1595_(2010)</t>
  </si>
  <si>
    <t>Hydro One Networks Inc.1595_(2011)</t>
  </si>
  <si>
    <t>Hydro One Networks Inc.1595_(2012)</t>
  </si>
  <si>
    <t>Hydro One Networks Inc.1595_(2013)</t>
  </si>
  <si>
    <t>Hydro One Networks Inc.1595_(2014)</t>
  </si>
  <si>
    <t>Hydro One Networks Inc.1595_(2015)</t>
  </si>
  <si>
    <t>Hydro One Networks Inc.1595_(2016)</t>
  </si>
  <si>
    <t>Hydro One Networks Inc.1595_(2017)</t>
  </si>
  <si>
    <t>Hydro One Networks Inc.1595_ControlAccount</t>
  </si>
  <si>
    <t>Hydro One Networks Inc.2425</t>
  </si>
  <si>
    <t>Hydro One Remote Communities Inc.</t>
  </si>
  <si>
    <t>Hydro One Remote Communities Inc.1508</t>
  </si>
  <si>
    <t>Hydro One Remote Communities Inc.1518</t>
  </si>
  <si>
    <t>Hydro One Remote Communities Inc.1522</t>
  </si>
  <si>
    <t>Hydro One Remote Communities Inc.1525</t>
  </si>
  <si>
    <t>Hydro One Remote Communities Inc.1531</t>
  </si>
  <si>
    <t>Hydro One Remote Communities Inc.1532</t>
  </si>
  <si>
    <t>Hydro One Remote Communities Inc.1533</t>
  </si>
  <si>
    <t>Hydro One Remote Communities Inc.1534</t>
  </si>
  <si>
    <t>Hydro One Remote Communities Inc.1535</t>
  </si>
  <si>
    <t>Hydro One Remote Communities Inc.1536</t>
  </si>
  <si>
    <t>Hydro One Remote Communities Inc.1548</t>
  </si>
  <si>
    <t>Hydro One Remote Communities Inc.1550</t>
  </si>
  <si>
    <t>Hydro One Remote Communities Inc.1551</t>
  </si>
  <si>
    <t>Hydro One Remote Communities Inc.1555</t>
  </si>
  <si>
    <t>Hydro One Remote Communities Inc.1557</t>
  </si>
  <si>
    <t>Hydro One Remote Communities Inc.1568</t>
  </si>
  <si>
    <t>Hydro One Remote Communities Inc.1572</t>
  </si>
  <si>
    <t>Hydro One Remote Communities Inc.1574</t>
  </si>
  <si>
    <t>Hydro One Remote Communities Inc.1575</t>
  </si>
  <si>
    <t>Hydro One Remote Communities Inc.1576</t>
  </si>
  <si>
    <t>Hydro One Remote Communities Inc.1580</t>
  </si>
  <si>
    <t>Hydro One Remote Communities Inc.1582</t>
  </si>
  <si>
    <t>Hydro One Remote Communities Inc.1584</t>
  </si>
  <si>
    <t>Hydro One Remote Communities Inc.1586</t>
  </si>
  <si>
    <t>Hydro One Remote Communities Inc.1588</t>
  </si>
  <si>
    <t>Hydro One Remote Communities Inc.1589</t>
  </si>
  <si>
    <t>Hydro One Remote Communities Inc.1592</t>
  </si>
  <si>
    <t>Hydro One Remote Communities Inc.1595</t>
  </si>
  <si>
    <t>Hydro One Remote Communities Inc.1595_(2008)</t>
  </si>
  <si>
    <t>Hydro One Remote Communities Inc.1595_(2009)</t>
  </si>
  <si>
    <t>Hydro One Remote Communities Inc.1595_(2010)</t>
  </si>
  <si>
    <t>Hydro One Remote Communities Inc.1595_(2011)</t>
  </si>
  <si>
    <t>Hydro One Remote Communities Inc.1595_(2012)</t>
  </si>
  <si>
    <t>Hydro One Remote Communities Inc.1595_(2013)</t>
  </si>
  <si>
    <t>Hydro One Remote Communities Inc.1595_(2014)</t>
  </si>
  <si>
    <t>Hydro One Remote Communities Inc.1595_(2015)</t>
  </si>
  <si>
    <t>Hydro One Remote Communities Inc.1595_(2016)</t>
  </si>
  <si>
    <t>Hydro One Remote Communities Inc.1595_(2017)</t>
  </si>
  <si>
    <t>Hydro One Remote Communities Inc.1595_ControlAccount</t>
  </si>
  <si>
    <t>Hydro One Remote Communities Inc.2425</t>
  </si>
  <si>
    <t>Hydro Ottawa Limited1508</t>
  </si>
  <si>
    <t>Hydro Ottawa Limited1518</t>
  </si>
  <si>
    <t>Hydro Ottawa Limited1522</t>
  </si>
  <si>
    <t>Hydro Ottawa Limited1525</t>
  </si>
  <si>
    <t>Hydro Ottawa Limited1531</t>
  </si>
  <si>
    <t>Hydro Ottawa Limited1532</t>
  </si>
  <si>
    <t>Hydro Ottawa Limited1533</t>
  </si>
  <si>
    <t>Hydro Ottawa Limited1534</t>
  </si>
  <si>
    <t>Hydro Ottawa Limited1535</t>
  </si>
  <si>
    <t>Hydro Ottawa Limited1536</t>
  </si>
  <si>
    <t>Hydro Ottawa Limited1548</t>
  </si>
  <si>
    <t>Hydro Ottawa Limited1550</t>
  </si>
  <si>
    <t>Hydro Ottawa Limited1551</t>
  </si>
  <si>
    <t>Hydro Ottawa Limited1555</t>
  </si>
  <si>
    <t>Hydro Ottawa Limited1557</t>
  </si>
  <si>
    <t>Hydro Ottawa Limited1568</t>
  </si>
  <si>
    <t>Hydro Ottawa Limited1572</t>
  </si>
  <si>
    <t>Hydro Ottawa Limited1574</t>
  </si>
  <si>
    <t>Hydro Ottawa Limited1575</t>
  </si>
  <si>
    <t>Hydro Ottawa Limited1576</t>
  </si>
  <si>
    <t>Hydro Ottawa Limited1580</t>
  </si>
  <si>
    <t>Hydro Ottawa Limited1582</t>
  </si>
  <si>
    <t>Hydro Ottawa Limited1584</t>
  </si>
  <si>
    <t>Hydro Ottawa Limited1586</t>
  </si>
  <si>
    <t>Hydro Ottawa Limited1588</t>
  </si>
  <si>
    <t>Hydro Ottawa Limited1589</t>
  </si>
  <si>
    <t>Hydro Ottawa Limited1592</t>
  </si>
  <si>
    <t>Hydro Ottawa Limited1595</t>
  </si>
  <si>
    <t>Hydro Ottawa Limited1595_(2008)</t>
  </si>
  <si>
    <t>Hydro Ottawa Limited1595_(2009)</t>
  </si>
  <si>
    <t>Hydro Ottawa Limited1595_(2010)</t>
  </si>
  <si>
    <t>Hydro Ottawa Limited1595_(2011)</t>
  </si>
  <si>
    <t>Hydro Ottawa Limited1595_(2012)</t>
  </si>
  <si>
    <t>Hydro Ottawa Limited1595_(2013)</t>
  </si>
  <si>
    <t>Hydro Ottawa Limited1595_(2014)</t>
  </si>
  <si>
    <t>Hydro Ottawa Limited1595_(2015)</t>
  </si>
  <si>
    <t>Hydro Ottawa Limited1595_(2016)</t>
  </si>
  <si>
    <t>Hydro Ottawa Limited1595_(2017)</t>
  </si>
  <si>
    <t>Hydro Ottawa Limited1595_ControlAccount</t>
  </si>
  <si>
    <t>Hydro Ottawa Limited2425</t>
  </si>
  <si>
    <t>Innpower Corporation</t>
  </si>
  <si>
    <t>Innpower Corporation1508</t>
  </si>
  <si>
    <t>Innpower Corporation1518</t>
  </si>
  <si>
    <t>Innpower Corporation1522</t>
  </si>
  <si>
    <t>Innpower Corporation1525</t>
  </si>
  <si>
    <t>Innpower Corporation1531</t>
  </si>
  <si>
    <t>Innpower Corporation1532</t>
  </si>
  <si>
    <t>Innpower Corporation1533</t>
  </si>
  <si>
    <t>Innpower Corporation1534</t>
  </si>
  <si>
    <t>Innpower Corporation1535</t>
  </si>
  <si>
    <t>Innpower Corporation1536</t>
  </si>
  <si>
    <t>Innpower Corporation1548</t>
  </si>
  <si>
    <t>Innpower Corporation1550</t>
  </si>
  <si>
    <t>Innpower Corporation1551</t>
  </si>
  <si>
    <t>Innpower Corporation1555</t>
  </si>
  <si>
    <t>Innpower Corporation1557</t>
  </si>
  <si>
    <t>Innpower Corporation1568</t>
  </si>
  <si>
    <t>Innpower Corporation1572</t>
  </si>
  <si>
    <t>Innpower Corporation1574</t>
  </si>
  <si>
    <t>Innpower Corporation1575</t>
  </si>
  <si>
    <t>Innpower Corporation1576</t>
  </si>
  <si>
    <t>Innpower Corporation1580</t>
  </si>
  <si>
    <t>Innpower Corporation1582</t>
  </si>
  <si>
    <t>Innpower Corporation1584</t>
  </si>
  <si>
    <t>Innpower Corporation1586</t>
  </si>
  <si>
    <t>Innpower Corporation1588</t>
  </si>
  <si>
    <t>Innpower Corporation1589</t>
  </si>
  <si>
    <t>Innpower Corporation1592</t>
  </si>
  <si>
    <t>Innpower Corporation1595</t>
  </si>
  <si>
    <t>Innpower Corporation1595_(2008)</t>
  </si>
  <si>
    <t>Innpower Corporation1595_(2009)</t>
  </si>
  <si>
    <t>Innpower Corporation1595_(2010)</t>
  </si>
  <si>
    <t>Innpower Corporation1595_(2011)</t>
  </si>
  <si>
    <t>Innpower Corporation1595_(2012)</t>
  </si>
  <si>
    <t>Innpower Corporation1595_(2013)</t>
  </si>
  <si>
    <t>Innpower Corporation1595_(2014)</t>
  </si>
  <si>
    <t>Innpower Corporation1595_(2015)</t>
  </si>
  <si>
    <t>Innpower Corporation1595_(2016)</t>
  </si>
  <si>
    <t>Innpower Corporation1595_(2017)</t>
  </si>
  <si>
    <t>Innpower Corporation1595_ControlAccount</t>
  </si>
  <si>
    <t>Innpower Corporation2425</t>
  </si>
  <si>
    <t>Kingston Hydro Corporation1508</t>
  </si>
  <si>
    <t>Kingston Hydro Corporation1518</t>
  </si>
  <si>
    <t>Kingston Hydro Corporation1522</t>
  </si>
  <si>
    <t>Kingston Hydro Corporation1525</t>
  </si>
  <si>
    <t>Kingston Hydro Corporation1531</t>
  </si>
  <si>
    <t>Kingston Hydro Corporation1532</t>
  </si>
  <si>
    <t>Kingston Hydro Corporation1533</t>
  </si>
  <si>
    <t>Kingston Hydro Corporation1534</t>
  </si>
  <si>
    <t>Kingston Hydro Corporation1535</t>
  </si>
  <si>
    <t>Kingston Hydro Corporation1536</t>
  </si>
  <si>
    <t>Kingston Hydro Corporation1548</t>
  </si>
  <si>
    <t>Kingston Hydro Corporation1550</t>
  </si>
  <si>
    <t>Kingston Hydro Corporation1551</t>
  </si>
  <si>
    <t>Kingston Hydro Corporation1555</t>
  </si>
  <si>
    <t>Kingston Hydro Corporation1557</t>
  </si>
  <si>
    <t>Kingston Hydro Corporation1568</t>
  </si>
  <si>
    <t>Kingston Hydro Corporation1572</t>
  </si>
  <si>
    <t>Kingston Hydro Corporation1574</t>
  </si>
  <si>
    <t>Kingston Hydro Corporation1575</t>
  </si>
  <si>
    <t>Kingston Hydro Corporation1576</t>
  </si>
  <si>
    <t>Kingston Hydro Corporation1580</t>
  </si>
  <si>
    <t>Kingston Hydro Corporation1582</t>
  </si>
  <si>
    <t>Kingston Hydro Corporation1584</t>
  </si>
  <si>
    <t>Kingston Hydro Corporation1586</t>
  </si>
  <si>
    <t>Kingston Hydro Corporation1588</t>
  </si>
  <si>
    <t>Kingston Hydro Corporation1589</t>
  </si>
  <si>
    <t>Kingston Hydro Corporation1592</t>
  </si>
  <si>
    <t>Kingston Hydro Corporation1595</t>
  </si>
  <si>
    <t>Kingston Hydro Corporation1595_(2008)</t>
  </si>
  <si>
    <t>Kingston Hydro Corporation1595_(2009)</t>
  </si>
  <si>
    <t>Kingston Hydro Corporation1595_(2010)</t>
  </si>
  <si>
    <t>Kingston Hydro Corporation1595_(2011)</t>
  </si>
  <si>
    <t>Kingston Hydro Corporation1595_(2012)</t>
  </si>
  <si>
    <t>Kingston Hydro Corporation1595_(2013)</t>
  </si>
  <si>
    <t>Kingston Hydro Corporation1595_(2014)</t>
  </si>
  <si>
    <t>Kingston Hydro Corporation1595_(2015)</t>
  </si>
  <si>
    <t>Kingston Hydro Corporation1595_(2016)</t>
  </si>
  <si>
    <t>Kingston Hydro Corporation1595_(2017)</t>
  </si>
  <si>
    <t>Kingston Hydro Corporation1595_ControlAccount</t>
  </si>
  <si>
    <t>Kingston Hydro Corporation2425</t>
  </si>
  <si>
    <t>Kitchener-Wilmot Hydro Inc.1508</t>
  </si>
  <si>
    <t>Kitchener-Wilmot Hydro Inc.1518</t>
  </si>
  <si>
    <t>Kitchener-Wilmot Hydro Inc.1522</t>
  </si>
  <si>
    <t>Kitchener-Wilmot Hydro Inc.1525</t>
  </si>
  <si>
    <t>Kitchener-Wilmot Hydro Inc.1531</t>
  </si>
  <si>
    <t>Kitchener-Wilmot Hydro Inc.1532</t>
  </si>
  <si>
    <t>Kitchener-Wilmot Hydro Inc.1533</t>
  </si>
  <si>
    <t>Kitchener-Wilmot Hydro Inc.1534</t>
  </si>
  <si>
    <t>Kitchener-Wilmot Hydro Inc.1535</t>
  </si>
  <si>
    <t>Kitchener-Wilmot Hydro Inc.1536</t>
  </si>
  <si>
    <t>Kitchener-Wilmot Hydro Inc.1548</t>
  </si>
  <si>
    <t>Kitchener-Wilmot Hydro Inc.1550</t>
  </si>
  <si>
    <t>Kitchener-Wilmot Hydro Inc.1551</t>
  </si>
  <si>
    <t>Kitchener-Wilmot Hydro Inc.1555</t>
  </si>
  <si>
    <t>Kitchener-Wilmot Hydro Inc.1557</t>
  </si>
  <si>
    <t>Kitchener-Wilmot Hydro Inc.1568</t>
  </si>
  <si>
    <t>Kitchener-Wilmot Hydro Inc.1572</t>
  </si>
  <si>
    <t>Kitchener-Wilmot Hydro Inc.1574</t>
  </si>
  <si>
    <t>Kitchener-Wilmot Hydro Inc.1575</t>
  </si>
  <si>
    <t>Kitchener-Wilmot Hydro Inc.1576</t>
  </si>
  <si>
    <t>Kitchener-Wilmot Hydro Inc.1580</t>
  </si>
  <si>
    <t>Kitchener-Wilmot Hydro Inc.1582</t>
  </si>
  <si>
    <t>Kitchener-Wilmot Hydro Inc.1584</t>
  </si>
  <si>
    <t>Kitchener-Wilmot Hydro Inc.1586</t>
  </si>
  <si>
    <t>Kitchener-Wilmot Hydro Inc.1588</t>
  </si>
  <si>
    <t>Kitchener-Wilmot Hydro Inc.1589</t>
  </si>
  <si>
    <t>Kitchener-Wilmot Hydro Inc.1592</t>
  </si>
  <si>
    <t>Kitchener-Wilmot Hydro Inc.1595</t>
  </si>
  <si>
    <t>Kitchener-Wilmot Hydro Inc.1595_(2008)</t>
  </si>
  <si>
    <t>Kitchener-Wilmot Hydro Inc.1595_(2009)</t>
  </si>
  <si>
    <t>Kitchener-Wilmot Hydro Inc.1595_(2010)</t>
  </si>
  <si>
    <t>Kitchener-Wilmot Hydro Inc.1595_(2011)</t>
  </si>
  <si>
    <t>Kitchener-Wilmot Hydro Inc.1595_(2012)</t>
  </si>
  <si>
    <t>Kitchener-Wilmot Hydro Inc.1595_(2013)</t>
  </si>
  <si>
    <t>Kitchener-Wilmot Hydro Inc.1595_(2014)</t>
  </si>
  <si>
    <t>Kitchener-Wilmot Hydro Inc.1595_(2015)</t>
  </si>
  <si>
    <t>Kitchener-Wilmot Hydro Inc.1595_(2016)</t>
  </si>
  <si>
    <t>Kitchener-Wilmot Hydro Inc.1595_(2017)</t>
  </si>
  <si>
    <t>Kitchener-Wilmot Hydro Inc.1595_ControlAccount</t>
  </si>
  <si>
    <t>Kitchener-Wilmot Hydro Inc.2425</t>
  </si>
  <si>
    <t>Lakefront Utilities Inc.1508</t>
  </si>
  <si>
    <t>Lakefront Utilities Inc.1518</t>
  </si>
  <si>
    <t>Lakefront Utilities Inc.1522</t>
  </si>
  <si>
    <t>Lakefront Utilities Inc.1525</t>
  </si>
  <si>
    <t>Lakefront Utilities Inc.1531</t>
  </si>
  <si>
    <t>Lakefront Utilities Inc.1532</t>
  </si>
  <si>
    <t>Lakefront Utilities Inc.1533</t>
  </si>
  <si>
    <t>Lakefront Utilities Inc.1534</t>
  </si>
  <si>
    <t>Lakefront Utilities Inc.1535</t>
  </si>
  <si>
    <t>Lakefront Utilities Inc.1536</t>
  </si>
  <si>
    <t>Lakefront Utilities Inc.1548</t>
  </si>
  <si>
    <t>Lakefront Utilities Inc.1550</t>
  </si>
  <si>
    <t>Lakefront Utilities Inc.1551</t>
  </si>
  <si>
    <t>Lakefront Utilities Inc.1555</t>
  </si>
  <si>
    <t>Lakefront Utilities Inc.1557</t>
  </si>
  <si>
    <t>Lakefront Utilities Inc.1568</t>
  </si>
  <si>
    <t>Lakefront Utilities Inc.1572</t>
  </si>
  <si>
    <t>Lakefront Utilities Inc.1574</t>
  </si>
  <si>
    <t>Lakefront Utilities Inc.1575</t>
  </si>
  <si>
    <t>Lakefront Utilities Inc.1576</t>
  </si>
  <si>
    <t>Lakefront Utilities Inc.1580</t>
  </si>
  <si>
    <t>Lakefront Utilities Inc.1582</t>
  </si>
  <si>
    <t>Lakefront Utilities Inc.1584</t>
  </si>
  <si>
    <t>Lakefront Utilities Inc.1586</t>
  </si>
  <si>
    <t>Lakefront Utilities Inc.1588</t>
  </si>
  <si>
    <t>Lakefront Utilities Inc.1589</t>
  </si>
  <si>
    <t>Lakefront Utilities Inc.1592</t>
  </si>
  <si>
    <t>Lakefront Utilities Inc.1595</t>
  </si>
  <si>
    <t>Lakefront Utilities Inc.1595_(2008)</t>
  </si>
  <si>
    <t>Lakefront Utilities Inc.1595_(2009)</t>
  </si>
  <si>
    <t>Lakefront Utilities Inc.1595_(2010)</t>
  </si>
  <si>
    <t>Lakefront Utilities Inc.1595_(2011)</t>
  </si>
  <si>
    <t>Lakefront Utilities Inc.1595_(2012)</t>
  </si>
  <si>
    <t>Lakefront Utilities Inc.1595_(2013)</t>
  </si>
  <si>
    <t>Lakefront Utilities Inc.1595_(2014)</t>
  </si>
  <si>
    <t>Lakefront Utilities Inc.1595_(2015)</t>
  </si>
  <si>
    <t>Lakefront Utilities Inc.1595_(2016)</t>
  </si>
  <si>
    <t>Lakefront Utilities Inc.1595_(2017)</t>
  </si>
  <si>
    <t>Lakefront Utilities Inc.1595_ControlAccount</t>
  </si>
  <si>
    <t>Lakefront Utilities Inc.2425</t>
  </si>
  <si>
    <t>Lakeland Power Distribution Ltd.1508</t>
  </si>
  <si>
    <t>Lakeland Power Distribution Ltd.1518</t>
  </si>
  <si>
    <t>Lakeland Power Distribution Ltd.1522</t>
  </si>
  <si>
    <t>Lakeland Power Distribution Ltd.1525</t>
  </si>
  <si>
    <t>Lakeland Power Distribution Ltd.1531</t>
  </si>
  <si>
    <t>Lakeland Power Distribution Ltd.1532</t>
  </si>
  <si>
    <t>Lakeland Power Distribution Ltd.1533</t>
  </si>
  <si>
    <t>Lakeland Power Distribution Ltd.1534</t>
  </si>
  <si>
    <t>Lakeland Power Distribution Ltd.1535</t>
  </si>
  <si>
    <t>Lakeland Power Distribution Ltd.1536</t>
  </si>
  <si>
    <t>Lakeland Power Distribution Ltd.1548</t>
  </si>
  <si>
    <t>Lakeland Power Distribution Ltd.1550</t>
  </si>
  <si>
    <t>Lakeland Power Distribution Ltd.1551</t>
  </si>
  <si>
    <t>Lakeland Power Distribution Ltd.1555</t>
  </si>
  <si>
    <t>Lakeland Power Distribution Ltd.1557</t>
  </si>
  <si>
    <t>Lakeland Power Distribution Ltd.1568</t>
  </si>
  <si>
    <t>Lakeland Power Distribution Ltd.1572</t>
  </si>
  <si>
    <t>Lakeland Power Distribution Ltd.1574</t>
  </si>
  <si>
    <t>Lakeland Power Distribution Ltd.1575</t>
  </si>
  <si>
    <t>Lakeland Power Distribution Ltd.1576</t>
  </si>
  <si>
    <t>Lakeland Power Distribution Ltd.1580</t>
  </si>
  <si>
    <t>Lakeland Power Distribution Ltd.1582</t>
  </si>
  <si>
    <t>Lakeland Power Distribution Ltd.1584</t>
  </si>
  <si>
    <t>Lakeland Power Distribution Ltd.1586</t>
  </si>
  <si>
    <t>Lakeland Power Distribution Ltd.1588</t>
  </si>
  <si>
    <t>Lakeland Power Distribution Ltd.1589</t>
  </si>
  <si>
    <t>Lakeland Power Distribution Ltd.1592</t>
  </si>
  <si>
    <t>Lakeland Power Distribution Ltd.1595</t>
  </si>
  <si>
    <t>Lakeland Power Distribution Ltd.1595_(2008)</t>
  </si>
  <si>
    <t>Lakeland Power Distribution Ltd.1595_(2009)</t>
  </si>
  <si>
    <t>Lakeland Power Distribution Ltd.1595_(2010)</t>
  </si>
  <si>
    <t>Lakeland Power Distribution Ltd.1595_(2011)</t>
  </si>
  <si>
    <t>Lakeland Power Distribution Ltd.1595_(2012)</t>
  </si>
  <si>
    <t>Lakeland Power Distribution Ltd.1595_(2013)</t>
  </si>
  <si>
    <t>Lakeland Power Distribution Ltd.1595_(2014)</t>
  </si>
  <si>
    <t>Lakeland Power Distribution Ltd.1595_(2015)</t>
  </si>
  <si>
    <t>Lakeland Power Distribution Ltd.1595_(2016)</t>
  </si>
  <si>
    <t>Lakeland Power Distribution Ltd.1595_(2017)</t>
  </si>
  <si>
    <t>Lakeland Power Distribution Ltd.1595_ControlAccount</t>
  </si>
  <si>
    <t>Lakeland Power Distribution Ltd.2425</t>
  </si>
  <si>
    <t>London Hydro Inc.1508</t>
  </si>
  <si>
    <t>London Hydro Inc.1518</t>
  </si>
  <si>
    <t>London Hydro Inc.1522</t>
  </si>
  <si>
    <t>London Hydro Inc.1525</t>
  </si>
  <si>
    <t>London Hydro Inc.1531</t>
  </si>
  <si>
    <t>London Hydro Inc.1532</t>
  </si>
  <si>
    <t>London Hydro Inc.1533</t>
  </si>
  <si>
    <t>London Hydro Inc.1534</t>
  </si>
  <si>
    <t>London Hydro Inc.1535</t>
  </si>
  <si>
    <t>London Hydro Inc.1536</t>
  </si>
  <si>
    <t>London Hydro Inc.1548</t>
  </si>
  <si>
    <t>London Hydro Inc.1550</t>
  </si>
  <si>
    <t>London Hydro Inc.1551</t>
  </si>
  <si>
    <t>London Hydro Inc.1555</t>
  </si>
  <si>
    <t>London Hydro Inc.1557</t>
  </si>
  <si>
    <t>London Hydro Inc.1568</t>
  </si>
  <si>
    <t>London Hydro Inc.1572</t>
  </si>
  <si>
    <t>London Hydro Inc.1574</t>
  </si>
  <si>
    <t>London Hydro Inc.1575</t>
  </si>
  <si>
    <t>London Hydro Inc.1576</t>
  </si>
  <si>
    <t>London Hydro Inc.1580</t>
  </si>
  <si>
    <t>London Hydro Inc.1582</t>
  </si>
  <si>
    <t>London Hydro Inc.1584</t>
  </si>
  <si>
    <t>London Hydro Inc.1586</t>
  </si>
  <si>
    <t>London Hydro Inc.1588</t>
  </si>
  <si>
    <t>London Hydro Inc.1589</t>
  </si>
  <si>
    <t>London Hydro Inc.1592</t>
  </si>
  <si>
    <t>London Hydro Inc.1595</t>
  </si>
  <si>
    <t>London Hydro Inc.1595_(2008)</t>
  </si>
  <si>
    <t>London Hydro Inc.1595_(2009)</t>
  </si>
  <si>
    <t>London Hydro Inc.1595_(2010)</t>
  </si>
  <si>
    <t>London Hydro Inc.1595_(2011)</t>
  </si>
  <si>
    <t>London Hydro Inc.1595_(2012)</t>
  </si>
  <si>
    <t>London Hydro Inc.1595_(2013)</t>
  </si>
  <si>
    <t>London Hydro Inc.1595_(2014)</t>
  </si>
  <si>
    <t>London Hydro Inc.1595_(2015)</t>
  </si>
  <si>
    <t>London Hydro Inc.1595_(2016)</t>
  </si>
  <si>
    <t>London Hydro Inc.1595_(2017)</t>
  </si>
  <si>
    <t>London Hydro Inc.1595_ControlAccount</t>
  </si>
  <si>
    <t>London Hydro Inc.2425</t>
  </si>
  <si>
    <t>Milton Hydro Distribution Inc.1508</t>
  </si>
  <si>
    <t>Milton Hydro Distribution Inc.1518</t>
  </si>
  <si>
    <t>Milton Hydro Distribution Inc.1522</t>
  </si>
  <si>
    <t>Milton Hydro Distribution Inc.1525</t>
  </si>
  <si>
    <t>Milton Hydro Distribution Inc.1531</t>
  </si>
  <si>
    <t>Milton Hydro Distribution Inc.1532</t>
  </si>
  <si>
    <t>Milton Hydro Distribution Inc.1533</t>
  </si>
  <si>
    <t>Milton Hydro Distribution Inc.1534</t>
  </si>
  <si>
    <t>Milton Hydro Distribution Inc.1535</t>
  </si>
  <si>
    <t>Milton Hydro Distribution Inc.1536</t>
  </si>
  <si>
    <t>Milton Hydro Distribution Inc.1548</t>
  </si>
  <si>
    <t>Milton Hydro Distribution Inc.1550</t>
  </si>
  <si>
    <t>Milton Hydro Distribution Inc.1551</t>
  </si>
  <si>
    <t>Milton Hydro Distribution Inc.1555</t>
  </si>
  <si>
    <t>Milton Hydro Distribution Inc.1557</t>
  </si>
  <si>
    <t>Milton Hydro Distribution Inc.1568</t>
  </si>
  <si>
    <t>Milton Hydro Distribution Inc.1572</t>
  </si>
  <si>
    <t>Milton Hydro Distribution Inc.1574</t>
  </si>
  <si>
    <t>Milton Hydro Distribution Inc.1575</t>
  </si>
  <si>
    <t>Milton Hydro Distribution Inc.1576</t>
  </si>
  <si>
    <t>Milton Hydro Distribution Inc.1580</t>
  </si>
  <si>
    <t>Milton Hydro Distribution Inc.1582</t>
  </si>
  <si>
    <t>Milton Hydro Distribution Inc.1584</t>
  </si>
  <si>
    <t>Milton Hydro Distribution Inc.1586</t>
  </si>
  <si>
    <t>Milton Hydro Distribution Inc.1588</t>
  </si>
  <si>
    <t>Milton Hydro Distribution Inc.1589</t>
  </si>
  <si>
    <t>Milton Hydro Distribution Inc.1592</t>
  </si>
  <si>
    <t>Milton Hydro Distribution Inc.1595</t>
  </si>
  <si>
    <t>Milton Hydro Distribution Inc.1595_(2008)</t>
  </si>
  <si>
    <t>Milton Hydro Distribution Inc.1595_(2009)</t>
  </si>
  <si>
    <t>Milton Hydro Distribution Inc.1595_(2010)</t>
  </si>
  <si>
    <t>Milton Hydro Distribution Inc.1595_(2011)</t>
  </si>
  <si>
    <t>Milton Hydro Distribution Inc.1595_(2012)</t>
  </si>
  <si>
    <t>Milton Hydro Distribution Inc.1595_(2013)</t>
  </si>
  <si>
    <t>Milton Hydro Distribution Inc.1595_(2014)</t>
  </si>
  <si>
    <t>Milton Hydro Distribution Inc.1595_(2015)</t>
  </si>
  <si>
    <t>Milton Hydro Distribution Inc.1595_(2016)</t>
  </si>
  <si>
    <t>Milton Hydro Distribution Inc.1595_(2017)</t>
  </si>
  <si>
    <t>Milton Hydro Distribution Inc.1595_ControlAccount</t>
  </si>
  <si>
    <t>Milton Hydro Distribution Inc.2425</t>
  </si>
  <si>
    <t>Newmarket - Tay Power Distribution LTD.</t>
  </si>
  <si>
    <t>Newmarket-Tay Power Distribution Ltd.1508</t>
  </si>
  <si>
    <t>Newmarket-Tay Power Distribution Ltd.1518</t>
  </si>
  <si>
    <t>Newmarket-Tay Power Distribution Ltd.1522</t>
  </si>
  <si>
    <t>Newmarket-Tay Power Distribution Ltd.1525</t>
  </si>
  <si>
    <t>Newmarket-Tay Power Distribution Ltd.1531</t>
  </si>
  <si>
    <t>Newmarket-Tay Power Distribution Ltd.1532</t>
  </si>
  <si>
    <t>Newmarket-Tay Power Distribution Ltd.1533</t>
  </si>
  <si>
    <t>Newmarket-Tay Power Distribution Ltd.1534</t>
  </si>
  <si>
    <t>Newmarket-Tay Power Distribution Ltd.1535</t>
  </si>
  <si>
    <t>Newmarket-Tay Power Distribution Ltd.1536</t>
  </si>
  <si>
    <t>Newmarket-Tay Power Distribution Ltd.1548</t>
  </si>
  <si>
    <t>Newmarket-Tay Power Distribution Ltd.1550</t>
  </si>
  <si>
    <t>Newmarket-Tay Power Distribution Ltd.1551</t>
  </si>
  <si>
    <t>Newmarket-Tay Power Distribution Ltd.1555</t>
  </si>
  <si>
    <t>Newmarket-Tay Power Distribution Ltd.1557</t>
  </si>
  <si>
    <t>Newmarket-Tay Power Distribution Ltd.1568</t>
  </si>
  <si>
    <t>Newmarket-Tay Power Distribution Ltd.1572</t>
  </si>
  <si>
    <t>Newmarket-Tay Power Distribution Ltd.1574</t>
  </si>
  <si>
    <t>Newmarket-Tay Power Distribution Ltd.1575</t>
  </si>
  <si>
    <t>Newmarket-Tay Power Distribution Ltd.1576</t>
  </si>
  <si>
    <t>Newmarket-Tay Power Distribution Ltd.1580</t>
  </si>
  <si>
    <t>Newmarket-Tay Power Distribution Ltd.1582</t>
  </si>
  <si>
    <t>Newmarket-Tay Power Distribution Ltd.1584</t>
  </si>
  <si>
    <t>Newmarket-Tay Power Distribution Ltd.1586</t>
  </si>
  <si>
    <t>Newmarket-Tay Power Distribution Ltd.1588</t>
  </si>
  <si>
    <t>Newmarket-Tay Power Distribution Ltd.1589</t>
  </si>
  <si>
    <t>Newmarket-Tay Power Distribution Ltd.1592</t>
  </si>
  <si>
    <t>Newmarket-Tay Power Distribution Ltd.1595</t>
  </si>
  <si>
    <t>Newmarket-Tay Power Distribution Ltd.1595_(2008)</t>
  </si>
  <si>
    <t>Newmarket-Tay Power Distribution Ltd.1595_(2009)</t>
  </si>
  <si>
    <t>Newmarket-Tay Power Distribution Ltd.1595_(2010)</t>
  </si>
  <si>
    <t>Newmarket-Tay Power Distribution Ltd.1595_(2011)</t>
  </si>
  <si>
    <t>Newmarket-Tay Power Distribution Ltd.1595_(2012)</t>
  </si>
  <si>
    <t>Newmarket-Tay Power Distribution Ltd.1595_(2013)</t>
  </si>
  <si>
    <t>Newmarket-Tay Power Distribution Ltd.1595_(2014)</t>
  </si>
  <si>
    <t>Newmarket-Tay Power Distribution Ltd.1595_(2015)</t>
  </si>
  <si>
    <t>Newmarket-Tay Power Distribution Ltd.1595_(2016)</t>
  </si>
  <si>
    <t>Newmarket-Tay Power Distribution Ltd.1595_(2017)</t>
  </si>
  <si>
    <t>Newmarket-Tay Power Distribution Ltd.1595_ControlAccount</t>
  </si>
  <si>
    <t>Newmarket-Tay Power Distribution Ltd.2425</t>
  </si>
  <si>
    <t>Niagara Peninsula Energy Inc.1508</t>
  </si>
  <si>
    <t>Niagara Peninsula Energy Inc.1518</t>
  </si>
  <si>
    <t>Niagara Peninsula Energy Inc.1522</t>
  </si>
  <si>
    <t>Niagara Peninsula Energy Inc.1525</t>
  </si>
  <si>
    <t>Niagara Peninsula Energy Inc.1531</t>
  </si>
  <si>
    <t>Niagara Peninsula Energy Inc.1532</t>
  </si>
  <si>
    <t>Niagara Peninsula Energy Inc.1533</t>
  </si>
  <si>
    <t>Niagara Peninsula Energy Inc.1534</t>
  </si>
  <si>
    <t>Niagara Peninsula Energy Inc.1535</t>
  </si>
  <si>
    <t>Niagara Peninsula Energy Inc.1536</t>
  </si>
  <si>
    <t>Niagara Peninsula Energy Inc.1548</t>
  </si>
  <si>
    <t>Niagara Peninsula Energy Inc.1550</t>
  </si>
  <si>
    <t>Niagara Peninsula Energy Inc.1551</t>
  </si>
  <si>
    <t>Niagara Peninsula Energy Inc.1555</t>
  </si>
  <si>
    <t>Niagara Peninsula Energy Inc.1557</t>
  </si>
  <si>
    <t>Niagara Peninsula Energy Inc.1568</t>
  </si>
  <si>
    <t>Niagara Peninsula Energy Inc.1572</t>
  </si>
  <si>
    <t>Niagara Peninsula Energy Inc.1574</t>
  </si>
  <si>
    <t>Niagara Peninsula Energy Inc.1575</t>
  </si>
  <si>
    <t>Niagara Peninsula Energy Inc.1576</t>
  </si>
  <si>
    <t>Niagara Peninsula Energy Inc.1580</t>
  </si>
  <si>
    <t>Niagara Peninsula Energy Inc.1582</t>
  </si>
  <si>
    <t>Niagara Peninsula Energy Inc.1584</t>
  </si>
  <si>
    <t>Niagara Peninsula Energy Inc.1586</t>
  </si>
  <si>
    <t>Niagara Peninsula Energy Inc.1588</t>
  </si>
  <si>
    <t>Niagara Peninsula Energy Inc.1589</t>
  </si>
  <si>
    <t>Niagara Peninsula Energy Inc.1592</t>
  </si>
  <si>
    <t>Niagara Peninsula Energy Inc.1595</t>
  </si>
  <si>
    <t>Niagara Peninsula Energy Inc.1595_(2008)</t>
  </si>
  <si>
    <t>Niagara Peninsula Energy Inc.1595_(2009)</t>
  </si>
  <si>
    <t>Niagara Peninsula Energy Inc.1595_(2010)</t>
  </si>
  <si>
    <t>Niagara Peninsula Energy Inc.1595_(2011)</t>
  </si>
  <si>
    <t>Niagara Peninsula Energy Inc.1595_(2012)</t>
  </si>
  <si>
    <t>Niagara Peninsula Energy Inc.1595_(2013)</t>
  </si>
  <si>
    <t>Niagara Peninsula Energy Inc.1595_(2014)</t>
  </si>
  <si>
    <t>Niagara Peninsula Energy Inc.1595_(2015)</t>
  </si>
  <si>
    <t>Niagara Peninsula Energy Inc.1595_(2016)</t>
  </si>
  <si>
    <t>Niagara Peninsula Energy Inc.1595_(2017)</t>
  </si>
  <si>
    <t>Niagara Peninsula Energy Inc.1595_ControlAccount</t>
  </si>
  <si>
    <t>Niagara Peninsula Energy Inc.2425</t>
  </si>
  <si>
    <t>Niagara-on-the-Lake Hydro Inc.1508</t>
  </si>
  <si>
    <t>Niagara-on-the-Lake Hydro Inc.1518</t>
  </si>
  <si>
    <t>Niagara-on-the-Lake Hydro Inc.1522</t>
  </si>
  <si>
    <t>Niagara-on-the-Lake Hydro Inc.1525</t>
  </si>
  <si>
    <t>Niagara-on-the-Lake Hydro Inc.1531</t>
  </si>
  <si>
    <t>Niagara-on-the-Lake Hydro Inc.1532</t>
  </si>
  <si>
    <t>Niagara-on-the-Lake Hydro Inc.1533</t>
  </si>
  <si>
    <t>Niagara-on-the-Lake Hydro Inc.1534</t>
  </si>
  <si>
    <t>Niagara-on-the-Lake Hydro Inc.1535</t>
  </si>
  <si>
    <t>Niagara-on-the-Lake Hydro Inc.1536</t>
  </si>
  <si>
    <t>Niagara-on-the-Lake Hydro Inc.1548</t>
  </si>
  <si>
    <t>Niagara-on-the-Lake Hydro Inc.1550</t>
  </si>
  <si>
    <t>Niagara-on-the-Lake Hydro Inc.1551</t>
  </si>
  <si>
    <t>Niagara-on-the-Lake Hydro Inc.1555</t>
  </si>
  <si>
    <t>Niagara-on-the-Lake Hydro Inc.1557</t>
  </si>
  <si>
    <t>Niagara-on-the-Lake Hydro Inc.1568</t>
  </si>
  <si>
    <t>Niagara-on-the-Lake Hydro Inc.1572</t>
  </si>
  <si>
    <t>Niagara-on-the-Lake Hydro Inc.1574</t>
  </si>
  <si>
    <t>Niagara-on-the-Lake Hydro Inc.1575</t>
  </si>
  <si>
    <t>Niagara-on-the-Lake Hydro Inc.1576</t>
  </si>
  <si>
    <t>Niagara-on-the-Lake Hydro Inc.1580</t>
  </si>
  <si>
    <t>Niagara-on-the-Lake Hydro Inc.1582</t>
  </si>
  <si>
    <t>Niagara-on-the-Lake Hydro Inc.1584</t>
  </si>
  <si>
    <t>Niagara-on-the-Lake Hydro Inc.1586</t>
  </si>
  <si>
    <t>Niagara-on-the-Lake Hydro Inc.1588</t>
  </si>
  <si>
    <t>Niagara-on-the-Lake Hydro Inc.1589</t>
  </si>
  <si>
    <t>Niagara-on-the-Lake Hydro Inc.1592</t>
  </si>
  <si>
    <t>Niagara-on-the-Lake Hydro Inc.1595</t>
  </si>
  <si>
    <t>Niagara-on-the-Lake Hydro Inc.1595_(2008)</t>
  </si>
  <si>
    <t>Niagara-on-the-Lake Hydro Inc.1595_(2009)</t>
  </si>
  <si>
    <t>Niagara-on-the-Lake Hydro Inc.1595_(2010)</t>
  </si>
  <si>
    <t>Niagara-on-the-Lake Hydro Inc.1595_(2011)</t>
  </si>
  <si>
    <t>Niagara-on-the-Lake Hydro Inc.1595_(2012)</t>
  </si>
  <si>
    <t>Niagara-on-the-Lake Hydro Inc.1595_(2013)</t>
  </si>
  <si>
    <t>Niagara-on-the-Lake Hydro Inc.1595_(2014)</t>
  </si>
  <si>
    <t>Niagara-on-the-Lake Hydro Inc.1595_(2015)</t>
  </si>
  <si>
    <t>Niagara-on-the-Lake Hydro Inc.1595_(2016)</t>
  </si>
  <si>
    <t>Niagara-on-the-Lake Hydro Inc.1595_(2017)</t>
  </si>
  <si>
    <t>Niagara-on-the-Lake Hydro Inc.1595_ControlAccount</t>
  </si>
  <si>
    <t>Niagara-on-the-Lake Hydro Inc.2425</t>
  </si>
  <si>
    <t>North Bay Hydro Distribution Limited1508</t>
  </si>
  <si>
    <t>North Bay Hydro Distribution Limited1518</t>
  </si>
  <si>
    <t>North Bay Hydro Distribution Limited1522</t>
  </si>
  <si>
    <t>North Bay Hydro Distribution Limited1525</t>
  </si>
  <si>
    <t>North Bay Hydro Distribution Limited1531</t>
  </si>
  <si>
    <t>North Bay Hydro Distribution Limited1532</t>
  </si>
  <si>
    <t>North Bay Hydro Distribution Limited1533</t>
  </si>
  <si>
    <t>North Bay Hydro Distribution Limited1534</t>
  </si>
  <si>
    <t>North Bay Hydro Distribution Limited1535</t>
  </si>
  <si>
    <t>North Bay Hydro Distribution Limited1536</t>
  </si>
  <si>
    <t>North Bay Hydro Distribution Limited1548</t>
  </si>
  <si>
    <t>North Bay Hydro Distribution Limited1550</t>
  </si>
  <si>
    <t>North Bay Hydro Distribution Limited1551</t>
  </si>
  <si>
    <t>North Bay Hydro Distribution Limited1555</t>
  </si>
  <si>
    <t>North Bay Hydro Distribution Limited1557</t>
  </si>
  <si>
    <t>North Bay Hydro Distribution Limited1568</t>
  </si>
  <si>
    <t>North Bay Hydro Distribution Limited1572</t>
  </si>
  <si>
    <t>North Bay Hydro Distribution Limited1574</t>
  </si>
  <si>
    <t>North Bay Hydro Distribution Limited1575</t>
  </si>
  <si>
    <t>North Bay Hydro Distribution Limited1576</t>
  </si>
  <si>
    <t>North Bay Hydro Distribution Limited1580</t>
  </si>
  <si>
    <t>North Bay Hydro Distribution Limited1582</t>
  </si>
  <si>
    <t>North Bay Hydro Distribution Limited1584</t>
  </si>
  <si>
    <t>North Bay Hydro Distribution Limited1586</t>
  </si>
  <si>
    <t>North Bay Hydro Distribution Limited1588</t>
  </si>
  <si>
    <t>North Bay Hydro Distribution Limited1589</t>
  </si>
  <si>
    <t>North Bay Hydro Distribution Limited1592</t>
  </si>
  <si>
    <t>North Bay Hydro Distribution Limited1595</t>
  </si>
  <si>
    <t>North Bay Hydro Distribution Limited1595_(2008)</t>
  </si>
  <si>
    <t>North Bay Hydro Distribution Limited1595_(2009)</t>
  </si>
  <si>
    <t>North Bay Hydro Distribution Limited1595_(2010)</t>
  </si>
  <si>
    <t>North Bay Hydro Distribution Limited1595_(2011)</t>
  </si>
  <si>
    <t>North Bay Hydro Distribution Limited1595_(2012)</t>
  </si>
  <si>
    <t>North Bay Hydro Distribution Limited1595_(2013)</t>
  </si>
  <si>
    <t>North Bay Hydro Distribution Limited1595_(2014)</t>
  </si>
  <si>
    <t>North Bay Hydro Distribution Limited1595_(2015)</t>
  </si>
  <si>
    <t>North Bay Hydro Distribution Limited1595_(2016)</t>
  </si>
  <si>
    <t>North Bay Hydro Distribution Limited1595_(2017)</t>
  </si>
  <si>
    <t>North Bay Hydro Distribution Limited1595_ControlAccount</t>
  </si>
  <si>
    <t>North Bay Hydro Distribution Limited2425</t>
  </si>
  <si>
    <t>Northern Ontario Wires Inc.1508</t>
  </si>
  <si>
    <t>Northern Ontario Wires Inc.1518</t>
  </si>
  <si>
    <t>Northern Ontario Wires Inc.1522</t>
  </si>
  <si>
    <t>Northern Ontario Wires Inc.1525</t>
  </si>
  <si>
    <t>Northern Ontario Wires Inc.1531</t>
  </si>
  <si>
    <t>Northern Ontario Wires Inc.1532</t>
  </si>
  <si>
    <t>Northern Ontario Wires Inc.1533</t>
  </si>
  <si>
    <t>Northern Ontario Wires Inc.1534</t>
  </si>
  <si>
    <t>Northern Ontario Wires Inc.1535</t>
  </si>
  <si>
    <t>Northern Ontario Wires Inc.1536</t>
  </si>
  <si>
    <t>Northern Ontario Wires Inc.1548</t>
  </si>
  <si>
    <t>Northern Ontario Wires Inc.1550</t>
  </si>
  <si>
    <t>Northern Ontario Wires Inc.1551</t>
  </si>
  <si>
    <t>Northern Ontario Wires Inc.1555</t>
  </si>
  <si>
    <t>Northern Ontario Wires Inc.1557</t>
  </si>
  <si>
    <t>Northern Ontario Wires Inc.1568</t>
  </si>
  <si>
    <t>Northern Ontario Wires Inc.1572</t>
  </si>
  <si>
    <t>Northern Ontario Wires Inc.1574</t>
  </si>
  <si>
    <t>Northern Ontario Wires Inc.1575</t>
  </si>
  <si>
    <t>Northern Ontario Wires Inc.1576</t>
  </si>
  <si>
    <t>Northern Ontario Wires Inc.1580</t>
  </si>
  <si>
    <t>Northern Ontario Wires Inc.1582</t>
  </si>
  <si>
    <t>Northern Ontario Wires Inc.1584</t>
  </si>
  <si>
    <t>Northern Ontario Wires Inc.1586</t>
  </si>
  <si>
    <t>Northern Ontario Wires Inc.1588</t>
  </si>
  <si>
    <t>Northern Ontario Wires Inc.1589</t>
  </si>
  <si>
    <t>Northern Ontario Wires Inc.1592</t>
  </si>
  <si>
    <t>Northern Ontario Wires Inc.1595</t>
  </si>
  <si>
    <t>Northern Ontario Wires Inc.1595_(2008)</t>
  </si>
  <si>
    <t>Northern Ontario Wires Inc.1595_(2009)</t>
  </si>
  <si>
    <t>Northern Ontario Wires Inc.1595_(2010)</t>
  </si>
  <si>
    <t>Northern Ontario Wires Inc.1595_(2011)</t>
  </si>
  <si>
    <t>Northern Ontario Wires Inc.1595_(2012)</t>
  </si>
  <si>
    <t>Northern Ontario Wires Inc.1595_(2013)</t>
  </si>
  <si>
    <t>Northern Ontario Wires Inc.1595_(2014)</t>
  </si>
  <si>
    <t>Northern Ontario Wires Inc.1595_(2015)</t>
  </si>
  <si>
    <t>Northern Ontario Wires Inc.1595_(2016)</t>
  </si>
  <si>
    <t>Northern Ontario Wires Inc.1595_(2017)</t>
  </si>
  <si>
    <t>Northern Ontario Wires Inc.1595_ControlAccount</t>
  </si>
  <si>
    <t>Northern Ontario Wires Inc.2425</t>
  </si>
  <si>
    <t>Oakville Hydro Electricity Distribution Inc.1508</t>
  </si>
  <si>
    <t>Oakville Hydro Electricity Distribution Inc.1518</t>
  </si>
  <si>
    <t>Oakville Hydro Electricity Distribution Inc.1522</t>
  </si>
  <si>
    <t>Oakville Hydro Electricity Distribution Inc.1525</t>
  </si>
  <si>
    <t>Oakville Hydro Electricity Distribution Inc.1531</t>
  </si>
  <si>
    <t>Oakville Hydro Electricity Distribution Inc.1532</t>
  </si>
  <si>
    <t>Oakville Hydro Electricity Distribution Inc.1533</t>
  </si>
  <si>
    <t>Oakville Hydro Electricity Distribution Inc.1534</t>
  </si>
  <si>
    <t>Oakville Hydro Electricity Distribution Inc.1535</t>
  </si>
  <si>
    <t>Oakville Hydro Electricity Distribution Inc.1536</t>
  </si>
  <si>
    <t>Oakville Hydro Electricity Distribution Inc.1548</t>
  </si>
  <si>
    <t>Oakville Hydro Electricity Distribution Inc.1550</t>
  </si>
  <si>
    <t>Oakville Hydro Electricity Distribution Inc.1551</t>
  </si>
  <si>
    <t>Oakville Hydro Electricity Distribution Inc.1555</t>
  </si>
  <si>
    <t>Oakville Hydro Electricity Distribution Inc.1557</t>
  </si>
  <si>
    <t>Oakville Hydro Electricity Distribution Inc.1568</t>
  </si>
  <si>
    <t>Oakville Hydro Electricity Distribution Inc.1572</t>
  </si>
  <si>
    <t>Oakville Hydro Electricity Distribution Inc.1574</t>
  </si>
  <si>
    <t>Oakville Hydro Electricity Distribution Inc.1575</t>
  </si>
  <si>
    <t>Oakville Hydro Electricity Distribution Inc.1576</t>
  </si>
  <si>
    <t>Oakville Hydro Electricity Distribution Inc.1580</t>
  </si>
  <si>
    <t>Oakville Hydro Electricity Distribution Inc.1582</t>
  </si>
  <si>
    <t>Oakville Hydro Electricity Distribution Inc.1584</t>
  </si>
  <si>
    <t>Oakville Hydro Electricity Distribution Inc.1586</t>
  </si>
  <si>
    <t>Oakville Hydro Electricity Distribution Inc.1588</t>
  </si>
  <si>
    <t>Oakville Hydro Electricity Distribution Inc.1589</t>
  </si>
  <si>
    <t>Oakville Hydro Electricity Distribution Inc.1592</t>
  </si>
  <si>
    <t>Oakville Hydro Electricity Distribution Inc.1595</t>
  </si>
  <si>
    <t>Oakville Hydro Electricity Distribution Inc.1595_(2008)</t>
  </si>
  <si>
    <t>Oakville Hydro Electricity Distribution Inc.1595_(2009)</t>
  </si>
  <si>
    <t>Oakville Hydro Electricity Distribution Inc.1595_(2010)</t>
  </si>
  <si>
    <t>Oakville Hydro Electricity Distribution Inc.1595_(2011)</t>
  </si>
  <si>
    <t>Oakville Hydro Electricity Distribution Inc.1595_(2012)</t>
  </si>
  <si>
    <t>Oakville Hydro Electricity Distribution Inc.1595_(2013)</t>
  </si>
  <si>
    <t>Oakville Hydro Electricity Distribution Inc.1595_(2014)</t>
  </si>
  <si>
    <t>Oakville Hydro Electricity Distribution Inc.1595_(2015)</t>
  </si>
  <si>
    <t>Oakville Hydro Electricity Distribution Inc.1595_(2016)</t>
  </si>
  <si>
    <t>Oakville Hydro Electricity Distribution Inc.1595_(2017)</t>
  </si>
  <si>
    <t>Oakville Hydro Electricity Distribution Inc.1595_ControlAccount</t>
  </si>
  <si>
    <t>Oakville Hydro Electricity Distribution Inc.2425</t>
  </si>
  <si>
    <t>Orangeville Hydro Limited1508</t>
  </si>
  <si>
    <t>Orangeville Hydro Limited1518</t>
  </si>
  <si>
    <t>Orangeville Hydro Limited1522</t>
  </si>
  <si>
    <t>Orangeville Hydro Limited1525</t>
  </si>
  <si>
    <t>Orangeville Hydro Limited1531</t>
  </si>
  <si>
    <t>Orangeville Hydro Limited1532</t>
  </si>
  <si>
    <t>Orangeville Hydro Limited1533</t>
  </si>
  <si>
    <t>Orangeville Hydro Limited1534</t>
  </si>
  <si>
    <t>Orangeville Hydro Limited1535</t>
  </si>
  <si>
    <t>Orangeville Hydro Limited1536</t>
  </si>
  <si>
    <t>Orangeville Hydro Limited1548</t>
  </si>
  <si>
    <t>Orangeville Hydro Limited1550</t>
  </si>
  <si>
    <t>Orangeville Hydro Limited1551</t>
  </si>
  <si>
    <t>Orangeville Hydro Limited1555</t>
  </si>
  <si>
    <t>Orangeville Hydro Limited1557</t>
  </si>
  <si>
    <t>Orangeville Hydro Limited1568</t>
  </si>
  <si>
    <t>Orangeville Hydro Limited1572</t>
  </si>
  <si>
    <t>Orangeville Hydro Limited1574</t>
  </si>
  <si>
    <t>Orangeville Hydro Limited1575</t>
  </si>
  <si>
    <t>Orangeville Hydro Limited1576</t>
  </si>
  <si>
    <t>Orangeville Hydro Limited1580</t>
  </si>
  <si>
    <t>Orangeville Hydro Limited1582</t>
  </si>
  <si>
    <t>Orangeville Hydro Limited1584</t>
  </si>
  <si>
    <t>Orangeville Hydro Limited1586</t>
  </si>
  <si>
    <t>Orangeville Hydro Limited1588</t>
  </si>
  <si>
    <t>Orangeville Hydro Limited1589</t>
  </si>
  <si>
    <t>Orangeville Hydro Limited1592</t>
  </si>
  <si>
    <t>Orangeville Hydro Limited1595</t>
  </si>
  <si>
    <t>Orangeville Hydro Limited1595_(2008)</t>
  </si>
  <si>
    <t>Orangeville Hydro Limited1595_(2009)</t>
  </si>
  <si>
    <t>Orangeville Hydro Limited1595_(2010)</t>
  </si>
  <si>
    <t>Orangeville Hydro Limited1595_(2011)</t>
  </si>
  <si>
    <t>Orangeville Hydro Limited1595_(2012)</t>
  </si>
  <si>
    <t>Orangeville Hydro Limited1595_(2013)</t>
  </si>
  <si>
    <t>Orangeville Hydro Limited1595_(2014)</t>
  </si>
  <si>
    <t>Orangeville Hydro Limited1595_(2015)</t>
  </si>
  <si>
    <t>Orangeville Hydro Limited1595_(2016)</t>
  </si>
  <si>
    <t>Orangeville Hydro Limited1595_(2017)</t>
  </si>
  <si>
    <t>Orangeville Hydro Limited1595_ControlAccount</t>
  </si>
  <si>
    <t>Orangeville Hydro Limited2425</t>
  </si>
  <si>
    <t>Orillia Power Distribution Corporation1508</t>
  </si>
  <si>
    <t>Orillia Power Distribution Corporation1518</t>
  </si>
  <si>
    <t>Orillia Power Distribution Corporation1522</t>
  </si>
  <si>
    <t>Orillia Power Distribution Corporation1525</t>
  </si>
  <si>
    <t>Orillia Power Distribution Corporation1531</t>
  </si>
  <si>
    <t>Orillia Power Distribution Corporation1532</t>
  </si>
  <si>
    <t>Orillia Power Distribution Corporation1533</t>
  </si>
  <si>
    <t>Orillia Power Distribution Corporation1534</t>
  </si>
  <si>
    <t>Orillia Power Distribution Corporation1535</t>
  </si>
  <si>
    <t>Orillia Power Distribution Corporation1536</t>
  </si>
  <si>
    <t>Orillia Power Distribution Corporation1548</t>
  </si>
  <si>
    <t>Orillia Power Distribution Corporation1550</t>
  </si>
  <si>
    <t>Orillia Power Distribution Corporation1551</t>
  </si>
  <si>
    <t>Orillia Power Distribution Corporation1555</t>
  </si>
  <si>
    <t>Orillia Power Distribution Corporation1557</t>
  </si>
  <si>
    <t>Orillia Power Distribution Corporation1568</t>
  </si>
  <si>
    <t>Orillia Power Distribution Corporation1572</t>
  </si>
  <si>
    <t>Orillia Power Distribution Corporation1574</t>
  </si>
  <si>
    <t>Orillia Power Distribution Corporation1575</t>
  </si>
  <si>
    <t>Orillia Power Distribution Corporation1576</t>
  </si>
  <si>
    <t>Orillia Power Distribution Corporation1580</t>
  </si>
  <si>
    <t>Orillia Power Distribution Corporation1582</t>
  </si>
  <si>
    <t>Orillia Power Distribution Corporation1584</t>
  </si>
  <si>
    <t>Orillia Power Distribution Corporation1586</t>
  </si>
  <si>
    <t>Orillia Power Distribution Corporation1588</t>
  </si>
  <si>
    <t>Orillia Power Distribution Corporation1589</t>
  </si>
  <si>
    <t>Orillia Power Distribution Corporation1592</t>
  </si>
  <si>
    <t>Orillia Power Distribution Corporation1595</t>
  </si>
  <si>
    <t>Orillia Power Distribution Corporation1595_(2008)</t>
  </si>
  <si>
    <t>Orillia Power Distribution Corporation1595_(2009)</t>
  </si>
  <si>
    <t>Orillia Power Distribution Corporation1595_(2010)</t>
  </si>
  <si>
    <t>Orillia Power Distribution Corporation1595_(2011)</t>
  </si>
  <si>
    <t>Orillia Power Distribution Corporation1595_(2012)</t>
  </si>
  <si>
    <t>Orillia Power Distribution Corporation1595_(2013)</t>
  </si>
  <si>
    <t>Orillia Power Distribution Corporation1595_(2014)</t>
  </si>
  <si>
    <t>Orillia Power Distribution Corporation1595_(2015)</t>
  </si>
  <si>
    <t>Orillia Power Distribution Corporation1595_(2016)</t>
  </si>
  <si>
    <t>Orillia Power Distribution Corporation1595_(2017)</t>
  </si>
  <si>
    <t>Orillia Power Distribution Corporation1595_ControlAccount</t>
  </si>
  <si>
    <t>Orillia Power Distribution Corporation2425</t>
  </si>
  <si>
    <t>Oshawa PUC Networks Inc.1508</t>
  </si>
  <si>
    <t>Oshawa PUC Networks Inc.1518</t>
  </si>
  <si>
    <t>Oshawa PUC Networks Inc.1522</t>
  </si>
  <si>
    <t>Oshawa PUC Networks Inc.1525</t>
  </si>
  <si>
    <t>Oshawa PUC Networks Inc.1531</t>
  </si>
  <si>
    <t>Oshawa PUC Networks Inc.1532</t>
  </si>
  <si>
    <t>Oshawa PUC Networks Inc.1533</t>
  </si>
  <si>
    <t>Oshawa PUC Networks Inc.1534</t>
  </si>
  <si>
    <t>Oshawa PUC Networks Inc.1535</t>
  </si>
  <si>
    <t>Oshawa PUC Networks Inc.1536</t>
  </si>
  <si>
    <t>Oshawa PUC Networks Inc.1548</t>
  </si>
  <si>
    <t>Oshawa PUC Networks Inc.1550</t>
  </si>
  <si>
    <t>Oshawa PUC Networks Inc.1551</t>
  </si>
  <si>
    <t>Oshawa PUC Networks Inc.1555</t>
  </si>
  <si>
    <t>Oshawa PUC Networks Inc.1557</t>
  </si>
  <si>
    <t>Oshawa PUC Networks Inc.1568</t>
  </si>
  <si>
    <t>Oshawa PUC Networks Inc.1572</t>
  </si>
  <si>
    <t>Oshawa PUC Networks Inc.1574</t>
  </si>
  <si>
    <t>Oshawa PUC Networks Inc.1575</t>
  </si>
  <si>
    <t>Oshawa PUC Networks Inc.1576</t>
  </si>
  <si>
    <t>Oshawa PUC Networks Inc.1580</t>
  </si>
  <si>
    <t>Oshawa PUC Networks Inc.1582</t>
  </si>
  <si>
    <t>Oshawa PUC Networks Inc.1584</t>
  </si>
  <si>
    <t>Oshawa PUC Networks Inc.1586</t>
  </si>
  <si>
    <t>Oshawa PUC Networks Inc.1588</t>
  </si>
  <si>
    <t>Oshawa PUC Networks Inc.1589</t>
  </si>
  <si>
    <t>Oshawa PUC Networks Inc.1592</t>
  </si>
  <si>
    <t>Oshawa PUC Networks Inc.1595</t>
  </si>
  <si>
    <t>Oshawa PUC Networks Inc.1595_(2008)</t>
  </si>
  <si>
    <t>Oshawa PUC Networks Inc.1595_(2009)</t>
  </si>
  <si>
    <t>Oshawa PUC Networks Inc.1595_(2010)</t>
  </si>
  <si>
    <t>Oshawa PUC Networks Inc.1595_(2011)</t>
  </si>
  <si>
    <t>Oshawa PUC Networks Inc.1595_(2012)</t>
  </si>
  <si>
    <t>Oshawa PUC Networks Inc.1595_(2013)</t>
  </si>
  <si>
    <t>Oshawa PUC Networks Inc.1595_(2014)</t>
  </si>
  <si>
    <t>Oshawa PUC Networks Inc.1595_(2015)</t>
  </si>
  <si>
    <t>Oshawa PUC Networks Inc.1595_(2016)</t>
  </si>
  <si>
    <t>Oshawa PUC Networks Inc.1595_(2017)</t>
  </si>
  <si>
    <t>Oshawa PUC Networks Inc.1595_ControlAccount</t>
  </si>
  <si>
    <t>Oshawa PUC Networks Inc.2425</t>
  </si>
  <si>
    <t>Ottawa River Power Corporation1508</t>
  </si>
  <si>
    <t>Ottawa River Power Corporation1518</t>
  </si>
  <si>
    <t>Ottawa River Power Corporation1522</t>
  </si>
  <si>
    <t>Ottawa River Power Corporation1525</t>
  </si>
  <si>
    <t>Ottawa River Power Corporation1531</t>
  </si>
  <si>
    <t>Ottawa River Power Corporation1532</t>
  </si>
  <si>
    <t>Ottawa River Power Corporation1533</t>
  </si>
  <si>
    <t>Ottawa River Power Corporation1534</t>
  </si>
  <si>
    <t>Ottawa River Power Corporation1535</t>
  </si>
  <si>
    <t>Ottawa River Power Corporation1536</t>
  </si>
  <si>
    <t>Ottawa River Power Corporation1548</t>
  </si>
  <si>
    <t>Ottawa River Power Corporation1550</t>
  </si>
  <si>
    <t>Ottawa River Power Corporation1551</t>
  </si>
  <si>
    <t>Ottawa River Power Corporation1555</t>
  </si>
  <si>
    <t>Ottawa River Power Corporation1557</t>
  </si>
  <si>
    <t>Ottawa River Power Corporation1568</t>
  </si>
  <si>
    <t>Ottawa River Power Corporation1572</t>
  </si>
  <si>
    <t>Ottawa River Power Corporation1574</t>
  </si>
  <si>
    <t>Ottawa River Power Corporation1575</t>
  </si>
  <si>
    <t>Ottawa River Power Corporation1576</t>
  </si>
  <si>
    <t>Ottawa River Power Corporation1580</t>
  </si>
  <si>
    <t>Ottawa River Power Corporation1582</t>
  </si>
  <si>
    <t>Ottawa River Power Corporation1584</t>
  </si>
  <si>
    <t>Ottawa River Power Corporation1586</t>
  </si>
  <si>
    <t>Ottawa River Power Corporation1588</t>
  </si>
  <si>
    <t>Ottawa River Power Corporation1589</t>
  </si>
  <si>
    <t>Ottawa River Power Corporation1592</t>
  </si>
  <si>
    <t>Ottawa River Power Corporation1595</t>
  </si>
  <si>
    <t>Ottawa River Power Corporation1595_(2008)</t>
  </si>
  <si>
    <t>Ottawa River Power Corporation1595_(2009)</t>
  </si>
  <si>
    <t>Ottawa River Power Corporation1595_(2010)</t>
  </si>
  <si>
    <t>Ottawa River Power Corporation1595_(2011)</t>
  </si>
  <si>
    <t>Ottawa River Power Corporation1595_(2012)</t>
  </si>
  <si>
    <t>Ottawa River Power Corporation1595_(2013)</t>
  </si>
  <si>
    <t>Ottawa River Power Corporation1595_(2014)</t>
  </si>
  <si>
    <t>Ottawa River Power Corporation1595_(2015)</t>
  </si>
  <si>
    <t>Ottawa River Power Corporation1595_(2016)</t>
  </si>
  <si>
    <t>Ottawa River Power Corporation1595_(2017)</t>
  </si>
  <si>
    <t>Ottawa River Power Corporation1595_ControlAccount</t>
  </si>
  <si>
    <t>Ottawa River Power Corporation2425</t>
  </si>
  <si>
    <t>PUC Distribution Inc.1508</t>
  </si>
  <si>
    <t>PUC Distribution Inc.1518</t>
  </si>
  <si>
    <t>PUC Distribution Inc.1522</t>
  </si>
  <si>
    <t>PUC Distribution Inc.1525</t>
  </si>
  <si>
    <t>PUC Distribution Inc.1531</t>
  </si>
  <si>
    <t>PUC Distribution Inc.1532</t>
  </si>
  <si>
    <t>PUC Distribution Inc.1533</t>
  </si>
  <si>
    <t>PUC Distribution Inc.1534</t>
  </si>
  <si>
    <t>PUC Distribution Inc.1535</t>
  </si>
  <si>
    <t>PUC Distribution Inc.1536</t>
  </si>
  <si>
    <t>PUC Distribution Inc.1548</t>
  </si>
  <si>
    <t>PUC Distribution Inc.1550</t>
  </si>
  <si>
    <t>PUC Distribution Inc.1551</t>
  </si>
  <si>
    <t>PUC Distribution Inc.1555</t>
  </si>
  <si>
    <t>PUC Distribution Inc.1557</t>
  </si>
  <si>
    <t>PUC Distribution Inc.1568</t>
  </si>
  <si>
    <t>PUC Distribution Inc.1572</t>
  </si>
  <si>
    <t>PUC Distribution Inc.1574</t>
  </si>
  <si>
    <t>PUC Distribution Inc.1575</t>
  </si>
  <si>
    <t>PUC Distribution Inc.1576</t>
  </si>
  <si>
    <t>PUC Distribution Inc.1580</t>
  </si>
  <si>
    <t>PUC Distribution Inc.1582</t>
  </si>
  <si>
    <t>PUC Distribution Inc.1584</t>
  </si>
  <si>
    <t>PUC Distribution Inc.1586</t>
  </si>
  <si>
    <t>PUC Distribution Inc.1588</t>
  </si>
  <si>
    <t>PUC Distribution Inc.1589</t>
  </si>
  <si>
    <t>PUC Distribution Inc.1592</t>
  </si>
  <si>
    <t>PUC Distribution Inc.1595</t>
  </si>
  <si>
    <t>PUC Distribution Inc.1595_(2008)</t>
  </si>
  <si>
    <t>PUC Distribution Inc.1595_(2009)</t>
  </si>
  <si>
    <t>PUC Distribution Inc.1595_(2010)</t>
  </si>
  <si>
    <t>PUC Distribution Inc.1595_(2011)</t>
  </si>
  <si>
    <t>PUC Distribution Inc.1595_(2012)</t>
  </si>
  <si>
    <t>PUC Distribution Inc.1595_(2013)</t>
  </si>
  <si>
    <t>PUC Distribution Inc.1595_(2014)</t>
  </si>
  <si>
    <t>PUC Distribution Inc.1595_(2015)</t>
  </si>
  <si>
    <t>PUC Distribution Inc.1595_(2016)</t>
  </si>
  <si>
    <t>PUC Distribution Inc.1595_(2017)</t>
  </si>
  <si>
    <t>PUC Distribution Inc.1595_ControlAccount</t>
  </si>
  <si>
    <t>PUC Distribution Inc.2425</t>
  </si>
  <si>
    <t>Renfrew Hydro Inc.1508</t>
  </si>
  <si>
    <t>Renfrew Hydro Inc.1518</t>
  </si>
  <si>
    <t>Renfrew Hydro Inc.1522</t>
  </si>
  <si>
    <t>Renfrew Hydro Inc.1525</t>
  </si>
  <si>
    <t>Renfrew Hydro Inc.1531</t>
  </si>
  <si>
    <t>Renfrew Hydro Inc.1532</t>
  </si>
  <si>
    <t>Renfrew Hydro Inc.1533</t>
  </si>
  <si>
    <t>Renfrew Hydro Inc.1534</t>
  </si>
  <si>
    <t>Renfrew Hydro Inc.1535</t>
  </si>
  <si>
    <t>Renfrew Hydro Inc.1536</t>
  </si>
  <si>
    <t>Renfrew Hydro Inc.1548</t>
  </si>
  <si>
    <t>Renfrew Hydro Inc.1550</t>
  </si>
  <si>
    <t>Renfrew Hydro Inc.1551</t>
  </si>
  <si>
    <t>Renfrew Hydro Inc.1555</t>
  </si>
  <si>
    <t>Renfrew Hydro Inc.1557</t>
  </si>
  <si>
    <t>Renfrew Hydro Inc.1568</t>
  </si>
  <si>
    <t>Renfrew Hydro Inc.1572</t>
  </si>
  <si>
    <t>Renfrew Hydro Inc.1574</t>
  </si>
  <si>
    <t>Renfrew Hydro Inc.1575</t>
  </si>
  <si>
    <t>Renfrew Hydro Inc.1576</t>
  </si>
  <si>
    <t>Renfrew Hydro Inc.1580</t>
  </si>
  <si>
    <t>Renfrew Hydro Inc.1582</t>
  </si>
  <si>
    <t>Renfrew Hydro Inc.1584</t>
  </si>
  <si>
    <t>Renfrew Hydro Inc.1586</t>
  </si>
  <si>
    <t>Renfrew Hydro Inc.1588</t>
  </si>
  <si>
    <t>Renfrew Hydro Inc.1589</t>
  </si>
  <si>
    <t>Renfrew Hydro Inc.1592</t>
  </si>
  <si>
    <t>Renfrew Hydro Inc.1595</t>
  </si>
  <si>
    <t>Renfrew Hydro Inc.1595_(2008)</t>
  </si>
  <si>
    <t>Renfrew Hydro Inc.1595_(2009)</t>
  </si>
  <si>
    <t>Renfrew Hydro Inc.1595_(2010)</t>
  </si>
  <si>
    <t>Renfrew Hydro Inc.1595_(2011)</t>
  </si>
  <si>
    <t>Renfrew Hydro Inc.1595_(2012)</t>
  </si>
  <si>
    <t>Renfrew Hydro Inc.1595_(2013)</t>
  </si>
  <si>
    <t>Renfrew Hydro Inc.1595_(2014)</t>
  </si>
  <si>
    <t>Renfrew Hydro Inc.1595_(2015)</t>
  </si>
  <si>
    <t>Renfrew Hydro Inc.1595_(2016)</t>
  </si>
  <si>
    <t>Renfrew Hydro Inc.1595_(2017)</t>
  </si>
  <si>
    <t>Renfrew Hydro Inc.1595_ControlAccount</t>
  </si>
  <si>
    <t>Renfrew Hydro Inc.2425</t>
  </si>
  <si>
    <t>Rideau St. Lawrence Distribution Inc.1508</t>
  </si>
  <si>
    <t>Rideau St. Lawrence Distribution Inc.1518</t>
  </si>
  <si>
    <t>Rideau St. Lawrence Distribution Inc.1522</t>
  </si>
  <si>
    <t>Rideau St. Lawrence Distribution Inc.1525</t>
  </si>
  <si>
    <t>Rideau St. Lawrence Distribution Inc.1531</t>
  </si>
  <si>
    <t>Rideau St. Lawrence Distribution Inc.1532</t>
  </si>
  <si>
    <t>Rideau St. Lawrence Distribution Inc.1533</t>
  </si>
  <si>
    <t>Rideau St. Lawrence Distribution Inc.1534</t>
  </si>
  <si>
    <t>Rideau St. Lawrence Distribution Inc.1535</t>
  </si>
  <si>
    <t>Rideau St. Lawrence Distribution Inc.1536</t>
  </si>
  <si>
    <t>Rideau St. Lawrence Distribution Inc.1548</t>
  </si>
  <si>
    <t>Rideau St. Lawrence Distribution Inc.1550</t>
  </si>
  <si>
    <t>Rideau St. Lawrence Distribution Inc.1551</t>
  </si>
  <si>
    <t>Rideau St. Lawrence Distribution Inc.1555</t>
  </si>
  <si>
    <t>Rideau St. Lawrence Distribution Inc.1557</t>
  </si>
  <si>
    <t>Rideau St. Lawrence Distribution Inc.1568</t>
  </si>
  <si>
    <t>Rideau St. Lawrence Distribution Inc.1572</t>
  </si>
  <si>
    <t>Rideau St. Lawrence Distribution Inc.1574</t>
  </si>
  <si>
    <t>Rideau St. Lawrence Distribution Inc.1575</t>
  </si>
  <si>
    <t>Rideau St. Lawrence Distribution Inc.1576</t>
  </si>
  <si>
    <t>Rideau St. Lawrence Distribution Inc.1580</t>
  </si>
  <si>
    <t>Rideau St. Lawrence Distribution Inc.1582</t>
  </si>
  <si>
    <t>Rideau St. Lawrence Distribution Inc.1584</t>
  </si>
  <si>
    <t>Rideau St. Lawrence Distribution Inc.1586</t>
  </si>
  <si>
    <t>Rideau St. Lawrence Distribution Inc.1588</t>
  </si>
  <si>
    <t>Rideau St. Lawrence Distribution Inc.1589</t>
  </si>
  <si>
    <t>Rideau St. Lawrence Distribution Inc.1592</t>
  </si>
  <si>
    <t>Rideau St. Lawrence Distribution Inc.1595</t>
  </si>
  <si>
    <t>Rideau St. Lawrence Distribution Inc.1595_(2008)</t>
  </si>
  <si>
    <t>Rideau St. Lawrence Distribution Inc.1595_(2009)</t>
  </si>
  <si>
    <t>Rideau St. Lawrence Distribution Inc.1595_(2010)</t>
  </si>
  <si>
    <t>Rideau St. Lawrence Distribution Inc.1595_(2011)</t>
  </si>
  <si>
    <t>Rideau St. Lawrence Distribution Inc.1595_(2012)</t>
  </si>
  <si>
    <t>Rideau St. Lawrence Distribution Inc.1595_(2013)</t>
  </si>
  <si>
    <t>Rideau St. Lawrence Distribution Inc.1595_(2014)</t>
  </si>
  <si>
    <t>Rideau St. Lawrence Distribution Inc.1595_(2015)</t>
  </si>
  <si>
    <t>Rideau St. Lawrence Distribution Inc.1595_(2016)</t>
  </si>
  <si>
    <t>Rideau St. Lawrence Distribution Inc.1595_(2017)</t>
  </si>
  <si>
    <t>Rideau St. Lawrence Distribution Inc.1595_ControlAccount</t>
  </si>
  <si>
    <t>Rideau St. Lawrence Distribution Inc.2425</t>
  </si>
  <si>
    <t>Sioux Lookout Hydro Inc.1508</t>
  </si>
  <si>
    <t>Sioux Lookout Hydro Inc.1518</t>
  </si>
  <si>
    <t>Sioux Lookout Hydro Inc.1522</t>
  </si>
  <si>
    <t>Sioux Lookout Hydro Inc.1525</t>
  </si>
  <si>
    <t>Sioux Lookout Hydro Inc.1531</t>
  </si>
  <si>
    <t>Sioux Lookout Hydro Inc.1532</t>
  </si>
  <si>
    <t>Sioux Lookout Hydro Inc.1533</t>
  </si>
  <si>
    <t>Sioux Lookout Hydro Inc.1534</t>
  </si>
  <si>
    <t>Sioux Lookout Hydro Inc.1535</t>
  </si>
  <si>
    <t>Sioux Lookout Hydro Inc.1536</t>
  </si>
  <si>
    <t>Sioux Lookout Hydro Inc.1548</t>
  </si>
  <si>
    <t>Sioux Lookout Hydro Inc.1550</t>
  </si>
  <si>
    <t>Sioux Lookout Hydro Inc.1551</t>
  </si>
  <si>
    <t>Sioux Lookout Hydro Inc.1555</t>
  </si>
  <si>
    <t>Sioux Lookout Hydro Inc.1557</t>
  </si>
  <si>
    <t>Sioux Lookout Hydro Inc.1568</t>
  </si>
  <si>
    <t>Sioux Lookout Hydro Inc.1572</t>
  </si>
  <si>
    <t>Sioux Lookout Hydro Inc.1574</t>
  </si>
  <si>
    <t>Sioux Lookout Hydro Inc.1575</t>
  </si>
  <si>
    <t>Sioux Lookout Hydro Inc.1576</t>
  </si>
  <si>
    <t>Sioux Lookout Hydro Inc.1580</t>
  </si>
  <si>
    <t>Sioux Lookout Hydro Inc.1582</t>
  </si>
  <si>
    <t>Sioux Lookout Hydro Inc.1584</t>
  </si>
  <si>
    <t>Sioux Lookout Hydro Inc.1586</t>
  </si>
  <si>
    <t>Sioux Lookout Hydro Inc.1588</t>
  </si>
  <si>
    <t>Sioux Lookout Hydro Inc.1589</t>
  </si>
  <si>
    <t>Sioux Lookout Hydro Inc.1592</t>
  </si>
  <si>
    <t>Sioux Lookout Hydro Inc.1595</t>
  </si>
  <si>
    <t>Sioux Lookout Hydro Inc.1595_(2008)</t>
  </si>
  <si>
    <t>Sioux Lookout Hydro Inc.1595_(2009)</t>
  </si>
  <si>
    <t>Sioux Lookout Hydro Inc.1595_(2010)</t>
  </si>
  <si>
    <t>Sioux Lookout Hydro Inc.1595_(2011)</t>
  </si>
  <si>
    <t>Sioux Lookout Hydro Inc.1595_(2012)</t>
  </si>
  <si>
    <t>Sioux Lookout Hydro Inc.1595_(2013)</t>
  </si>
  <si>
    <t>Sioux Lookout Hydro Inc.1595_(2014)</t>
  </si>
  <si>
    <t>Sioux Lookout Hydro Inc.1595_(2015)</t>
  </si>
  <si>
    <t>Sioux Lookout Hydro Inc.1595_(2016)</t>
  </si>
  <si>
    <t>Sioux Lookout Hydro Inc.1595_(2017)</t>
  </si>
  <si>
    <t>Sioux Lookout Hydro Inc.1595_ControlAccount</t>
  </si>
  <si>
    <t>Sioux Lookout Hydro Inc.2425</t>
  </si>
  <si>
    <t>Tillsonburg Hydro Inc.1508</t>
  </si>
  <si>
    <t>Tillsonburg Hydro Inc.1518</t>
  </si>
  <si>
    <t>Tillsonburg Hydro Inc.1522</t>
  </si>
  <si>
    <t>Tillsonburg Hydro Inc.1525</t>
  </si>
  <si>
    <t>Tillsonburg Hydro Inc.1531</t>
  </si>
  <si>
    <t>Tillsonburg Hydro Inc.1532</t>
  </si>
  <si>
    <t>Tillsonburg Hydro Inc.1533</t>
  </si>
  <si>
    <t>Tillsonburg Hydro Inc.1534</t>
  </si>
  <si>
    <t>Tillsonburg Hydro Inc.1535</t>
  </si>
  <si>
    <t>Tillsonburg Hydro Inc.1536</t>
  </si>
  <si>
    <t>Tillsonburg Hydro Inc.1548</t>
  </si>
  <si>
    <t>Tillsonburg Hydro Inc.1550</t>
  </si>
  <si>
    <t>Tillsonburg Hydro Inc.1551</t>
  </si>
  <si>
    <t>Tillsonburg Hydro Inc.1555</t>
  </si>
  <si>
    <t>Tillsonburg Hydro Inc.1557</t>
  </si>
  <si>
    <t>Tillsonburg Hydro Inc.1568</t>
  </si>
  <si>
    <t>Tillsonburg Hydro Inc.1572</t>
  </si>
  <si>
    <t>Tillsonburg Hydro Inc.1574</t>
  </si>
  <si>
    <t>Tillsonburg Hydro Inc.1575</t>
  </si>
  <si>
    <t>Tillsonburg Hydro Inc.1576</t>
  </si>
  <si>
    <t>Tillsonburg Hydro Inc.1580</t>
  </si>
  <si>
    <t>Tillsonburg Hydro Inc.1582</t>
  </si>
  <si>
    <t>Tillsonburg Hydro Inc.1584</t>
  </si>
  <si>
    <t>Tillsonburg Hydro Inc.1586</t>
  </si>
  <si>
    <t>Tillsonburg Hydro Inc.1588</t>
  </si>
  <si>
    <t>Tillsonburg Hydro Inc.1589</t>
  </si>
  <si>
    <t>Tillsonburg Hydro Inc.1592</t>
  </si>
  <si>
    <t>Tillsonburg Hydro Inc.1595</t>
  </si>
  <si>
    <t>Tillsonburg Hydro Inc.1595_(2008)</t>
  </si>
  <si>
    <t>Tillsonburg Hydro Inc.1595_(2009)</t>
  </si>
  <si>
    <t>Tillsonburg Hydro Inc.1595_(2010)</t>
  </si>
  <si>
    <t>Tillsonburg Hydro Inc.1595_(2011)</t>
  </si>
  <si>
    <t>Tillsonburg Hydro Inc.1595_(2012)</t>
  </si>
  <si>
    <t>Tillsonburg Hydro Inc.1595_(2013)</t>
  </si>
  <si>
    <t>Tillsonburg Hydro Inc.1595_(2014)</t>
  </si>
  <si>
    <t>Tillsonburg Hydro Inc.1595_(2015)</t>
  </si>
  <si>
    <t>Tillsonburg Hydro Inc.1595_(2016)</t>
  </si>
  <si>
    <t>Tillsonburg Hydro Inc.1595_(2017)</t>
  </si>
  <si>
    <t>Tillsonburg Hydro Inc.1595_ControlAccount</t>
  </si>
  <si>
    <t>Tillsonburg Hydro Inc.2425</t>
  </si>
  <si>
    <t>Toronto Hydro-Electric System Limited1508</t>
  </si>
  <si>
    <t>Toronto Hydro-Electric System Limited1518</t>
  </si>
  <si>
    <t>Toronto Hydro-Electric System Limited1522</t>
  </si>
  <si>
    <t>Toronto Hydro-Electric System Limited1525</t>
  </si>
  <si>
    <t>Toronto Hydro-Electric System Limited1531</t>
  </si>
  <si>
    <t>Toronto Hydro-Electric System Limited1532</t>
  </si>
  <si>
    <t>Toronto Hydro-Electric System Limited1533</t>
  </si>
  <si>
    <t>Toronto Hydro-Electric System Limited1534</t>
  </si>
  <si>
    <t>Toronto Hydro-Electric System Limited1535</t>
  </si>
  <si>
    <t>Toronto Hydro-Electric System Limited1536</t>
  </si>
  <si>
    <t>Toronto Hydro-Electric System Limited1548</t>
  </si>
  <si>
    <t>Toronto Hydro-Electric System Limited1550</t>
  </si>
  <si>
    <t>Toronto Hydro-Electric System Limited1551</t>
  </si>
  <si>
    <t>Toronto Hydro-Electric System Limited1555</t>
  </si>
  <si>
    <t>Toronto Hydro-Electric System Limited1557</t>
  </si>
  <si>
    <t>Toronto Hydro-Electric System Limited1568</t>
  </si>
  <si>
    <t>Toronto Hydro-Electric System Limited1572</t>
  </si>
  <si>
    <t>Toronto Hydro-Electric System Limited1574</t>
  </si>
  <si>
    <t>Toronto Hydro-Electric System Limited1575</t>
  </si>
  <si>
    <t>Toronto Hydro-Electric System Limited1576</t>
  </si>
  <si>
    <t>Toronto Hydro-Electric System Limited1580</t>
  </si>
  <si>
    <t>Toronto Hydro-Electric System Limited1582</t>
  </si>
  <si>
    <t>Toronto Hydro-Electric System Limited1584</t>
  </si>
  <si>
    <t>Toronto Hydro-Electric System Limited1586</t>
  </si>
  <si>
    <t>Toronto Hydro-Electric System Limited1588</t>
  </si>
  <si>
    <t>Toronto Hydro-Electric System Limited1589</t>
  </si>
  <si>
    <t>Toronto Hydro-Electric System Limited1592</t>
  </si>
  <si>
    <t>Toronto Hydro-Electric System Limited1595</t>
  </si>
  <si>
    <t>Toronto Hydro-Electric System Limited1595_(2008)</t>
  </si>
  <si>
    <t>Toronto Hydro-Electric System Limited1595_(2009)</t>
  </si>
  <si>
    <t>Toronto Hydro-Electric System Limited1595_(2010)</t>
  </si>
  <si>
    <t>Toronto Hydro-Electric System Limited1595_(2011)</t>
  </si>
  <si>
    <t>Toronto Hydro-Electric System Limited1595_(2012)</t>
  </si>
  <si>
    <t>Toronto Hydro-Electric System Limited1595_(2013)</t>
  </si>
  <si>
    <t>Toronto Hydro-Electric System Limited1595_(2014)</t>
  </si>
  <si>
    <t>Toronto Hydro-Electric System Limited1595_(2015)</t>
  </si>
  <si>
    <t>Toronto Hydro-Electric System Limited1595_(2016)</t>
  </si>
  <si>
    <t>Toronto Hydro-Electric System Limited1595_(2017)</t>
  </si>
  <si>
    <t>Toronto Hydro-Electric System Limited1595_ControlAccount</t>
  </si>
  <si>
    <t>Toronto Hydro-Electric System Limited2425</t>
  </si>
  <si>
    <t>Wasaga Distribution Inc.1508</t>
  </si>
  <si>
    <t>Wasaga Distribution Inc.1518</t>
  </si>
  <si>
    <t>Wasaga Distribution Inc.1522</t>
  </si>
  <si>
    <t>Wasaga Distribution Inc.1525</t>
  </si>
  <si>
    <t>Wasaga Distribution Inc.1531</t>
  </si>
  <si>
    <t>Wasaga Distribution Inc.1532</t>
  </si>
  <si>
    <t>Wasaga Distribution Inc.1533</t>
  </si>
  <si>
    <t>Wasaga Distribution Inc.1534</t>
  </si>
  <si>
    <t>Wasaga Distribution Inc.1535</t>
  </si>
  <si>
    <t>Wasaga Distribution Inc.1536</t>
  </si>
  <si>
    <t>Wasaga Distribution Inc.1548</t>
  </si>
  <si>
    <t>Wasaga Distribution Inc.1550</t>
  </si>
  <si>
    <t>Wasaga Distribution Inc.1551</t>
  </si>
  <si>
    <t>Wasaga Distribution Inc.1555</t>
  </si>
  <si>
    <t>Wasaga Distribution Inc.1557</t>
  </si>
  <si>
    <t>Wasaga Distribution Inc.1568</t>
  </si>
  <si>
    <t>Wasaga Distribution Inc.1572</t>
  </si>
  <si>
    <t>Wasaga Distribution Inc.1574</t>
  </si>
  <si>
    <t>Wasaga Distribution Inc.1575</t>
  </si>
  <si>
    <t>Wasaga Distribution Inc.1576</t>
  </si>
  <si>
    <t>Wasaga Distribution Inc.1580</t>
  </si>
  <si>
    <t>Wasaga Distribution Inc.1582</t>
  </si>
  <si>
    <t>Wasaga Distribution Inc.1584</t>
  </si>
  <si>
    <t>Wasaga Distribution Inc.1586</t>
  </si>
  <si>
    <t>Wasaga Distribution Inc.1588</t>
  </si>
  <si>
    <t>Wasaga Distribution Inc.1589</t>
  </si>
  <si>
    <t>Wasaga Distribution Inc.1592</t>
  </si>
  <si>
    <t>Wasaga Distribution Inc.1595</t>
  </si>
  <si>
    <t>Wasaga Distribution Inc.1595_(2008)</t>
  </si>
  <si>
    <t>Wasaga Distribution Inc.1595_(2009)</t>
  </si>
  <si>
    <t>Wasaga Distribution Inc.1595_(2010)</t>
  </si>
  <si>
    <t>Wasaga Distribution Inc.1595_(2011)</t>
  </si>
  <si>
    <t>Wasaga Distribution Inc.1595_(2012)</t>
  </si>
  <si>
    <t>Wasaga Distribution Inc.1595_(2013)</t>
  </si>
  <si>
    <t>Wasaga Distribution Inc.1595_(2014)</t>
  </si>
  <si>
    <t>Wasaga Distribution Inc.1595_(2015)</t>
  </si>
  <si>
    <t>Wasaga Distribution Inc.1595_(2016)</t>
  </si>
  <si>
    <t>Wasaga Distribution Inc.1595_(2017)</t>
  </si>
  <si>
    <t>Wasaga Distribution Inc.1595_ControlAccount</t>
  </si>
  <si>
    <t>Wasaga Distribution Inc.2425</t>
  </si>
  <si>
    <t>Waterloo North Hydro Inc.1508</t>
  </si>
  <si>
    <t>Waterloo North Hydro Inc.1518</t>
  </si>
  <si>
    <t>Waterloo North Hydro Inc.1522</t>
  </si>
  <si>
    <t>Waterloo North Hydro Inc.1525</t>
  </si>
  <si>
    <t>Waterloo North Hydro Inc.1531</t>
  </si>
  <si>
    <t>Waterloo North Hydro Inc.1532</t>
  </si>
  <si>
    <t>Waterloo North Hydro Inc.1533</t>
  </si>
  <si>
    <t>Waterloo North Hydro Inc.1534</t>
  </si>
  <si>
    <t>Waterloo North Hydro Inc.1535</t>
  </si>
  <si>
    <t>Waterloo North Hydro Inc.1536</t>
  </si>
  <si>
    <t>Waterloo North Hydro Inc.1548</t>
  </si>
  <si>
    <t>Waterloo North Hydro Inc.1550</t>
  </si>
  <si>
    <t>Waterloo North Hydro Inc.1551</t>
  </si>
  <si>
    <t>Waterloo North Hydro Inc.1555</t>
  </si>
  <si>
    <t>Waterloo North Hydro Inc.1557</t>
  </si>
  <si>
    <t>Waterloo North Hydro Inc.1568</t>
  </si>
  <si>
    <t>Waterloo North Hydro Inc.1572</t>
  </si>
  <si>
    <t>Waterloo North Hydro Inc.1574</t>
  </si>
  <si>
    <t>Waterloo North Hydro Inc.1575</t>
  </si>
  <si>
    <t>Waterloo North Hydro Inc.1576</t>
  </si>
  <si>
    <t>Waterloo North Hydro Inc.1580</t>
  </si>
  <si>
    <t>Waterloo North Hydro Inc.1582</t>
  </si>
  <si>
    <t>Waterloo North Hydro Inc.1584</t>
  </si>
  <si>
    <t>Waterloo North Hydro Inc.1586</t>
  </si>
  <si>
    <t>Waterloo North Hydro Inc.1588</t>
  </si>
  <si>
    <t>Waterloo North Hydro Inc.1589</t>
  </si>
  <si>
    <t>Waterloo North Hydro Inc.1592</t>
  </si>
  <si>
    <t>Waterloo North Hydro Inc.1595</t>
  </si>
  <si>
    <t>Waterloo North Hydro Inc.1595_(2008)</t>
  </si>
  <si>
    <t>Waterloo North Hydro Inc.1595_(2009)</t>
  </si>
  <si>
    <t>Waterloo North Hydro Inc.1595_(2010)</t>
  </si>
  <si>
    <t>Waterloo North Hydro Inc.1595_(2011)</t>
  </si>
  <si>
    <t>Waterloo North Hydro Inc.1595_(2012)</t>
  </si>
  <si>
    <t>Waterloo North Hydro Inc.1595_(2013)</t>
  </si>
  <si>
    <t>Waterloo North Hydro Inc.1595_(2014)</t>
  </si>
  <si>
    <t>Waterloo North Hydro Inc.1595_(2015)</t>
  </si>
  <si>
    <t>Waterloo North Hydro Inc.1595_(2016)</t>
  </si>
  <si>
    <t>Waterloo North Hydro Inc.1595_(2017)</t>
  </si>
  <si>
    <t>Waterloo North Hydro Inc.1595_ControlAccount</t>
  </si>
  <si>
    <t>Waterloo North Hydro Inc.2425</t>
  </si>
  <si>
    <t>Welland Hydro-Electric System Corp.1508</t>
  </si>
  <si>
    <t>Welland Hydro-Electric System Corp.1518</t>
  </si>
  <si>
    <t>Welland Hydro-Electric System Corp.1522</t>
  </si>
  <si>
    <t>Welland Hydro-Electric System Corp.1525</t>
  </si>
  <si>
    <t>Welland Hydro-Electric System Corp.1531</t>
  </si>
  <si>
    <t>Welland Hydro-Electric System Corp.1532</t>
  </si>
  <si>
    <t>Welland Hydro-Electric System Corp.1533</t>
  </si>
  <si>
    <t>Welland Hydro-Electric System Corp.1534</t>
  </si>
  <si>
    <t>Welland Hydro-Electric System Corp.1535</t>
  </si>
  <si>
    <t>Welland Hydro-Electric System Corp.1536</t>
  </si>
  <si>
    <t>Welland Hydro-Electric System Corp.1548</t>
  </si>
  <si>
    <t>Welland Hydro-Electric System Corp.1550</t>
  </si>
  <si>
    <t>Welland Hydro-Electric System Corp.1551</t>
  </si>
  <si>
    <t>Welland Hydro-Electric System Corp.1555</t>
  </si>
  <si>
    <t>Welland Hydro-Electric System Corp.1557</t>
  </si>
  <si>
    <t>Welland Hydro-Electric System Corp.1568</t>
  </si>
  <si>
    <t>Welland Hydro-Electric System Corp.1572</t>
  </si>
  <si>
    <t>Welland Hydro-Electric System Corp.1574</t>
  </si>
  <si>
    <t>Welland Hydro-Electric System Corp.1575</t>
  </si>
  <si>
    <t>Welland Hydro-Electric System Corp.1576</t>
  </si>
  <si>
    <t>Welland Hydro-Electric System Corp.1580</t>
  </si>
  <si>
    <t>Welland Hydro-Electric System Corp.1582</t>
  </si>
  <si>
    <t>Welland Hydro-Electric System Corp.1584</t>
  </si>
  <si>
    <t>Welland Hydro-Electric System Corp.1586</t>
  </si>
  <si>
    <t>Welland Hydro-Electric System Corp.1588</t>
  </si>
  <si>
    <t>Welland Hydro-Electric System Corp.1589</t>
  </si>
  <si>
    <t>Welland Hydro-Electric System Corp.1592</t>
  </si>
  <si>
    <t>Welland Hydro-Electric System Corp.1595</t>
  </si>
  <si>
    <t>Welland Hydro-Electric System Corp.1595_(2008)</t>
  </si>
  <si>
    <t>Welland Hydro-Electric System Corp.1595_(2009)</t>
  </si>
  <si>
    <t>Welland Hydro-Electric System Corp.1595_(2010)</t>
  </si>
  <si>
    <t>Welland Hydro-Electric System Corp.1595_(2011)</t>
  </si>
  <si>
    <t>Welland Hydro-Electric System Corp.1595_(2012)</t>
  </si>
  <si>
    <t>Welland Hydro-Electric System Corp.1595_(2013)</t>
  </si>
  <si>
    <t>Welland Hydro-Electric System Corp.1595_(2014)</t>
  </si>
  <si>
    <t>Welland Hydro-Electric System Corp.1595_(2015)</t>
  </si>
  <si>
    <t>Welland Hydro-Electric System Corp.1595_(2016)</t>
  </si>
  <si>
    <t>Welland Hydro-Electric System Corp.1595_(2017)</t>
  </si>
  <si>
    <t>Welland Hydro-Electric System Corp.1595_ControlAccount</t>
  </si>
  <si>
    <t>Welland Hydro-Electric System Corp.2425</t>
  </si>
  <si>
    <t>Wellington North Power Inc.1508</t>
  </si>
  <si>
    <t>Wellington North Power Inc.1518</t>
  </si>
  <si>
    <t>Wellington North Power Inc.1522</t>
  </si>
  <si>
    <t>Wellington North Power Inc.1525</t>
  </si>
  <si>
    <t>Wellington North Power Inc.1531</t>
  </si>
  <si>
    <t>Wellington North Power Inc.1532</t>
  </si>
  <si>
    <t>Wellington North Power Inc.1533</t>
  </si>
  <si>
    <t>Wellington North Power Inc.1534</t>
  </si>
  <si>
    <t>Wellington North Power Inc.1535</t>
  </si>
  <si>
    <t>Wellington North Power Inc.1536</t>
  </si>
  <si>
    <t>Wellington North Power Inc.1548</t>
  </si>
  <si>
    <t>Wellington North Power Inc.1550</t>
  </si>
  <si>
    <t>Wellington North Power Inc.1551</t>
  </si>
  <si>
    <t>Wellington North Power Inc.1555</t>
  </si>
  <si>
    <t>Wellington North Power Inc.1557</t>
  </si>
  <si>
    <t>Wellington North Power Inc.1568</t>
  </si>
  <si>
    <t>Wellington North Power Inc.1572</t>
  </si>
  <si>
    <t>Wellington North Power Inc.1574</t>
  </si>
  <si>
    <t>Wellington North Power Inc.1575</t>
  </si>
  <si>
    <t>Wellington North Power Inc.1576</t>
  </si>
  <si>
    <t>Wellington North Power Inc.1580</t>
  </si>
  <si>
    <t>Wellington North Power Inc.1582</t>
  </si>
  <si>
    <t>Wellington North Power Inc.1584</t>
  </si>
  <si>
    <t>Wellington North Power Inc.1586</t>
  </si>
  <si>
    <t>Wellington North Power Inc.1588</t>
  </si>
  <si>
    <t>Wellington North Power Inc.1589</t>
  </si>
  <si>
    <t>Wellington North Power Inc.1592</t>
  </si>
  <si>
    <t>Wellington North Power Inc.1595</t>
  </si>
  <si>
    <t>Wellington North Power Inc.1595_(2008)</t>
  </si>
  <si>
    <t>Wellington North Power Inc.1595_(2009)</t>
  </si>
  <si>
    <t>Wellington North Power Inc.1595_(2010)</t>
  </si>
  <si>
    <t>Wellington North Power Inc.1595_(2011)</t>
  </si>
  <si>
    <t>Wellington North Power Inc.1595_(2012)</t>
  </si>
  <si>
    <t>Wellington North Power Inc.1595_(2013)</t>
  </si>
  <si>
    <t>Wellington North Power Inc.1595_(2014)</t>
  </si>
  <si>
    <t>Wellington North Power Inc.1595_(2015)</t>
  </si>
  <si>
    <t>Wellington North Power Inc.1595_(2016)</t>
  </si>
  <si>
    <t>Wellington North Power Inc.1595_(2017)</t>
  </si>
  <si>
    <t>Wellington North Power Inc.1595_ControlAccount</t>
  </si>
  <si>
    <t>Wellington North Power Inc.2425</t>
  </si>
  <si>
    <t>Westario Power Inc.1508</t>
  </si>
  <si>
    <t>Westario Power Inc.1518</t>
  </si>
  <si>
    <t>Westario Power Inc.1522</t>
  </si>
  <si>
    <t>Westario Power Inc.1525</t>
  </si>
  <si>
    <t>Westario Power Inc.1531</t>
  </si>
  <si>
    <t>Westario Power Inc.1532</t>
  </si>
  <si>
    <t>Westario Power Inc.1533</t>
  </si>
  <si>
    <t>Westario Power Inc.1534</t>
  </si>
  <si>
    <t>Westario Power Inc.1535</t>
  </si>
  <si>
    <t>Westario Power Inc.1536</t>
  </si>
  <si>
    <t>Westario Power Inc.1548</t>
  </si>
  <si>
    <t>Westario Power Inc.1550</t>
  </si>
  <si>
    <t>Westario Power Inc.1551</t>
  </si>
  <si>
    <t>Westario Power Inc.1555</t>
  </si>
  <si>
    <t>Westario Power Inc.1557</t>
  </si>
  <si>
    <t>Westario Power Inc.1568</t>
  </si>
  <si>
    <t>Westario Power Inc.1572</t>
  </si>
  <si>
    <t>Westario Power Inc.1574</t>
  </si>
  <si>
    <t>Westario Power Inc.1575</t>
  </si>
  <si>
    <t>Westario Power Inc.1576</t>
  </si>
  <si>
    <t>Westario Power Inc.1580</t>
  </si>
  <si>
    <t>Westario Power Inc.1582</t>
  </si>
  <si>
    <t>Westario Power Inc.1584</t>
  </si>
  <si>
    <t>Westario Power Inc.1586</t>
  </si>
  <si>
    <t>Westario Power Inc.1588</t>
  </si>
  <si>
    <t>Westario Power Inc.1589</t>
  </si>
  <si>
    <t>Westario Power Inc.1592</t>
  </si>
  <si>
    <t>Westario Power Inc.1595</t>
  </si>
  <si>
    <t>Westario Power Inc.1595_(2008)</t>
  </si>
  <si>
    <t>Westario Power Inc.1595_(2009)</t>
  </si>
  <si>
    <t>Westario Power Inc.1595_(2010)</t>
  </si>
  <si>
    <t>Westario Power Inc.1595_(2011)</t>
  </si>
  <si>
    <t>Westario Power Inc.1595_(2012)</t>
  </si>
  <si>
    <t>Westario Power Inc.1595_(2013)</t>
  </si>
  <si>
    <t>Westario Power Inc.1595_(2014)</t>
  </si>
  <si>
    <t>Westario Power Inc.1595_(2015)</t>
  </si>
  <si>
    <t>Westario Power Inc.1595_(2016)</t>
  </si>
  <si>
    <t>Westario Power Inc.1595_(2017)</t>
  </si>
  <si>
    <t>Westario Power Inc.1595_ControlAccount</t>
  </si>
  <si>
    <t>Westario Power Inc.2425</t>
  </si>
  <si>
    <t>Please see instructions tab for detailed instructions on how to complete the DVA Continuity Schedule. Column BV has been pre-populated from the most recent RRR filing</t>
  </si>
  <si>
    <r>
      <rPr>
        <vertAlign val="superscript"/>
        <sz val="10"/>
        <rFont val="Arial"/>
        <family val="2"/>
      </rPr>
      <t xml:space="preserve">4 </t>
    </r>
    <r>
      <rPr>
        <sz val="10"/>
        <rFont val="Arial"/>
        <family val="2"/>
      </rPr>
      <t>If a distributor uses the actual GA price to bill non-RPP Class B customers for an entire rate class, it must exclude these customers from the allocation of the GA balance and the calculation of the resulting rate riders. These rate classes are not to be charged/refunded the general GA rate rider as they did not contribute to the GA balance. If this is the case, this must be noted in the evidence and the proposed allocation methodology must be explained.</t>
    </r>
  </si>
  <si>
    <r>
      <t xml:space="preserve">Metered </t>
    </r>
    <r>
      <rPr>
        <b/>
        <sz val="10"/>
        <color rgb="FFFF0000"/>
        <rFont val="Arial"/>
        <family val="2"/>
      </rPr>
      <t>kWh</t>
    </r>
    <r>
      <rPr>
        <b/>
        <sz val="10"/>
        <rFont val="Arial"/>
        <family val="2"/>
      </rPr>
      <t xml:space="preserve"> for 
</t>
    </r>
    <r>
      <rPr>
        <b/>
        <sz val="10"/>
        <color rgb="FF0070C0"/>
        <rFont val="Arial"/>
        <family val="2"/>
      </rPr>
      <t>Non-RPP</t>
    </r>
    <r>
      <rPr>
        <b/>
        <sz val="10"/>
        <rFont val="Arial"/>
        <family val="2"/>
      </rPr>
      <t xml:space="preserve"> Customers</t>
    </r>
    <r>
      <rPr>
        <b/>
        <vertAlign val="superscript"/>
        <sz val="10"/>
        <rFont val="Arial"/>
        <family val="2"/>
      </rPr>
      <t xml:space="preserve"> 4</t>
    </r>
  </si>
  <si>
    <t>Account 1589 (allocated to Non-WMPs)</t>
  </si>
  <si>
    <t>Year Account 1589 GA Balance Last Disposed</t>
  </si>
  <si>
    <t>Total Metered Forecast Consumption Minus WMP</t>
  </si>
  <si>
    <t>Summary of Changes from the Prior Year</t>
  </si>
  <si>
    <t>1 - Information Sheet</t>
  </si>
  <si>
    <t xml:space="preserve">This tab shows some information pertaining to the utility and the application. </t>
  </si>
  <si>
    <t>Complete the information sheet.</t>
  </si>
  <si>
    <t>Responses to these questions will open the DVA continuity schedule in tabs 2a and 2b to the appropriate year that DVA balances should first be inputted.</t>
  </si>
  <si>
    <t>If the response to question 5 (GA) or 6 (CBR Class B) is yes, tab 6 relating to Class A customers' consumption will be generated.</t>
  </si>
  <si>
    <t>If the response to question 6 is yes, then  tab 6.2 will also be generated. Tab 6.2 calculates the billing determinants for the Account 1580, sub-account CBR Class B  rate rider, if applicable, using information inputted in tabs 4 and 6.</t>
  </si>
  <si>
    <t>If the response to question 6 is no, then the balance in the Account 1580, sub-account CBR Class B will be allocated and disposed with Account 1580 WMS, as part of the general DVA rate rider</t>
  </si>
  <si>
    <t>2a and 2b - Continuity Schedule</t>
  </si>
  <si>
    <t>These tabs are the continuity schedules that show all the accounts and the accumulation of the balances a utility has. Tab 2a is for Group 1 DVAs. Tab 2b is for Group 2 DVAs.</t>
  </si>
  <si>
    <t>Indicate whether disposition is requested for various accounts in column BU</t>
  </si>
  <si>
    <t>Review any balance variance between the DVA continuity schedule and the RRR in column BW. Provide an explanation in tab 3, if necessary.</t>
  </si>
  <si>
    <t>This tab allocates the DVA balances</t>
  </si>
  <si>
    <t>Review the allocated balances to ensure the allocation is appropriate. Note that the allocations for Accounts 1589 and 1580 CBR Class B will be determined after tabs 6 to 6.2a have been completed.</t>
  </si>
  <si>
    <t>This tab is to be completed if there were any Class A customers during the period the GA balance CBR Class B balance accumulated. The data on this tab is used for the purposes of determining the GA rate rider, CBR Class B rate rider (if applicable), as well as customer specific GA and CBR Class B charges for transition customers (if applicable).</t>
  </si>
  <si>
    <t xml:space="preserve">This tab is generated when the utility selects yes to questions 5 or 6 in tab 1, indicating they had Class A customers during the period that the GA or CBR balance accumulated. </t>
  </si>
  <si>
    <t>Under #2a, indicate whether the utility had any customers that transitioned between Class A and B  during the period the Account 1589 GA balance accumulated. If yes, tab 6.1a will be generated.</t>
  </si>
  <si>
    <t xml:space="preserve">Under #2b, indicate whether the utility had any customers that transitioned between Class A and B during the period the Account 1580, sub-account CBR Class B balance accumulated. If yes, tab 6.2a will be generated. </t>
  </si>
  <si>
    <t xml:space="preserve">Under #3a, enter the number of transition customers the utility had during the period the Account 1589 GA or Account 1580 CBR Class B balances accumulated.  A table will be generated based on the number of customers. 
Complete the table accordingly for each transition customer identified (i.e. kWh/kW for half year periods, and the customer class during the half year). This data will automatically be used in the GA balance and CBR Class B balance allocation to transition customers in tabs 6.1a. and 6.2a., respectively. 
Note that each transition customer identified in tab 6, table 3a will be assigned a customer number and the number will correspond to the same transition customers populated in tabs 6.1a. and 6.2a.  
Also note that the transition customers identified for the GA may be different than those for CBR Class B. This would depend on the period in which the GA and CBR Class B balances accumulated. </t>
  </si>
  <si>
    <t>This tab is generated when the utility indicates that they had transition customers in tab 6, #2a during the period the GA balance accumulated.</t>
  </si>
  <si>
    <t>This tab calculates the billing determinants for the CBR Class B rate rider, if applicable.</t>
  </si>
  <si>
    <t>This tab is generated when the response to question 6 in tab 1 is "yes", indicating that they had Class A customers during the period that Account 1580, sub-account CBR Class B balance accumulated.</t>
  </si>
  <si>
    <t xml:space="preserve">No input is required. The information in the tab is auto-populated and will be used in the calculation of the CBR Class B rate rider calculated in tab 7. </t>
  </si>
  <si>
    <t>This tab is generated when the utility indicates that they had transition customers in tab 6, #2b during the period where the CBR Class B balance accumulated.</t>
  </si>
  <si>
    <t>.</t>
  </si>
  <si>
    <t>If there are Class A customers, but a CBR Class B rate rider is not produced, the entire Account 1580 CBR Class B balance, including the amount allocated to transition customers will be transferred to Account 1580 WMS, to be disposed through the general Group 1 DVA rate rider.</t>
  </si>
  <si>
    <r>
      <t xml:space="preserve">Metered </t>
    </r>
    <r>
      <rPr>
        <b/>
        <sz val="10"/>
        <color rgb="FFFF0000"/>
        <rFont val="Arial"/>
        <family val="2"/>
      </rPr>
      <t>kW</t>
    </r>
    <r>
      <rPr>
        <b/>
        <sz val="10"/>
        <rFont val="Arial"/>
        <family val="2"/>
      </rPr>
      <t xml:space="preserve"> for 
</t>
    </r>
    <r>
      <rPr>
        <b/>
        <sz val="10"/>
        <color rgb="FF0070C0"/>
        <rFont val="Arial"/>
        <family val="2"/>
      </rPr>
      <t>Non-RPP</t>
    </r>
    <r>
      <rPr>
        <b/>
        <sz val="10"/>
        <rFont val="Arial"/>
        <family val="2"/>
      </rPr>
      <t xml:space="preserve"> Customers </t>
    </r>
    <r>
      <rPr>
        <b/>
        <vertAlign val="superscript"/>
        <sz val="10"/>
        <rFont val="Arial"/>
        <family val="2"/>
      </rPr>
      <t>4</t>
    </r>
  </si>
  <si>
    <t>Questions 1 to 4</t>
  </si>
  <si>
    <t>Questions 5 to 6</t>
  </si>
  <si>
    <r>
      <t xml:space="preserve">1595 Recovery Share Proportion (2018) </t>
    </r>
    <r>
      <rPr>
        <b/>
        <vertAlign val="superscript"/>
        <sz val="10"/>
        <rFont val="Arial"/>
        <family val="2"/>
      </rPr>
      <t>1</t>
    </r>
  </si>
  <si>
    <t>(e.g. If 2016 is the earliest vintage year in which there is a balance in a 1595 sub-account, select 2016)</t>
  </si>
  <si>
    <t>Forecast Total Metered Test Year kWh for Full Year Class A Customers</t>
  </si>
  <si>
    <t>Forecast Total Metered Test Year kWh for Transition Customers</t>
  </si>
  <si>
    <t>G</t>
  </si>
  <si>
    <t>H=F*G</t>
  </si>
  <si>
    <t>I=G-H</t>
  </si>
  <si>
    <t>2.1.7 with Group 1 and Group 2_v2</t>
  </si>
  <si>
    <t>Revised Monthly Payment</t>
  </si>
  <si>
    <t>Please provide explanations for the nature of the adjustments.  If the adjustment relates to previously OEB-Approved disposed balances, please provide amounts for adjustments and include supporting documentations.</t>
  </si>
  <si>
    <t xml:space="preserve"> Please provide explanations for the nature of the adjustments.  If the adjustment relates to previously OEB-Approved disposed balances, please provide amounts for adjustments and include supporting documentations.</t>
  </si>
  <si>
    <r>
      <t>Disposition and Recovery/Refund of Regulatory Balances (2017)</t>
    </r>
    <r>
      <rPr>
        <vertAlign val="superscript"/>
        <sz val="11"/>
        <rFont val="Arial"/>
        <family val="2"/>
      </rPr>
      <t>3</t>
    </r>
  </si>
  <si>
    <r>
      <t>Disposition and Recovery/Refund of Regulatory Balances (2018)</t>
    </r>
    <r>
      <rPr>
        <vertAlign val="superscript"/>
        <sz val="11"/>
        <rFont val="Arial"/>
        <family val="2"/>
      </rPr>
      <t>3</t>
    </r>
  </si>
  <si>
    <r>
      <t>RSVA - Power (excluding Global Adjustment)</t>
    </r>
    <r>
      <rPr>
        <vertAlign val="superscript"/>
        <sz val="11"/>
        <rFont val="Arial"/>
        <family val="2"/>
      </rPr>
      <t>4</t>
    </r>
  </si>
  <si>
    <r>
      <t xml:space="preserve">RSVA - Global Adjustment </t>
    </r>
    <r>
      <rPr>
        <vertAlign val="superscript"/>
        <sz val="11"/>
        <rFont val="Arial"/>
        <family val="2"/>
      </rPr>
      <t>4</t>
    </r>
  </si>
  <si>
    <r>
      <t>RSVA - Wholesale Market Service Charge</t>
    </r>
    <r>
      <rPr>
        <vertAlign val="superscript"/>
        <sz val="11"/>
        <rFont val="Arial"/>
        <family val="2"/>
      </rPr>
      <t>5</t>
    </r>
  </si>
  <si>
    <r>
      <t>Variance WMS – Sub-account CBR Class A</t>
    </r>
    <r>
      <rPr>
        <vertAlign val="superscript"/>
        <sz val="11"/>
        <rFont val="Arial"/>
        <family val="2"/>
      </rPr>
      <t>5</t>
    </r>
  </si>
  <si>
    <r>
      <t>Variance WMS – Sub-account CBR Class B</t>
    </r>
    <r>
      <rPr>
        <vertAlign val="superscript"/>
        <sz val="11"/>
        <rFont val="Arial"/>
        <family val="2"/>
      </rPr>
      <t>5</t>
    </r>
  </si>
  <si>
    <t>Account 1557 is to be recovered in a manner similar to the Smart Meter accounts. Distributors should request for disposition upon completion of the MIST meter deployment. A prudence review and disposition should be done in the application, outside the DVA Continuity Schedule.</t>
  </si>
  <si>
    <t>Input the LRAMVA balance in the DVA Continuity Schedule as calculated from the LRAMVA model. The associated rate rider will be calculated in the DVA Continuity Schedule.</t>
  </si>
  <si>
    <t>This account is effective September 1, 2018 per the OEB’s letter Accounting Guidance on Wireline Pole Attachment Charges, dated July 20, 2018. The account is expected to be discontinued after rebasing, once a utility updates its pole attachment charge in base rates and disposes of the account balance.</t>
  </si>
  <si>
    <t>The 1508 sub- account is effective May 1, 2019 per the Energy Retailer Service Charges Decision and Order (EB-2015-0304). The RCVAs are expected to be discontinued after rebasing, once updated retail service charges are reflected in the revenue requirement and the utility disposes of the account balance.</t>
  </si>
  <si>
    <r>
      <t>Retail Service Charge Incremental Revenue</t>
    </r>
    <r>
      <rPr>
        <vertAlign val="superscript"/>
        <sz val="11"/>
        <rFont val="Arial"/>
        <family val="2"/>
      </rPr>
      <t>6</t>
    </r>
  </si>
  <si>
    <r>
      <t>Retail Cost Variance Account - Retail</t>
    </r>
    <r>
      <rPr>
        <vertAlign val="superscript"/>
        <sz val="11"/>
        <rFont val="Arial"/>
        <family val="2"/>
      </rPr>
      <t>6</t>
    </r>
  </si>
  <si>
    <r>
      <t>Retail Cost Variance Account - STR</t>
    </r>
    <r>
      <rPr>
        <vertAlign val="superscript"/>
        <sz val="11"/>
        <rFont val="Arial"/>
        <family val="2"/>
      </rPr>
      <t>6</t>
    </r>
  </si>
  <si>
    <r>
      <t>Pole Attachment Revenue Variance</t>
    </r>
    <r>
      <rPr>
        <vertAlign val="superscript"/>
        <sz val="11"/>
        <rFont val="Arial"/>
        <family val="2"/>
      </rPr>
      <t>5</t>
    </r>
  </si>
  <si>
    <r>
      <t>LRAM Variance Account</t>
    </r>
    <r>
      <rPr>
        <b/>
        <vertAlign val="superscript"/>
        <sz val="11"/>
        <color indexed="12"/>
        <rFont val="Arial"/>
        <family val="2"/>
      </rPr>
      <t>4</t>
    </r>
  </si>
  <si>
    <t>Alectra Utilities Corporation-Brampton Rate Zone</t>
  </si>
  <si>
    <t>Alectra Utilities Corporation-Enersource Rate Zone</t>
  </si>
  <si>
    <t>Alectra Utilities Corporation-Horizon Utilities Rate Zone</t>
  </si>
  <si>
    <t>Alectra Utilities Corporation-PowerStream Rate Zone</t>
  </si>
  <si>
    <t>Alectra Utilities Corporation-Guelph Rate Zone</t>
  </si>
  <si>
    <t>Elexicon Energy Inc.-Whitby Rate Zone</t>
  </si>
  <si>
    <t>Elexicon Energy Inc.-Veridian Rate Zone</t>
  </si>
  <si>
    <t>Entegrus Powerlines Inc.-For Entegrus-Main Rate Zone</t>
  </si>
  <si>
    <t>Entegrus Powerlines Inc.-For Former St. Thomas Energy Rate Zone</t>
  </si>
  <si>
    <t>Hydro One Networks Inc.-Former Haldimand County Hydro Inc. Service Area</t>
  </si>
  <si>
    <t>Hydro One Networks Inc.-Former Norfolk Power Distribution Inc. Service Area</t>
  </si>
  <si>
    <t>Hydro One Networks Inc.-Former Woodstock Hydro Services Inc. Service Area</t>
  </si>
  <si>
    <t>Hydro One Remote Communites Inc.</t>
  </si>
  <si>
    <t>Lakeland Power Distribution Ltd.-Parry Sound Service Area</t>
  </si>
  <si>
    <t>Newmarket-Tay Power Distribution Ltd.-For Former Midland Power Utility Rate Zone</t>
  </si>
  <si>
    <t>Newmarket-Tay Power Distribution Ltd.-For Newmarket-Tay Power Main Rate Zone</t>
  </si>
  <si>
    <t>Synergy North Corporation-Kenora Rate Zone</t>
  </si>
  <si>
    <t xml:space="preserve">Synergy North Corporation-Thunder Bay Rate Zone </t>
  </si>
  <si>
    <t>X</t>
  </si>
  <si>
    <t>2b. 2017 Continuity Schedule</t>
  </si>
  <si>
    <t>2a. 2017 Continuity Schedule</t>
  </si>
  <si>
    <t>4. Billing Determinants</t>
  </si>
  <si>
    <t>5. Allocation of Balances</t>
  </si>
  <si>
    <t>7. Rate Rider Calculations</t>
  </si>
  <si>
    <t>If the CBR Class B rate rider calculated in tab 7 rounds to zero at the fourth decimal place for one or more rate classes, the entire balance in Account 1580 CBR Class B, including the amount allocated to transition customers will be transferred to Account 1580 WMS and disposed through the general purpose Group 1 rate riders</t>
  </si>
  <si>
    <r>
      <t>Meter Cost Deferral Account (MIST Meters)</t>
    </r>
    <r>
      <rPr>
        <vertAlign val="superscript"/>
        <sz val="11"/>
        <rFont val="Arial"/>
        <family val="2"/>
      </rPr>
      <t>3</t>
    </r>
  </si>
  <si>
    <t>New accounting guidance effective January 1, 2019 for Accounts 1588 and 1589 was issued Feb. 21, 2019 titled Accounting Procedures Handbook Update - Accounting Guidance Related to Commodity Pass-Through Accounts 1588 &amp; 1589. The amount in the "Transactions" column in this DVA Continuity Schedule are to equal the transactions in the General Ledger (excluding any amounts approved for disposition, which is shown separately in the "OEB Approved Disposition" columns). Any true-ups/adjustments/reversals needed to derive the claim amount must be shown separately in the "Principal Adjustments" columns of this DVA Continuity Schedule.</t>
  </si>
  <si>
    <t>RRR balance for Account 1580 RSVA - Wholesale Market Service Charge should equal to the control account as reported in the RRR. This would include the balance for Account 1580,Variance WMS – Sub-account CBR Class B.</t>
  </si>
  <si>
    <t>Did you have any customers who transitioned between Class A and Class B (transition customers)  during the period the Account 1589 GA balance accumulated (i.e. from the year after the balance was last disposed (regardless of if the disposition was interim or final) to the current year requested for disposition)?</t>
  </si>
  <si>
    <t>Did you have any customers who transitioned between Class A and Class B (transition customers) during the period the Account 1580, sub-account CBR Class B balance accumulated (i.e. from the year after the balance was last disposed (regardless of if the disposition was interim or final) to the current year requested for disposition)?</t>
  </si>
  <si>
    <t>Enter the number of rate classes in which there were customers who were Class A for the full year during the  period the Account 1589 GA or Account 1580 CBR B balance accumulated (i.e. from the year after the balance was last disposed (regardless of if the disposition was interim or final) to the current year requested for disposition).</t>
  </si>
  <si>
    <t>WKBSV849</t>
  </si>
  <si>
    <t>NJYBW716</t>
  </si>
  <si>
    <t>GQQHM388</t>
  </si>
  <si>
    <t>SFXZP935</t>
  </si>
  <si>
    <t>OARZC118</t>
  </si>
  <si>
    <t>HJHBH994</t>
  </si>
  <si>
    <t>KQEEH473</t>
  </si>
  <si>
    <t>CPEFQ593</t>
  </si>
  <si>
    <t>QXHJU641</t>
  </si>
  <si>
    <t>AVXSO594</t>
  </si>
  <si>
    <t>JKBZG525</t>
  </si>
  <si>
    <t>PTLUC812</t>
  </si>
  <si>
    <t>ADICB565</t>
  </si>
  <si>
    <t>LRECV427</t>
  </si>
  <si>
    <t>KTCNY552</t>
  </si>
  <si>
    <t>YEPCI143</t>
  </si>
  <si>
    <t>GRHTW113</t>
  </si>
  <si>
    <t>GMGHU415</t>
  </si>
  <si>
    <t>YTPWF351</t>
  </si>
  <si>
    <t>YCYKQ642</t>
  </si>
  <si>
    <t>ADZFM459</t>
  </si>
  <si>
    <t>RVWKN794</t>
  </si>
  <si>
    <t>KESKM585</t>
  </si>
  <si>
    <t>MQFNL784</t>
  </si>
  <si>
    <t>FNDHH648</t>
  </si>
  <si>
    <t>PTREM828</t>
  </si>
  <si>
    <t>UBBYF452</t>
  </si>
  <si>
    <t>NSBED625</t>
  </si>
  <si>
    <t>TXKTT167</t>
  </si>
  <si>
    <t>ZHKLA874</t>
  </si>
  <si>
    <t>YLJHT264</t>
  </si>
  <si>
    <t>YLCEC559</t>
  </si>
  <si>
    <t>NHKJF259</t>
  </si>
  <si>
    <t>SLRXO177</t>
  </si>
  <si>
    <t>UIFEM157</t>
  </si>
  <si>
    <t>KSUYD122</t>
  </si>
  <si>
    <t>QHCKN852</t>
  </si>
  <si>
    <t>FUIJX538</t>
  </si>
  <si>
    <t>PWKJP953</t>
  </si>
  <si>
    <t>JEGGW178</t>
  </si>
  <si>
    <t>TVKSH414</t>
  </si>
  <si>
    <t>DUISI693</t>
  </si>
  <si>
    <t>PQZCY963</t>
  </si>
  <si>
    <t>GTLBW445</t>
  </si>
  <si>
    <t>XCFPH269</t>
  </si>
  <si>
    <t>MLWYG784</t>
  </si>
  <si>
    <t>QDKIF127</t>
  </si>
  <si>
    <t>AMZEN437</t>
  </si>
  <si>
    <t>ACEVX242</t>
  </si>
  <si>
    <t>OLIUU862</t>
  </si>
  <si>
    <t>NIOJF461</t>
  </si>
  <si>
    <t>ZYZFO848</t>
  </si>
  <si>
    <t>ASEGZ471</t>
  </si>
  <si>
    <t>IOKHC383</t>
  </si>
  <si>
    <t>SKVKJ649</t>
  </si>
  <si>
    <t>TPFNQ593</t>
  </si>
  <si>
    <t>DSPWZ318</t>
  </si>
  <si>
    <t>RUZIU984</t>
  </si>
  <si>
    <t>YEOQG654</t>
  </si>
  <si>
    <t>JMNNR431</t>
  </si>
  <si>
    <t>HHPNS717</t>
  </si>
  <si>
    <r>
      <t>Disposition and Recovery/Refund of Regulatory Balances (2019)</t>
    </r>
    <r>
      <rPr>
        <vertAlign val="superscript"/>
        <sz val="11"/>
        <rFont val="Arial"/>
        <family val="2"/>
      </rPr>
      <t>3</t>
    </r>
  </si>
  <si>
    <t>Disposition and Recovery/Refund of Regulatory Balances (2019)</t>
  </si>
  <si>
    <t>PILs and Tax Variance for 2006 and Subsequent Years- Sub-account CCA Changes</t>
  </si>
  <si>
    <t>Metered Consumption (kWh) for Transition Customers During the Period When They Were Class B Customers in 2019</t>
  </si>
  <si>
    <t>Metered Class B Consumption (kWh)  for Transition Customers During the Period When They were Class B Customers in 2019</t>
  </si>
  <si>
    <t>Question 1</t>
  </si>
  <si>
    <t>For Accounts 1588 and 1589,</t>
  </si>
  <si>
    <t xml:space="preserve">b) If the accounts were last approved on an interim basis, and </t>
  </si>
  <si>
    <t>Question 2</t>
  </si>
  <si>
    <t>For the remaining Group 1 DVAs,</t>
  </si>
  <si>
    <t>Question 3</t>
  </si>
  <si>
    <t>Question 4</t>
  </si>
  <si>
    <t>Question 5</t>
  </si>
  <si>
    <t>Question 6</t>
  </si>
  <si>
    <t>Yes</t>
  </si>
  <si>
    <t>For Accounts 1508, 1522 and 1592, only show the total control account that is reported in the RRR in the first row for that account in this tab</t>
  </si>
  <si>
    <t>North Bay Hydro Distribution Limited - Espanola service territory</t>
  </si>
  <si>
    <t>North Bay Hydro Distribution Limited - North Bay service territory</t>
  </si>
  <si>
    <t>Distribution Rev.</t>
  </si>
  <si>
    <t>Please indicate the year the account balances were last disposed on a final basis for information purposes.</t>
  </si>
  <si>
    <t xml:space="preserve">Determine whether scenario a or b below applies, then select the appropriate year. </t>
  </si>
  <si>
    <t xml:space="preserve">a) If the accounts balances were last approved on a final basis, select the year of the year-end balances that were last approved on a final basis. </t>
  </si>
  <si>
    <t xml:space="preserve">b) If the accounts balances were last approved on an interim basis, and </t>
  </si>
  <si>
    <t>i) there are no changes to the previously approved interim balances, select the year of the year-end balances that were last approved for diposition on an interim basis.</t>
  </si>
  <si>
    <t>ii) there are changes to the previously approved interim balaces, select the year of the year-end balances that were last approved for disposition on a final basis.</t>
  </si>
  <si>
    <t xml:space="preserve">Please indicate the year of the account balances were last disposed on a final basis for information purposes. </t>
  </si>
  <si>
    <t>Select the earliest account balance vintage year in which there is a balance in Account 1595</t>
  </si>
  <si>
    <r>
      <t>Customer Choice Initiative Costs</t>
    </r>
    <r>
      <rPr>
        <vertAlign val="superscript"/>
        <sz val="11"/>
        <rFont val="Arial"/>
        <family val="2"/>
      </rPr>
      <t>7</t>
    </r>
  </si>
  <si>
    <t>The 1508 sub-account is effective August 5, 2020 in accordance with the September 16, 2020 Accounting Order for the Establishment of a Deferral Account to Record Impacts Arising from Implementing the Customer Choice Initiative Ontario Energy Board File No. EB-2020-0152. Electricity distributors may record incremental costs directly attributable to the customer choice initiative in the sub-account.</t>
  </si>
  <si>
    <r>
      <t>Pension &amp; OPEB Forecast Accrual versus Actual Cash Payment Differential Carrying Charges</t>
    </r>
    <r>
      <rPr>
        <vertAlign val="superscript"/>
        <sz val="11"/>
        <rFont val="Arial"/>
        <family val="2"/>
      </rPr>
      <t>8</t>
    </r>
  </si>
  <si>
    <r>
      <t>Pension &amp; OPEB Forecast Accrual versus Actual Cash Payment Differential</t>
    </r>
    <r>
      <rPr>
        <vertAlign val="superscript"/>
        <sz val="11"/>
        <rFont val="Arial"/>
        <family val="2"/>
      </rPr>
      <t>8</t>
    </r>
  </si>
  <si>
    <r>
      <t>Pension &amp; OPEB Forecast Accrual versus Actual Cash Payment Differential Contra Account</t>
    </r>
    <r>
      <rPr>
        <vertAlign val="superscript"/>
        <sz val="11"/>
        <rFont val="Arial"/>
        <family val="2"/>
      </rPr>
      <t>8</t>
    </r>
  </si>
  <si>
    <t>Account 1580 RSVA WMS balance inputted into this schedule is to exclude any amounts relating to CBR. CBR amounts are to be inputted into Account 1580, sub-accounts CBR Class A and Class B separately.  There is no disposition of Account 1580, sub-account CBR Class A, accounting guidance for this sub-account is to be followed. If a balance exists for Account 1580, sub-account CBR Class A at the December year-end, the balance must be explained.</t>
  </si>
  <si>
    <t>Metered Consumption (kWh) for Transition Customers During the Period When They Were Class B Customers in 2020</t>
  </si>
  <si>
    <t>Metered Class B Consumption (kWh)  for Transition Customers During the Period When They were Class B Customers in 2020</t>
  </si>
  <si>
    <t>Select the earlier of i) the year of the year-end balances in which Group 2 DVAs were last disposed and ii) the earliest year of the year-end balances in which Group 2 DVAs started to accumulate.</t>
  </si>
  <si>
    <t>To determine whether tabs 6 and 6.2 will be generated, answer the following questions:</t>
  </si>
  <si>
    <t>Did you have any Class A customers at any point during the period that the Account 1589 balance accumulated (i.e. from the year the balance selected in #1 above to the year requested for disposition) or forecasted in the test year?</t>
  </si>
  <si>
    <t>Did you have any Class A customers at any point during the period where the balance in Account 1580, Sub-account CBR Class B accumulated (i.e. from the year selected in #2 above to the year requested for disposition) or the forecasted in the test year?</t>
  </si>
  <si>
    <t>Total Group 1 accounts above (excluding 1589)</t>
  </si>
  <si>
    <t>Account 1522 is established effective Januar 1, 2018, in accordance with Report of the OEB - Regulatory Treatment of Pension and Other Post-employment Benefits (OPEBs) Costs EB-2015-0040</t>
  </si>
  <si>
    <t>Refer to the Filing Requirements for Account 1595 disposition eligibility.</t>
  </si>
  <si>
    <r>
      <t>Disposition and Recovery/Refund of Regulatory Balances (2020)</t>
    </r>
    <r>
      <rPr>
        <vertAlign val="superscript"/>
        <sz val="11"/>
        <rFont val="Arial"/>
        <family val="2"/>
      </rPr>
      <t>3</t>
    </r>
  </si>
  <si>
    <t>Disposition and Recovery/Refund of Regulatory Balances (2020)</t>
  </si>
  <si>
    <r>
      <t xml:space="preserve">1595 Recovery Share Proportion (2019) </t>
    </r>
    <r>
      <rPr>
        <b/>
        <vertAlign val="superscript"/>
        <sz val="10"/>
        <rFont val="Arial"/>
        <family val="2"/>
      </rPr>
      <t>1</t>
    </r>
  </si>
  <si>
    <r>
      <t xml:space="preserve">1595 Recovery Share Proportion (2020) </t>
    </r>
    <r>
      <rPr>
        <b/>
        <vertAlign val="superscript"/>
        <sz val="10"/>
        <rFont val="Arial"/>
        <family val="2"/>
      </rPr>
      <t>1</t>
    </r>
  </si>
  <si>
    <r>
      <t>Disposition and Recovery/Refund of Regulatory Balances (2021)</t>
    </r>
    <r>
      <rPr>
        <vertAlign val="superscript"/>
        <sz val="11"/>
        <rFont val="Arial"/>
        <family val="2"/>
      </rPr>
      <t>3</t>
    </r>
  </si>
  <si>
    <r>
      <t xml:space="preserve">1595 Recovery Share Proportion (2021) </t>
    </r>
    <r>
      <rPr>
        <b/>
        <vertAlign val="superscript"/>
        <sz val="10"/>
        <rFont val="Arial"/>
        <family val="2"/>
      </rPr>
      <t>1</t>
    </r>
  </si>
  <si>
    <t>Disposition and Recovery/Refund of Regulatory Balances (2021)</t>
  </si>
  <si>
    <t>Group 1 total (including Account 1589)</t>
  </si>
  <si>
    <t>Group 1 total  (excluding Account 1589)</t>
  </si>
  <si>
    <t xml:space="preserve">RSVA - Global Adjustment </t>
  </si>
  <si>
    <t>Deferred IFRS Transition Costs</t>
  </si>
  <si>
    <t>For Accounts 1595 sub-accounts, indicate whether disposition is requested in column BU.</t>
  </si>
  <si>
    <t>The continuity schedule in tab 2a will open starting from the year balances were last approved for disposition, unless the last approved disposition was on an interim basis and there are changes to those balances. If that is the case, tab 2a will open from the year of last approved disposition on a final basis. A distributor must also provide an explanation for the change in the previously approved balance.</t>
  </si>
  <si>
    <t>Year Selected</t>
  </si>
  <si>
    <t>Under #3b, enter the number of rate classes in which there were full year Class A customers during the period the Account 1589 GA balance or Account 1580 CBR Class B balance accumulated and the test year. These full year Class A customers should include any transition customers identified in table 3a above that were Class A customers for the full year before/after the transition year. A table will be generated based on the number of rate classes. 
Complete the table accordingly for each rate class identified (i.e. the total Class A consumption in the rate class for each year; and a forecast of total Class A and B consumption for transition and full year Class A customers in the test year). This data will be used in the calculation of billing determinants for GA and CBR Class B, as applicable.</t>
  </si>
  <si>
    <t>Alectra Utilities Corporation1595_(2018)</t>
  </si>
  <si>
    <t>Algoma Power Inc.1595_(2018)</t>
  </si>
  <si>
    <t>Atikokan Hydro Inc.1595_(2018)</t>
  </si>
  <si>
    <t>Bluewater Power Distribution Corporation1595_(2018)</t>
  </si>
  <si>
    <t>Brantford Power Inc.1595_(2018)</t>
  </si>
  <si>
    <t>Burlington Hydro Inc.1595_(2018)</t>
  </si>
  <si>
    <t>Canadian Niagara Power Inc.1595_(2018)</t>
  </si>
  <si>
    <t>Centre Wellington Hydro Ltd.1595_(2018)</t>
  </si>
  <si>
    <t>Chapleau Public Utilities Corporation1595_(2018)</t>
  </si>
  <si>
    <t>Cooperative Hydro Embrun Inc.1595_(2018)</t>
  </si>
  <si>
    <t>E.L.K. Energy Inc.1595_(2018)</t>
  </si>
  <si>
    <t>ENWIN Utilities Ltd.1508</t>
  </si>
  <si>
    <t>ENWIN Utilities Ltd.1518</t>
  </si>
  <si>
    <t>ENWIN Utilities Ltd.1522</t>
  </si>
  <si>
    <t>ENWIN Utilities Ltd.1525</t>
  </si>
  <si>
    <t>ENWIN Utilities Ltd.1531</t>
  </si>
  <si>
    <t>ENWIN Utilities Ltd.1532</t>
  </si>
  <si>
    <t>ENWIN Utilities Ltd.1533</t>
  </si>
  <si>
    <t>ENWIN Utilities Ltd.1534</t>
  </si>
  <si>
    <t>ENWIN Utilities Ltd.1535</t>
  </si>
  <si>
    <t>ENWIN Utilities Ltd.1536</t>
  </si>
  <si>
    <t>ENWIN Utilities Ltd.1548</t>
  </si>
  <si>
    <t>ENWIN Utilities Ltd.1550</t>
  </si>
  <si>
    <t>ENWIN Utilities Ltd.1551</t>
  </si>
  <si>
    <t>ENWIN Utilities Ltd.1555</t>
  </si>
  <si>
    <t>ENWIN Utilities Ltd.1557</t>
  </si>
  <si>
    <t>ENWIN Utilities Ltd.1568</t>
  </si>
  <si>
    <t>ENWIN Utilities Ltd.1572</t>
  </si>
  <si>
    <t>ENWIN Utilities Ltd.1574</t>
  </si>
  <si>
    <t>ENWIN Utilities Ltd.1575</t>
  </si>
  <si>
    <t>ENWIN Utilities Ltd.1576</t>
  </si>
  <si>
    <t>ENWIN Utilities Ltd.1580</t>
  </si>
  <si>
    <t>ENWIN Utilities Ltd.1582</t>
  </si>
  <si>
    <t>ENWIN Utilities Ltd.1584</t>
  </si>
  <si>
    <t>ENWIN Utilities Ltd.1586</t>
  </si>
  <si>
    <t>ENWIN Utilities Ltd.1588</t>
  </si>
  <si>
    <t>ENWIN Utilities Ltd.1589</t>
  </si>
  <si>
    <t>ENWIN Utilities Ltd.1592</t>
  </si>
  <si>
    <t>ENWIN Utilities Ltd.1595</t>
  </si>
  <si>
    <t>ENWIN Utilities Ltd.1595_(2008)</t>
  </si>
  <si>
    <t>ENWIN Utilities Ltd.1595_(2009)</t>
  </si>
  <si>
    <t>ENWIN Utilities Ltd.1595_(2010)</t>
  </si>
  <si>
    <t>ENWIN Utilities Ltd.1595_(2011)</t>
  </si>
  <si>
    <t>ENWIN Utilities Ltd.1595_(2012)</t>
  </si>
  <si>
    <t>ENWIN Utilities Ltd.1595_(2013)</t>
  </si>
  <si>
    <t>ENWIN Utilities Ltd.1595_(2014)</t>
  </si>
  <si>
    <t>ENWIN Utilities Ltd.1595_(2015)</t>
  </si>
  <si>
    <t>ENWIN Utilities Ltd.1595_(2016)</t>
  </si>
  <si>
    <t>ENWIN Utilities Ltd.1595_(2017)</t>
  </si>
  <si>
    <t>ENWIN Utilities Ltd.1595_(2018)</t>
  </si>
  <si>
    <t>ENWIN Utilities Ltd.1595_ControlAccount</t>
  </si>
  <si>
    <t>ENWIN Utilities Ltd.2425</t>
  </si>
  <si>
    <t>EPCOR Electricity Distribution Ontario Inc.1595_(2018)</t>
  </si>
  <si>
    <t>ERTH Power Corporation</t>
  </si>
  <si>
    <t>ERTH Power Corporation1508</t>
  </si>
  <si>
    <t>ERTH Power Corporation1518</t>
  </si>
  <si>
    <t>ERTH Power Corporation1522</t>
  </si>
  <si>
    <t>ERTH Power Corporation1525</t>
  </si>
  <si>
    <t>ERTH Power Corporation1531</t>
  </si>
  <si>
    <t>ERTH Power Corporation1532</t>
  </si>
  <si>
    <t>ERTH Power Corporation1533</t>
  </si>
  <si>
    <t>ERTH Power Corporation1534</t>
  </si>
  <si>
    <t>ERTH Power Corporation1535</t>
  </si>
  <si>
    <t>ERTH Power Corporation1536</t>
  </si>
  <si>
    <t>ERTH Power Corporation1548</t>
  </si>
  <si>
    <t>ERTH Power Corporation1550</t>
  </si>
  <si>
    <t>ERTH Power Corporation1551</t>
  </si>
  <si>
    <t>ERTH Power Corporation1555</t>
  </si>
  <si>
    <t>ERTH Power Corporation1557</t>
  </si>
  <si>
    <t>ERTH Power Corporation1568</t>
  </si>
  <si>
    <t>ERTH Power Corporation1572</t>
  </si>
  <si>
    <t>ERTH Power Corporation1574</t>
  </si>
  <si>
    <t>ERTH Power Corporation1575</t>
  </si>
  <si>
    <t>ERTH Power Corporation1576</t>
  </si>
  <si>
    <t>ERTH Power Corporation1580</t>
  </si>
  <si>
    <t>ERTH Power Corporation1582</t>
  </si>
  <si>
    <t>ERTH Power Corporation1584</t>
  </si>
  <si>
    <t>ERTH Power Corporation1586</t>
  </si>
  <si>
    <t>ERTH Power Corporation1588</t>
  </si>
  <si>
    <t>ERTH Power Corporation1589</t>
  </si>
  <si>
    <t>ERTH Power Corporation1592</t>
  </si>
  <si>
    <t>ERTH Power Corporation1595</t>
  </si>
  <si>
    <t>ERTH Power Corporation1595_(2008)</t>
  </si>
  <si>
    <t>ERTH Power Corporation1595_(2009)</t>
  </si>
  <si>
    <t>ERTH Power Corporation1595_(2010)</t>
  </si>
  <si>
    <t>ERTH Power Corporation1595_(2011)</t>
  </si>
  <si>
    <t>ERTH Power Corporation1595_(2012)</t>
  </si>
  <si>
    <t>ERTH Power Corporation1595_(2013)</t>
  </si>
  <si>
    <t>ERTH Power Corporation1595_(2014)</t>
  </si>
  <si>
    <t>ERTH Power Corporation1595_(2015)</t>
  </si>
  <si>
    <t>ERTH Power Corporation1595_(2016)</t>
  </si>
  <si>
    <t>ERTH Power Corporation1595_(2017)</t>
  </si>
  <si>
    <t>ERTH Power Corporation1595_(2018)</t>
  </si>
  <si>
    <t>ERTH Power Corporation1595_ControlAccount</t>
  </si>
  <si>
    <t>ERTH Power Corporation2425</t>
  </si>
  <si>
    <t>Elexicon Energy Inc.</t>
  </si>
  <si>
    <t>Elexicon Energy Inc.1508</t>
  </si>
  <si>
    <t>Elexicon Energy Inc.1518</t>
  </si>
  <si>
    <t>Elexicon Energy Inc.1522</t>
  </si>
  <si>
    <t>Elexicon Energy Inc.1525</t>
  </si>
  <si>
    <t>Elexicon Energy Inc.1531</t>
  </si>
  <si>
    <t>Elexicon Energy Inc.1532</t>
  </si>
  <si>
    <t>Elexicon Energy Inc.1533</t>
  </si>
  <si>
    <t>Elexicon Energy Inc.1534</t>
  </si>
  <si>
    <t>Elexicon Energy Inc.1535</t>
  </si>
  <si>
    <t>Elexicon Energy Inc.1536</t>
  </si>
  <si>
    <t>Elexicon Energy Inc.1548</t>
  </si>
  <si>
    <t>Elexicon Energy Inc.1550</t>
  </si>
  <si>
    <t>Elexicon Energy Inc.1551</t>
  </si>
  <si>
    <t>Elexicon Energy Inc.1555</t>
  </si>
  <si>
    <t>Elexicon Energy Inc.1557</t>
  </si>
  <si>
    <t>Elexicon Energy Inc.1568</t>
  </si>
  <si>
    <t>Elexicon Energy Inc.1572</t>
  </si>
  <si>
    <t>Elexicon Energy Inc.1574</t>
  </si>
  <si>
    <t>Elexicon Energy Inc.1575</t>
  </si>
  <si>
    <t>Elexicon Energy Inc.1576</t>
  </si>
  <si>
    <t>Elexicon Energy Inc.1580</t>
  </si>
  <si>
    <t>Elexicon Energy Inc.1582</t>
  </si>
  <si>
    <t>Elexicon Energy Inc.1584</t>
  </si>
  <si>
    <t>Elexicon Energy Inc.1586</t>
  </si>
  <si>
    <t>Elexicon Energy Inc.1588</t>
  </si>
  <si>
    <t>Elexicon Energy Inc.1589</t>
  </si>
  <si>
    <t>Elexicon Energy Inc.1592</t>
  </si>
  <si>
    <t>Elexicon Energy Inc.1595</t>
  </si>
  <si>
    <t>Elexicon Energy Inc.1595_(2008)</t>
  </si>
  <si>
    <t>Elexicon Energy Inc.1595_(2009)</t>
  </si>
  <si>
    <t>Elexicon Energy Inc.1595_(2010)</t>
  </si>
  <si>
    <t>Elexicon Energy Inc.1595_(2011)</t>
  </si>
  <si>
    <t>Elexicon Energy Inc.1595_(2012)</t>
  </si>
  <si>
    <t>Elexicon Energy Inc.1595_(2013)</t>
  </si>
  <si>
    <t>Elexicon Energy Inc.1595_(2014)</t>
  </si>
  <si>
    <t>Elexicon Energy Inc.1595_(2015)</t>
  </si>
  <si>
    <t>Elexicon Energy Inc.1595_(2016)</t>
  </si>
  <si>
    <t>Elexicon Energy Inc.1595_(2017)</t>
  </si>
  <si>
    <t>Elexicon Energy Inc.1595_(2018)</t>
  </si>
  <si>
    <t>Elexicon Energy Inc.1595_ControlAccount</t>
  </si>
  <si>
    <t>Elexicon Energy Inc.2425</t>
  </si>
  <si>
    <t>Energy Plus Inc.1595_(2018)</t>
  </si>
  <si>
    <t>Entegrus Powerlines Inc.1595_(2018)</t>
  </si>
  <si>
    <t>Espanola Regional Hydro Distribution Corporation1595_(2018)</t>
  </si>
  <si>
    <t>Essex Powerlines Corporation1595_(2018)</t>
  </si>
  <si>
    <t>Festival Hydro Inc.1595_(2018)</t>
  </si>
  <si>
    <t>Fort Frances Power Corporation1595_(2018)</t>
  </si>
  <si>
    <t>Greater Sudbury Hydro Inc.1595_(2018)</t>
  </si>
  <si>
    <t>Grimsby Power Incorporated1595_(2018)</t>
  </si>
  <si>
    <t>Halton Hills Hydro Inc.1595_(2018)</t>
  </si>
  <si>
    <t>Hearst Power Distribution Company Ltd.</t>
  </si>
  <si>
    <t>Hearst Power Distribution Company Limited1508</t>
  </si>
  <si>
    <t>Hearst Power Distribution Company Limited1518</t>
  </si>
  <si>
    <t>Hearst Power Distribution Company Limited1522</t>
  </si>
  <si>
    <t>Hearst Power Distribution Company Limited1525</t>
  </si>
  <si>
    <t>Hearst Power Distribution Company Limited1531</t>
  </si>
  <si>
    <t>Hearst Power Distribution Company Limited1532</t>
  </si>
  <si>
    <t>Hearst Power Distribution Company Limited1533</t>
  </si>
  <si>
    <t>Hearst Power Distribution Company Limited1534</t>
  </si>
  <si>
    <t>Hearst Power Distribution Company Limited1535</t>
  </si>
  <si>
    <t>Hearst Power Distribution Company Limited1536</t>
  </si>
  <si>
    <t>Hearst Power Distribution Company Limited1548</t>
  </si>
  <si>
    <t>Hearst Power Distribution Company Limited1550</t>
  </si>
  <si>
    <t>Hearst Power Distribution Company Limited1551</t>
  </si>
  <si>
    <t>Hearst Power Distribution Company Limited1555</t>
  </si>
  <si>
    <t>Hearst Power Distribution Company Limited1557</t>
  </si>
  <si>
    <t>Hearst Power Distribution Company Limited1568</t>
  </si>
  <si>
    <t>Hearst Power Distribution Company Limited1572</t>
  </si>
  <si>
    <t>Hearst Power Distribution Company Limited1574</t>
  </si>
  <si>
    <t>Hearst Power Distribution Company Limited1575</t>
  </si>
  <si>
    <t>Hearst Power Distribution Company Limited1576</t>
  </si>
  <si>
    <t>Hearst Power Distribution Company Limited1580</t>
  </si>
  <si>
    <t>Hearst Power Distribution Company Limited1582</t>
  </si>
  <si>
    <t>Hearst Power Distribution Company Limited1584</t>
  </si>
  <si>
    <t>Hearst Power Distribution Company Limited1586</t>
  </si>
  <si>
    <t>Hearst Power Distribution Company Limited1588</t>
  </si>
  <si>
    <t>Hearst Power Distribution Company Limited1589</t>
  </si>
  <si>
    <t>Hearst Power Distribution Company Limited1592</t>
  </si>
  <si>
    <t>Hearst Power Distribution Company Limited1595</t>
  </si>
  <si>
    <t>Hearst Power Distribution Company Limited1595_(2008)</t>
  </si>
  <si>
    <t>Hearst Power Distribution Company Limited1595_(2009)</t>
  </si>
  <si>
    <t>Hearst Power Distribution Company Limited1595_(2010)</t>
  </si>
  <si>
    <t>Hearst Power Distribution Company Limited1595_(2011)</t>
  </si>
  <si>
    <t>Hearst Power Distribution Company Limited1595_(2012)</t>
  </si>
  <si>
    <t>Hearst Power Distribution Company Limited1595_(2013)</t>
  </si>
  <si>
    <t>Hearst Power Distribution Company Limited1595_(2014)</t>
  </si>
  <si>
    <t>Hearst Power Distribution Company Limited1595_(2015)</t>
  </si>
  <si>
    <t>Hearst Power Distribution Company Limited1595_(2016)</t>
  </si>
  <si>
    <t>Hearst Power Distribution Company Limited1595_(2017)</t>
  </si>
  <si>
    <t>Hearst Power Distribution Company Limited1595_(2018)</t>
  </si>
  <si>
    <t>Hearst Power Distribution Company Limited1595_ControlAccount</t>
  </si>
  <si>
    <t>Hearst Power Distribution Company Limited2425</t>
  </si>
  <si>
    <t>Hydro 2000 Inc.1595_(2018)</t>
  </si>
  <si>
    <t>Hydro Hawkesbury Inc.1595_(2018)</t>
  </si>
  <si>
    <t>Hydro One Networks Inc.1595_(2018)</t>
  </si>
  <si>
    <t>Hydro One Remote Communities Inc.1595_(2018)</t>
  </si>
  <si>
    <t>Hydro Ottawa Limited1595_(2018)</t>
  </si>
  <si>
    <t>Innpower Corporation1595_(2018)</t>
  </si>
  <si>
    <t>Kingston Hydro Corporation1595_(2018)</t>
  </si>
  <si>
    <t>Kitchener-Wilmot Hydro Inc.1595_(2018)</t>
  </si>
  <si>
    <t>Lakefront Utilities Inc.1595_(2018)</t>
  </si>
  <si>
    <t>Lakeland Power Distribution Ltd.1595_(2018)</t>
  </si>
  <si>
    <t>London Hydro Inc.1595_(2018)</t>
  </si>
  <si>
    <t>Milton Hydro Distribution Inc.1595_(2018)</t>
  </si>
  <si>
    <t>Newmarket-Tay Power Distribution Ltd.1595_(2018)</t>
  </si>
  <si>
    <t>Niagara Peninsula Energy Inc.1595_(2018)</t>
  </si>
  <si>
    <t>Niagara-on-the-Lake Hydro Inc.1595_(2018)</t>
  </si>
  <si>
    <t>North Bay Hydro Distribution Limited1595_(2018)</t>
  </si>
  <si>
    <t>Northern Ontario Wires Inc.1595_(2018)</t>
  </si>
  <si>
    <t>Oakville Hydro Electricity Distribution Inc.1595_(2018)</t>
  </si>
  <si>
    <t>Orangeville Hydro Limited1595_(2018)</t>
  </si>
  <si>
    <t>Orillia Power Distribution Corporation1595_(2018)</t>
  </si>
  <si>
    <t>Oshawa PUC Networks Inc.1595_(2018)</t>
  </si>
  <si>
    <t>Ottawa River Power Corporation1595_(2018)</t>
  </si>
  <si>
    <t>PUC Distribution Inc.1595_(2018)</t>
  </si>
  <si>
    <t>Renfrew Hydro Inc.1595_(2018)</t>
  </si>
  <si>
    <t>Rideau St. Lawrence Distribution Inc.1595_(2018)</t>
  </si>
  <si>
    <t>Sioux Lookout Hydro Inc.1595_(2018)</t>
  </si>
  <si>
    <t>Synergy North Corporation</t>
  </si>
  <si>
    <t>Synergy North Corporation1508</t>
  </si>
  <si>
    <t>Synergy North Corporation1518</t>
  </si>
  <si>
    <t>Synergy North Corporation1522</t>
  </si>
  <si>
    <t>Synergy North Corporation1525</t>
  </si>
  <si>
    <t>Synergy North Corporation1531</t>
  </si>
  <si>
    <t>Synergy North Corporation1532</t>
  </si>
  <si>
    <t>Synergy North Corporation1533</t>
  </si>
  <si>
    <t>Synergy North Corporation1534</t>
  </si>
  <si>
    <t>Synergy North Corporation1535</t>
  </si>
  <si>
    <t>Synergy North Corporation1536</t>
  </si>
  <si>
    <t>Synergy North Corporation1548</t>
  </si>
  <si>
    <t>Synergy North Corporation1550</t>
  </si>
  <si>
    <t>Synergy North Corporation1551</t>
  </si>
  <si>
    <t>Synergy North Corporation1555</t>
  </si>
  <si>
    <t>Synergy North Corporation1557</t>
  </si>
  <si>
    <t>Synergy North Corporation1568</t>
  </si>
  <si>
    <t>Synergy North Corporation1572</t>
  </si>
  <si>
    <t>Synergy North Corporation1574</t>
  </si>
  <si>
    <t>Synergy North Corporation1575</t>
  </si>
  <si>
    <t>Synergy North Corporation1576</t>
  </si>
  <si>
    <t>Synergy North Corporation1580</t>
  </si>
  <si>
    <t>Synergy North Corporation1582</t>
  </si>
  <si>
    <t>Synergy North Corporation1584</t>
  </si>
  <si>
    <t>Synergy North Corporation1586</t>
  </si>
  <si>
    <t>Synergy North Corporation1588</t>
  </si>
  <si>
    <t>Synergy North Corporation1589</t>
  </si>
  <si>
    <t>Synergy North Corporation1592</t>
  </si>
  <si>
    <t>Synergy North Corporation1595</t>
  </si>
  <si>
    <t>Synergy North Corporation1595_(2008)</t>
  </si>
  <si>
    <t>Synergy North Corporation1595_(2009)</t>
  </si>
  <si>
    <t>Synergy North Corporation1595_(2010)</t>
  </si>
  <si>
    <t>Synergy North Corporation1595_(2011)</t>
  </si>
  <si>
    <t>Synergy North Corporation1595_(2012)</t>
  </si>
  <si>
    <t>Synergy North Corporation1595_(2013)</t>
  </si>
  <si>
    <t>Synergy North Corporation1595_(2014)</t>
  </si>
  <si>
    <t>Synergy North Corporation1595_(2015)</t>
  </si>
  <si>
    <t>Synergy North Corporation1595_(2016)</t>
  </si>
  <si>
    <t>Synergy North Corporation1595_(2017)</t>
  </si>
  <si>
    <t>Synergy North Corporation1595_(2018)</t>
  </si>
  <si>
    <t>Synergy North Corporation1595_ControlAccount</t>
  </si>
  <si>
    <t>Synergy North Corporation2425</t>
  </si>
  <si>
    <t>Tillsonburg Hydro Inc.1595_(2018)</t>
  </si>
  <si>
    <t>Toronto Hydro-Electric System Limited1595_(2018)</t>
  </si>
  <si>
    <t>Wasaga Distribution Inc.1595_(2018)</t>
  </si>
  <si>
    <t>Waterloo North Hydro Inc.1595_(2018)</t>
  </si>
  <si>
    <t>Welland Hydro-Electric System Corp.1595_(2018)</t>
  </si>
  <si>
    <t>Wellington North Power Inc.1595_(2018)</t>
  </si>
  <si>
    <t>Westario Power Inc.1595_(2018)</t>
  </si>
  <si>
    <t>In the table, enter 
i) the total Class A consumption for full year Class A customers in each rate class for each year, including any transition customer's consumption identified in table 3a above that were Class A customers for the full year before/after the transition year (E.g. If a customer transitioned from Class B to A in 2019, exclude this customer's consumption for 2019 but include this customer's consumption in 2020 as the customer was a Class A customer for the full year); and 
ii) the total forecast Class A and Class B consumption for transition customers and full year Class A customers in each rate class for the test year.</t>
  </si>
  <si>
    <t>Time run: 7/9/2021 3:01:00 PM</t>
  </si>
  <si>
    <t>1937680 Ontario Inc.</t>
  </si>
  <si>
    <t>1937680 Ontario Inc.1508</t>
  </si>
  <si>
    <t>1937680 Ontario Inc.1518</t>
  </si>
  <si>
    <t>1937680 Ontario Inc.1522</t>
  </si>
  <si>
    <t>1937680 Ontario Inc.1525</t>
  </si>
  <si>
    <t>1937680 Ontario Inc.1531</t>
  </si>
  <si>
    <t>1937680 Ontario Inc.1532</t>
  </si>
  <si>
    <t>1937680 Ontario Inc.1533</t>
  </si>
  <si>
    <t>1937680 Ontario Inc.1534</t>
  </si>
  <si>
    <t>1937680 Ontario Inc.1535</t>
  </si>
  <si>
    <t>1937680 Ontario Inc.1536</t>
  </si>
  <si>
    <t>1937680 Ontario Inc.1548</t>
  </si>
  <si>
    <t>1937680 Ontario Inc.1550</t>
  </si>
  <si>
    <t>1937680 Ontario Inc.1551</t>
  </si>
  <si>
    <t>1937680 Ontario Inc.1555</t>
  </si>
  <si>
    <t>1937680 Ontario Inc.1557</t>
  </si>
  <si>
    <t>1937680 Ontario Inc.1568</t>
  </si>
  <si>
    <t>1937680 Ontario Inc.1572</t>
  </si>
  <si>
    <t>1937680 Ontario Inc.1574</t>
  </si>
  <si>
    <t>1937680 Ontario Inc.1575</t>
  </si>
  <si>
    <t>1937680 Ontario Inc.1576</t>
  </si>
  <si>
    <t>1937680 Ontario Inc.1580</t>
  </si>
  <si>
    <t>1937680 Ontario Inc.1582</t>
  </si>
  <si>
    <t>1937680 Ontario Inc.1584</t>
  </si>
  <si>
    <t>1937680 Ontario Inc.1586</t>
  </si>
  <si>
    <t>1937680 Ontario Inc.1588</t>
  </si>
  <si>
    <t>1937680 Ontario Inc.1589</t>
  </si>
  <si>
    <t>1937680 Ontario Inc.1592</t>
  </si>
  <si>
    <t>1937680 Ontario Inc.1595</t>
  </si>
  <si>
    <t>1937680 Ontario Inc.1595_(2008)</t>
  </si>
  <si>
    <t>1937680 Ontario Inc.1595_(2009)</t>
  </si>
  <si>
    <t>1937680 Ontario Inc.1595_(2010)</t>
  </si>
  <si>
    <t>1937680 Ontario Inc.1595_(2011)</t>
  </si>
  <si>
    <t>1937680 Ontario Inc.1595_(2012)</t>
  </si>
  <si>
    <t>1937680 Ontario Inc.1595_(2013)</t>
  </si>
  <si>
    <t>1937680 Ontario Inc.1595_(2014)</t>
  </si>
  <si>
    <t>1937680 Ontario Inc.1595_(2015)</t>
  </si>
  <si>
    <t>1937680 Ontario Inc.1595_(2016)</t>
  </si>
  <si>
    <t>1937680 Ontario Inc.1595_(2017)</t>
  </si>
  <si>
    <t>1937680 Ontario Inc.1595_(2018)</t>
  </si>
  <si>
    <t>1937680 Ontario Inc.1595_ControlAccount</t>
  </si>
  <si>
    <t>1937680 Ontario Inc.2425</t>
  </si>
  <si>
    <t>Cornwall Street Railway Light and Power Company Limited</t>
  </si>
  <si>
    <t>Cornwall Street Railway Light and Power Company Limited1508</t>
  </si>
  <si>
    <t>Cornwall Street Railway Light and Power Company Limited1518</t>
  </si>
  <si>
    <t>Cornwall Street Railway Light and Power Company Limited1522</t>
  </si>
  <si>
    <t>Cornwall Street Railway Light and Power Company Limited1525</t>
  </si>
  <si>
    <t>Cornwall Street Railway Light and Power Company Limited1531</t>
  </si>
  <si>
    <t>Cornwall Street Railway Light and Power Company Limited1532</t>
  </si>
  <si>
    <t>Cornwall Street Railway Light and Power Company Limited1533</t>
  </si>
  <si>
    <t>Cornwall Street Railway Light and Power Company Limited1534</t>
  </si>
  <si>
    <t>Cornwall Street Railway Light and Power Company Limited1535</t>
  </si>
  <si>
    <t>Cornwall Street Railway Light and Power Company Limited1536</t>
  </si>
  <si>
    <t>Cornwall Street Railway Light and Power Company Limited1548</t>
  </si>
  <si>
    <t>Cornwall Street Railway Light and Power Company Limited1550</t>
  </si>
  <si>
    <t>Cornwall Street Railway Light and Power Company Limited1551</t>
  </si>
  <si>
    <t>Cornwall Street Railway Light and Power Company Limited1555</t>
  </si>
  <si>
    <t>Cornwall Street Railway Light and Power Company Limited1557</t>
  </si>
  <si>
    <t>Cornwall Street Railway Light and Power Company Limited1568</t>
  </si>
  <si>
    <t>Cornwall Street Railway Light and Power Company Limited1572</t>
  </si>
  <si>
    <t>Cornwall Street Railway Light and Power Company Limited1574</t>
  </si>
  <si>
    <t>Cornwall Street Railway Light and Power Company Limited1575</t>
  </si>
  <si>
    <t>Cornwall Street Railway Light and Power Company Limited1576</t>
  </si>
  <si>
    <t>Cornwall Street Railway Light and Power Company Limited1580</t>
  </si>
  <si>
    <t>Cornwall Street Railway Light and Power Company Limited1582</t>
  </si>
  <si>
    <t>Cornwall Street Railway Light and Power Company Limited1584</t>
  </si>
  <si>
    <t>Cornwall Street Railway Light and Power Company Limited1586</t>
  </si>
  <si>
    <t>Cornwall Street Railway Light and Power Company Limited1588</t>
  </si>
  <si>
    <t>Cornwall Street Railway Light and Power Company Limited1589</t>
  </si>
  <si>
    <t>Cornwall Street Railway Light and Power Company Limited1592</t>
  </si>
  <si>
    <t>Cornwall Street Railway Light and Power Company Limited1595</t>
  </si>
  <si>
    <t>Cornwall Street Railway Light and Power Company Limited1595_(2008)</t>
  </si>
  <si>
    <t>Cornwall Street Railway Light and Power Company Limited1595_(2009)</t>
  </si>
  <si>
    <t>Cornwall Street Railway Light and Power Company Limited1595_(2010)</t>
  </si>
  <si>
    <t>Cornwall Street Railway Light and Power Company Limited1595_(2011)</t>
  </si>
  <si>
    <t>Cornwall Street Railway Light and Power Company Limited1595_(2012)</t>
  </si>
  <si>
    <t>Cornwall Street Railway Light and Power Company Limited1595_(2013)</t>
  </si>
  <si>
    <t>Cornwall Street Railway Light and Power Company Limited1595_(2014)</t>
  </si>
  <si>
    <t>Cornwall Street Railway Light and Power Company Limited1595_(2015)</t>
  </si>
  <si>
    <t>Cornwall Street Railway Light and Power Company Limited1595_(2016)</t>
  </si>
  <si>
    <t>Cornwall Street Railway Light and Power Company Limited1595_(2017)</t>
  </si>
  <si>
    <t>Cornwall Street Railway Light and Power Company Limited1595_(2018)</t>
  </si>
  <si>
    <t>Cornwall Street Railway Light and Power Company Limited1595_ControlAccount</t>
  </si>
  <si>
    <t>Cornwall Street Railway Light and Power Company Limited2425</t>
  </si>
  <si>
    <t>VIEW_TRIALBALANCE217.Account_No IN ('1518', '1522', '1525', '1531', '1532', '1533', '1534', '1535', '1536', '1548', '1550', '1551', '1555', '1557', '1568', '1572', '1574', '1575', '1576', '1580', '1582', '1584', '1586', '1588', '1589', '1590', '1592', '1595', '2425') or (VIEW_TRIALBALANCE217.Account_No='1508' and VIEW_TRIALBALANCE217.Account_Description = 'Other Regulatory Assets')</t>
  </si>
  <si>
    <t>and</t>
  </si>
  <si>
    <r>
      <rPr>
        <sz val="8"/>
        <color theme="1"/>
        <rFont val="Calibri"/>
        <family val="2"/>
      </rPr>
      <t xml:space="preserve">Due Year is equal to / is in </t>
    </r>
    <r>
      <rPr>
        <b/>
        <sz val="8"/>
        <color theme="1"/>
        <rFont val="Calibri"/>
        <family val="2"/>
      </rPr>
      <t>2021</t>
    </r>
  </si>
  <si>
    <t>For all the the responses below, when selecting a year, select the year relating to the account balance. For example, if the 2020 balances that were reviewed in the 2022 rate application were to be selected, select 2020.</t>
  </si>
  <si>
    <r>
      <t>Disposition and Recovery/Refund of Regulatory Balances (2016 and pre-2016)</t>
    </r>
    <r>
      <rPr>
        <vertAlign val="superscript"/>
        <sz val="11"/>
        <rFont val="Arial"/>
        <family val="2"/>
      </rPr>
      <t>3</t>
    </r>
  </si>
  <si>
    <r>
      <t>Disposition and Recovery/Refund of Regulatory Balances (2022)</t>
    </r>
    <r>
      <rPr>
        <vertAlign val="superscript"/>
        <sz val="11"/>
        <rFont val="Arial"/>
        <family val="2"/>
      </rPr>
      <t>3</t>
    </r>
  </si>
  <si>
    <t>Disposition and Recovery/Refund of Regulatory Balances (2016 and pre-2016)</t>
  </si>
  <si>
    <t>Disposition and Recovery/Refund of Regulatory Balances (2022)</t>
  </si>
  <si>
    <t>The individual sub-accounts as well as the total for all Account 1595 sub-accounts is to agree to the RRR data.  Differences need to be explained. For each Account 1595 sub-account, the transfer of the balance approved for disposition into Account 1595 is to be recorded in "OEB Approved Disposition" column. The recovery/refund is to be recorded in the "Transaction" column. Any vintage year of Account 1595 is only to be disposed once on a final basis. No further dispositions of these accounts are generally expected thereafter, unless justified by the distributor.
Refer to Filing Requirements for disposition eligibility of the sub-accounts. Select "yes" column BU if the sub-account is requested for disposition. Note that Accounts 1595 (2020), (2021) and (2022) will not be eligilble for disposition in the 2023 rate application.</t>
  </si>
  <si>
    <t>1) If the LDC’s rate year begins on January 1, 2023, the projected interest is recorded from January 1, 2022 to December 31, 2022 on the December 31, 2021 balances, adjusted to remove balances approved for disposition in the 2022 rate decision. 
 2) If the LDC’s rate year begins on May 1, 2023, the projected interest is recorded from January 1, 2022 to April 30, 2023 on the December 31, 2021 balances, adjusted to remove balances approved for disposition in the 2022 rate decision.</t>
  </si>
  <si>
    <t xml:space="preserve">In the Group 2 continuity schedule tab 2b, Account 1508, Sub-account Local Initiatives Program Costs and Account 1508, Sub-account Green Button Initiative Costs have been added. </t>
  </si>
  <si>
    <t>Account 1509 - Impacts Arising from the COVID-19 Emergency has been added to the Group 2 continuity schedule tab 2b. A separate rider is calculated for this account in tab 7 if disposition is approved.</t>
  </si>
  <si>
    <r>
      <t>a)</t>
    </r>
    <r>
      <rPr>
        <u/>
        <sz val="10.5"/>
        <color theme="1"/>
        <rFont val="Arial"/>
        <family val="2"/>
      </rPr>
      <t xml:space="preserve"> For all Group 1 accounts, except Account 1595:</t>
    </r>
    <r>
      <rPr>
        <sz val="10.5"/>
        <color theme="1"/>
        <rFont val="Arial"/>
        <family val="2"/>
      </rPr>
      <t xml:space="preserve">
The continuity schedule generally will open from the year the GL balance was last disposed.  Start inputting the approved ending balances in the Adjustments column of that year.
</t>
    </r>
    <r>
      <rPr>
        <i/>
        <sz val="10.5"/>
        <color theme="1"/>
        <rFont val="Arial"/>
        <family val="2"/>
      </rPr>
      <t>For example, if in the 2022 rate application, DVA balances as at December 13, 2020 were approved for disposition, the continuity schedule will commence from 2020.  Start by inputting the approved closing 2020 balances in the Adjustments column under 2020.</t>
    </r>
  </si>
  <si>
    <r>
      <rPr>
        <u/>
        <sz val="10.5"/>
        <color theme="1"/>
        <rFont val="Arial"/>
        <family val="2"/>
      </rPr>
      <t xml:space="preserve">b) For all Account 1595 sub-accounts: </t>
    </r>
    <r>
      <rPr>
        <sz val="10.5"/>
        <color theme="1"/>
        <rFont val="Arial"/>
        <family val="2"/>
      </rPr>
      <t xml:space="preserve">
Complete the DVA continuity schedule for each Account 1595 vintage year that has a GL balance as at December 31, 2021, regardless of whether the account is eligible for disposition in the current application. 
The continuity schedule will open in the year of the earliest Account 1595 vintage year that has a balance. For each Account 1595 sub-account, start inputting data from the year the sub-account started to accumulate a balance (i.e. the vintage year). 
</t>
    </r>
    <r>
      <rPr>
        <i/>
        <sz val="10.5"/>
        <color theme="1"/>
        <rFont val="Arial"/>
        <family val="2"/>
      </rPr>
      <t>For example, Account 1595 (2017) would accumulate a balance starting in 2017, when the relevant balances approved for disposition were first transferred into Account 1595 (2017). Input the amount approved for disposition in the OEB Approved Disposition column.</t>
    </r>
    <r>
      <rPr>
        <sz val="10.5"/>
        <color theme="1"/>
        <rFont val="Arial"/>
        <family val="2"/>
      </rPr>
      <t xml:space="preserve">
Note that the DVA continuity schedule can currently start from 2016. If a utility has residual balance in an Account 1595 with a vintage year prior to 2016, include residual balances for years up to 2016 in the row for Account 1595 (2016 and pre-2016) and provide a separate schedule with amounts broken down by vintage year.</t>
    </r>
  </si>
  <si>
    <r>
      <rPr>
        <u/>
        <sz val="10.5"/>
        <color theme="1"/>
        <rFont val="Arial"/>
        <family val="2"/>
      </rPr>
      <t>c) For all Group 2 accounts:</t>
    </r>
    <r>
      <rPr>
        <sz val="10.5"/>
        <color theme="1"/>
        <rFont val="Arial"/>
        <family val="2"/>
      </rPr>
      <t xml:space="preserve">
The continuity schedule will open from the earlier of i) the year the GL balance was last disposed, or ii) the earliest year in which balances started to accumulate. Start inputting approved ending balances in the Adjustment columns of that year.
</t>
    </r>
    <r>
      <rPr>
        <i/>
        <sz val="10.5"/>
        <color theme="1"/>
        <rFont val="Arial"/>
        <family val="2"/>
      </rPr>
      <t>For example, if in the 2018 rebasing rate application, DVA balances as at December 13, 2016 were approved for disposition, the continuity schedule will commence from 2016. Start by inputting the approved closing 2016 balances in the Adjustments column under 2016 for the applicable accounts.</t>
    </r>
  </si>
  <si>
    <t xml:space="preserve">Enter the number of utility-specific 1508 sub-accounts that are approved for the utility in the drop down box in column B.  The DVA continuity schedule will generate the number of utility-specific 1508 sub-accounts. Input the name and the balances of the sub-account(s). </t>
  </si>
  <si>
    <t>Complete the billing determinants table based on the load forecast. Note that column E (i.e. columns O and P in excel) are generated when a utility indicates they have Class A customers in tab 1. Information in these columns are populated based on data from tab 6.</t>
  </si>
  <si>
    <t xml:space="preserve">This tab allocates the GA balance to each transition customer for the period in which these customers were Class B customers and contributed to the GA balance (i.e. former Class B customers who contributed to the GA balance but are now Class A customers, and former Class A customers who are now Class B customers contributing to the GA balance). </t>
  </si>
  <si>
    <t xml:space="preserve">Enter the Non-RPP consumption less WMP consumption in the first table. </t>
  </si>
  <si>
    <t>The rest of the information in this tab will be auto-populated and will calculate the customer specific allocation of the GA balance to transition customers in the bottom table. 
All transition customers who are allocated a specific GA amount are not to be charged the general Non-RPP Class B GA rate rider as calculated in tab 7.</t>
  </si>
  <si>
    <t xml:space="preserve">This tab allocates the CBR Class B balance to each transition customer for the period in which these customers were Class B customers and contributed to the CBR Class B balance (i.e. former Class B customers who contributed to the balance but are now Class A customers, and former Class A customers who are now Class B contributing to the balance). </t>
  </si>
  <si>
    <t>Enter the total Class B consumption less WMP consumption in the first table.</t>
  </si>
  <si>
    <t>The rest of the information in this tab will be auto-populated and will calculate the customer specific allocation of the CBR Class B balance to transition customers in the bottom table. 
All transition customers who are allocated a specific CBR Class B amount are not to be charged the general CBR Class B rate rider as calculated in tab 7.</t>
  </si>
  <si>
    <t>Rate Rider Calculation for RSVA Global Adjustment</t>
  </si>
  <si>
    <t>1550, 1551, 1584, 1586, 1595, 1580 and 1588</t>
  </si>
  <si>
    <t>Total of Group 2 Accounts Above</t>
  </si>
  <si>
    <r>
      <t>Local Initiatives Program Costs</t>
    </r>
    <r>
      <rPr>
        <vertAlign val="superscript"/>
        <sz val="11"/>
        <rFont val="Arial"/>
        <family val="2"/>
      </rPr>
      <t>9</t>
    </r>
  </si>
  <si>
    <t xml:space="preserve"> This 1508 sub-account for Local Initiatives Program Costs is effective May 28, 2021 per Accounting Order (002-2021) for the Establishment of a Deferral Account to Record Costs Associated With Distributor Partnership in the Local Initiatives Program Under the 2021-2024 Conservation and Demand Management Framework (EB-2021-0106). Distributors that partner with the IESO for the Local Initiative Program may record incremental administration costs directly attributable to the distributor’s participation as a supporting partner to the IESO in the Local Initiatives Program in the sub-account.</t>
  </si>
  <si>
    <r>
      <t>Green Button Initiative Costs</t>
    </r>
    <r>
      <rPr>
        <vertAlign val="superscript"/>
        <sz val="11"/>
        <rFont val="Arial"/>
        <family val="2"/>
      </rPr>
      <t>10</t>
    </r>
  </si>
  <si>
    <t xml:space="preserve"> This 1508 sub-account for Green Button Initiative Costs is effective November 1, 2021 per the Accounting Order (003-2021) for the Establishment of a Deferral Account to Record Impacts Arising from Implementing the Green Button Initiative (EB-2021-0183). Distributors are to record the incremental costs directly attributable to the implementation of the Green Button initiative, in a manner that accords with the requirements set out in the
Green Button Regulation, in the sub-account.</t>
  </si>
  <si>
    <t>Total Group 2 Accounts</t>
  </si>
  <si>
    <t xml:space="preserve">Impacts Arising from the COVID-19 Emergency </t>
  </si>
  <si>
    <t>Rate Rider Calculation for Account 1509</t>
  </si>
  <si>
    <t>Allocated
Account 1509 Balance</t>
  </si>
  <si>
    <t>Rate Rider for Account 1509</t>
  </si>
  <si>
    <r>
      <t>Impacts Arising from the COVID-19 Emergency</t>
    </r>
    <r>
      <rPr>
        <vertAlign val="superscript"/>
        <sz val="11"/>
        <rFont val="Arial"/>
        <family val="2"/>
      </rPr>
      <t>11</t>
    </r>
  </si>
  <si>
    <t xml:space="preserve"> Account 1509 - Impacts Arising from the COVID-19 Emergency was established effective March 24, 2020. Refer to Report of the OEB - Regulatory Treament of Impacts Arising from the COVID-19 Emergency (EB-2020-0133), dated June 17, 2021 for further details. Amounts that are approved for disposition in this account will be recovered or refunded through a separate rate rider. </t>
  </si>
  <si>
    <t>(e.g. If you received approval to dispose of the GA variance account balance as at December 31, 2019, the period the GA variance accumulated would be 2020 to 2021.)</t>
  </si>
  <si>
    <t>(e.g. If you received approval to dispose of the CBR Class B balance as at December 31, 2020, the period the CBR Class B variance accumulated would be 2021.)</t>
  </si>
  <si>
    <t>Metered Consumption (kWh) for Transition Customers During the Period When They Were Class B Customers in 2021</t>
  </si>
  <si>
    <t>Metered Class B Consumption (kWh)  for Transition Customers During the Period When They were Class B Customers in 2021</t>
  </si>
  <si>
    <r>
      <t xml:space="preserve">1595 Recovery Share Proportion (2016 and pre-2016) </t>
    </r>
    <r>
      <rPr>
        <b/>
        <vertAlign val="superscript"/>
        <sz val="10"/>
        <rFont val="Arial"/>
        <family val="2"/>
      </rPr>
      <t>1</t>
    </r>
  </si>
  <si>
    <r>
      <t xml:space="preserve">1595 Recovery Share Proportion (2022) </t>
    </r>
    <r>
      <rPr>
        <b/>
        <vertAlign val="superscript"/>
        <sz val="10"/>
        <rFont val="Arial"/>
        <family val="2"/>
      </rPr>
      <t>1</t>
    </r>
  </si>
  <si>
    <r>
      <t>PILs and Tax Variance for 2006 and Subsequent Years- Sub-account CCA Changes</t>
    </r>
    <r>
      <rPr>
        <vertAlign val="superscript"/>
        <sz val="11"/>
        <rFont val="Arial"/>
        <family val="2"/>
      </rPr>
      <t>12</t>
    </r>
  </si>
  <si>
    <t>The 1592 sub-account for CCA changes was established to track the impact of changes in CCA rules starting from November 18, 2018, as per the OEB's July 25, 2019 letter Accounting Direction Regarding Bill C-97 and Other Changes in Regulatory or Legislated Tax Rules for Capital Cost Allowance.</t>
  </si>
  <si>
    <t>In tab 2a for the Group 1 continuity schedule, the rows for the totals are revised to show total of Group 1 accounts and total claim amount only.</t>
  </si>
  <si>
    <t>Sault Ste. Marie</t>
  </si>
  <si>
    <t>EB-2022-0059</t>
  </si>
  <si>
    <t>Tyler Kasubeck, Regulatory Financial Analyst</t>
  </si>
  <si>
    <t>705-759-3009</t>
  </si>
  <si>
    <t>tyler.kasubeck@ssmpuc.com</t>
  </si>
  <si>
    <t>Other Regulatory Assets - Sub-Account - ICM Substation 16 Capital</t>
  </si>
  <si>
    <t>Other Regulatory Assets - Sub-Account - ICM Substation 16 Depreciation</t>
  </si>
  <si>
    <t>Other Regulatory Assets - Sub-Account - ICM Substation 16 Accumulated Depreciation</t>
  </si>
  <si>
    <t>Other Regulatory Assets - Sub-Account - ICM Substation 16 Rate Riders</t>
  </si>
  <si>
    <t>Other Regulatory Assets - Sub-Account - ICM Substation 16 Delayed Rate Implementation</t>
  </si>
  <si>
    <t>COVID-19 Foregone Revenue - ICM Substation Delayed Rate Implementation</t>
  </si>
  <si>
    <t>COVID-19 Foregone Revenue - ICM Substation 16 Rate Rider</t>
  </si>
  <si>
    <t>Other Regulatory Assets - Sub-Account - ICM Sault Smart Grid Capital</t>
  </si>
  <si>
    <t>Other Regulatory Assets - Sub-Account - ICM Sault Smart Grid Depreciation</t>
  </si>
  <si>
    <t>Other Regulatory Assets - Sub-Account - ICM Sault Smart Grid Accumulated Depreciation</t>
  </si>
  <si>
    <t>Other Regulatory Assets - Sub-Account - ICM Sault Smart Grid Rate Riders</t>
  </si>
  <si>
    <t>COVID-19 Foregone Revenue - IRM May 1 2020 Delayed Rate Implementation</t>
  </si>
  <si>
    <t>COVID-19 Foregone Revenue - IRM May 1 2020 Delayed Rate Implementation Rate Rider</t>
  </si>
  <si>
    <t>Variance consistent with Account 1580 Sub-Account CBR Class B.</t>
  </si>
  <si>
    <t>Forecasted variance to be recorded in the account in 2022.</t>
  </si>
  <si>
    <t>RESIDENTIAL SERVICE CLASSIFICATION</t>
  </si>
  <si>
    <t>GENERAL SERVICE LESS THAN 50 KW SERVICE CLASSIFICATION</t>
  </si>
  <si>
    <t>GENERAL SERVICE 50 TO 999 KW SERVICE CLASSIFICATION</t>
  </si>
  <si>
    <t>UNMETERED SCATTERED LOAD SERVICE CLASSIFICATION</t>
  </si>
  <si>
    <t>SENTINEL LIGHTING SERVICE CLASSIFICATION</t>
  </si>
  <si>
    <t>STREET LIGHTING SERVICE CLASSIFICATION</t>
  </si>
  <si>
    <t>NonRPP GA correction (CT2148 IESO adjustment split)</t>
  </si>
  <si>
    <t>Other Regulatory Assets - Sub-Account - ICM Substation 16 Rate Riders Revenue Revised</t>
  </si>
  <si>
    <t>Other Regulatory Assets - Sub-Account - ICM SSG Rate Riders Revenue Revised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</si>
</sst>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8" formatCode="&quot;$&quot;#,##0.00_);[Red]\(&quot;$&quot;#,##0.00\)"/>
    <numFmt numFmtId="44" formatCode="_(&quot;$&quot;* #,##0.00_);_(&quot;$&quot;* \(#,##0.00\);_(&quot;$&quot;* &quot;-&quot;??_);_(@_)"/>
    <numFmt numFmtId="43" formatCode="_(* #,##0.00_);_(* \(#,##0.00\);_(* &quot;-&quot;??_);_(@_)"/>
    <numFmt numFmtId="164" formatCode="&quot;$&quot;#,##0;[Red]\-&quot;$&quot;#,##0"/>
    <numFmt numFmtId="165" formatCode="&quot;$&quot;#,##0.00;[Red]\-&quot;$&quot;#,##0.00"/>
    <numFmt numFmtId="166" formatCode="_-&quot;$&quot;* #,##0.00_-;\-&quot;$&quot;* #,##0.00_-;_-&quot;$&quot;* &quot;-&quot;??_-;_-@_-"/>
    <numFmt numFmtId="167" formatCode="_-* #,##0.00_-;\-* #,##0.00_-;_-* &quot;-&quot;??_-;_-@_-"/>
    <numFmt numFmtId="168" formatCode="_(* #,##0.0_);_(* \(#,##0.0\);_(* &quot;-&quot;??_);_(@_)"/>
    <numFmt numFmtId="169" formatCode="_(* #,##0_);_(* \(#,##0\);_(* &quot;-&quot;??_);_(@_)"/>
    <numFmt numFmtId="170" formatCode="&quot;£ &quot;#,##0.00;[Red]\-&quot;£ &quot;#,##0.00"/>
    <numFmt numFmtId="171" formatCode="#,##0.0"/>
    <numFmt numFmtId="172" formatCode="##\-#"/>
    <numFmt numFmtId="173" formatCode="mm/dd/yyyy"/>
    <numFmt numFmtId="174" formatCode="0\-0"/>
    <numFmt numFmtId="175" formatCode="_-&quot;$&quot;* #,##0_-;\-&quot;$&quot;* #,##0_-;_-&quot;$&quot;* &quot;-&quot;??_-;_-@_-"/>
    <numFmt numFmtId="176" formatCode="0.0"/>
    <numFmt numFmtId="177" formatCode="#,##0;[Red]\(#,##0\)"/>
    <numFmt numFmtId="178" formatCode="_-* #,##0_-;\-* #,##0_-;_-* &quot;-&quot;??_-;_-@_-"/>
    <numFmt numFmtId="179" formatCode="_-* #,##0.0000_-;\-* #,##0.0000_-;_-* &quot;-&quot;??_-;_-@_-"/>
    <numFmt numFmtId="180" formatCode="0.0%"/>
    <numFmt numFmtId="181" formatCode="&quot;$&quot;#,##0.0000_);[Red]\(&quot;$&quot;#,##0.0000\)"/>
    <numFmt numFmtId="182" formatCode="_-&quot;$&quot;* #,##0.0000_-;\-&quot;$&quot;* #,##0.0000_-;_-&quot;$&quot;* &quot;-&quot;??_-;_-@_-"/>
    <numFmt numFmtId="183" formatCode="_ #,##0.000000;[Red]\(#,##0.000000\)"/>
    <numFmt numFmtId="184" formatCode="#,##0_ ;[Red]\-#,##0\ "/>
  </numFmts>
  <fonts count="11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Arial"/>
      <family val="2"/>
    </font>
    <font>
      <b/>
      <sz val="11"/>
      <name val="Arial"/>
      <family val="2"/>
    </font>
    <font>
      <b/>
      <sz val="10"/>
      <name val="Arial"/>
      <family val="2"/>
    </font>
    <font>
      <sz val="8"/>
      <name val="Arial"/>
      <family val="2"/>
    </font>
    <font>
      <b/>
      <sz val="18"/>
      <name val="Arial"/>
      <family val="2"/>
    </font>
    <font>
      <b/>
      <sz val="12"/>
      <name val="Arial"/>
      <family val="2"/>
    </font>
    <font>
      <vertAlign val="superscript"/>
      <sz val="11"/>
      <name val="Arial"/>
      <family val="2"/>
    </font>
    <font>
      <sz val="10"/>
      <name val="Arial"/>
      <family val="2"/>
    </font>
    <font>
      <b/>
      <sz val="11"/>
      <color indexed="12"/>
      <name val="Arial"/>
      <family val="2"/>
    </font>
    <font>
      <sz val="8"/>
      <name val="Arial"/>
      <family val="2"/>
    </font>
    <font>
      <b/>
      <sz val="22"/>
      <name val="Book Antiqua"/>
      <family val="1"/>
    </font>
    <font>
      <sz val="10"/>
      <name val="Book Antiqua"/>
      <family val="1"/>
    </font>
    <font>
      <sz val="22"/>
      <name val="Book Antiqua"/>
      <family val="1"/>
    </font>
    <font>
      <b/>
      <sz val="10"/>
      <name val="Book Antiqua"/>
      <family val="1"/>
    </font>
    <font>
      <b/>
      <vertAlign val="superscript"/>
      <sz val="10"/>
      <name val="Book Antiqua"/>
      <family val="1"/>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sz val="18"/>
      <color indexed="56"/>
      <name val="Cambria"/>
      <family val="2"/>
    </font>
    <font>
      <sz val="10"/>
      <color indexed="10"/>
      <name val="Arial"/>
      <family val="2"/>
    </font>
    <font>
      <b/>
      <sz val="16"/>
      <name val="Book Antiqua"/>
      <family val="1"/>
    </font>
    <font>
      <b/>
      <i/>
      <sz val="10"/>
      <name val="Book Antiqua"/>
      <family val="1"/>
    </font>
    <font>
      <sz val="10"/>
      <name val="Arial"/>
      <family val="2"/>
    </font>
    <font>
      <b/>
      <sz val="11"/>
      <color theme="1"/>
      <name val="Calibri"/>
      <family val="2"/>
      <scheme val="minor"/>
    </font>
    <font>
      <b/>
      <sz val="11"/>
      <color theme="3"/>
      <name val="Calibri"/>
      <family val="2"/>
      <scheme val="minor"/>
    </font>
    <font>
      <b/>
      <sz val="11"/>
      <color theme="1"/>
      <name val="Arial"/>
      <family val="2"/>
    </font>
    <font>
      <sz val="11"/>
      <color theme="1"/>
      <name val="Arial"/>
      <family val="2"/>
    </font>
    <font>
      <i/>
      <sz val="11"/>
      <color theme="0" tint="-0.34998626667073579"/>
      <name val="Arial"/>
      <family val="2"/>
    </font>
    <font>
      <b/>
      <u/>
      <sz val="10"/>
      <name val="Arial"/>
      <family val="2"/>
    </font>
    <font>
      <b/>
      <u/>
      <sz val="11"/>
      <color theme="1"/>
      <name val="Calibri"/>
      <family val="2"/>
      <scheme val="minor"/>
    </font>
    <font>
      <b/>
      <vertAlign val="superscript"/>
      <sz val="10"/>
      <name val="Arial"/>
      <family val="2"/>
    </font>
    <font>
      <b/>
      <sz val="10"/>
      <color rgb="FFFF0000"/>
      <name val="Arial"/>
      <family val="2"/>
    </font>
    <font>
      <vertAlign val="superscript"/>
      <sz val="11"/>
      <color theme="1"/>
      <name val="Calibri"/>
      <family val="2"/>
      <scheme val="minor"/>
    </font>
    <font>
      <b/>
      <sz val="8"/>
      <name val="Arial"/>
      <family val="2"/>
    </font>
    <font>
      <b/>
      <sz val="14"/>
      <name val="Arial"/>
      <family val="2"/>
    </font>
    <font>
      <sz val="12"/>
      <color theme="1"/>
      <name val="Arial"/>
      <family val="2"/>
    </font>
    <font>
      <b/>
      <sz val="11"/>
      <color rgb="FFFF0000"/>
      <name val="Arial"/>
      <family val="2"/>
    </font>
    <font>
      <b/>
      <sz val="10"/>
      <color rgb="FF0070C0"/>
      <name val="Arial"/>
      <family val="2"/>
    </font>
    <font>
      <b/>
      <sz val="8"/>
      <color rgb="FFFF0000"/>
      <name val="Arial"/>
      <family val="2"/>
    </font>
    <font>
      <i/>
      <sz val="8"/>
      <color rgb="FFFF0000"/>
      <name val="Arial"/>
      <family val="2"/>
    </font>
    <font>
      <b/>
      <i/>
      <sz val="10"/>
      <name val="Arial"/>
      <family val="2"/>
    </font>
    <font>
      <sz val="9"/>
      <color indexed="81"/>
      <name val="Tahoma"/>
      <family val="2"/>
    </font>
    <font>
      <b/>
      <sz val="9"/>
      <color indexed="81"/>
      <name val="Tahoma"/>
      <family val="2"/>
    </font>
    <font>
      <b/>
      <vertAlign val="superscrip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sz val="11"/>
      <color rgb="FFFF0000"/>
      <name val="Calibri"/>
      <family val="2"/>
      <scheme val="minor"/>
    </font>
    <font>
      <i/>
      <sz val="11"/>
      <color rgb="FFFF0000"/>
      <name val="Arial"/>
      <family val="2"/>
    </font>
    <font>
      <sz val="8"/>
      <color rgb="FF000000"/>
      <name val="Tahoma"/>
      <family val="2"/>
    </font>
    <font>
      <b/>
      <sz val="10"/>
      <color theme="1"/>
      <name val="Arial"/>
      <family val="2"/>
    </font>
    <font>
      <sz val="10"/>
      <color theme="1"/>
      <name val="Arial"/>
      <family val="2"/>
    </font>
    <font>
      <b/>
      <sz val="10"/>
      <color indexed="10"/>
      <name val="Arial"/>
      <family val="2"/>
    </font>
    <font>
      <b/>
      <vertAlign val="superscript"/>
      <sz val="11"/>
      <color indexed="12"/>
      <name val="Arial"/>
      <family val="2"/>
    </font>
    <font>
      <u/>
      <sz val="8"/>
      <color rgb="FF0000FF"/>
      <name val="Calibri"/>
      <family val="2"/>
      <scheme val="minor"/>
    </font>
    <font>
      <vertAlign val="superscript"/>
      <sz val="10"/>
      <name val="Arial"/>
      <family val="2"/>
    </font>
    <font>
      <sz val="10"/>
      <color theme="0"/>
      <name val="Arial"/>
      <family val="2"/>
    </font>
    <font>
      <b/>
      <sz val="11"/>
      <color rgb="FFFF0000"/>
      <name val="Calibri"/>
      <family val="2"/>
      <scheme val="minor"/>
    </font>
    <font>
      <sz val="12"/>
      <name val="Arial"/>
      <family val="2"/>
    </font>
    <font>
      <sz val="11"/>
      <name val="Calibri"/>
      <family val="2"/>
      <scheme val="minor"/>
    </font>
    <font>
      <u/>
      <sz val="8"/>
      <color rgb="FF800080"/>
      <name val="Calibri"/>
      <family val="2"/>
      <scheme val="minor"/>
    </font>
    <font>
      <sz val="11"/>
      <color rgb="FFFF0000"/>
      <name val="Arial"/>
      <family val="2"/>
    </font>
    <font>
      <b/>
      <u/>
      <sz val="11"/>
      <color theme="1"/>
      <name val="Arial"/>
      <family val="2"/>
    </font>
    <font>
      <b/>
      <u/>
      <sz val="14"/>
      <color theme="1"/>
      <name val="Arial"/>
      <family val="2"/>
    </font>
    <font>
      <i/>
      <sz val="11"/>
      <color theme="1"/>
      <name val="Arial"/>
      <family val="2"/>
    </font>
    <font>
      <sz val="10"/>
      <color rgb="FFFF0000"/>
      <name val="Arial"/>
      <family val="2"/>
    </font>
    <font>
      <b/>
      <sz val="11"/>
      <name val="Calibri"/>
      <family val="2"/>
      <scheme val="minor"/>
    </font>
    <font>
      <sz val="11"/>
      <color rgb="FF000000"/>
      <name val="Calibri"/>
      <family val="2"/>
    </font>
    <font>
      <sz val="11"/>
      <color theme="1"/>
      <name val="Calibri"/>
      <family val="2"/>
    </font>
    <font>
      <sz val="8"/>
      <color rgb="FF333399"/>
      <name val="Calibri"/>
      <family val="2"/>
    </font>
    <font>
      <sz val="8"/>
      <color theme="1"/>
      <name val="Calibri"/>
      <family val="2"/>
    </font>
    <font>
      <b/>
      <sz val="14"/>
      <color theme="1"/>
      <name val="Arial"/>
      <family val="2"/>
    </font>
    <font>
      <b/>
      <u/>
      <sz val="12"/>
      <color theme="1"/>
      <name val="Arial"/>
      <family val="2"/>
    </font>
    <font>
      <sz val="10.5"/>
      <color theme="1"/>
      <name val="Arial"/>
      <family val="2"/>
    </font>
    <font>
      <u/>
      <sz val="10.5"/>
      <color theme="1"/>
      <name val="Arial"/>
      <family val="2"/>
    </font>
    <font>
      <i/>
      <sz val="10.5"/>
      <color theme="1"/>
      <name val="Arial"/>
      <family val="2"/>
    </font>
    <font>
      <sz val="10.5"/>
      <color theme="8" tint="-0.249977111117893"/>
      <name val="Arial"/>
      <family val="2"/>
    </font>
    <font>
      <sz val="10.5"/>
      <name val="Arial"/>
      <family val="2"/>
    </font>
    <font>
      <b/>
      <u/>
      <sz val="10.5"/>
      <color theme="1"/>
      <name val="Arial"/>
      <family val="2"/>
    </font>
    <font>
      <b/>
      <sz val="10"/>
      <color theme="1"/>
      <name val="Calibri"/>
      <family val="2"/>
    </font>
    <font>
      <b/>
      <sz val="8"/>
      <color theme="1"/>
      <name val="Calibri"/>
      <family val="2"/>
    </font>
    <font>
      <sz val="8"/>
      <name val="Book Antiqua"/>
      <family val="1"/>
    </font>
  </fonts>
  <fills count="7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000"/>
        <bgColor indexed="64"/>
      </patternFill>
    </fill>
    <fill>
      <patternFill patternType="solid">
        <fgColor theme="0" tint="-4.9989318521683403E-2"/>
        <bgColor indexed="64"/>
      </patternFill>
    </fill>
    <fill>
      <patternFill patternType="solid">
        <fgColor rgb="FFEBF1DE"/>
        <bgColor indexed="64"/>
      </patternFill>
    </fill>
    <fill>
      <patternFill patternType="solid">
        <fgColor rgb="FFF0F4FA"/>
      </patternFill>
    </fill>
    <fill>
      <patternFill patternType="solid">
        <fgColor rgb="FFFFFFFF"/>
      </patternFill>
    </fill>
    <fill>
      <patternFill patternType="solid">
        <fgColor theme="5" tint="0.59999389629810485"/>
        <bgColor indexed="64"/>
      </patternFill>
    </fill>
    <fill>
      <patternFill patternType="solid">
        <fgColor theme="4" tint="0.59999389629810485"/>
        <bgColor indexed="64"/>
      </patternFill>
    </fill>
    <fill>
      <patternFill patternType="solid">
        <fgColor rgb="FFFFFFCC"/>
        <bgColor indexed="64"/>
      </patternFill>
    </fill>
    <fill>
      <patternFill patternType="solid">
        <fgColor theme="0" tint="-0.249977111117893"/>
        <bgColor indexed="64"/>
      </patternFill>
    </fill>
    <fill>
      <patternFill patternType="solid">
        <fgColor rgb="FFA6A6A6"/>
        <bgColor indexed="64"/>
      </patternFill>
    </fill>
  </fills>
  <borders count="1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0"/>
      </top>
      <bottom/>
      <diagonal/>
    </border>
    <border>
      <left style="medium">
        <color indexed="64"/>
      </left>
      <right/>
      <top/>
      <bottom/>
      <diagonal/>
    </border>
    <border>
      <left/>
      <right style="medium">
        <color indexed="64"/>
      </right>
      <top/>
      <bottom/>
      <diagonal/>
    </border>
    <border>
      <left/>
      <right style="medium">
        <color indexed="64"/>
      </right>
      <top style="medium">
        <color indexed="12"/>
      </top>
      <bottom/>
      <diagonal/>
    </border>
    <border>
      <left style="medium">
        <color indexed="64"/>
      </left>
      <right/>
      <top style="medium">
        <color indexed="12"/>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12"/>
      </top>
      <bottom/>
      <diagonal/>
    </border>
    <border>
      <left style="medium">
        <color indexed="64"/>
      </left>
      <right/>
      <top style="medium">
        <color indexed="64"/>
      </top>
      <bottom style="medium">
        <color indexed="64"/>
      </bottom>
      <diagonal/>
    </border>
    <border>
      <left/>
      <right/>
      <top style="medium">
        <color indexed="12"/>
      </top>
      <bottom/>
      <diagonal/>
    </border>
    <border>
      <left style="medium">
        <color indexed="64"/>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9"/>
      </bottom>
      <diagonal/>
    </border>
    <border>
      <left/>
      <right style="medium">
        <color indexed="9"/>
      </right>
      <top style="medium">
        <color indexed="9"/>
      </top>
      <bottom style="medium">
        <color indexed="9"/>
      </bottom>
      <diagonal/>
    </border>
    <border>
      <left style="medium">
        <color indexed="64"/>
      </left>
      <right style="medium">
        <color indexed="64"/>
      </right>
      <top style="medium">
        <color indexed="9"/>
      </top>
      <bottom style="medium">
        <color indexed="9"/>
      </bottom>
      <diagonal/>
    </border>
    <border>
      <left style="medium">
        <color indexed="64"/>
      </left>
      <right style="medium">
        <color indexed="9"/>
      </right>
      <top style="medium">
        <color indexed="9"/>
      </top>
      <bottom/>
      <diagonal/>
    </border>
    <border>
      <left style="medium">
        <color indexed="9"/>
      </left>
      <right style="medium">
        <color indexed="9"/>
      </right>
      <top style="medium">
        <color indexed="9"/>
      </top>
      <bottom/>
      <diagonal/>
    </border>
    <border>
      <left style="medium">
        <color indexed="9"/>
      </left>
      <right style="medium">
        <color indexed="9"/>
      </right>
      <top/>
      <bottom style="medium">
        <color indexed="9"/>
      </bottom>
      <diagonal/>
    </border>
    <border>
      <left style="medium">
        <color indexed="9"/>
      </left>
      <right style="medium">
        <color indexed="9"/>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9"/>
      </left>
      <right style="medium">
        <color indexed="64"/>
      </right>
      <top style="medium">
        <color indexed="9"/>
      </top>
      <bottom style="medium">
        <color indexed="9"/>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12"/>
      </bottom>
      <diagonal/>
    </border>
    <border>
      <left/>
      <right/>
      <top/>
      <bottom style="medium">
        <color indexed="12"/>
      </bottom>
      <diagonal/>
    </border>
    <border>
      <left/>
      <right style="medium">
        <color indexed="64"/>
      </right>
      <top style="medium">
        <color indexed="64"/>
      </top>
      <bottom/>
      <diagonal/>
    </border>
    <border>
      <left/>
      <right style="medium">
        <color indexed="64"/>
      </right>
      <top/>
      <bottom style="medium">
        <color indexed="12"/>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39"/>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top style="medium">
        <color indexed="12"/>
      </top>
      <bottom/>
      <diagonal/>
    </border>
    <border>
      <left style="medium">
        <color auto="1"/>
      </left>
      <right style="medium">
        <color indexed="9"/>
      </right>
      <top style="medium">
        <color indexed="9"/>
      </top>
      <bottom style="medium">
        <color indexed="9"/>
      </bottom>
      <diagonal/>
    </border>
    <border>
      <left style="medium">
        <color auto="1"/>
      </left>
      <right/>
      <top/>
      <bottom/>
      <diagonal/>
    </border>
    <border>
      <left style="medium">
        <color auto="1"/>
      </left>
      <right style="medium">
        <color indexed="9"/>
      </right>
      <top style="medium">
        <color indexed="9"/>
      </top>
      <bottom/>
      <diagonal/>
    </border>
    <border>
      <left style="medium">
        <color auto="1"/>
      </left>
      <right/>
      <top style="medium">
        <color indexed="9"/>
      </top>
      <bottom style="medium">
        <color auto="1"/>
      </bottom>
      <diagonal/>
    </border>
    <border>
      <left/>
      <right/>
      <top/>
      <bottom style="medium">
        <color auto="1"/>
      </bottom>
      <diagonal/>
    </border>
    <border>
      <left/>
      <right style="medium">
        <color indexed="64"/>
      </right>
      <top/>
      <bottom style="medium">
        <color auto="1"/>
      </bottom>
      <diagonal/>
    </border>
    <border>
      <left style="medium">
        <color indexed="64"/>
      </left>
      <right style="medium">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30"/>
      </bottom>
      <diagonal/>
    </border>
    <border>
      <left style="medium">
        <color indexed="9"/>
      </left>
      <right style="medium">
        <color indexed="9"/>
      </right>
      <top/>
      <bottom style="medium">
        <color indexed="9"/>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style="medium">
        <color indexed="64"/>
      </left>
      <right style="medium">
        <color indexed="9"/>
      </right>
      <top/>
      <bottom style="medium">
        <color indexed="9"/>
      </bottom>
      <diagonal/>
    </border>
    <border>
      <left style="medium">
        <color auto="1"/>
      </left>
      <right style="medium">
        <color indexed="64"/>
      </right>
      <top/>
      <bottom style="medium">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style="medium">
        <color indexed="9"/>
      </right>
      <top/>
      <bottom style="medium">
        <color indexed="9"/>
      </bottom>
      <diagonal/>
    </border>
    <border>
      <left style="medium">
        <color indexed="9"/>
      </left>
      <right style="medium">
        <color indexed="9"/>
      </right>
      <top/>
      <bottom style="medium">
        <color indexed="9"/>
      </bottom>
      <diagonal/>
    </border>
    <border>
      <left/>
      <right/>
      <top/>
      <bottom style="medium">
        <color indexed="1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right/>
      <top/>
      <bottom style="medium">
        <color indexed="30"/>
      </bottom>
      <diagonal/>
    </border>
    <border>
      <left/>
      <right/>
      <top/>
      <bottom style="medium">
        <color indexed="30"/>
      </bottom>
      <diagonal/>
    </border>
    <border>
      <left/>
      <right style="thin">
        <color indexed="64"/>
      </right>
      <top/>
      <bottom/>
      <diagonal/>
    </border>
    <border>
      <left style="thin">
        <color indexed="64"/>
      </left>
      <right/>
      <top/>
      <bottom style="thin">
        <color indexed="64"/>
      </bottom>
      <diagonal/>
    </border>
    <border>
      <left/>
      <right style="medium">
        <color auto="1"/>
      </right>
      <top/>
      <bottom/>
      <diagonal/>
    </border>
    <border>
      <left/>
      <right style="medium">
        <color indexed="64"/>
      </right>
      <top/>
      <bottom style="medium">
        <color auto="1"/>
      </bottom>
      <diagonal/>
    </border>
    <border>
      <left style="medium">
        <color indexed="64"/>
      </left>
      <right/>
      <top/>
      <bottom style="medium">
        <color indexed="64"/>
      </bottom>
      <diagonal/>
    </border>
    <border>
      <left style="thin">
        <color theme="0"/>
      </left>
      <right style="thin">
        <color theme="0"/>
      </right>
      <top style="thin">
        <color theme="0"/>
      </top>
      <bottom style="thin">
        <color theme="0"/>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auto="1"/>
      </bottom>
      <diagonal/>
    </border>
    <border>
      <left style="medium">
        <color auto="1"/>
      </left>
      <right/>
      <top/>
      <bottom style="medium">
        <color auto="1"/>
      </bottom>
      <diagonal/>
    </border>
    <border>
      <left style="medium">
        <color indexed="64"/>
      </left>
      <right/>
      <top/>
      <bottom style="medium">
        <color auto="1"/>
      </bottom>
      <diagonal/>
    </border>
    <border>
      <left style="thin">
        <color indexed="64"/>
      </left>
      <right style="thin">
        <color indexed="64"/>
      </right>
      <top style="thin">
        <color indexed="64"/>
      </top>
      <bottom style="thin">
        <color rgb="FFC00000"/>
      </bottom>
      <diagonal/>
    </border>
    <border>
      <left style="medium">
        <color auto="1"/>
      </left>
      <right style="medium">
        <color indexed="9"/>
      </right>
      <top style="medium">
        <color indexed="9"/>
      </top>
      <bottom style="medium">
        <color indexed="64"/>
      </bottom>
      <diagonal/>
    </border>
    <border>
      <left style="medium">
        <color indexed="9"/>
      </left>
      <right style="medium">
        <color indexed="9"/>
      </right>
      <top style="medium">
        <color indexed="9"/>
      </top>
      <bottom style="medium">
        <color indexed="64"/>
      </bottom>
      <diagonal/>
    </border>
    <border>
      <left style="medium">
        <color indexed="64"/>
      </left>
      <right style="medium">
        <color indexed="9"/>
      </right>
      <top style="medium">
        <color indexed="9"/>
      </top>
      <bottom style="medium">
        <color indexed="64"/>
      </bottom>
      <diagonal/>
    </border>
    <border>
      <left style="medium">
        <color indexed="9"/>
      </left>
      <right style="medium">
        <color indexed="64"/>
      </right>
      <top style="medium">
        <color indexed="9"/>
      </top>
      <bottom style="medium">
        <color indexed="64"/>
      </bottom>
      <diagonal/>
    </border>
    <border>
      <left style="thin">
        <color theme="0"/>
      </left>
      <right style="thin">
        <color theme="0"/>
      </right>
      <top style="thin">
        <color theme="0"/>
      </top>
      <bottom style="medium">
        <color indexed="64"/>
      </bottom>
      <diagonal/>
    </border>
    <border>
      <left style="medium">
        <color auto="1"/>
      </left>
      <right style="medium">
        <color indexed="64"/>
      </right>
      <top style="medium">
        <color indexed="9"/>
      </top>
      <bottom style="medium">
        <color indexed="9"/>
      </bottom>
      <diagonal/>
    </border>
    <border>
      <left style="medium">
        <color indexed="64"/>
      </left>
      <right style="medium">
        <color indexed="64"/>
      </right>
      <top style="thin">
        <color theme="0"/>
      </top>
      <bottom style="thin">
        <color theme="0"/>
      </bottom>
      <diagonal/>
    </border>
    <border>
      <left style="medium">
        <color auto="1"/>
      </left>
      <right style="medium">
        <color indexed="64"/>
      </right>
      <top style="medium">
        <color indexed="9"/>
      </top>
      <bottom/>
      <diagonal/>
    </border>
    <border>
      <left style="medium">
        <color indexed="9"/>
      </left>
      <right style="medium">
        <color indexed="9"/>
      </right>
      <top style="medium">
        <color indexed="9"/>
      </top>
      <bottom style="medium">
        <color indexed="9"/>
      </bottom>
      <diagonal/>
    </border>
  </borders>
  <cellStyleXfs count="500">
    <xf numFmtId="0" fontId="0" fillId="0" borderId="0"/>
    <xf numFmtId="168" fontId="17" fillId="0" borderId="0"/>
    <xf numFmtId="171" fontId="17" fillId="0" borderId="0"/>
    <xf numFmtId="173" fontId="17" fillId="0" borderId="0"/>
    <xf numFmtId="174" fontId="17" fillId="0" borderId="0"/>
    <xf numFmtId="0" fontId="33" fillId="2" borderId="0" applyNumberFormat="0" applyBorder="0" applyAlignment="0" applyProtection="0"/>
    <xf numFmtId="0" fontId="33" fillId="3" borderId="0" applyNumberFormat="0" applyBorder="0" applyAlignment="0" applyProtection="0"/>
    <xf numFmtId="0" fontId="33" fillId="4"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5" borderId="0" applyNumberFormat="0" applyBorder="0" applyAlignment="0" applyProtection="0"/>
    <xf numFmtId="0" fontId="33" fillId="8" borderId="0" applyNumberFormat="0" applyBorder="0" applyAlignment="0" applyProtection="0"/>
    <xf numFmtId="0" fontId="33" fillId="11" borderId="0" applyNumberFormat="0" applyBorder="0" applyAlignment="0" applyProtection="0"/>
    <xf numFmtId="0" fontId="34" fillId="12"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5" fillId="3" borderId="0" applyNumberFormat="0" applyBorder="0" applyAlignment="0" applyProtection="0"/>
    <xf numFmtId="0" fontId="36" fillId="20" borderId="1" applyNumberFormat="0" applyAlignment="0" applyProtection="0"/>
    <xf numFmtId="0" fontId="37" fillId="21" borderId="2" applyNumberFormat="0" applyAlignment="0" applyProtection="0"/>
    <xf numFmtId="3" fontId="17" fillId="0" borderId="0" applyFont="0" applyFill="0" applyBorder="0" applyAlignment="0" applyProtection="0"/>
    <xf numFmtId="5" fontId="17" fillId="0" borderId="0" applyFont="0" applyFill="0" applyBorder="0" applyAlignment="0" applyProtection="0"/>
    <xf numFmtId="14" fontId="17" fillId="0" borderId="0" applyFont="0" applyFill="0" applyBorder="0" applyAlignment="0" applyProtection="0"/>
    <xf numFmtId="0" fontId="38" fillId="0" borderId="0" applyNumberFormat="0" applyFill="0" applyBorder="0" applyAlignment="0" applyProtection="0"/>
    <xf numFmtId="2" fontId="17" fillId="0" borderId="0" applyFont="0" applyFill="0" applyBorder="0" applyAlignment="0" applyProtection="0"/>
    <xf numFmtId="0" fontId="39" fillId="4" borderId="0" applyNumberFormat="0" applyBorder="0" applyAlignment="0" applyProtection="0"/>
    <xf numFmtId="38" fontId="21" fillId="22" borderId="0" applyNumberFormat="0" applyBorder="0" applyAlignment="0" applyProtection="0"/>
    <xf numFmtId="0" fontId="22" fillId="0" borderId="0" applyNumberFormat="0" applyFont="0" applyFill="0" applyAlignment="0" applyProtection="0"/>
    <xf numFmtId="0" fontId="23" fillId="0" borderId="0" applyNumberFormat="0" applyFont="0" applyFill="0" applyAlignment="0" applyProtection="0"/>
    <xf numFmtId="0" fontId="40" fillId="0" borderId="3" applyNumberFormat="0" applyFill="0" applyAlignment="0" applyProtection="0"/>
    <xf numFmtId="0" fontId="40" fillId="0" borderId="0" applyNumberFormat="0" applyFill="0" applyBorder="0" applyAlignment="0" applyProtection="0"/>
    <xf numFmtId="0" fontId="41" fillId="7" borderId="1" applyNumberFormat="0" applyAlignment="0" applyProtection="0"/>
    <xf numFmtId="10" fontId="21" fillId="23" borderId="4" applyNumberFormat="0" applyBorder="0" applyAlignment="0" applyProtection="0"/>
    <xf numFmtId="0" fontId="42" fillId="0" borderId="5" applyNumberFormat="0" applyFill="0" applyAlignment="0" applyProtection="0"/>
    <xf numFmtId="172" fontId="17" fillId="0" borderId="0"/>
    <xf numFmtId="169" fontId="17" fillId="0" borderId="0"/>
    <xf numFmtId="0" fontId="43" fillId="24" borderId="0" applyNumberFormat="0" applyBorder="0" applyAlignment="0" applyProtection="0"/>
    <xf numFmtId="170" fontId="17" fillId="0" borderId="0"/>
    <xf numFmtId="0" fontId="25" fillId="25" borderId="6" applyNumberFormat="0" applyFont="0" applyAlignment="0" applyProtection="0"/>
    <xf numFmtId="0" fontId="44" fillId="20" borderId="7" applyNumberFormat="0" applyAlignment="0" applyProtection="0"/>
    <xf numFmtId="10" fontId="17" fillId="0" borderId="0" applyFont="0" applyFill="0" applyBorder="0" applyAlignment="0" applyProtection="0"/>
    <xf numFmtId="0" fontId="45" fillId="0" borderId="0" applyNumberFormat="0" applyFill="0" applyBorder="0" applyAlignment="0" applyProtection="0"/>
    <xf numFmtId="0" fontId="17" fillId="0" borderId="8" applyNumberFormat="0" applyFont="0" applyBorder="0" applyAlignment="0" applyProtection="0"/>
    <xf numFmtId="0" fontId="46" fillId="0" borderId="0" applyNumberFormat="0" applyFill="0" applyBorder="0" applyAlignment="0" applyProtection="0"/>
    <xf numFmtId="167" fontId="49" fillId="0" borderId="0" applyFont="0" applyFill="0" applyBorder="0" applyAlignment="0" applyProtection="0"/>
    <xf numFmtId="166" fontId="49" fillId="0" borderId="0" applyFont="0" applyFill="0" applyBorder="0" applyAlignment="0" applyProtection="0"/>
    <xf numFmtId="9" fontId="49" fillId="0" borderId="0" applyFont="0" applyFill="0" applyBorder="0" applyAlignment="0" applyProtection="0"/>
    <xf numFmtId="0" fontId="16" fillId="0" borderId="0"/>
    <xf numFmtId="168" fontId="17" fillId="0" borderId="0"/>
    <xf numFmtId="168" fontId="17" fillId="0" borderId="0"/>
    <xf numFmtId="168" fontId="17" fillId="0" borderId="0"/>
    <xf numFmtId="168" fontId="17" fillId="0" borderId="0"/>
    <xf numFmtId="173" fontId="17" fillId="0" borderId="0"/>
    <xf numFmtId="172" fontId="17" fillId="0" borderId="0"/>
    <xf numFmtId="172" fontId="17" fillId="0" borderId="0"/>
    <xf numFmtId="172" fontId="17" fillId="0" borderId="0"/>
    <xf numFmtId="172" fontId="17" fillId="0" borderId="0"/>
    <xf numFmtId="0" fontId="17" fillId="0" borderId="0"/>
    <xf numFmtId="0" fontId="17" fillId="0" borderId="0"/>
    <xf numFmtId="168" fontId="17" fillId="0" borderId="0"/>
    <xf numFmtId="168" fontId="17" fillId="0" borderId="0"/>
    <xf numFmtId="168" fontId="17" fillId="0" borderId="0"/>
    <xf numFmtId="0" fontId="15" fillId="33" borderId="0" applyNumberFormat="0" applyBorder="0" applyAlignment="0" applyProtection="0"/>
    <xf numFmtId="0" fontId="15" fillId="34" borderId="0" applyNumberFormat="0" applyBorder="0" applyAlignment="0" applyProtection="0"/>
    <xf numFmtId="0" fontId="15" fillId="35" borderId="0" applyNumberFormat="0" applyBorder="0" applyAlignment="0" applyProtection="0"/>
    <xf numFmtId="0" fontId="15" fillId="36" borderId="0" applyNumberFormat="0" applyBorder="0" applyAlignment="0" applyProtection="0"/>
    <xf numFmtId="0" fontId="15"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15" fillId="40" borderId="0" applyNumberFormat="0" applyBorder="0" applyAlignment="0" applyProtection="0"/>
    <xf numFmtId="0" fontId="15" fillId="41" borderId="0" applyNumberFormat="0" applyBorder="0" applyAlignment="0" applyProtection="0"/>
    <xf numFmtId="0" fontId="15" fillId="42" borderId="0" applyNumberFormat="0" applyBorder="0" applyAlignment="0" applyProtection="0"/>
    <xf numFmtId="0" fontId="15" fillId="43" borderId="0" applyNumberFormat="0" applyBorder="0" applyAlignment="0" applyProtection="0"/>
    <xf numFmtId="0" fontId="15" fillId="44"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7" borderId="0" applyNumberFormat="0" applyBorder="0" applyAlignment="0" applyProtection="0"/>
    <xf numFmtId="0" fontId="71" fillId="48" borderId="0" applyNumberFormat="0" applyBorder="0" applyAlignment="0" applyProtection="0"/>
    <xf numFmtId="0" fontId="71" fillId="49" borderId="0" applyNumberFormat="0" applyBorder="0" applyAlignment="0" applyProtection="0"/>
    <xf numFmtId="0" fontId="71" fillId="50" borderId="0" applyNumberFormat="0" applyBorder="0" applyAlignment="0" applyProtection="0"/>
    <xf numFmtId="0" fontId="71" fillId="51" borderId="0" applyNumberFormat="0" applyBorder="0" applyAlignment="0" applyProtection="0"/>
    <xf numFmtId="0" fontId="71" fillId="52" borderId="0" applyNumberFormat="0" applyBorder="0" applyAlignment="0" applyProtection="0"/>
    <xf numFmtId="0" fontId="71" fillId="53" borderId="0" applyNumberFormat="0" applyBorder="0" applyAlignment="0" applyProtection="0"/>
    <xf numFmtId="0" fontId="71" fillId="54" borderId="0" applyNumberFormat="0" applyBorder="0" applyAlignment="0" applyProtection="0"/>
    <xf numFmtId="0" fontId="71" fillId="55" borderId="0" applyNumberFormat="0" applyBorder="0" applyAlignment="0" applyProtection="0"/>
    <xf numFmtId="0" fontId="71" fillId="56" borderId="0" applyNumberFormat="0" applyBorder="0" applyAlignment="0" applyProtection="0"/>
    <xf numFmtId="0" fontId="72" fillId="57" borderId="0" applyNumberFormat="0" applyBorder="0" applyAlignment="0" applyProtection="0"/>
    <xf numFmtId="0" fontId="73" fillId="58" borderId="52" applyNumberFormat="0" applyAlignment="0" applyProtection="0"/>
    <xf numFmtId="0" fontId="74" fillId="59" borderId="53" applyNumberFormat="0" applyAlignment="0" applyProtection="0"/>
    <xf numFmtId="167" fontId="15" fillId="0" borderId="0" applyFont="0" applyFill="0" applyBorder="0" applyAlignment="0" applyProtection="0"/>
    <xf numFmtId="167" fontId="15" fillId="0" borderId="0" applyFont="0" applyFill="0" applyBorder="0" applyAlignment="0" applyProtection="0"/>
    <xf numFmtId="167" fontId="17" fillId="0" borderId="0" applyFont="0" applyFill="0" applyBorder="0" applyAlignment="0" applyProtection="0"/>
    <xf numFmtId="166" fontId="17" fillId="0" borderId="0" applyFont="0" applyFill="0" applyBorder="0" applyAlignment="0" applyProtection="0"/>
    <xf numFmtId="0" fontId="75" fillId="0" borderId="0" applyNumberFormat="0" applyFill="0" applyBorder="0" applyAlignment="0" applyProtection="0"/>
    <xf numFmtId="0" fontId="76" fillId="60" borderId="0" applyNumberFormat="0" applyBorder="0" applyAlignment="0" applyProtection="0"/>
    <xf numFmtId="0" fontId="77" fillId="0" borderId="54" applyNumberFormat="0" applyFill="0" applyAlignment="0" applyProtection="0"/>
    <xf numFmtId="0" fontId="78" fillId="0" borderId="55" applyNumberFormat="0" applyFill="0" applyAlignment="0" applyProtection="0"/>
    <xf numFmtId="0" fontId="51" fillId="0" borderId="56" applyNumberFormat="0" applyFill="0" applyAlignment="0" applyProtection="0"/>
    <xf numFmtId="0" fontId="51" fillId="0" borderId="0" applyNumberFormat="0" applyFill="0" applyBorder="0" applyAlignment="0" applyProtection="0"/>
    <xf numFmtId="0" fontId="79" fillId="61" borderId="52" applyNumberFormat="0" applyAlignment="0" applyProtection="0"/>
    <xf numFmtId="0" fontId="80" fillId="0" borderId="57" applyNumberFormat="0" applyFill="0" applyAlignment="0" applyProtection="0"/>
    <xf numFmtId="172" fontId="17" fillId="0" borderId="0"/>
    <xf numFmtId="172" fontId="17" fillId="0" borderId="0"/>
    <xf numFmtId="172" fontId="17" fillId="0" borderId="0"/>
    <xf numFmtId="0" fontId="81" fillId="62" borderId="0" applyNumberFormat="0" applyBorder="0" applyAlignment="0" applyProtection="0"/>
    <xf numFmtId="0" fontId="15" fillId="0" borderId="0"/>
    <xf numFmtId="0" fontId="15" fillId="0" borderId="0"/>
    <xf numFmtId="0" fontId="15" fillId="0" borderId="0"/>
    <xf numFmtId="0" fontId="15" fillId="63" borderId="58" applyNumberFormat="0" applyFont="0" applyAlignment="0" applyProtection="0"/>
    <xf numFmtId="0" fontId="82" fillId="58" borderId="59" applyNumberFormat="0" applyAlignment="0" applyProtection="0"/>
    <xf numFmtId="9" fontId="17" fillId="0" borderId="0" applyFont="0" applyFill="0" applyBorder="0" applyAlignment="0" applyProtection="0"/>
    <xf numFmtId="9" fontId="15" fillId="0" borderId="0" applyFont="0" applyFill="0" applyBorder="0" applyAlignment="0" applyProtection="0"/>
    <xf numFmtId="0" fontId="83" fillId="0" borderId="0" applyNumberFormat="0" applyFill="0" applyBorder="0" applyAlignment="0" applyProtection="0"/>
    <xf numFmtId="0" fontId="50" fillId="0" borderId="60" applyNumberFormat="0" applyFill="0" applyAlignment="0" applyProtection="0"/>
    <xf numFmtId="0" fontId="84" fillId="0" borderId="0" applyNumberForma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40" fillId="0" borderId="64" applyNumberFormat="0" applyFill="0" applyAlignment="0" applyProtection="0"/>
    <xf numFmtId="0" fontId="17" fillId="25" borderId="6" applyNumberFormat="0" applyFont="0" applyAlignment="0" applyProtection="0"/>
    <xf numFmtId="9" fontId="17" fillId="0" borderId="0" applyFont="0" applyFill="0" applyBorder="0" applyAlignment="0" applyProtection="0"/>
    <xf numFmtId="0" fontId="14" fillId="0" borderId="0"/>
    <xf numFmtId="9" fontId="17" fillId="0" borderId="0" applyFont="0" applyFill="0" applyBorder="0" applyAlignment="0" applyProtection="0"/>
    <xf numFmtId="9" fontId="17"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9" fontId="17"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40" fillId="0" borderId="66" applyNumberFormat="0" applyFill="0" applyAlignment="0" applyProtection="0"/>
    <xf numFmtId="0" fontId="40" fillId="0" borderId="63" applyNumberFormat="0" applyFill="0" applyAlignment="0" applyProtection="0"/>
    <xf numFmtId="0" fontId="14" fillId="0" borderId="0"/>
    <xf numFmtId="0" fontId="14" fillId="0" borderId="0"/>
    <xf numFmtId="0" fontId="14" fillId="0" borderId="0"/>
    <xf numFmtId="0" fontId="14" fillId="63" borderId="58" applyNumberFormat="0" applyFont="0" applyAlignment="0" applyProtection="0"/>
    <xf numFmtId="9" fontId="1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25" borderId="6" applyNumberFormat="0" applyFont="0" applyAlignment="0" applyProtection="0"/>
    <xf numFmtId="9" fontId="17" fillId="0" borderId="0" applyFont="0" applyFill="0" applyBorder="0" applyAlignment="0" applyProtection="0"/>
    <xf numFmtId="9" fontId="17" fillId="0" borderId="0" applyFont="0" applyFill="0" applyBorder="0" applyAlignment="0" applyProtection="0"/>
    <xf numFmtId="0" fontId="14" fillId="0" borderId="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40" fillId="0" borderId="67" applyNumberFormat="0" applyFill="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40" fillId="0" borderId="61" applyNumberFormat="0" applyFill="0" applyAlignment="0" applyProtection="0"/>
    <xf numFmtId="0" fontId="40" fillId="0" borderId="65" applyNumberFormat="0" applyFill="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0" fontId="13" fillId="0" borderId="0"/>
    <xf numFmtId="167" fontId="13" fillId="0" borderId="0" applyFont="0" applyFill="0" applyBorder="0" applyAlignment="0" applyProtection="0"/>
    <xf numFmtId="9" fontId="13" fillId="0" borderId="0" applyFont="0" applyFill="0" applyBorder="0" applyAlignment="0" applyProtection="0"/>
    <xf numFmtId="166" fontId="13" fillId="0" borderId="0" applyFont="0" applyFill="0" applyBorder="0" applyAlignment="0" applyProtection="0"/>
    <xf numFmtId="0" fontId="12" fillId="0" borderId="0"/>
    <xf numFmtId="167" fontId="12" fillId="0" borderId="0" applyFont="0" applyFill="0" applyBorder="0" applyAlignment="0" applyProtection="0"/>
    <xf numFmtId="9" fontId="12" fillId="0" borderId="0" applyFont="0" applyFill="0" applyBorder="0" applyAlignment="0" applyProtection="0"/>
    <xf numFmtId="166" fontId="12" fillId="0" borderId="0" applyFont="0" applyFill="0" applyBorder="0" applyAlignment="0" applyProtection="0"/>
    <xf numFmtId="0" fontId="91"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 fillId="0" borderId="0"/>
    <xf numFmtId="9" fontId="17" fillId="0" borderId="0" applyFont="0" applyFill="0" applyBorder="0" applyAlignment="0" applyProtection="0"/>
    <xf numFmtId="0" fontId="40" fillId="0" borderId="86" applyNumberFormat="0" applyFill="0" applyAlignment="0" applyProtection="0"/>
    <xf numFmtId="0" fontId="40" fillId="0" borderId="86" applyNumberFormat="0" applyFill="0" applyAlignment="0" applyProtection="0"/>
    <xf numFmtId="0" fontId="40" fillId="0" borderId="85" applyNumberFormat="0" applyFill="0" applyAlignment="0" applyProtection="0"/>
    <xf numFmtId="0" fontId="17" fillId="0" borderId="0"/>
    <xf numFmtId="9" fontId="17" fillId="0" borderId="0" applyFont="0" applyFill="0" applyBorder="0" applyAlignment="0" applyProtection="0"/>
    <xf numFmtId="0" fontId="11" fillId="0" borderId="0"/>
    <xf numFmtId="0" fontId="40" fillId="0" borderId="86" applyNumberFormat="0" applyFill="0" applyAlignment="0" applyProtection="0"/>
    <xf numFmtId="9" fontId="17" fillId="0" borderId="0" applyFont="0" applyFill="0" applyBorder="0" applyAlignment="0" applyProtection="0"/>
    <xf numFmtId="0" fontId="40" fillId="0" borderId="86" applyNumberFormat="0" applyFill="0" applyAlignment="0" applyProtection="0"/>
    <xf numFmtId="0" fontId="40" fillId="0" borderId="86" applyNumberFormat="0" applyFill="0" applyAlignment="0" applyProtection="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40" fillId="0" borderId="86" applyNumberFormat="0" applyFill="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0" fontId="11" fillId="0" borderId="0"/>
    <xf numFmtId="0" fontId="11" fillId="0" borderId="0"/>
    <xf numFmtId="0" fontId="11" fillId="63" borderId="58" applyNumberFormat="0" applyFont="0" applyAlignment="0" applyProtection="0"/>
    <xf numFmtId="9" fontId="11" fillId="0" borderId="0" applyFont="0" applyFill="0" applyBorder="0" applyAlignment="0" applyProtection="0"/>
    <xf numFmtId="0" fontId="40" fillId="0" borderId="85" applyNumberFormat="0" applyFill="0" applyAlignment="0" applyProtection="0"/>
    <xf numFmtId="0" fontId="17" fillId="0" borderId="0"/>
    <xf numFmtId="0" fontId="11" fillId="0" borderId="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40" fillId="0" borderId="85" applyNumberFormat="0" applyFill="0" applyAlignment="0" applyProtection="0"/>
    <xf numFmtId="0" fontId="40" fillId="0" borderId="85" applyNumberFormat="0" applyFill="0" applyAlignment="0" applyProtection="0"/>
    <xf numFmtId="0" fontId="11" fillId="0" borderId="0"/>
    <xf numFmtId="0" fontId="11" fillId="0" borderId="0"/>
    <xf numFmtId="0" fontId="11" fillId="0" borderId="0"/>
    <xf numFmtId="0" fontId="11" fillId="63" borderId="58" applyNumberFormat="0" applyFont="0" applyAlignment="0" applyProtection="0"/>
    <xf numFmtId="9" fontId="11" fillId="0" borderId="0" applyFont="0" applyFill="0" applyBorder="0" applyAlignment="0" applyProtection="0"/>
    <xf numFmtId="0" fontId="11" fillId="0" borderId="0"/>
    <xf numFmtId="0" fontId="40" fillId="0" borderId="85" applyNumberFormat="0" applyFill="0" applyAlignment="0" applyProtection="0"/>
    <xf numFmtId="0" fontId="40" fillId="0" borderId="85" applyNumberFormat="0" applyFill="0" applyAlignment="0" applyProtection="0"/>
    <xf numFmtId="0" fontId="40" fillId="0" borderId="85" applyNumberFormat="0" applyFill="0" applyAlignment="0" applyProtection="0"/>
    <xf numFmtId="0" fontId="11" fillId="0" borderId="0"/>
    <xf numFmtId="167" fontId="11" fillId="0" borderId="0" applyFont="0" applyFill="0" applyBorder="0" applyAlignment="0" applyProtection="0"/>
    <xf numFmtId="9" fontId="11" fillId="0" borderId="0" applyFont="0" applyFill="0" applyBorder="0" applyAlignment="0" applyProtection="0"/>
    <xf numFmtId="166" fontId="11" fillId="0" borderId="0" applyFont="0" applyFill="0" applyBorder="0" applyAlignment="0" applyProtection="0"/>
    <xf numFmtId="0" fontId="11" fillId="0" borderId="0"/>
    <xf numFmtId="167" fontId="11" fillId="0" borderId="0" applyFont="0" applyFill="0" applyBorder="0" applyAlignment="0" applyProtection="0"/>
    <xf numFmtId="9" fontId="11" fillId="0" borderId="0" applyFont="0" applyFill="0" applyBorder="0" applyAlignment="0" applyProtection="0"/>
    <xf numFmtId="166"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0" fillId="0" borderId="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7" fillId="0" borderId="0"/>
    <xf numFmtId="9" fontId="10" fillId="0" borderId="0" applyFont="0" applyFill="0" applyBorder="0" applyAlignment="0" applyProtection="0"/>
    <xf numFmtId="44" fontId="10" fillId="0" borderId="0" applyFont="0" applyFill="0" applyBorder="0" applyAlignment="0" applyProtection="0"/>
    <xf numFmtId="0" fontId="9" fillId="0" borderId="0"/>
    <xf numFmtId="0" fontId="9" fillId="33"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167" fontId="9" fillId="0" borderId="0" applyFont="0" applyFill="0" applyBorder="0" applyAlignment="0" applyProtection="0"/>
    <xf numFmtId="9" fontId="9" fillId="0" borderId="0" applyFont="0" applyFill="0" applyBorder="0" applyAlignment="0" applyProtection="0"/>
    <xf numFmtId="0" fontId="17" fillId="0" borderId="0"/>
    <xf numFmtId="44"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40" fillId="0" borderId="86" applyNumberFormat="0" applyFill="0" applyAlignment="0" applyProtection="0"/>
    <xf numFmtId="0" fontId="40" fillId="0" borderId="86" applyNumberFormat="0" applyFill="0" applyAlignment="0" applyProtection="0"/>
    <xf numFmtId="0" fontId="40" fillId="0" borderId="86" applyNumberFormat="0" applyFill="0" applyAlignment="0" applyProtection="0"/>
    <xf numFmtId="0" fontId="40" fillId="0" borderId="86" applyNumberFormat="0" applyFill="0" applyAlignment="0" applyProtection="0"/>
    <xf numFmtId="0" fontId="40" fillId="0" borderId="86" applyNumberFormat="0" applyFill="0" applyAlignment="0" applyProtection="0"/>
    <xf numFmtId="0" fontId="40" fillId="0" borderId="86" applyNumberFormat="0" applyFill="0" applyAlignment="0" applyProtection="0"/>
    <xf numFmtId="0" fontId="1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17" fillId="0" borderId="0"/>
    <xf numFmtId="44" fontId="6" fillId="0" borderId="0" applyFont="0" applyFill="0" applyBorder="0" applyAlignment="0" applyProtection="0"/>
    <xf numFmtId="44" fontId="17" fillId="0" borderId="0" applyFont="0" applyFill="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63" borderId="58" applyNumberFormat="0" applyFont="0" applyAlignment="0" applyProtection="0"/>
    <xf numFmtId="9" fontId="6" fillId="0" borderId="0" applyFont="0" applyFill="0" applyBorder="0" applyAlignment="0" applyProtection="0"/>
    <xf numFmtId="43" fontId="17" fillId="0" borderId="0" applyFont="0" applyFill="0" applyBorder="0" applyAlignment="0" applyProtection="0"/>
    <xf numFmtId="0" fontId="6" fillId="0" borderId="0"/>
    <xf numFmtId="43" fontId="6" fillId="0" borderId="0" applyFont="0" applyFill="0" applyBorder="0" applyAlignment="0" applyProtection="0"/>
    <xf numFmtId="44" fontId="17"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79" fillId="61" borderId="52" applyNumberFormat="0" applyAlignment="0" applyProtection="0"/>
    <xf numFmtId="0" fontId="6" fillId="63" borderId="58" applyNumberFormat="0" applyFont="0" applyAlignment="0" applyProtection="0"/>
    <xf numFmtId="0" fontId="6" fillId="33" borderId="0" applyNumberFormat="0" applyBorder="0" applyAlignment="0" applyProtection="0"/>
    <xf numFmtId="0" fontId="6" fillId="39" borderId="0" applyNumberFormat="0" applyBorder="0" applyAlignment="0" applyProtection="0"/>
    <xf numFmtId="0" fontId="6" fillId="34" borderId="0" applyNumberFormat="0" applyBorder="0" applyAlignment="0" applyProtection="0"/>
    <xf numFmtId="0" fontId="6" fillId="40" borderId="0" applyNumberFormat="0" applyBorder="0" applyAlignment="0" applyProtection="0"/>
    <xf numFmtId="0" fontId="6" fillId="35" borderId="0" applyNumberFormat="0" applyBorder="0" applyAlignment="0" applyProtection="0"/>
    <xf numFmtId="0" fontId="6" fillId="41" borderId="0" applyNumberFormat="0" applyBorder="0" applyAlignment="0" applyProtection="0"/>
    <xf numFmtId="0" fontId="6" fillId="36" borderId="0" applyNumberFormat="0" applyBorder="0" applyAlignment="0" applyProtection="0"/>
    <xf numFmtId="0" fontId="6" fillId="42" borderId="0" applyNumberFormat="0" applyBorder="0" applyAlignment="0" applyProtection="0"/>
    <xf numFmtId="0" fontId="6" fillId="37" borderId="0" applyNumberFormat="0" applyBorder="0" applyAlignment="0" applyProtection="0"/>
    <xf numFmtId="0" fontId="6" fillId="43" borderId="0" applyNumberFormat="0" applyBorder="0" applyAlignment="0" applyProtection="0"/>
    <xf numFmtId="0" fontId="6" fillId="38" borderId="0" applyNumberFormat="0" applyBorder="0" applyAlignment="0" applyProtection="0"/>
    <xf numFmtId="0" fontId="6" fillId="44" borderId="0" applyNumberFormat="0" applyBorder="0" applyAlignment="0" applyProtection="0"/>
    <xf numFmtId="0" fontId="97" fillId="0" borderId="0" applyNumberForma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167"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0" fontId="105" fillId="0" borderId="0"/>
    <xf numFmtId="0" fontId="4" fillId="0" borderId="0"/>
    <xf numFmtId="0" fontId="3" fillId="0" borderId="0"/>
    <xf numFmtId="0" fontId="2" fillId="0" borderId="0"/>
    <xf numFmtId="0" fontId="17" fillId="0" borderId="0"/>
    <xf numFmtId="0" fontId="105" fillId="0" borderId="0"/>
  </cellStyleXfs>
  <cellXfs count="873">
    <xf numFmtId="0" fontId="0" fillId="0" borderId="0" xfId="0"/>
    <xf numFmtId="0" fontId="20" fillId="0" borderId="0" xfId="0" applyFont="1"/>
    <xf numFmtId="0" fontId="31" fillId="0" borderId="0" xfId="0" applyFont="1"/>
    <xf numFmtId="0" fontId="18" fillId="0" borderId="0" xfId="0" applyFont="1"/>
    <xf numFmtId="0" fontId="0" fillId="0" borderId="10" xfId="0" applyBorder="1"/>
    <xf numFmtId="0" fontId="18" fillId="0" borderId="0" xfId="0" applyFont="1" applyAlignment="1">
      <alignment horizontal="center"/>
    </xf>
    <xf numFmtId="0" fontId="19" fillId="0" borderId="0" xfId="0" applyFont="1"/>
    <xf numFmtId="0" fontId="19" fillId="0" borderId="0" xfId="0" applyFont="1" applyAlignment="1">
      <alignment horizontal="left"/>
    </xf>
    <xf numFmtId="0" fontId="19" fillId="0" borderId="0" xfId="0" applyFont="1" applyAlignment="1">
      <alignment horizontal="center"/>
    </xf>
    <xf numFmtId="0" fontId="47" fillId="0" borderId="0" xfId="0" applyFont="1" applyAlignment="1">
      <alignment vertical="center"/>
    </xf>
    <xf numFmtId="0" fontId="18" fillId="0" borderId="10" xfId="0" applyFont="1" applyBorder="1"/>
    <xf numFmtId="0" fontId="30" fillId="0" borderId="13" xfId="0" applyFont="1" applyBorder="1"/>
    <xf numFmtId="0" fontId="30" fillId="0" borderId="14" xfId="0" applyFont="1" applyBorder="1"/>
    <xf numFmtId="0" fontId="30" fillId="0" borderId="17" xfId="0" applyFont="1" applyBorder="1"/>
    <xf numFmtId="0" fontId="16" fillId="0" borderId="0" xfId="59"/>
    <xf numFmtId="0" fontId="16" fillId="27" borderId="0" xfId="59" applyFill="1" applyAlignment="1">
      <alignment horizontal="left"/>
    </xf>
    <xf numFmtId="0" fontId="50" fillId="0" borderId="0" xfId="59" applyFont="1"/>
    <xf numFmtId="176" fontId="51" fillId="0" borderId="0" xfId="59" applyNumberFormat="1" applyFont="1" applyAlignment="1">
      <alignment horizontal="left"/>
    </xf>
    <xf numFmtId="0" fontId="52" fillId="0" borderId="0" xfId="59" applyFont="1" applyAlignment="1">
      <alignment horizontal="right" vertical="center"/>
    </xf>
    <xf numFmtId="0" fontId="16" fillId="0" borderId="0" xfId="59" applyAlignment="1">
      <alignment horizontal="right" vertical="center"/>
    </xf>
    <xf numFmtId="0" fontId="16" fillId="0" borderId="0" xfId="59" applyAlignment="1">
      <alignment vertical="center"/>
    </xf>
    <xf numFmtId="0" fontId="52" fillId="0" borderId="0" xfId="59" applyFont="1" applyAlignment="1">
      <alignment horizontal="right" vertical="center" indent="1"/>
    </xf>
    <xf numFmtId="0" fontId="53" fillId="0" borderId="0" xfId="59" applyFont="1"/>
    <xf numFmtId="0" fontId="53" fillId="0" borderId="0" xfId="59" applyFont="1" applyAlignment="1">
      <alignment horizontal="right" vertical="center"/>
    </xf>
    <xf numFmtId="0" fontId="55" fillId="0" borderId="0" xfId="59" applyFont="1"/>
    <xf numFmtId="0" fontId="16" fillId="0" borderId="0" xfId="59" applyAlignment="1">
      <alignment wrapText="1"/>
    </xf>
    <xf numFmtId="0" fontId="16" fillId="0" borderId="14" xfId="59" applyBorder="1"/>
    <xf numFmtId="0" fontId="22" fillId="0" borderId="0" xfId="0" applyFont="1" applyAlignment="1">
      <alignment vertical="center"/>
    </xf>
    <xf numFmtId="0" fontId="26" fillId="0" borderId="0" xfId="59" applyFont="1"/>
    <xf numFmtId="0" fontId="26" fillId="0" borderId="0" xfId="59" applyFont="1" applyAlignment="1">
      <alignment horizontal="center"/>
    </xf>
    <xf numFmtId="0" fontId="17" fillId="0" borderId="4" xfId="0" applyFont="1" applyBorder="1"/>
    <xf numFmtId="0" fontId="17" fillId="0" borderId="4" xfId="0" applyFont="1" applyBorder="1" applyAlignment="1">
      <alignment horizontal="center"/>
    </xf>
    <xf numFmtId="177" fontId="17" fillId="0" borderId="4" xfId="57" applyNumberFormat="1" applyFont="1" applyBorder="1" applyAlignment="1" applyProtection="1">
      <alignment horizontal="center" vertical="center"/>
    </xf>
    <xf numFmtId="0" fontId="17" fillId="0" borderId="4" xfId="0" applyFont="1" applyBorder="1" applyAlignment="1">
      <alignment horizontal="left"/>
    </xf>
    <xf numFmtId="0" fontId="17" fillId="0" borderId="4" xfId="0" applyFont="1" applyBorder="1" applyAlignment="1">
      <alignment wrapText="1"/>
    </xf>
    <xf numFmtId="0" fontId="17" fillId="0" borderId="0" xfId="0" applyFont="1" applyAlignment="1">
      <alignment horizontal="center"/>
    </xf>
    <xf numFmtId="177" fontId="17" fillId="0" borderId="0" xfId="57" applyNumberFormat="1" applyFont="1" applyBorder="1" applyAlignment="1" applyProtection="1">
      <alignment horizontal="center" vertical="center"/>
    </xf>
    <xf numFmtId="0" fontId="17" fillId="0" borderId="0" xfId="0" applyFont="1"/>
    <xf numFmtId="0" fontId="17" fillId="0" borderId="4" xfId="0" applyFont="1" applyBorder="1" applyAlignment="1">
      <alignment horizontal="center" vertical="center"/>
    </xf>
    <xf numFmtId="0" fontId="17" fillId="0" borderId="4" xfId="0" applyFont="1" applyBorder="1" applyAlignment="1">
      <alignment horizontal="left" vertical="center" wrapText="1"/>
    </xf>
    <xf numFmtId="0" fontId="17" fillId="27" borderId="0" xfId="0" applyFont="1" applyFill="1" applyAlignment="1">
      <alignment horizontal="center" vertical="center"/>
    </xf>
    <xf numFmtId="175" fontId="0" fillId="0" borderId="4" xfId="57" applyNumberFormat="1" applyFont="1" applyBorder="1"/>
    <xf numFmtId="0" fontId="20" fillId="0" borderId="0" xfId="70" applyFont="1" applyAlignment="1">
      <alignment vertical="top"/>
    </xf>
    <xf numFmtId="0" fontId="20" fillId="0" borderId="0" xfId="70" applyFont="1" applyAlignment="1">
      <alignment vertical="top" wrapText="1"/>
    </xf>
    <xf numFmtId="165" fontId="0" fillId="0" borderId="0" xfId="0" applyNumberFormat="1"/>
    <xf numFmtId="165" fontId="18" fillId="0" borderId="0" xfId="0" applyNumberFormat="1" applyFont="1"/>
    <xf numFmtId="0" fontId="19" fillId="0" borderId="0" xfId="0" applyFont="1" applyAlignment="1">
      <alignment wrapText="1"/>
    </xf>
    <xf numFmtId="0" fontId="30" fillId="0" borderId="14" xfId="0" applyFont="1" applyBorder="1" applyAlignment="1">
      <alignment horizontal="center"/>
    </xf>
    <xf numFmtId="0" fontId="17" fillId="28" borderId="4" xfId="0" applyFont="1" applyFill="1" applyBorder="1" applyAlignment="1" applyProtection="1">
      <alignment horizontal="center" vertical="center"/>
      <protection locked="0"/>
    </xf>
    <xf numFmtId="178" fontId="17" fillId="29" borderId="4" xfId="56" applyNumberFormat="1" applyFont="1" applyFill="1" applyBorder="1" applyProtection="1">
      <protection locked="0"/>
    </xf>
    <xf numFmtId="9" fontId="17" fillId="29" borderId="4" xfId="58" applyFont="1" applyFill="1" applyBorder="1" applyProtection="1">
      <protection locked="0"/>
    </xf>
    <xf numFmtId="164" fontId="18" fillId="0" borderId="9" xfId="0" applyNumberFormat="1" applyFont="1" applyBorder="1"/>
    <xf numFmtId="164" fontId="18" fillId="0" borderId="0" xfId="0" applyNumberFormat="1" applyFont="1"/>
    <xf numFmtId="164" fontId="0" fillId="0" borderId="0" xfId="0" applyNumberFormat="1" applyAlignment="1">
      <alignment wrapText="1"/>
    </xf>
    <xf numFmtId="164" fontId="19" fillId="0" borderId="10" xfId="0" applyNumberFormat="1" applyFont="1" applyBorder="1" applyAlignment="1">
      <alignment horizontal="center" vertical="center" wrapText="1"/>
    </xf>
    <xf numFmtId="164" fontId="0" fillId="0" borderId="12" xfId="0" applyNumberFormat="1" applyBorder="1" applyAlignment="1">
      <alignment wrapText="1"/>
    </xf>
    <xf numFmtId="164" fontId="0" fillId="0" borderId="18" xfId="0" applyNumberFormat="1" applyBorder="1" applyAlignment="1">
      <alignment wrapText="1"/>
    </xf>
    <xf numFmtId="164" fontId="0" fillId="0" borderId="11" xfId="0" applyNumberFormat="1" applyBorder="1" applyAlignment="1">
      <alignment wrapText="1"/>
    </xf>
    <xf numFmtId="164" fontId="0" fillId="0" borderId="0" xfId="0" applyNumberFormat="1"/>
    <xf numFmtId="164" fontId="0" fillId="0" borderId="10" xfId="0" applyNumberFormat="1" applyBorder="1"/>
    <xf numFmtId="164" fontId="0" fillId="0" borderId="15" xfId="0" applyNumberFormat="1" applyBorder="1"/>
    <xf numFmtId="164" fontId="0" fillId="0" borderId="11" xfId="0" applyNumberFormat="1" applyBorder="1"/>
    <xf numFmtId="164" fontId="18" fillId="29" borderId="19" xfId="0" applyNumberFormat="1" applyFont="1" applyFill="1" applyBorder="1" applyProtection="1">
      <protection locked="0"/>
    </xf>
    <xf numFmtId="164" fontId="18" fillId="29" borderId="20" xfId="0" applyNumberFormat="1" applyFont="1" applyFill="1" applyBorder="1" applyProtection="1">
      <protection locked="0"/>
    </xf>
    <xf numFmtId="164" fontId="18" fillId="0" borderId="10" xfId="0" applyNumberFormat="1" applyFont="1" applyBorder="1"/>
    <xf numFmtId="164" fontId="18" fillId="26" borderId="19" xfId="0" applyNumberFormat="1" applyFont="1" applyFill="1" applyBorder="1"/>
    <xf numFmtId="164" fontId="18" fillId="26" borderId="20" xfId="0" applyNumberFormat="1" applyFont="1" applyFill="1" applyBorder="1"/>
    <xf numFmtId="164" fontId="18" fillId="26" borderId="29" xfId="0" applyNumberFormat="1" applyFont="1" applyFill="1" applyBorder="1"/>
    <xf numFmtId="164" fontId="18" fillId="29" borderId="21" xfId="0" applyNumberFormat="1" applyFont="1" applyFill="1" applyBorder="1" applyProtection="1">
      <protection locked="0"/>
    </xf>
    <xf numFmtId="164" fontId="18" fillId="0" borderId="15" xfId="0" applyNumberFormat="1" applyFont="1" applyBorder="1"/>
    <xf numFmtId="164" fontId="18" fillId="22" borderId="20" xfId="0" applyNumberFormat="1" applyFont="1" applyFill="1" applyBorder="1"/>
    <xf numFmtId="164" fontId="18" fillId="29" borderId="23" xfId="0" applyNumberFormat="1" applyFont="1" applyFill="1" applyBorder="1" applyProtection="1">
      <protection locked="0"/>
    </xf>
    <xf numFmtId="164" fontId="18" fillId="29" borderId="25" xfId="0" applyNumberFormat="1" applyFont="1" applyFill="1" applyBorder="1" applyProtection="1">
      <protection locked="0"/>
    </xf>
    <xf numFmtId="164" fontId="18" fillId="29" borderId="26" xfId="0" applyNumberFormat="1" applyFont="1" applyFill="1" applyBorder="1" applyProtection="1">
      <protection locked="0"/>
    </xf>
    <xf numFmtId="164" fontId="18" fillId="26" borderId="23" xfId="0" applyNumberFormat="1" applyFont="1" applyFill="1" applyBorder="1"/>
    <xf numFmtId="164" fontId="18" fillId="26" borderId="24" xfId="0" applyNumberFormat="1" applyFont="1" applyFill="1" applyBorder="1"/>
    <xf numFmtId="164" fontId="18" fillId="0" borderId="44" xfId="0" applyNumberFormat="1" applyFont="1" applyBorder="1"/>
    <xf numFmtId="164" fontId="18" fillId="0" borderId="46" xfId="0" applyNumberFormat="1" applyFont="1" applyBorder="1"/>
    <xf numFmtId="164" fontId="18" fillId="0" borderId="48" xfId="0" applyNumberFormat="1" applyFont="1" applyBorder="1"/>
    <xf numFmtId="164" fontId="18" fillId="0" borderId="49" xfId="0" applyNumberFormat="1" applyFont="1" applyBorder="1"/>
    <xf numFmtId="0" fontId="0" fillId="0" borderId="0" xfId="0" applyAlignment="1">
      <alignment vertical="top"/>
    </xf>
    <xf numFmtId="165" fontId="17" fillId="0" borderId="0" xfId="0" applyNumberFormat="1" applyFont="1"/>
    <xf numFmtId="0" fontId="18" fillId="0" borderId="4" xfId="0" applyFont="1" applyBorder="1"/>
    <xf numFmtId="0" fontId="18" fillId="0" borderId="4" xfId="0" applyFont="1" applyBorder="1" applyAlignment="1">
      <alignment horizontal="center"/>
    </xf>
    <xf numFmtId="0" fontId="18" fillId="0" borderId="4" xfId="0" applyFont="1" applyBorder="1" applyAlignment="1">
      <alignment wrapText="1"/>
    </xf>
    <xf numFmtId="0" fontId="18" fillId="0" borderId="4" xfId="0" applyFont="1" applyBorder="1" applyAlignment="1">
      <alignment vertical="center" wrapText="1"/>
    </xf>
    <xf numFmtId="0" fontId="18" fillId="0" borderId="4" xfId="0" applyFont="1" applyBorder="1" applyAlignment="1">
      <alignment horizontal="center" vertical="center"/>
    </xf>
    <xf numFmtId="0" fontId="18" fillId="0" borderId="4" xfId="0" applyFont="1" applyBorder="1" applyAlignment="1">
      <alignment horizontal="left"/>
    </xf>
    <xf numFmtId="0" fontId="0" fillId="0" borderId="27" xfId="0" applyBorder="1" applyProtection="1">
      <protection locked="0"/>
    </xf>
    <xf numFmtId="0" fontId="17" fillId="0" borderId="4" xfId="0" applyFont="1" applyBorder="1" applyAlignment="1">
      <alignment horizontal="left" vertical="top" wrapText="1"/>
    </xf>
    <xf numFmtId="0" fontId="0" fillId="0" borderId="0" xfId="0" applyAlignment="1">
      <alignment vertical="center"/>
    </xf>
    <xf numFmtId="0" fontId="17" fillId="29" borderId="4" xfId="0" applyFont="1" applyFill="1" applyBorder="1" applyAlignment="1" applyProtection="1">
      <alignment horizontal="left" vertical="center"/>
      <protection locked="0"/>
    </xf>
    <xf numFmtId="177" fontId="17" fillId="0" borderId="4" xfId="56" applyNumberFormat="1" applyFont="1" applyBorder="1" applyAlignment="1" applyProtection="1">
      <alignment horizontal="center" vertical="center"/>
    </xf>
    <xf numFmtId="177" fontId="20" fillId="0" borderId="4" xfId="57" applyNumberFormat="1" applyFont="1" applyBorder="1" applyAlignment="1" applyProtection="1">
      <alignment horizontal="center" vertical="center"/>
    </xf>
    <xf numFmtId="0" fontId="17" fillId="0" borderId="0" xfId="0" applyFont="1" applyAlignment="1">
      <alignment horizontal="left" vertical="top" wrapText="1"/>
    </xf>
    <xf numFmtId="0" fontId="0" fillId="0" borderId="0" xfId="0" applyAlignment="1">
      <alignment horizontal="center" vertical="center"/>
    </xf>
    <xf numFmtId="0" fontId="17" fillId="29" borderId="4" xfId="0" applyFont="1" applyFill="1" applyBorder="1" applyAlignment="1">
      <alignment horizontal="left" vertical="center"/>
    </xf>
    <xf numFmtId="0" fontId="17" fillId="28" borderId="4" xfId="0" applyFont="1" applyFill="1" applyBorder="1" applyAlignment="1">
      <alignment horizontal="center" vertical="center"/>
    </xf>
    <xf numFmtId="178" fontId="17" fillId="27" borderId="4" xfId="56" applyNumberFormat="1" applyFont="1" applyFill="1" applyBorder="1" applyProtection="1"/>
    <xf numFmtId="0" fontId="0" fillId="32" borderId="0" xfId="0" applyFill="1"/>
    <xf numFmtId="0" fontId="20" fillId="0" borderId="4" xfId="0" applyFont="1" applyBorder="1"/>
    <xf numFmtId="3" fontId="20" fillId="0" borderId="4" xfId="0" applyNumberFormat="1" applyFont="1" applyBorder="1"/>
    <xf numFmtId="175" fontId="20" fillId="0" borderId="4" xfId="57" applyNumberFormat="1" applyFont="1" applyBorder="1" applyProtection="1"/>
    <xf numFmtId="178" fontId="20" fillId="0" borderId="4" xfId="56" applyNumberFormat="1" applyFont="1" applyBorder="1" applyProtection="1"/>
    <xf numFmtId="9" fontId="20" fillId="0" borderId="4" xfId="58" applyFont="1" applyBorder="1" applyProtection="1"/>
    <xf numFmtId="0" fontId="21" fillId="0" borderId="0" xfId="0" applyFont="1" applyAlignment="1">
      <alignment horizontal="right" indent="1"/>
    </xf>
    <xf numFmtId="175" fontId="21" fillId="0" borderId="0" xfId="57" applyNumberFormat="1" applyFont="1" applyAlignment="1" applyProtection="1">
      <alignment horizontal="right" indent="1"/>
    </xf>
    <xf numFmtId="175" fontId="21" fillId="0" borderId="0" xfId="0" applyNumberFormat="1" applyFont="1" applyAlignment="1">
      <alignment horizontal="right" indent="1"/>
    </xf>
    <xf numFmtId="180" fontId="17" fillId="29" borderId="4" xfId="58" applyNumberFormat="1" applyFont="1" applyFill="1" applyBorder="1" applyProtection="1">
      <protection locked="0"/>
    </xf>
    <xf numFmtId="0" fontId="61" fillId="0" borderId="0" xfId="0" applyFont="1"/>
    <xf numFmtId="0" fontId="66" fillId="0" borderId="0" xfId="0" applyFont="1"/>
    <xf numFmtId="0" fontId="17" fillId="27" borderId="4" xfId="0" applyFont="1" applyFill="1" applyBorder="1"/>
    <xf numFmtId="178" fontId="0" fillId="0" borderId="4" xfId="56" applyNumberFormat="1" applyFont="1" applyBorder="1" applyAlignment="1" applyProtection="1">
      <alignment horizontal="center" vertical="center"/>
    </xf>
    <xf numFmtId="175" fontId="0" fillId="0" borderId="4" xfId="57" applyNumberFormat="1" applyFont="1" applyBorder="1" applyProtection="1"/>
    <xf numFmtId="179" fontId="20" fillId="0" borderId="4" xfId="56" applyNumberFormat="1" applyFont="1" applyBorder="1" applyAlignment="1" applyProtection="1">
      <alignment horizontal="center" vertical="center"/>
    </xf>
    <xf numFmtId="178" fontId="0" fillId="0" borderId="0" xfId="0" applyNumberFormat="1"/>
    <xf numFmtId="0" fontId="20" fillId="31" borderId="4" xfId="0" applyFont="1" applyFill="1" applyBorder="1"/>
    <xf numFmtId="0" fontId="20" fillId="31" borderId="4" xfId="0" applyFont="1" applyFill="1" applyBorder="1" applyAlignment="1">
      <alignment horizontal="center" vertical="center"/>
    </xf>
    <xf numFmtId="178" fontId="20" fillId="31" borderId="4" xfId="56" applyNumberFormat="1" applyFont="1" applyFill="1" applyBorder="1" applyAlignment="1" applyProtection="1">
      <alignment horizontal="center" vertical="center"/>
    </xf>
    <xf numFmtId="175" fontId="20" fillId="31" borderId="4" xfId="57" applyNumberFormat="1" applyFont="1" applyFill="1" applyBorder="1" applyProtection="1"/>
    <xf numFmtId="0" fontId="23" fillId="0" borderId="0" xfId="0" applyFont="1"/>
    <xf numFmtId="0" fontId="20" fillId="27" borderId="0" xfId="0" applyFont="1" applyFill="1" applyAlignment="1">
      <alignment vertical="center" wrapText="1"/>
    </xf>
    <xf numFmtId="166" fontId="20" fillId="0" borderId="4" xfId="57" applyFont="1" applyBorder="1" applyAlignment="1" applyProtection="1">
      <alignment horizontal="center" vertical="center"/>
    </xf>
    <xf numFmtId="0" fontId="20" fillId="0" borderId="42" xfId="0" applyFont="1" applyBorder="1" applyAlignment="1">
      <alignment horizontal="center" vertical="center" wrapText="1"/>
    </xf>
    <xf numFmtId="0" fontId="20" fillId="0" borderId="42" xfId="0" applyFont="1" applyBorder="1" applyAlignment="1">
      <alignment horizontal="center" vertical="center"/>
    </xf>
    <xf numFmtId="177" fontId="17" fillId="0" borderId="4" xfId="0" applyNumberFormat="1" applyFont="1" applyBorder="1" applyAlignment="1">
      <alignment horizontal="center" vertical="center"/>
    </xf>
    <xf numFmtId="0" fontId="20" fillId="32" borderId="4" xfId="0" applyFont="1" applyFill="1" applyBorder="1" applyAlignment="1">
      <alignment vertical="center"/>
    </xf>
    <xf numFmtId="0" fontId="20" fillId="27" borderId="4" xfId="0" applyFont="1" applyFill="1" applyBorder="1" applyAlignment="1">
      <alignment horizontal="right" indent="2"/>
    </xf>
    <xf numFmtId="8" fontId="17" fillId="27" borderId="4" xfId="57" applyNumberFormat="1" applyFont="1" applyFill="1" applyBorder="1" applyProtection="1"/>
    <xf numFmtId="181" fontId="17" fillId="27" borderId="4" xfId="57" applyNumberFormat="1" applyFont="1" applyFill="1" applyBorder="1" applyProtection="1"/>
    <xf numFmtId="0" fontId="20" fillId="30" borderId="4" xfId="0" applyFont="1" applyFill="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0" fillId="29" borderId="28" xfId="0" applyFill="1" applyBorder="1" applyAlignment="1" applyProtection="1">
      <alignment horizontal="left" vertical="top" wrapText="1"/>
      <protection locked="0"/>
    </xf>
    <xf numFmtId="0" fontId="0" fillId="29" borderId="51" xfId="0" applyFill="1" applyBorder="1" applyAlignment="1" applyProtection="1">
      <alignment horizontal="left" vertical="top" wrapText="1"/>
      <protection locked="0"/>
    </xf>
    <xf numFmtId="164" fontId="18" fillId="29" borderId="47" xfId="0" applyNumberFormat="1" applyFont="1" applyFill="1" applyBorder="1" applyProtection="1">
      <protection locked="0"/>
    </xf>
    <xf numFmtId="164" fontId="18" fillId="29" borderId="45" xfId="0" applyNumberFormat="1" applyFont="1" applyFill="1" applyBorder="1" applyProtection="1">
      <protection locked="0"/>
    </xf>
    <xf numFmtId="164" fontId="18" fillId="29" borderId="24" xfId="0" applyNumberFormat="1" applyFont="1" applyFill="1" applyBorder="1" applyProtection="1">
      <protection locked="0"/>
    </xf>
    <xf numFmtId="164" fontId="18" fillId="29" borderId="22" xfId="0" applyNumberFormat="1" applyFont="1" applyFill="1" applyBorder="1" applyProtection="1">
      <protection locked="0"/>
    </xf>
    <xf numFmtId="0" fontId="17" fillId="29" borderId="4" xfId="0" applyFont="1" applyFill="1" applyBorder="1" applyProtection="1">
      <protection locked="0"/>
    </xf>
    <xf numFmtId="0" fontId="17" fillId="28" borderId="4" xfId="0" applyFont="1" applyFill="1" applyBorder="1" applyProtection="1">
      <protection locked="0"/>
    </xf>
    <xf numFmtId="178" fontId="17" fillId="29" borderId="4" xfId="0" applyNumberFormat="1" applyFont="1" applyFill="1" applyBorder="1" applyAlignment="1" applyProtection="1">
      <alignment horizontal="right" vertical="center"/>
      <protection locked="0"/>
    </xf>
    <xf numFmtId="9" fontId="17" fillId="29" borderId="4" xfId="130" applyFont="1" applyFill="1" applyBorder="1" applyProtection="1">
      <protection locked="0"/>
    </xf>
    <xf numFmtId="164" fontId="18" fillId="26" borderId="62" xfId="0" applyNumberFormat="1" applyFont="1" applyFill="1" applyBorder="1"/>
    <xf numFmtId="164" fontId="18" fillId="26" borderId="68" xfId="0" applyNumberFormat="1" applyFont="1" applyFill="1" applyBorder="1"/>
    <xf numFmtId="164" fontId="0" fillId="0" borderId="69" xfId="0" applyNumberFormat="1" applyBorder="1"/>
    <xf numFmtId="177" fontId="17" fillId="0" borderId="4" xfId="104" applyNumberFormat="1" applyFont="1" applyBorder="1" applyAlignment="1" applyProtection="1">
      <alignment horizontal="center" vertical="center"/>
    </xf>
    <xf numFmtId="182" fontId="20" fillId="0" borderId="4" xfId="57" applyNumberFormat="1" applyFont="1" applyBorder="1" applyAlignment="1" applyProtection="1">
      <alignment horizontal="center" vertical="center"/>
    </xf>
    <xf numFmtId="9" fontId="0" fillId="0" borderId="0" xfId="58" applyFont="1" applyProtection="1"/>
    <xf numFmtId="164" fontId="18" fillId="29" borderId="45" xfId="201" applyNumberFormat="1" applyFont="1" applyFill="1" applyBorder="1" applyProtection="1">
      <protection locked="0"/>
    </xf>
    <xf numFmtId="164" fontId="18" fillId="29" borderId="20" xfId="202" applyNumberFormat="1" applyFont="1" applyFill="1" applyBorder="1" applyProtection="1">
      <protection locked="0"/>
    </xf>
    <xf numFmtId="164" fontId="18" fillId="29" borderId="20" xfId="203" applyNumberFormat="1" applyFont="1" applyFill="1" applyBorder="1" applyProtection="1">
      <protection locked="0"/>
    </xf>
    <xf numFmtId="164" fontId="18" fillId="29" borderId="20" xfId="204" applyNumberFormat="1" applyFont="1" applyFill="1" applyBorder="1" applyProtection="1">
      <protection locked="0"/>
    </xf>
    <xf numFmtId="164" fontId="18" fillId="29" borderId="20" xfId="205" applyNumberFormat="1" applyFont="1" applyFill="1" applyBorder="1" applyProtection="1">
      <protection locked="0"/>
    </xf>
    <xf numFmtId="164" fontId="18" fillId="29" borderId="20" xfId="206" applyNumberFormat="1" applyFont="1" applyFill="1" applyBorder="1" applyProtection="1">
      <protection locked="0"/>
    </xf>
    <xf numFmtId="164" fontId="18" fillId="29" borderId="45" xfId="207" applyNumberFormat="1" applyFont="1" applyFill="1" applyBorder="1" applyProtection="1">
      <protection locked="0"/>
    </xf>
    <xf numFmtId="164" fontId="18" fillId="29" borderId="20" xfId="208" applyNumberFormat="1" applyFont="1" applyFill="1" applyBorder="1" applyProtection="1">
      <protection locked="0"/>
    </xf>
    <xf numFmtId="164" fontId="18" fillId="29" borderId="45" xfId="209" applyNumberFormat="1" applyFont="1" applyFill="1" applyBorder="1" applyProtection="1">
      <protection locked="0"/>
    </xf>
    <xf numFmtId="164" fontId="18" fillId="29" borderId="20" xfId="210" applyNumberFormat="1" applyFont="1" applyFill="1" applyBorder="1" applyProtection="1">
      <protection locked="0"/>
    </xf>
    <xf numFmtId="164" fontId="18" fillId="29" borderId="45" xfId="211" applyNumberFormat="1" applyFont="1" applyFill="1" applyBorder="1" applyProtection="1">
      <protection locked="0"/>
    </xf>
    <xf numFmtId="164" fontId="18" fillId="29" borderId="24" xfId="212" applyNumberFormat="1" applyFont="1" applyFill="1" applyBorder="1" applyProtection="1">
      <protection locked="0"/>
    </xf>
    <xf numFmtId="164" fontId="18" fillId="29" borderId="47" xfId="213" applyNumberFormat="1" applyFont="1" applyFill="1" applyBorder="1" applyProtection="1">
      <protection locked="0"/>
    </xf>
    <xf numFmtId="164" fontId="18" fillId="29" borderId="72" xfId="0" applyNumberFormat="1" applyFont="1" applyFill="1" applyBorder="1" applyProtection="1">
      <protection locked="0"/>
    </xf>
    <xf numFmtId="164" fontId="18" fillId="29" borderId="24" xfId="218" applyNumberFormat="1" applyFont="1" applyFill="1" applyBorder="1" applyProtection="1">
      <protection locked="0"/>
    </xf>
    <xf numFmtId="164" fontId="18" fillId="29" borderId="24" xfId="219" applyNumberFormat="1" applyFont="1" applyFill="1" applyBorder="1" applyProtection="1">
      <protection locked="0"/>
    </xf>
    <xf numFmtId="164" fontId="18" fillId="29" borderId="24" xfId="220" applyNumberFormat="1" applyFont="1" applyFill="1" applyBorder="1" applyProtection="1">
      <protection locked="0"/>
    </xf>
    <xf numFmtId="164" fontId="18" fillId="29" borderId="20" xfId="221" applyNumberFormat="1" applyFont="1" applyFill="1" applyBorder="1" applyProtection="1">
      <protection locked="0"/>
    </xf>
    <xf numFmtId="164" fontId="18" fillId="29" borderId="20" xfId="222" applyNumberFormat="1" applyFont="1" applyFill="1" applyBorder="1" applyProtection="1">
      <protection locked="0"/>
    </xf>
    <xf numFmtId="164" fontId="18" fillId="29" borderId="20" xfId="223" applyNumberFormat="1" applyFont="1" applyFill="1" applyBorder="1" applyProtection="1">
      <protection locked="0"/>
    </xf>
    <xf numFmtId="164" fontId="18" fillId="29" borderId="20" xfId="224" applyNumberFormat="1" applyFont="1" applyFill="1" applyBorder="1" applyProtection="1">
      <protection locked="0"/>
    </xf>
    <xf numFmtId="164" fontId="18" fillId="29" borderId="24" xfId="223" applyNumberFormat="1" applyFont="1" applyFill="1" applyBorder="1" applyProtection="1">
      <protection locked="0"/>
    </xf>
    <xf numFmtId="164" fontId="18" fillId="29" borderId="24" xfId="225" applyNumberFormat="1" applyFont="1" applyFill="1" applyBorder="1" applyProtection="1">
      <protection locked="0"/>
    </xf>
    <xf numFmtId="164" fontId="18" fillId="29" borderId="20" xfId="226" applyNumberFormat="1" applyFont="1" applyFill="1" applyBorder="1" applyProtection="1">
      <protection locked="0"/>
    </xf>
    <xf numFmtId="164" fontId="18" fillId="29" borderId="20" xfId="227" applyNumberFormat="1" applyFont="1" applyFill="1" applyBorder="1" applyProtection="1">
      <protection locked="0"/>
    </xf>
    <xf numFmtId="164" fontId="18" fillId="29" borderId="20" xfId="228" applyNumberFormat="1" applyFont="1" applyFill="1" applyBorder="1" applyProtection="1">
      <protection locked="0"/>
    </xf>
    <xf numFmtId="164" fontId="18" fillId="29" borderId="20" xfId="229" applyNumberFormat="1" applyFont="1" applyFill="1" applyBorder="1" applyProtection="1">
      <protection locked="0"/>
    </xf>
    <xf numFmtId="164" fontId="18" fillId="29" borderId="20" xfId="230" applyNumberFormat="1" applyFont="1" applyFill="1" applyBorder="1" applyProtection="1">
      <protection locked="0"/>
    </xf>
    <xf numFmtId="164" fontId="18" fillId="29" borderId="20" xfId="231" applyNumberFormat="1" applyFont="1" applyFill="1" applyBorder="1" applyProtection="1">
      <protection locked="0"/>
    </xf>
    <xf numFmtId="164" fontId="18" fillId="29" borderId="20" xfId="232" applyNumberFormat="1" applyFont="1" applyFill="1" applyBorder="1" applyProtection="1">
      <protection locked="0"/>
    </xf>
    <xf numFmtId="164" fontId="18" fillId="29" borderId="20" xfId="235" applyNumberFormat="1" applyFont="1" applyFill="1" applyBorder="1" applyProtection="1">
      <protection locked="0"/>
    </xf>
    <xf numFmtId="164" fontId="18" fillId="29" borderId="20" xfId="236" applyNumberFormat="1" applyFont="1" applyFill="1" applyBorder="1" applyProtection="1">
      <protection locked="0"/>
    </xf>
    <xf numFmtId="164" fontId="18" fillId="29" borderId="20" xfId="238" applyNumberFormat="1" applyFont="1" applyFill="1" applyBorder="1" applyProtection="1">
      <protection locked="0"/>
    </xf>
    <xf numFmtId="164" fontId="18" fillId="29" borderId="20" xfId="239" applyNumberFormat="1" applyFont="1" applyFill="1" applyBorder="1" applyProtection="1">
      <protection locked="0"/>
    </xf>
    <xf numFmtId="164" fontId="18" fillId="29" borderId="20" xfId="242" applyNumberFormat="1" applyFont="1" applyFill="1" applyBorder="1" applyProtection="1">
      <protection locked="0"/>
    </xf>
    <xf numFmtId="164" fontId="18" fillId="29" borderId="20" xfId="243" applyNumberFormat="1" applyFont="1" applyFill="1" applyBorder="1" applyProtection="1">
      <protection locked="0"/>
    </xf>
    <xf numFmtId="164" fontId="18" fillId="29" borderId="20" xfId="244" applyNumberFormat="1" applyFont="1" applyFill="1" applyBorder="1" applyProtection="1">
      <protection locked="0"/>
    </xf>
    <xf numFmtId="164" fontId="18" fillId="29" borderId="20" xfId="245" applyNumberFormat="1" applyFont="1" applyFill="1" applyBorder="1" applyProtection="1">
      <protection locked="0"/>
    </xf>
    <xf numFmtId="164" fontId="18" fillId="29" borderId="73" xfId="0" applyNumberFormat="1" applyFont="1" applyFill="1" applyBorder="1" applyProtection="1">
      <protection locked="0"/>
    </xf>
    <xf numFmtId="178" fontId="17" fillId="29" borderId="4" xfId="246" applyNumberFormat="1" applyFont="1" applyFill="1" applyBorder="1" applyProtection="1">
      <protection locked="0"/>
    </xf>
    <xf numFmtId="178" fontId="17" fillId="29" borderId="4" xfId="247" applyNumberFormat="1" applyFont="1" applyFill="1" applyBorder="1" applyProtection="1">
      <protection locked="0"/>
    </xf>
    <xf numFmtId="178" fontId="17" fillId="29" borderId="4" xfId="248" applyNumberFormat="1" applyFont="1" applyFill="1" applyBorder="1" applyProtection="1">
      <protection locked="0"/>
    </xf>
    <xf numFmtId="178" fontId="17" fillId="29" borderId="4" xfId="249" applyNumberFormat="1" applyFont="1" applyFill="1" applyBorder="1" applyProtection="1">
      <protection locked="0"/>
    </xf>
    <xf numFmtId="178" fontId="17" fillId="29" borderId="4" xfId="250" applyNumberFormat="1" applyFont="1" applyFill="1" applyBorder="1" applyProtection="1">
      <protection locked="0"/>
    </xf>
    <xf numFmtId="177" fontId="17" fillId="29" borderId="4" xfId="246" applyNumberFormat="1" applyFont="1" applyFill="1" applyBorder="1" applyProtection="1">
      <protection locked="0"/>
    </xf>
    <xf numFmtId="0" fontId="18" fillId="0" borderId="46" xfId="0" applyFont="1" applyBorder="1"/>
    <xf numFmtId="0" fontId="18" fillId="0" borderId="10" xfId="0" applyFont="1" applyBorder="1" applyAlignment="1">
      <alignment horizontal="center"/>
    </xf>
    <xf numFmtId="0" fontId="18" fillId="0" borderId="46" xfId="0" applyFont="1" applyBorder="1" applyAlignment="1">
      <alignment horizontal="left"/>
    </xf>
    <xf numFmtId="0" fontId="18" fillId="0" borderId="46" xfId="59" applyFont="1" applyBorder="1" applyAlignment="1">
      <alignment horizontal="left" wrapText="1"/>
    </xf>
    <xf numFmtId="164" fontId="18" fillId="0" borderId="47" xfId="0" applyNumberFormat="1" applyFont="1" applyBorder="1" applyProtection="1">
      <protection locked="0"/>
    </xf>
    <xf numFmtId="164" fontId="18" fillId="0" borderId="24" xfId="223" applyNumberFormat="1" applyFont="1" applyBorder="1" applyProtection="1">
      <protection locked="0"/>
    </xf>
    <xf numFmtId="164" fontId="18" fillId="0" borderId="47" xfId="201" applyNumberFormat="1" applyFont="1" applyBorder="1" applyProtection="1">
      <protection locked="0"/>
    </xf>
    <xf numFmtId="164" fontId="18" fillId="0" borderId="46" xfId="0" applyNumberFormat="1" applyFont="1" applyBorder="1" applyProtection="1">
      <protection locked="0"/>
    </xf>
    <xf numFmtId="164" fontId="18" fillId="0" borderId="0" xfId="0" applyNumberFormat="1" applyFont="1" applyProtection="1">
      <protection locked="0"/>
    </xf>
    <xf numFmtId="164" fontId="18" fillId="0" borderId="20" xfId="0" applyNumberFormat="1" applyFont="1" applyBorder="1" applyProtection="1">
      <protection locked="0"/>
    </xf>
    <xf numFmtId="164" fontId="18" fillId="0" borderId="15" xfId="0" applyNumberFormat="1" applyFont="1" applyBorder="1" applyProtection="1">
      <protection locked="0"/>
    </xf>
    <xf numFmtId="0" fontId="22" fillId="0" borderId="32" xfId="0" applyFont="1" applyBorder="1" applyAlignment="1">
      <alignment vertical="center"/>
    </xf>
    <xf numFmtId="0" fontId="18" fillId="0" borderId="35" xfId="0" applyFont="1" applyBorder="1"/>
    <xf numFmtId="0" fontId="18" fillId="0" borderId="10" xfId="0" applyFont="1" applyBorder="1" applyAlignment="1">
      <alignment horizontal="center" vertical="top"/>
    </xf>
    <xf numFmtId="0" fontId="19" fillId="0" borderId="46" xfId="0" applyFont="1" applyBorder="1"/>
    <xf numFmtId="0" fontId="19" fillId="0" borderId="10" xfId="0" applyFont="1" applyBorder="1"/>
    <xf numFmtId="0" fontId="19" fillId="0" borderId="46" xfId="0" applyFont="1" applyBorder="1" applyAlignment="1">
      <alignment horizontal="left"/>
    </xf>
    <xf numFmtId="0" fontId="19" fillId="0" borderId="10" xfId="0" applyFont="1" applyBorder="1" applyAlignment="1">
      <alignment horizontal="center"/>
    </xf>
    <xf numFmtId="0" fontId="19" fillId="0" borderId="10" xfId="0" applyFont="1" applyBorder="1" applyAlignment="1">
      <alignment horizontal="left"/>
    </xf>
    <xf numFmtId="0" fontId="18" fillId="0" borderId="46" xfId="0" applyFont="1" applyBorder="1" applyAlignment="1">
      <alignment wrapText="1"/>
    </xf>
    <xf numFmtId="0" fontId="18" fillId="0" borderId="46" xfId="0" applyFont="1" applyBorder="1" applyAlignment="1">
      <alignment vertical="center" wrapText="1"/>
    </xf>
    <xf numFmtId="0" fontId="18" fillId="0" borderId="10" xfId="0" applyFont="1" applyBorder="1" applyAlignment="1">
      <alignment horizontal="center" vertical="center"/>
    </xf>
    <xf numFmtId="0" fontId="26" fillId="0" borderId="46" xfId="59" applyFont="1" applyBorder="1"/>
    <xf numFmtId="0" fontId="26" fillId="0" borderId="10" xfId="59" applyFont="1" applyBorder="1" applyAlignment="1">
      <alignment horizontal="center"/>
    </xf>
    <xf numFmtId="0" fontId="18" fillId="0" borderId="70" xfId="0" applyFont="1" applyBorder="1"/>
    <xf numFmtId="0" fontId="18" fillId="0" borderId="71" xfId="0" applyFont="1" applyBorder="1" applyAlignment="1">
      <alignment horizontal="center"/>
    </xf>
    <xf numFmtId="164" fontId="17" fillId="0" borderId="0" xfId="0" applyNumberFormat="1" applyFont="1"/>
    <xf numFmtId="0" fontId="0" fillId="64" borderId="0" xfId="0" applyFill="1"/>
    <xf numFmtId="0" fontId="0" fillId="0" borderId="0" xfId="56" applyNumberFormat="1" applyFont="1" applyProtection="1"/>
    <xf numFmtId="0" fontId="59" fillId="0" borderId="0" xfId="0" applyFont="1"/>
    <xf numFmtId="183" fontId="0" fillId="0" borderId="0" xfId="0" applyNumberFormat="1" applyAlignment="1">
      <alignment horizontal="center" vertical="center"/>
    </xf>
    <xf numFmtId="165" fontId="0" fillId="0" borderId="10" xfId="0" applyNumberFormat="1" applyBorder="1"/>
    <xf numFmtId="165" fontId="18" fillId="0" borderId="10" xfId="0" applyNumberFormat="1" applyFont="1" applyBorder="1"/>
    <xf numFmtId="165" fontId="0" fillId="0" borderId="50" xfId="0" applyNumberFormat="1" applyBorder="1"/>
    <xf numFmtId="180" fontId="17" fillId="64" borderId="4" xfId="246" applyNumberFormat="1" applyFont="1" applyFill="1" applyBorder="1" applyProtection="1">
      <protection locked="0"/>
    </xf>
    <xf numFmtId="180" fontId="17" fillId="64" borderId="4" xfId="56" applyNumberFormat="1" applyFont="1" applyFill="1" applyBorder="1" applyProtection="1">
      <protection locked="0"/>
    </xf>
    <xf numFmtId="0" fontId="61" fillId="64" borderId="0" xfId="0" applyFont="1" applyFill="1"/>
    <xf numFmtId="0" fontId="66" fillId="64" borderId="0" xfId="0" applyFont="1" applyFill="1"/>
    <xf numFmtId="0" fontId="17" fillId="64" borderId="4" xfId="0" applyFont="1" applyFill="1" applyBorder="1"/>
    <xf numFmtId="0" fontId="17" fillId="64" borderId="4" xfId="0" applyFont="1" applyFill="1" applyBorder="1" applyAlignment="1" applyProtection="1">
      <alignment horizontal="center" vertical="center"/>
      <protection locked="0"/>
    </xf>
    <xf numFmtId="178" fontId="0" fillId="64" borderId="4" xfId="56" applyNumberFormat="1" applyFont="1" applyFill="1" applyBorder="1" applyAlignment="1" applyProtection="1">
      <alignment horizontal="center" vertical="center"/>
    </xf>
    <xf numFmtId="175" fontId="0" fillId="64" borderId="4" xfId="57" applyNumberFormat="1" applyFont="1" applyFill="1" applyBorder="1" applyProtection="1"/>
    <xf numFmtId="179" fontId="20" fillId="64" borderId="4" xfId="56" applyNumberFormat="1" applyFont="1" applyFill="1" applyBorder="1" applyAlignment="1" applyProtection="1">
      <alignment horizontal="center" vertical="center"/>
    </xf>
    <xf numFmtId="0" fontId="20" fillId="64" borderId="4" xfId="0" applyFont="1" applyFill="1" applyBorder="1"/>
    <xf numFmtId="0" fontId="20" fillId="64" borderId="4" xfId="0" applyFont="1" applyFill="1" applyBorder="1" applyAlignment="1">
      <alignment horizontal="center" vertical="center"/>
    </xf>
    <xf numFmtId="178" fontId="20" fillId="64" borderId="4" xfId="56" applyNumberFormat="1" applyFont="1" applyFill="1" applyBorder="1" applyAlignment="1" applyProtection="1">
      <alignment horizontal="center" vertical="center"/>
    </xf>
    <xf numFmtId="175" fontId="20" fillId="64" borderId="4" xfId="57" applyNumberFormat="1" applyFont="1" applyFill="1" applyBorder="1" applyProtection="1"/>
    <xf numFmtId="0" fontId="17" fillId="64" borderId="0" xfId="0" applyFont="1" applyFill="1"/>
    <xf numFmtId="177" fontId="20" fillId="64" borderId="4" xfId="57" applyNumberFormat="1" applyFont="1" applyFill="1" applyBorder="1" applyAlignment="1" applyProtection="1">
      <alignment horizontal="center" vertical="center"/>
    </xf>
    <xf numFmtId="0" fontId="0" fillId="29" borderId="69" xfId="0" applyFill="1" applyBorder="1" applyAlignment="1" applyProtection="1">
      <alignment horizontal="left" vertical="top" wrapText="1"/>
      <protection locked="0"/>
    </xf>
    <xf numFmtId="0" fontId="20" fillId="0" borderId="0" xfId="0" applyFont="1" applyAlignment="1">
      <alignment horizontal="right" vertical="center" wrapText="1" indent="1"/>
    </xf>
    <xf numFmtId="177" fontId="20" fillId="0" borderId="0" xfId="57" applyNumberFormat="1" applyFont="1" applyBorder="1" applyAlignment="1" applyProtection="1">
      <alignment horizontal="center" vertical="center"/>
    </xf>
    <xf numFmtId="0" fontId="17" fillId="0" borderId="4" xfId="0" applyFont="1" applyBorder="1" applyAlignment="1">
      <alignment vertical="center" wrapText="1"/>
    </xf>
    <xf numFmtId="164" fontId="18" fillId="29" borderId="0" xfId="202" applyNumberFormat="1" applyFont="1" applyFill="1" applyProtection="1">
      <protection locked="0"/>
    </xf>
    <xf numFmtId="0" fontId="85" fillId="0" borderId="46" xfId="0" applyFont="1" applyBorder="1" applyAlignment="1">
      <alignment horizontal="left"/>
    </xf>
    <xf numFmtId="0" fontId="89" fillId="0" borderId="9" xfId="0" applyFont="1" applyBorder="1" applyAlignment="1">
      <alignment vertical="center"/>
    </xf>
    <xf numFmtId="0" fontId="17" fillId="0" borderId="10" xfId="0" applyFont="1" applyBorder="1"/>
    <xf numFmtId="0" fontId="17" fillId="0" borderId="16" xfId="0" applyFont="1" applyBorder="1"/>
    <xf numFmtId="0" fontId="17" fillId="0" borderId="9" xfId="0" applyFont="1" applyBorder="1" applyAlignment="1">
      <alignment vertical="center"/>
    </xf>
    <xf numFmtId="0" fontId="17" fillId="0" borderId="0" xfId="0" applyFont="1" applyAlignment="1">
      <alignment horizontal="center" vertical="center"/>
    </xf>
    <xf numFmtId="44" fontId="17" fillId="0" borderId="15" xfId="0" applyNumberFormat="1" applyFont="1" applyBorder="1" applyAlignment="1">
      <alignment vertical="center"/>
    </xf>
    <xf numFmtId="0" fontId="20" fillId="0" borderId="10" xfId="0" applyFont="1" applyBorder="1" applyAlignment="1">
      <alignment horizontal="left" vertical="center"/>
    </xf>
    <xf numFmtId="0" fontId="17" fillId="0" borderId="10" xfId="0" applyFont="1" applyBorder="1" applyAlignment="1">
      <alignment horizontal="center" vertical="center"/>
    </xf>
    <xf numFmtId="44" fontId="17" fillId="0" borderId="69" xfId="0" applyNumberFormat="1" applyFont="1" applyBorder="1" applyAlignment="1">
      <alignment vertical="center"/>
    </xf>
    <xf numFmtId="177" fontId="17" fillId="0" borderId="4" xfId="57" applyNumberFormat="1" applyFont="1" applyFill="1" applyBorder="1" applyAlignment="1" applyProtection="1">
      <alignment horizontal="center" vertical="center"/>
    </xf>
    <xf numFmtId="180" fontId="17" fillId="29" borderId="4" xfId="184" applyNumberFormat="1" applyFont="1" applyFill="1" applyBorder="1" applyProtection="1">
      <protection locked="0"/>
    </xf>
    <xf numFmtId="0" fontId="17" fillId="0" borderId="4" xfId="0" applyFont="1" applyBorder="1" applyAlignment="1" applyProtection="1">
      <alignment horizontal="center" vertical="center"/>
      <protection locked="0"/>
    </xf>
    <xf numFmtId="165" fontId="0" fillId="0" borderId="0" xfId="0" applyNumberFormat="1" applyProtection="1">
      <protection locked="0"/>
    </xf>
    <xf numFmtId="165" fontId="17" fillId="0" borderId="0" xfId="0" applyNumberFormat="1" applyFont="1" applyProtection="1">
      <protection locked="0"/>
    </xf>
    <xf numFmtId="0" fontId="0" fillId="0" borderId="0" xfId="0" applyProtection="1">
      <protection locked="0"/>
    </xf>
    <xf numFmtId="164" fontId="0" fillId="0" borderId="0" xfId="0" applyNumberFormat="1" applyProtection="1">
      <protection locked="0"/>
    </xf>
    <xf numFmtId="178" fontId="92" fillId="0" borderId="0" xfId="56" applyNumberFormat="1" applyFont="1" applyProtection="1"/>
    <xf numFmtId="164" fontId="18" fillId="0" borderId="24" xfId="237" applyNumberFormat="1" applyFont="1" applyBorder="1" applyProtection="1">
      <protection locked="0"/>
    </xf>
    <xf numFmtId="164" fontId="18" fillId="0" borderId="24" xfId="0" applyNumberFormat="1" applyFont="1" applyBorder="1" applyProtection="1">
      <protection locked="0"/>
    </xf>
    <xf numFmtId="164" fontId="18" fillId="26" borderId="23" xfId="0" applyNumberFormat="1" applyFont="1" applyFill="1" applyBorder="1" applyProtection="1">
      <protection locked="0"/>
    </xf>
    <xf numFmtId="0" fontId="62" fillId="0" borderId="0" xfId="0" applyFont="1" applyAlignment="1">
      <alignment vertical="top"/>
    </xf>
    <xf numFmtId="0" fontId="62" fillId="0" borderId="0" xfId="0" applyFont="1" applyAlignment="1">
      <alignment vertical="center"/>
    </xf>
    <xf numFmtId="164" fontId="18" fillId="0" borderId="84" xfId="0" applyNumberFormat="1" applyFont="1" applyBorder="1"/>
    <xf numFmtId="0" fontId="93" fillId="0" borderId="0" xfId="0" applyFont="1"/>
    <xf numFmtId="184" fontId="93" fillId="0" borderId="0" xfId="0" applyNumberFormat="1" applyFont="1" applyProtection="1">
      <protection locked="0"/>
    </xf>
    <xf numFmtId="0" fontId="17" fillId="0" borderId="0" xfId="298"/>
    <xf numFmtId="0" fontId="20" fillId="0" borderId="0" xfId="298" applyFont="1"/>
    <xf numFmtId="0" fontId="24" fillId="0" borderId="0" xfId="298" applyFont="1" applyAlignment="1">
      <alignment vertical="top"/>
    </xf>
    <xf numFmtId="165" fontId="17" fillId="0" borderId="0" xfId="298" applyNumberFormat="1" applyAlignment="1">
      <alignment vertical="top"/>
    </xf>
    <xf numFmtId="0" fontId="17" fillId="0" borderId="0" xfId="298" applyAlignment="1">
      <alignment vertical="top" wrapText="1"/>
    </xf>
    <xf numFmtId="164" fontId="18" fillId="29" borderId="20" xfId="233" applyNumberFormat="1" applyFont="1" applyFill="1" applyBorder="1" applyProtection="1">
      <protection locked="0"/>
    </xf>
    <xf numFmtId="0" fontId="9" fillId="0" borderId="0" xfId="346"/>
    <xf numFmtId="0" fontId="9" fillId="0" borderId="0" xfId="346" applyAlignment="1">
      <alignment horizontal="center"/>
    </xf>
    <xf numFmtId="0" fontId="50" fillId="0" borderId="0" xfId="346" applyFont="1" applyAlignment="1">
      <alignment horizontal="center"/>
    </xf>
    <xf numFmtId="0" fontId="94" fillId="0" borderId="0" xfId="346" applyFont="1" applyAlignment="1">
      <alignment horizontal="center"/>
    </xf>
    <xf numFmtId="0" fontId="50" fillId="0" borderId="0" xfId="346" applyFont="1"/>
    <xf numFmtId="0" fontId="20" fillId="0" borderId="0" xfId="70" applyFont="1" applyAlignment="1">
      <alignment horizontal="center"/>
    </xf>
    <xf numFmtId="0" fontId="87" fillId="0" borderId="75" xfId="346" applyFont="1" applyBorder="1" applyAlignment="1">
      <alignment horizontal="center" wrapText="1"/>
    </xf>
    <xf numFmtId="0" fontId="87" fillId="0" borderId="75" xfId="346" applyFont="1" applyBorder="1" applyAlignment="1">
      <alignment horizontal="center"/>
    </xf>
    <xf numFmtId="0" fontId="50" fillId="0" borderId="75" xfId="346" applyFont="1" applyBorder="1"/>
    <xf numFmtId="0" fontId="9" fillId="0" borderId="0" xfId="346" applyAlignment="1">
      <alignment vertical="top"/>
    </xf>
    <xf numFmtId="0" fontId="9" fillId="0" borderId="0" xfId="346" applyAlignment="1">
      <alignment horizontal="center" vertical="top"/>
    </xf>
    <xf numFmtId="0" fontId="9" fillId="0" borderId="0" xfId="346" applyProtection="1">
      <protection locked="0"/>
    </xf>
    <xf numFmtId="0" fontId="50" fillId="0" borderId="82" xfId="346" applyFont="1" applyBorder="1"/>
    <xf numFmtId="0" fontId="9" fillId="0" borderId="82" xfId="346" applyBorder="1"/>
    <xf numFmtId="0" fontId="23" fillId="0" borderId="0" xfId="395" applyFont="1"/>
    <xf numFmtId="0" fontId="17" fillId="0" borderId="0" xfId="395"/>
    <xf numFmtId="0" fontId="66" fillId="0" borderId="0" xfId="395" applyFont="1"/>
    <xf numFmtId="175" fontId="17" fillId="0" borderId="4" xfId="57" applyNumberFormat="1" applyFont="1" applyFill="1" applyBorder="1" applyProtection="1"/>
    <xf numFmtId="0" fontId="17" fillId="0" borderId="0" xfId="395" applyAlignment="1">
      <alignment horizontal="left"/>
    </xf>
    <xf numFmtId="0" fontId="17" fillId="0" borderId="0" xfId="395" applyAlignment="1">
      <alignment horizontal="left" wrapText="1"/>
    </xf>
    <xf numFmtId="0" fontId="63" fillId="0" borderId="0" xfId="0" applyFont="1"/>
    <xf numFmtId="177" fontId="17" fillId="0" borderId="4" xfId="57" applyNumberFormat="1" applyFont="1" applyBorder="1" applyAlignment="1" applyProtection="1">
      <alignment horizontal="left" vertical="center"/>
    </xf>
    <xf numFmtId="0" fontId="0" fillId="0" borderId="0" xfId="0" applyAlignment="1">
      <alignment wrapText="1"/>
    </xf>
    <xf numFmtId="0" fontId="17" fillId="0" borderId="91" xfId="0" applyFont="1" applyBorder="1" applyAlignment="1">
      <alignment vertical="center"/>
    </xf>
    <xf numFmtId="0" fontId="93" fillId="0" borderId="0" xfId="0" applyFont="1" applyProtection="1">
      <protection locked="0"/>
    </xf>
    <xf numFmtId="0" fontId="17" fillId="0" borderId="89" xfId="0" applyFont="1" applyBorder="1" applyAlignment="1">
      <alignment horizontal="center" vertical="center"/>
    </xf>
    <xf numFmtId="0" fontId="17" fillId="0" borderId="90" xfId="0" applyFont="1" applyBorder="1" applyAlignment="1">
      <alignment horizontal="center" vertical="center"/>
    </xf>
    <xf numFmtId="0" fontId="17" fillId="0" borderId="4" xfId="0" applyFont="1" applyBorder="1" applyAlignment="1">
      <alignment horizontal="center" wrapText="1"/>
    </xf>
    <xf numFmtId="178" fontId="17" fillId="0" borderId="4" xfId="56" applyNumberFormat="1" applyFont="1" applyBorder="1" applyProtection="1"/>
    <xf numFmtId="0" fontId="17" fillId="0" borderId="4" xfId="69" applyBorder="1" applyAlignment="1">
      <alignment horizontal="left" vertical="center"/>
    </xf>
    <xf numFmtId="178" fontId="9" fillId="0" borderId="0" xfId="56" applyNumberFormat="1" applyFont="1" applyFill="1" applyBorder="1" applyProtection="1"/>
    <xf numFmtId="178" fontId="9" fillId="0" borderId="0" xfId="56" applyNumberFormat="1" applyFont="1"/>
    <xf numFmtId="178" fontId="9" fillId="0" borderId="82" xfId="56" applyNumberFormat="1" applyFont="1" applyBorder="1"/>
    <xf numFmtId="178" fontId="9" fillId="0" borderId="82" xfId="56" applyNumberFormat="1" applyFont="1" applyBorder="1" applyProtection="1">
      <protection locked="0"/>
    </xf>
    <xf numFmtId="9" fontId="9" fillId="0" borderId="0" xfId="58" applyFont="1"/>
    <xf numFmtId="9" fontId="9" fillId="0" borderId="82" xfId="58" applyFont="1" applyBorder="1"/>
    <xf numFmtId="177" fontId="9" fillId="0" borderId="0" xfId="56" applyNumberFormat="1" applyFont="1" applyProtection="1">
      <protection locked="0"/>
    </xf>
    <xf numFmtId="177" fontId="9" fillId="0" borderId="0" xfId="56" applyNumberFormat="1" applyFont="1"/>
    <xf numFmtId="178" fontId="20" fillId="27" borderId="4" xfId="56" applyNumberFormat="1" applyFont="1" applyFill="1" applyBorder="1" applyProtection="1"/>
    <xf numFmtId="0" fontId="17" fillId="0" borderId="0" xfId="361" applyAlignment="1" applyProtection="1">
      <alignment horizontal="center" vertical="center"/>
      <protection locked="0"/>
    </xf>
    <xf numFmtId="164" fontId="18" fillId="29" borderId="20" xfId="0" applyNumberFormat="1" applyFont="1" applyFill="1" applyBorder="1"/>
    <xf numFmtId="164" fontId="18" fillId="0" borderId="24" xfId="223" applyNumberFormat="1" applyFont="1" applyBorder="1"/>
    <xf numFmtId="166" fontId="0" fillId="0" borderId="4" xfId="57" applyFont="1" applyBorder="1" applyProtection="1"/>
    <xf numFmtId="179" fontId="0" fillId="0" borderId="0" xfId="0" applyNumberFormat="1"/>
    <xf numFmtId="0" fontId="17" fillId="27" borderId="0" xfId="0" applyFont="1" applyFill="1" applyAlignment="1">
      <alignment vertical="center" wrapText="1"/>
    </xf>
    <xf numFmtId="0" fontId="17" fillId="64" borderId="0" xfId="0" applyFont="1" applyFill="1" applyAlignment="1">
      <alignment vertical="center" wrapText="1"/>
    </xf>
    <xf numFmtId="0" fontId="16" fillId="29" borderId="14" xfId="59" applyFill="1" applyBorder="1" applyProtection="1">
      <protection locked="0"/>
    </xf>
    <xf numFmtId="0" fontId="16" fillId="28" borderId="14" xfId="59" applyFill="1" applyBorder="1" applyProtection="1">
      <protection locked="0"/>
    </xf>
    <xf numFmtId="0" fontId="20" fillId="30" borderId="4" xfId="0" applyFont="1" applyFill="1" applyBorder="1" applyProtection="1">
      <protection locked="0"/>
    </xf>
    <xf numFmtId="177" fontId="20" fillId="30" borderId="4" xfId="57" applyNumberFormat="1" applyFont="1" applyFill="1" applyBorder="1" applyAlignment="1" applyProtection="1">
      <alignment horizontal="center" vertical="center"/>
      <protection locked="0"/>
    </xf>
    <xf numFmtId="0" fontId="20" fillId="29" borderId="4" xfId="70" applyFont="1" applyFill="1" applyBorder="1" applyAlignment="1" applyProtection="1">
      <alignment horizontal="center"/>
      <protection locked="0"/>
    </xf>
    <xf numFmtId="0" fontId="23" fillId="0" borderId="0" xfId="265" applyFont="1" applyAlignment="1">
      <alignment horizontal="left" wrapText="1"/>
    </xf>
    <xf numFmtId="0" fontId="0" fillId="65" borderId="14" xfId="0" applyFill="1" applyBorder="1" applyProtection="1">
      <protection locked="0"/>
    </xf>
    <xf numFmtId="0" fontId="53" fillId="0" borderId="0" xfId="59" applyFont="1" applyAlignment="1">
      <alignment vertical="center"/>
    </xf>
    <xf numFmtId="0" fontId="52" fillId="0" borderId="0" xfId="59" applyFont="1"/>
    <xf numFmtId="0" fontId="101" fillId="0" borderId="0" xfId="59" applyFont="1" applyAlignment="1">
      <alignment horizontal="left"/>
    </xf>
    <xf numFmtId="0" fontId="53" fillId="0" borderId="0" xfId="59" applyFont="1" applyAlignment="1">
      <alignment horizontal="left" wrapText="1"/>
    </xf>
    <xf numFmtId="0" fontId="53" fillId="0" borderId="0" xfId="59" applyFont="1" applyAlignment="1">
      <alignment horizontal="left" vertical="top" wrapText="1"/>
    </xf>
    <xf numFmtId="0" fontId="98" fillId="0" borderId="0" xfId="59" applyFont="1"/>
    <xf numFmtId="164" fontId="18" fillId="66" borderId="20" xfId="0" applyNumberFormat="1" applyFont="1" applyFill="1" applyBorder="1" applyProtection="1">
      <protection locked="0"/>
    </xf>
    <xf numFmtId="164" fontId="18" fillId="66" borderId="73" xfId="0" applyNumberFormat="1" applyFont="1" applyFill="1" applyBorder="1" applyProtection="1">
      <protection locked="0"/>
    </xf>
    <xf numFmtId="164" fontId="18" fillId="66" borderId="24" xfId="0" applyNumberFormat="1" applyFont="1" applyFill="1" applyBorder="1" applyProtection="1">
      <protection locked="0"/>
    </xf>
    <xf numFmtId="0" fontId="102" fillId="0" borderId="0" xfId="416" applyFont="1"/>
    <xf numFmtId="0" fontId="102" fillId="0" borderId="0" xfId="0" applyFont="1"/>
    <xf numFmtId="164" fontId="102" fillId="0" borderId="0" xfId="0" applyNumberFormat="1" applyFont="1"/>
    <xf numFmtId="164" fontId="98" fillId="0" borderId="0" xfId="0" applyNumberFormat="1" applyFont="1"/>
    <xf numFmtId="165" fontId="0" fillId="0" borderId="89" xfId="0" applyNumberFormat="1" applyBorder="1"/>
    <xf numFmtId="0" fontId="19" fillId="0" borderId="0" xfId="346" applyFont="1" applyAlignment="1">
      <alignment horizontal="left" vertical="center" wrapText="1"/>
    </xf>
    <xf numFmtId="0" fontId="18" fillId="0" borderId="4" xfId="0" applyFont="1" applyBorder="1" applyAlignment="1" applyProtection="1">
      <alignment horizontal="center" vertical="center"/>
      <protection locked="0"/>
    </xf>
    <xf numFmtId="0" fontId="30" fillId="0" borderId="13" xfId="0" applyFont="1" applyBorder="1" applyAlignment="1">
      <alignment horizontal="center"/>
    </xf>
    <xf numFmtId="0" fontId="5" fillId="0" borderId="0" xfId="486"/>
    <xf numFmtId="0" fontId="52" fillId="0" borderId="0" xfId="486" applyFont="1" applyAlignment="1">
      <alignment horizontal="left" wrapText="1"/>
    </xf>
    <xf numFmtId="0" fontId="5" fillId="0" borderId="0" xfId="486" applyAlignment="1">
      <alignment wrapText="1"/>
    </xf>
    <xf numFmtId="0" fontId="52" fillId="0" borderId="0" xfId="486" applyFont="1" applyAlignment="1">
      <alignment horizontal="left" vertical="center" wrapText="1"/>
    </xf>
    <xf numFmtId="0" fontId="52" fillId="0" borderId="4" xfId="486" applyFont="1" applyBorder="1" applyAlignment="1">
      <alignment horizontal="center" vertical="center" wrapText="1"/>
    </xf>
    <xf numFmtId="0" fontId="50" fillId="0" borderId="0" xfId="486" applyFont="1" applyAlignment="1">
      <alignment horizontal="left" wrapText="1"/>
    </xf>
    <xf numFmtId="0" fontId="50" fillId="0" borderId="42" xfId="486" applyFont="1" applyBorder="1" applyAlignment="1">
      <alignment horizontal="center" wrapText="1"/>
    </xf>
    <xf numFmtId="0" fontId="50" fillId="0" borderId="4" xfId="486" applyFont="1" applyBorder="1" applyAlignment="1">
      <alignment horizontal="center"/>
    </xf>
    <xf numFmtId="0" fontId="50" fillId="0" borderId="81" xfId="486" applyFont="1" applyBorder="1" applyAlignment="1">
      <alignment horizontal="center"/>
    </xf>
    <xf numFmtId="0" fontId="88" fillId="0" borderId="4" xfId="487" applyFont="1" applyBorder="1" applyAlignment="1">
      <alignment wrapText="1"/>
    </xf>
    <xf numFmtId="0" fontId="88" fillId="0" borderId="4" xfId="488" applyFont="1" applyBorder="1" applyAlignment="1">
      <alignment horizontal="center" wrapText="1"/>
    </xf>
    <xf numFmtId="178" fontId="88" fillId="0" borderId="4" xfId="489" applyNumberFormat="1" applyFont="1" applyBorder="1" applyProtection="1"/>
    <xf numFmtId="178" fontId="0" fillId="29" borderId="4" xfId="490" applyNumberFormat="1" applyFont="1" applyFill="1" applyBorder="1" applyProtection="1">
      <protection locked="0"/>
    </xf>
    <xf numFmtId="0" fontId="88" fillId="0" borderId="4" xfId="488" applyFont="1" applyBorder="1" applyAlignment="1">
      <alignment wrapText="1"/>
    </xf>
    <xf numFmtId="178" fontId="0" fillId="0" borderId="81" xfId="490" applyNumberFormat="1" applyFont="1" applyBorder="1" applyAlignment="1" applyProtection="1">
      <alignment vertical="center"/>
    </xf>
    <xf numFmtId="0" fontId="50" fillId="0" borderId="0" xfId="486" applyFont="1"/>
    <xf numFmtId="0" fontId="87" fillId="0" borderId="4" xfId="487" applyFont="1" applyBorder="1" applyAlignment="1">
      <alignment wrapText="1"/>
    </xf>
    <xf numFmtId="178" fontId="88" fillId="0" borderId="4" xfId="489" applyNumberFormat="1" applyFont="1" applyFill="1" applyBorder="1" applyAlignment="1" applyProtection="1">
      <alignment vertical="center"/>
    </xf>
    <xf numFmtId="178" fontId="88" fillId="0" borderId="4" xfId="489" applyNumberFormat="1" applyFont="1" applyBorder="1" applyAlignment="1" applyProtection="1">
      <alignment vertical="center"/>
    </xf>
    <xf numFmtId="0" fontId="87" fillId="0" borderId="4" xfId="487" applyFont="1" applyBorder="1" applyAlignment="1">
      <alignment horizontal="left" wrapText="1"/>
    </xf>
    <xf numFmtId="10" fontId="87" fillId="0" borderId="4" xfId="491" applyNumberFormat="1" applyFont="1" applyBorder="1" applyProtection="1"/>
    <xf numFmtId="10" fontId="50" fillId="0" borderId="4" xfId="492" applyNumberFormat="1" applyFont="1" applyBorder="1" applyProtection="1"/>
    <xf numFmtId="0" fontId="52" fillId="0" borderId="0" xfId="486" applyFont="1" applyAlignment="1">
      <alignment horizontal="left"/>
    </xf>
    <xf numFmtId="178" fontId="5" fillId="0" borderId="0" xfId="486" applyNumberFormat="1"/>
    <xf numFmtId="0" fontId="88" fillId="0" borderId="75" xfId="486" applyFont="1" applyBorder="1"/>
    <xf numFmtId="0" fontId="5" fillId="0" borderId="0" xfId="486" applyAlignment="1">
      <alignment horizontal="left"/>
    </xf>
    <xf numFmtId="0" fontId="88" fillId="0" borderId="4" xfId="486" applyFont="1" applyBorder="1"/>
    <xf numFmtId="175" fontId="0" fillId="0" borderId="0" xfId="493" applyNumberFormat="1" applyFont="1" applyBorder="1" applyProtection="1"/>
    <xf numFmtId="0" fontId="88" fillId="0" borderId="4" xfId="486" applyFont="1" applyBorder="1" applyAlignment="1">
      <alignment wrapText="1"/>
    </xf>
    <xf numFmtId="175" fontId="0" fillId="0" borderId="0" xfId="493" applyNumberFormat="1" applyFont="1" applyFill="1" applyBorder="1" applyAlignment="1" applyProtection="1">
      <alignment vertical="center"/>
    </xf>
    <xf numFmtId="179" fontId="0" fillId="0" borderId="0" xfId="490" applyNumberFormat="1" applyFont="1" applyProtection="1"/>
    <xf numFmtId="0" fontId="87" fillId="0" borderId="42" xfId="486" applyFont="1" applyBorder="1" applyAlignment="1">
      <alignment wrapText="1"/>
    </xf>
    <xf numFmtId="0" fontId="5" fillId="0" borderId="42" xfId="486" applyBorder="1" applyAlignment="1">
      <alignment horizontal="center"/>
    </xf>
    <xf numFmtId="0" fontId="5" fillId="0" borderId="0" xfId="486" applyAlignment="1">
      <alignment horizontal="center"/>
    </xf>
    <xf numFmtId="0" fontId="5" fillId="0" borderId="75" xfId="486" applyBorder="1"/>
    <xf numFmtId="0" fontId="87" fillId="0" borderId="87" xfId="486" applyFont="1" applyBorder="1" applyAlignment="1">
      <alignment wrapText="1"/>
    </xf>
    <xf numFmtId="0" fontId="5" fillId="0" borderId="76" xfId="486" applyBorder="1"/>
    <xf numFmtId="177" fontId="5" fillId="0" borderId="76" xfId="486" applyNumberFormat="1" applyBorder="1"/>
    <xf numFmtId="10" fontId="5" fillId="0" borderId="76" xfId="486" applyNumberFormat="1" applyBorder="1"/>
    <xf numFmtId="175" fontId="5" fillId="0" borderId="76" xfId="486" applyNumberFormat="1" applyBorder="1"/>
    <xf numFmtId="175" fontId="5" fillId="0" borderId="4" xfId="486" applyNumberFormat="1" applyBorder="1"/>
    <xf numFmtId="0" fontId="5" fillId="0" borderId="80" xfId="486" applyBorder="1"/>
    <xf numFmtId="177" fontId="5" fillId="0" borderId="80" xfId="486" applyNumberFormat="1" applyBorder="1"/>
    <xf numFmtId="10" fontId="5" fillId="0" borderId="80" xfId="486" applyNumberFormat="1" applyBorder="1"/>
    <xf numFmtId="175" fontId="5" fillId="0" borderId="80" xfId="486" applyNumberFormat="1" applyBorder="1"/>
    <xf numFmtId="175" fontId="5" fillId="0" borderId="43" xfId="486" applyNumberFormat="1" applyBorder="1"/>
    <xf numFmtId="0" fontId="5" fillId="0" borderId="88" xfId="486" applyBorder="1"/>
    <xf numFmtId="177" fontId="5" fillId="0" borderId="88" xfId="486" applyNumberFormat="1" applyBorder="1"/>
    <xf numFmtId="10" fontId="5" fillId="0" borderId="88" xfId="486" applyNumberFormat="1" applyBorder="1"/>
    <xf numFmtId="175" fontId="5" fillId="0" borderId="88" xfId="486" applyNumberFormat="1" applyBorder="1"/>
    <xf numFmtId="0" fontId="5" fillId="0" borderId="78" xfId="486" applyBorder="1"/>
    <xf numFmtId="177" fontId="5" fillId="0" borderId="78" xfId="486" applyNumberFormat="1" applyBorder="1"/>
    <xf numFmtId="10" fontId="5" fillId="0" borderId="78" xfId="486" applyNumberFormat="1" applyBorder="1"/>
    <xf numFmtId="175" fontId="5" fillId="0" borderId="78" xfId="486" applyNumberFormat="1" applyBorder="1"/>
    <xf numFmtId="175" fontId="5" fillId="0" borderId="79" xfId="486" applyNumberFormat="1" applyBorder="1"/>
    <xf numFmtId="175" fontId="5" fillId="0" borderId="81" xfId="486" applyNumberFormat="1" applyBorder="1"/>
    <xf numFmtId="0" fontId="5" fillId="0" borderId="0" xfId="487"/>
    <xf numFmtId="0" fontId="52" fillId="0" borderId="0" xfId="487" applyFont="1" applyAlignment="1">
      <alignment horizontal="left" wrapText="1"/>
    </xf>
    <xf numFmtId="0" fontId="5" fillId="0" borderId="0" xfId="487" applyAlignment="1">
      <alignment wrapText="1"/>
    </xf>
    <xf numFmtId="0" fontId="52" fillId="0" borderId="0" xfId="487" applyFont="1" applyAlignment="1">
      <alignment horizontal="left" vertical="center" wrapText="1"/>
    </xf>
    <xf numFmtId="0" fontId="52" fillId="0" borderId="4" xfId="487" applyFont="1" applyBorder="1" applyAlignment="1">
      <alignment horizontal="center" vertical="center" wrapText="1"/>
    </xf>
    <xf numFmtId="0" fontId="50" fillId="0" borderId="0" xfId="487" applyFont="1" applyAlignment="1">
      <alignment horizontal="left" wrapText="1"/>
    </xf>
    <xf numFmtId="0" fontId="50" fillId="0" borderId="42" xfId="487" applyFont="1" applyBorder="1" applyAlignment="1">
      <alignment horizontal="center" wrapText="1"/>
    </xf>
    <xf numFmtId="0" fontId="50" fillId="0" borderId="4" xfId="487" applyFont="1" applyBorder="1" applyAlignment="1">
      <alignment horizontal="center"/>
    </xf>
    <xf numFmtId="0" fontId="50" fillId="0" borderId="81" xfId="487" applyFont="1" applyBorder="1" applyAlignment="1">
      <alignment horizontal="center"/>
    </xf>
    <xf numFmtId="0" fontId="50" fillId="0" borderId="0" xfId="487" applyFont="1"/>
    <xf numFmtId="178" fontId="5" fillId="0" borderId="0" xfId="487" applyNumberFormat="1"/>
    <xf numFmtId="0" fontId="88" fillId="0" borderId="4" xfId="487" applyFont="1" applyBorder="1"/>
    <xf numFmtId="0" fontId="84" fillId="0" borderId="0" xfId="487" applyFont="1"/>
    <xf numFmtId="179" fontId="0" fillId="0" borderId="0" xfId="490" applyNumberFormat="1" applyFont="1" applyFill="1" applyProtection="1"/>
    <xf numFmtId="0" fontId="87" fillId="0" borderId="42" xfId="487" applyFont="1" applyBorder="1" applyAlignment="1">
      <alignment wrapText="1"/>
    </xf>
    <xf numFmtId="0" fontId="52" fillId="0" borderId="4" xfId="487" applyFont="1" applyBorder="1" applyAlignment="1">
      <alignment horizontal="left" wrapText="1"/>
    </xf>
    <xf numFmtId="0" fontId="53" fillId="0" borderId="4" xfId="487" applyFont="1" applyBorder="1" applyAlignment="1">
      <alignment horizontal="center" wrapText="1"/>
    </xf>
    <xf numFmtId="0" fontId="87" fillId="0" borderId="76" xfId="487" applyFont="1" applyBorder="1"/>
    <xf numFmtId="0" fontId="87" fillId="0" borderId="4" xfId="487" applyFont="1" applyBorder="1" applyAlignment="1">
      <alignment vertical="center" wrapText="1"/>
    </xf>
    <xf numFmtId="0" fontId="5" fillId="0" borderId="4" xfId="487" applyBorder="1"/>
    <xf numFmtId="178" fontId="5" fillId="0" borderId="4" xfId="487" applyNumberFormat="1" applyBorder="1" applyAlignment="1">
      <alignment horizontal="center" wrapText="1"/>
    </xf>
    <xf numFmtId="178" fontId="5" fillId="0" borderId="4" xfId="487" applyNumberFormat="1" applyBorder="1" applyAlignment="1">
      <alignment horizontal="center"/>
    </xf>
    <xf numFmtId="10" fontId="5" fillId="0" borderId="4" xfId="487" applyNumberFormat="1" applyBorder="1"/>
    <xf numFmtId="175" fontId="5" fillId="0" borderId="4" xfId="487" applyNumberFormat="1" applyBorder="1"/>
    <xf numFmtId="0" fontId="5" fillId="0" borderId="80" xfId="487" applyBorder="1"/>
    <xf numFmtId="10" fontId="5" fillId="0" borderId="80" xfId="487" applyNumberFormat="1" applyBorder="1"/>
    <xf numFmtId="175" fontId="5" fillId="0" borderId="80" xfId="487" applyNumberFormat="1" applyBorder="1"/>
    <xf numFmtId="0" fontId="52" fillId="0" borderId="0" xfId="487" applyFont="1" applyAlignment="1">
      <alignment horizontal="left"/>
    </xf>
    <xf numFmtId="0" fontId="5" fillId="0" borderId="4" xfId="487" applyBorder="1" applyAlignment="1">
      <alignment horizontal="center"/>
    </xf>
    <xf numFmtId="0" fontId="94" fillId="0" borderId="0" xfId="487" applyFont="1" applyAlignment="1">
      <alignment vertical="top"/>
    </xf>
    <xf numFmtId="0" fontId="50" fillId="0" borderId="0" xfId="487" applyFont="1" applyAlignment="1">
      <alignment horizontal="left"/>
    </xf>
    <xf numFmtId="0" fontId="52" fillId="0" borderId="0" xfId="487" applyFont="1" applyAlignment="1">
      <alignment horizontal="left" vertical="center"/>
    </xf>
    <xf numFmtId="0" fontId="5" fillId="28" borderId="4" xfId="487" applyFill="1" applyBorder="1" applyAlignment="1" applyProtection="1">
      <alignment horizontal="center"/>
      <protection locked="0"/>
    </xf>
    <xf numFmtId="0" fontId="71" fillId="0" borderId="0" xfId="487" applyFont="1"/>
    <xf numFmtId="0" fontId="96" fillId="0" borderId="0" xfId="487" applyFont="1"/>
    <xf numFmtId="0" fontId="103" fillId="0" borderId="0" xfId="487" applyFont="1"/>
    <xf numFmtId="0" fontId="50" fillId="0" borderId="42" xfId="487" applyFont="1" applyBorder="1" applyAlignment="1">
      <alignment horizontal="center"/>
    </xf>
    <xf numFmtId="0" fontId="50" fillId="0" borderId="43" xfId="487" applyFont="1" applyBorder="1" applyAlignment="1">
      <alignment horizontal="center"/>
    </xf>
    <xf numFmtId="0" fontId="5" fillId="0" borderId="42" xfId="487" applyBorder="1" applyAlignment="1">
      <alignment horizontal="left" vertical="top"/>
    </xf>
    <xf numFmtId="0" fontId="5" fillId="28" borderId="4" xfId="487" applyFill="1" applyBorder="1" applyProtection="1">
      <protection locked="0"/>
    </xf>
    <xf numFmtId="0" fontId="5" fillId="0" borderId="42" xfId="487" applyBorder="1" applyAlignment="1">
      <alignment horizontal="right"/>
    </xf>
    <xf numFmtId="0" fontId="5" fillId="0" borderId="83" xfId="487" applyBorder="1" applyAlignment="1">
      <alignment horizontal="left" vertical="top"/>
    </xf>
    <xf numFmtId="0" fontId="71" fillId="0" borderId="42" xfId="487" applyFont="1" applyBorder="1"/>
    <xf numFmtId="0" fontId="5" fillId="0" borderId="83" xfId="487" applyBorder="1" applyAlignment="1">
      <alignment horizontal="right"/>
    </xf>
    <xf numFmtId="0" fontId="5" fillId="0" borderId="43" xfId="487" applyBorder="1" applyAlignment="1">
      <alignment vertical="top"/>
    </xf>
    <xf numFmtId="0" fontId="5" fillId="0" borderId="43" xfId="487" applyBorder="1" applyAlignment="1">
      <alignment horizontal="right"/>
    </xf>
    <xf numFmtId="0" fontId="5" fillId="0" borderId="4" xfId="487" applyBorder="1" applyProtection="1">
      <protection locked="0"/>
    </xf>
    <xf numFmtId="0" fontId="5" fillId="0" borderId="42" xfId="487" applyBorder="1" applyAlignment="1">
      <alignment vertical="top"/>
    </xf>
    <xf numFmtId="0" fontId="5" fillId="0" borderId="83" xfId="487" applyBorder="1" applyAlignment="1">
      <alignment vertical="top"/>
    </xf>
    <xf numFmtId="0" fontId="5" fillId="0" borderId="0" xfId="487" applyAlignment="1">
      <alignment horizontal="right"/>
    </xf>
    <xf numFmtId="178" fontId="0" fillId="0" borderId="0" xfId="490" applyNumberFormat="1" applyFont="1" applyFill="1"/>
    <xf numFmtId="0" fontId="5" fillId="0" borderId="4" xfId="487" applyBorder="1" applyAlignment="1">
      <alignment horizontal="right"/>
    </xf>
    <xf numFmtId="0" fontId="52" fillId="0" borderId="80" xfId="487" applyFont="1" applyBorder="1" applyAlignment="1">
      <alignment horizontal="center" wrapText="1"/>
    </xf>
    <xf numFmtId="178" fontId="0" fillId="29" borderId="80" xfId="490" applyNumberFormat="1" applyFont="1" applyFill="1" applyBorder="1" applyAlignment="1" applyProtection="1">
      <protection locked="0"/>
    </xf>
    <xf numFmtId="165" fontId="17" fillId="0" borderId="89" xfId="0" applyNumberFormat="1" applyFont="1" applyBorder="1"/>
    <xf numFmtId="165" fontId="18" fillId="0" borderId="89" xfId="0" applyNumberFormat="1" applyFont="1" applyBorder="1"/>
    <xf numFmtId="0" fontId="52" fillId="28" borderId="92" xfId="0" applyFont="1" applyFill="1" applyBorder="1" applyAlignment="1" applyProtection="1">
      <alignment horizontal="center" vertical="center"/>
      <protection locked="0"/>
    </xf>
    <xf numFmtId="0" fontId="18" fillId="0" borderId="89" xfId="0" applyFont="1" applyBorder="1" applyAlignment="1">
      <alignment horizontal="center"/>
    </xf>
    <xf numFmtId="0" fontId="52" fillId="0" borderId="0" xfId="487" applyFont="1" applyAlignment="1">
      <alignment horizontal="center"/>
    </xf>
    <xf numFmtId="0" fontId="5" fillId="28" borderId="81" xfId="487" applyFill="1" applyBorder="1" applyProtection="1">
      <protection locked="0"/>
    </xf>
    <xf numFmtId="0" fontId="71" fillId="0" borderId="81" xfId="487" applyFont="1" applyBorder="1"/>
    <xf numFmtId="0" fontId="74" fillId="0" borderId="87" xfId="487" applyFont="1" applyBorder="1" applyAlignment="1">
      <alignment horizontal="center"/>
    </xf>
    <xf numFmtId="0" fontId="71" fillId="0" borderId="87" xfId="487" applyFont="1" applyBorder="1" applyAlignment="1">
      <alignment horizontal="left" vertical="top"/>
    </xf>
    <xf numFmtId="0" fontId="71" fillId="0" borderId="87" xfId="487" applyFont="1" applyBorder="1" applyAlignment="1">
      <alignment vertical="top"/>
    </xf>
    <xf numFmtId="177" fontId="20" fillId="30" borderId="4" xfId="0" applyNumberFormat="1" applyFont="1" applyFill="1" applyBorder="1" applyAlignment="1" applyProtection="1">
      <alignment horizontal="center" vertical="center"/>
      <protection locked="0"/>
    </xf>
    <xf numFmtId="175" fontId="20" fillId="0" borderId="0" xfId="57" applyNumberFormat="1" applyFont="1" applyAlignment="1" applyProtection="1">
      <alignment horizontal="center"/>
    </xf>
    <xf numFmtId="0" fontId="20" fillId="0" borderId="0" xfId="0" applyFont="1" applyAlignment="1" applyProtection="1">
      <alignment horizontal="center" vertical="center"/>
      <protection locked="0"/>
    </xf>
    <xf numFmtId="0" fontId="87" fillId="0" borderId="4" xfId="486" applyFont="1" applyBorder="1"/>
    <xf numFmtId="0" fontId="87" fillId="0" borderId="4" xfId="486" applyFont="1" applyBorder="1" applyAlignment="1">
      <alignment vertical="center" wrapText="1"/>
    </xf>
    <xf numFmtId="0" fontId="50" fillId="0" borderId="4" xfId="486" applyFont="1" applyBorder="1" applyAlignment="1">
      <alignment horizontal="center" wrapText="1"/>
    </xf>
    <xf numFmtId="0" fontId="87" fillId="0" borderId="81" xfId="486" applyFont="1" applyBorder="1" applyAlignment="1">
      <alignment wrapText="1"/>
    </xf>
    <xf numFmtId="0" fontId="88" fillId="0" borderId="80" xfId="0" applyFont="1" applyBorder="1" applyAlignment="1">
      <alignment wrapText="1"/>
    </xf>
    <xf numFmtId="0" fontId="20" fillId="71" borderId="0" xfId="0" applyFont="1" applyFill="1"/>
    <xf numFmtId="0" fontId="20" fillId="71" borderId="4" xfId="0" applyFont="1" applyFill="1" applyBorder="1" applyAlignment="1">
      <alignment horizontal="left" vertical="center" wrapText="1"/>
    </xf>
    <xf numFmtId="0" fontId="20" fillId="71" borderId="4" xfId="0" applyFont="1" applyFill="1" applyBorder="1" applyAlignment="1">
      <alignment horizontal="center" vertical="center"/>
    </xf>
    <xf numFmtId="177" fontId="20" fillId="71" borderId="4" xfId="57" applyNumberFormat="1" applyFont="1" applyFill="1" applyBorder="1" applyAlignment="1" applyProtection="1">
      <alignment horizontal="center" vertical="center"/>
    </xf>
    <xf numFmtId="0" fontId="17" fillId="71" borderId="0" xfId="0" applyFont="1" applyFill="1" applyAlignment="1">
      <alignment horizontal="left"/>
    </xf>
    <xf numFmtId="0" fontId="17" fillId="71" borderId="0" xfId="0" applyFont="1" applyFill="1"/>
    <xf numFmtId="0" fontId="20" fillId="71" borderId="4" xfId="0" applyFont="1" applyFill="1" applyBorder="1" applyAlignment="1" applyProtection="1">
      <alignment horizontal="left"/>
      <protection locked="0"/>
    </xf>
    <xf numFmtId="177" fontId="20" fillId="71" borderId="4" xfId="57" applyNumberFormat="1" applyFont="1" applyFill="1" applyBorder="1" applyAlignment="1" applyProtection="1">
      <alignment horizontal="center" vertical="center"/>
      <protection locked="0"/>
    </xf>
    <xf numFmtId="0" fontId="107" fillId="68" borderId="95" xfId="0" applyFont="1" applyFill="1" applyBorder="1" applyAlignment="1">
      <alignment horizontal="left" vertical="top" wrapText="1"/>
    </xf>
    <xf numFmtId="0" fontId="87" fillId="0" borderId="42" xfId="0" applyFont="1" applyBorder="1" applyAlignment="1">
      <alignment wrapText="1"/>
    </xf>
    <xf numFmtId="0" fontId="88" fillId="0" borderId="0" xfId="0" applyFont="1"/>
    <xf numFmtId="175" fontId="88" fillId="0" borderId="4" xfId="0" applyNumberFormat="1" applyFont="1" applyBorder="1"/>
    <xf numFmtId="178" fontId="0" fillId="29" borderId="4" xfId="490" applyNumberFormat="1" applyFont="1" applyFill="1" applyBorder="1" applyAlignment="1" applyProtection="1">
      <protection locked="0"/>
    </xf>
    <xf numFmtId="0" fontId="88" fillId="0" borderId="80" xfId="0" applyFont="1" applyBorder="1"/>
    <xf numFmtId="175" fontId="0" fillId="0" borderId="4" xfId="493" applyNumberFormat="1" applyFont="1" applyBorder="1" applyProtection="1"/>
    <xf numFmtId="175" fontId="0" fillId="0" borderId="4" xfId="493" applyNumberFormat="1" applyFont="1" applyFill="1" applyBorder="1" applyAlignment="1" applyProtection="1">
      <alignment vertical="center"/>
    </xf>
    <xf numFmtId="175" fontId="0" fillId="0" borderId="4" xfId="493" applyNumberFormat="1" applyFont="1" applyFill="1" applyBorder="1" applyProtection="1"/>
    <xf numFmtId="0" fontId="17" fillId="0" borderId="0" xfId="298" applyAlignment="1">
      <alignment horizontal="left" vertical="top" wrapText="1"/>
    </xf>
    <xf numFmtId="0" fontId="17" fillId="0" borderId="0" xfId="0" applyFont="1" applyAlignment="1">
      <alignment horizontal="left" wrapText="1"/>
    </xf>
    <xf numFmtId="0" fontId="0" fillId="0" borderId="4" xfId="0" applyBorder="1"/>
    <xf numFmtId="0" fontId="0" fillId="0" borderId="4" xfId="0" applyBorder="1" applyAlignment="1">
      <alignment vertical="top"/>
    </xf>
    <xf numFmtId="0" fontId="99" fillId="0" borderId="0" xfId="59" applyFont="1"/>
    <xf numFmtId="164" fontId="0" fillId="0" borderId="15" xfId="0" applyNumberFormat="1" applyBorder="1" applyProtection="1">
      <protection locked="0"/>
    </xf>
    <xf numFmtId="164" fontId="18" fillId="72" borderId="20" xfId="0" applyNumberFormat="1" applyFont="1" applyFill="1" applyBorder="1"/>
    <xf numFmtId="164" fontId="18" fillId="72" borderId="20" xfId="0" applyNumberFormat="1" applyFont="1" applyFill="1" applyBorder="1" applyProtection="1">
      <protection locked="0"/>
    </xf>
    <xf numFmtId="0" fontId="53" fillId="0" borderId="0" xfId="497" applyFont="1" applyAlignment="1">
      <alignment horizontal="center" vertical="center" wrapText="1"/>
    </xf>
    <xf numFmtId="0" fontId="53" fillId="0" borderId="0" xfId="497" applyFont="1" applyAlignment="1">
      <alignment vertical="center" wrapText="1"/>
    </xf>
    <xf numFmtId="0" fontId="53" fillId="0" borderId="0" xfId="497" applyFont="1" applyAlignment="1">
      <alignment horizontal="center" vertical="top"/>
    </xf>
    <xf numFmtId="0" fontId="53" fillId="0" borderId="0" xfId="497" applyFont="1" applyAlignment="1">
      <alignment vertical="center"/>
    </xf>
    <xf numFmtId="0" fontId="53" fillId="0" borderId="0" xfId="497" applyFont="1"/>
    <xf numFmtId="0" fontId="53" fillId="0" borderId="0" xfId="498" applyFont="1"/>
    <xf numFmtId="0" fontId="62" fillId="0" borderId="97" xfId="498" applyFont="1" applyBorder="1" applyAlignment="1">
      <alignment horizontal="right" vertical="top"/>
    </xf>
    <xf numFmtId="0" fontId="109" fillId="0" borderId="30" xfId="498" applyFont="1" applyBorder="1" applyAlignment="1">
      <alignment horizontal="left"/>
    </xf>
    <xf numFmtId="0" fontId="62" fillId="0" borderId="30" xfId="498" applyFont="1" applyBorder="1" applyAlignment="1">
      <alignment horizontal="left"/>
    </xf>
    <xf numFmtId="0" fontId="62" fillId="0" borderId="30" xfId="498" applyFont="1" applyBorder="1" applyAlignment="1">
      <alignment horizontal="left" vertical="top" wrapText="1"/>
    </xf>
    <xf numFmtId="0" fontId="62" fillId="0" borderId="35" xfId="498" applyFont="1" applyBorder="1" applyAlignment="1">
      <alignment horizontal="left"/>
    </xf>
    <xf numFmtId="0" fontId="110" fillId="0" borderId="0" xfId="498" applyFont="1"/>
    <xf numFmtId="0" fontId="110" fillId="0" borderId="84" xfId="498" applyFont="1" applyBorder="1" applyAlignment="1">
      <alignment horizontal="right" vertical="top"/>
    </xf>
    <xf numFmtId="0" fontId="110" fillId="0" borderId="89" xfId="498" applyFont="1" applyBorder="1" applyAlignment="1">
      <alignment horizontal="left"/>
    </xf>
    <xf numFmtId="0" fontId="110" fillId="0" borderId="0" xfId="497" applyFont="1"/>
    <xf numFmtId="0" fontId="62" fillId="0" borderId="98" xfId="498" applyFont="1" applyBorder="1" applyAlignment="1">
      <alignment horizontal="right" vertical="top"/>
    </xf>
    <xf numFmtId="0" fontId="62" fillId="0" borderId="99" xfId="498" applyFont="1" applyBorder="1" applyAlignment="1">
      <alignment horizontal="left"/>
    </xf>
    <xf numFmtId="0" fontId="62" fillId="0" borderId="99" xfId="498" applyFont="1" applyBorder="1" applyAlignment="1">
      <alignment horizontal="left" vertical="top" wrapText="1"/>
    </xf>
    <xf numFmtId="0" fontId="62" fillId="0" borderId="100" xfId="498" applyFont="1" applyBorder="1" applyAlignment="1">
      <alignment horizontal="left"/>
    </xf>
    <xf numFmtId="0" fontId="100" fillId="0" borderId="0" xfId="497" applyFont="1" applyAlignment="1">
      <alignment horizontal="left" vertical="top"/>
    </xf>
    <xf numFmtId="0" fontId="99" fillId="0" borderId="0" xfId="497" applyFont="1" applyAlignment="1">
      <alignment vertical="top"/>
    </xf>
    <xf numFmtId="0" fontId="52" fillId="70" borderId="42" xfId="497" applyFont="1" applyFill="1" applyBorder="1" applyAlignment="1">
      <alignment horizontal="center" vertical="center" wrapText="1"/>
    </xf>
    <xf numFmtId="0" fontId="52" fillId="70" borderId="42" xfId="497" applyFont="1" applyFill="1" applyBorder="1" applyAlignment="1">
      <alignment horizontal="center" vertical="top"/>
    </xf>
    <xf numFmtId="0" fontId="110" fillId="0" borderId="83" xfId="497" applyFont="1" applyBorder="1" applyAlignment="1">
      <alignment horizontal="center" vertical="top"/>
    </xf>
    <xf numFmtId="0" fontId="110" fillId="0" borderId="87" xfId="497" applyFont="1" applyBorder="1"/>
    <xf numFmtId="0" fontId="113" fillId="0" borderId="0" xfId="497" applyFont="1"/>
    <xf numFmtId="0" fontId="110" fillId="0" borderId="43" xfId="497" applyFont="1" applyBorder="1" applyAlignment="1">
      <alignment horizontal="center" vertical="top"/>
    </xf>
    <xf numFmtId="0" fontId="110" fillId="0" borderId="75" xfId="497" applyFont="1" applyBorder="1" applyAlignment="1">
      <alignment horizontal="left" vertical="center" wrapText="1"/>
    </xf>
    <xf numFmtId="0" fontId="110" fillId="0" borderId="79" xfId="497" applyFont="1" applyBorder="1" applyAlignment="1">
      <alignment horizontal="left" wrapText="1"/>
    </xf>
    <xf numFmtId="0" fontId="110" fillId="0" borderId="42" xfId="497" applyFont="1" applyBorder="1" applyAlignment="1">
      <alignment horizontal="center" vertical="top"/>
    </xf>
    <xf numFmtId="0" fontId="110" fillId="0" borderId="79" xfId="497" applyFont="1" applyBorder="1" applyAlignment="1">
      <alignment horizontal="left" vertical="center" wrapText="1"/>
    </xf>
    <xf numFmtId="0" fontId="110" fillId="0" borderId="75" xfId="497" applyFont="1" applyBorder="1" applyAlignment="1">
      <alignment vertical="center"/>
    </xf>
    <xf numFmtId="0" fontId="110" fillId="0" borderId="79" xfId="497" applyFont="1" applyBorder="1"/>
    <xf numFmtId="0" fontId="110" fillId="0" borderId="0" xfId="497" applyFont="1" applyAlignment="1">
      <alignment vertical="center"/>
    </xf>
    <xf numFmtId="0" fontId="16" fillId="0" borderId="0" xfId="59" applyAlignment="1">
      <alignment horizontal="center"/>
    </xf>
    <xf numFmtId="0" fontId="53" fillId="0" borderId="0" xfId="59" applyFont="1" applyAlignment="1">
      <alignment horizontal="center"/>
    </xf>
    <xf numFmtId="0" fontId="53" fillId="29" borderId="14" xfId="183" applyFont="1" applyFill="1" applyBorder="1" applyAlignment="1" applyProtection="1">
      <alignment horizontal="center" vertical="center"/>
      <protection locked="0"/>
    </xf>
    <xf numFmtId="0" fontId="0" fillId="0" borderId="0" xfId="0" applyAlignment="1">
      <alignment horizontal="center"/>
    </xf>
    <xf numFmtId="0" fontId="53" fillId="28" borderId="14" xfId="59" applyFont="1" applyFill="1" applyBorder="1" applyAlignment="1" applyProtection="1">
      <alignment horizontal="center"/>
      <protection locked="0"/>
    </xf>
    <xf numFmtId="0" fontId="53" fillId="0" borderId="0" xfId="59" applyFont="1" applyAlignment="1">
      <alignment horizontal="center" vertical="center"/>
    </xf>
    <xf numFmtId="0" fontId="53" fillId="0" borderId="0" xfId="59" applyFont="1" applyAlignment="1">
      <alignment horizontal="center" vertical="top" wrapText="1"/>
    </xf>
    <xf numFmtId="0" fontId="53" fillId="0" borderId="0" xfId="487" applyFont="1" applyAlignment="1">
      <alignment wrapText="1"/>
    </xf>
    <xf numFmtId="165" fontId="17" fillId="0" borderId="89" xfId="0" applyNumberFormat="1" applyFont="1" applyBorder="1" applyAlignment="1">
      <alignment horizontal="center"/>
    </xf>
    <xf numFmtId="0" fontId="17" fillId="27" borderId="4" xfId="0" applyFont="1" applyFill="1" applyBorder="1" applyAlignment="1">
      <alignment horizontal="center"/>
    </xf>
    <xf numFmtId="0" fontId="17" fillId="0" borderId="4" xfId="0" applyFont="1" applyBorder="1" applyAlignment="1">
      <alignment horizontal="center" vertical="center" wrapText="1"/>
    </xf>
    <xf numFmtId="177" fontId="17" fillId="27" borderId="4" xfId="246" applyNumberFormat="1" applyFont="1" applyFill="1" applyBorder="1" applyProtection="1"/>
    <xf numFmtId="0" fontId="19" fillId="0" borderId="89" xfId="0" applyFont="1" applyBorder="1" applyAlignment="1">
      <alignment horizontal="center"/>
    </xf>
    <xf numFmtId="164" fontId="18" fillId="0" borderId="89" xfId="0" applyNumberFormat="1" applyFont="1" applyBorder="1"/>
    <xf numFmtId="164" fontId="18" fillId="0" borderId="102" xfId="0" applyNumberFormat="1" applyFont="1" applyBorder="1"/>
    <xf numFmtId="0" fontId="53" fillId="28" borderId="92" xfId="0" applyFont="1" applyFill="1" applyBorder="1" applyAlignment="1" applyProtection="1">
      <alignment horizontal="center" vertical="center"/>
      <protection locked="0"/>
    </xf>
    <xf numFmtId="0" fontId="99" fillId="0" borderId="0" xfId="59" applyFont="1" applyAlignment="1">
      <alignment horizontal="center"/>
    </xf>
    <xf numFmtId="165" fontId="93" fillId="0" borderId="89" xfId="0" applyNumberFormat="1" applyFont="1" applyBorder="1" applyAlignment="1">
      <alignment horizontal="center"/>
    </xf>
    <xf numFmtId="164" fontId="18" fillId="0" borderId="22" xfId="0" applyNumberFormat="1" applyFont="1" applyBorder="1"/>
    <xf numFmtId="0" fontId="105" fillId="0" borderId="0" xfId="499"/>
    <xf numFmtId="0" fontId="116" fillId="0" borderId="0" xfId="499" applyFont="1" applyAlignment="1">
      <alignment horizontal="left" vertical="top" wrapText="1"/>
    </xf>
    <xf numFmtId="0" fontId="106" fillId="0" borderId="0" xfId="499" applyFont="1" applyAlignment="1">
      <alignment horizontal="left" vertical="top" wrapText="1"/>
    </xf>
    <xf numFmtId="0" fontId="105" fillId="0" borderId="0" xfId="499" applyAlignment="1">
      <alignment horizontal="center" vertical="top" wrapText="1"/>
    </xf>
    <xf numFmtId="0" fontId="107" fillId="67" borderId="93" xfId="499" applyFont="1" applyFill="1" applyBorder="1" applyAlignment="1">
      <alignment horizontal="left" vertical="top" wrapText="1"/>
    </xf>
    <xf numFmtId="0" fontId="107" fillId="67" borderId="94" xfId="499" applyFont="1" applyFill="1" applyBorder="1" applyAlignment="1">
      <alignment horizontal="left" vertical="top" wrapText="1"/>
    </xf>
    <xf numFmtId="0" fontId="107" fillId="68" borderId="95" xfId="499" applyFont="1" applyFill="1" applyBorder="1" applyAlignment="1">
      <alignment horizontal="left" vertical="top" wrapText="1"/>
    </xf>
    <xf numFmtId="1" fontId="107" fillId="68" borderId="95" xfId="499" applyNumberFormat="1" applyFont="1" applyFill="1" applyBorder="1" applyAlignment="1">
      <alignment horizontal="right" vertical="top" wrapText="1"/>
    </xf>
    <xf numFmtId="3" fontId="107" fillId="68" borderId="95" xfId="499" applyNumberFormat="1" applyFont="1" applyFill="1" applyBorder="1" applyAlignment="1">
      <alignment horizontal="right" vertical="top" wrapText="1"/>
    </xf>
    <xf numFmtId="0" fontId="105" fillId="68" borderId="95" xfId="499" applyFill="1" applyBorder="1" applyAlignment="1">
      <alignment horizontal="left" vertical="top" wrapText="1"/>
    </xf>
    <xf numFmtId="0" fontId="105" fillId="68" borderId="95" xfId="499" applyFill="1" applyBorder="1" applyAlignment="1">
      <alignment horizontal="right" vertical="top" wrapText="1"/>
    </xf>
    <xf numFmtId="3" fontId="107" fillId="68" borderId="96" xfId="499" applyNumberFormat="1" applyFont="1" applyFill="1" applyBorder="1" applyAlignment="1">
      <alignment horizontal="right" vertical="top" wrapText="1"/>
    </xf>
    <xf numFmtId="0" fontId="107" fillId="0" borderId="0" xfId="499" applyFont="1" applyAlignment="1">
      <alignment horizontal="left" vertical="top" wrapText="1"/>
    </xf>
    <xf numFmtId="0" fontId="117" fillId="0" borderId="0" xfId="499" applyFont="1" applyAlignment="1">
      <alignment horizontal="center" vertical="top" wrapText="1"/>
    </xf>
    <xf numFmtId="0" fontId="105" fillId="0" borderId="0" xfId="499" applyAlignment="1">
      <alignment horizontal="left" vertical="top" wrapText="1"/>
    </xf>
    <xf numFmtId="0" fontId="110" fillId="0" borderId="83" xfId="497" applyFont="1" applyBorder="1" applyAlignment="1">
      <alignment horizontal="center" vertical="center" wrapText="1"/>
    </xf>
    <xf numFmtId="0" fontId="110" fillId="0" borderId="87" xfId="497" applyFont="1" applyBorder="1" applyAlignment="1">
      <alignment horizontal="left" wrapText="1"/>
    </xf>
    <xf numFmtId="0" fontId="114" fillId="0" borderId="87" xfId="497" applyFont="1" applyBorder="1" applyAlignment="1">
      <alignment horizontal="left" wrapText="1"/>
    </xf>
    <xf numFmtId="0" fontId="114" fillId="0" borderId="78" xfId="497" applyFont="1" applyBorder="1" applyAlignment="1">
      <alignment horizontal="left" wrapText="1"/>
    </xf>
    <xf numFmtId="0" fontId="110" fillId="0" borderId="78" xfId="497" applyFont="1" applyBorder="1" applyAlignment="1">
      <alignment horizontal="left" vertical="center" wrapText="1"/>
    </xf>
    <xf numFmtId="0" fontId="110" fillId="0" borderId="87" xfId="497" applyFont="1" applyBorder="1" applyAlignment="1">
      <alignment horizontal="left" vertical="center" wrapText="1"/>
    </xf>
    <xf numFmtId="0" fontId="110" fillId="0" borderId="0" xfId="498" applyFont="1" applyAlignment="1">
      <alignment horizontal="left"/>
    </xf>
    <xf numFmtId="0" fontId="110" fillId="0" borderId="0" xfId="498" applyFont="1" applyAlignment="1">
      <alignment horizontal="left" vertical="top" wrapText="1"/>
    </xf>
    <xf numFmtId="0" fontId="115" fillId="0" borderId="0" xfId="498" applyFont="1" applyAlignment="1">
      <alignment horizontal="left"/>
    </xf>
    <xf numFmtId="0" fontId="110" fillId="0" borderId="78" xfId="497" applyFont="1" applyBorder="1" applyAlignment="1">
      <alignment vertical="center"/>
    </xf>
    <xf numFmtId="0" fontId="110" fillId="0" borderId="87" xfId="497" applyFont="1" applyBorder="1" applyAlignment="1">
      <alignment vertical="center"/>
    </xf>
    <xf numFmtId="0" fontId="114" fillId="0" borderId="0" xfId="497" applyFont="1" applyAlignment="1">
      <alignment horizontal="left" wrapText="1"/>
    </xf>
    <xf numFmtId="0" fontId="110" fillId="0" borderId="0" xfId="497" applyFont="1" applyAlignment="1">
      <alignment horizontal="left" vertical="center" wrapText="1"/>
    </xf>
    <xf numFmtId="0" fontId="114" fillId="0" borderId="0" xfId="497" applyFont="1" applyAlignment="1">
      <alignment vertical="center"/>
    </xf>
    <xf numFmtId="0" fontId="110" fillId="0" borderId="0" xfId="497" applyFont="1" applyAlignment="1">
      <alignment horizontal="left" wrapText="1"/>
    </xf>
    <xf numFmtId="0" fontId="17" fillId="27" borderId="4" xfId="0" applyFont="1" applyFill="1" applyBorder="1" applyAlignment="1" applyProtection="1">
      <alignment horizontal="center"/>
      <protection locked="0"/>
    </xf>
    <xf numFmtId="0" fontId="17" fillId="0" borderId="104" xfId="0" applyFont="1" applyBorder="1" applyAlignment="1">
      <alignment vertical="center" wrapText="1"/>
    </xf>
    <xf numFmtId="0" fontId="17" fillId="0" borderId="104" xfId="0" applyFont="1" applyBorder="1" applyAlignment="1">
      <alignment horizontal="center" vertical="center" wrapText="1"/>
    </xf>
    <xf numFmtId="177" fontId="17" fillId="0" borderId="104" xfId="57" applyNumberFormat="1" applyFont="1" applyBorder="1" applyAlignment="1" applyProtection="1">
      <alignment horizontal="center" vertical="center"/>
    </xf>
    <xf numFmtId="0" fontId="17" fillId="28" borderId="104" xfId="0" applyFont="1" applyFill="1" applyBorder="1" applyAlignment="1" applyProtection="1">
      <alignment horizontal="center" vertical="center"/>
      <protection locked="0"/>
    </xf>
    <xf numFmtId="0" fontId="18" fillId="0" borderId="89" xfId="0" applyFont="1" applyBorder="1" applyAlignment="1">
      <alignment horizontal="center" vertical="center"/>
    </xf>
    <xf numFmtId="164" fontId="0" fillId="0" borderId="89" xfId="0" applyNumberFormat="1" applyBorder="1"/>
    <xf numFmtId="164" fontId="18" fillId="29" borderId="106" xfId="0" applyNumberFormat="1" applyFont="1" applyFill="1" applyBorder="1" applyProtection="1">
      <protection locked="0"/>
    </xf>
    <xf numFmtId="164" fontId="18" fillId="0" borderId="99" xfId="0" applyNumberFormat="1" applyFont="1" applyBorder="1"/>
    <xf numFmtId="164" fontId="18" fillId="0" borderId="100" xfId="0" applyNumberFormat="1" applyFont="1" applyBorder="1"/>
    <xf numFmtId="164" fontId="18" fillId="26" borderId="107" xfId="0" applyNumberFormat="1" applyFont="1" applyFill="1" applyBorder="1"/>
    <xf numFmtId="164" fontId="18" fillId="26" borderId="106" xfId="0" applyNumberFormat="1" applyFont="1" applyFill="1" applyBorder="1"/>
    <xf numFmtId="164" fontId="18" fillId="29" borderId="107" xfId="0" applyNumberFormat="1" applyFont="1" applyFill="1" applyBorder="1" applyProtection="1">
      <protection locked="0"/>
    </xf>
    <xf numFmtId="164" fontId="18" fillId="26" borderId="108" xfId="0" applyNumberFormat="1" applyFont="1" applyFill="1" applyBorder="1"/>
    <xf numFmtId="164" fontId="18" fillId="0" borderId="106" xfId="0" applyNumberFormat="1" applyFont="1" applyBorder="1" applyProtection="1">
      <protection locked="0"/>
    </xf>
    <xf numFmtId="0" fontId="52" fillId="28" borderId="109" xfId="0" applyFont="1" applyFill="1" applyBorder="1" applyAlignment="1" applyProtection="1">
      <alignment horizontal="center" vertical="center"/>
      <protection locked="0"/>
    </xf>
    <xf numFmtId="164" fontId="0" fillId="0" borderId="100" xfId="0" applyNumberFormat="1" applyBorder="1"/>
    <xf numFmtId="0" fontId="52" fillId="0" borderId="0" xfId="487" applyFont="1"/>
    <xf numFmtId="0" fontId="52" fillId="0" borderId="0" xfId="487" applyFont="1" applyAlignment="1">
      <alignment wrapText="1"/>
    </xf>
    <xf numFmtId="0" fontId="53" fillId="0" borderId="0" xfId="487" applyFont="1"/>
    <xf numFmtId="164" fontId="19" fillId="0" borderId="46" xfId="0" applyNumberFormat="1" applyFont="1" applyBorder="1"/>
    <xf numFmtId="164" fontId="19" fillId="0" borderId="0" xfId="0" applyNumberFormat="1" applyFont="1"/>
    <xf numFmtId="164" fontId="19" fillId="0" borderId="10" xfId="0" applyNumberFormat="1" applyFont="1" applyBorder="1"/>
    <xf numFmtId="164" fontId="19" fillId="0" borderId="9" xfId="0" applyNumberFormat="1" applyFont="1" applyBorder="1"/>
    <xf numFmtId="164" fontId="20" fillId="0" borderId="0" xfId="0" applyNumberFormat="1" applyFont="1"/>
    <xf numFmtId="165" fontId="20" fillId="0" borderId="89" xfId="0" applyNumberFormat="1" applyFont="1" applyBorder="1"/>
    <xf numFmtId="164" fontId="20" fillId="0" borderId="15" xfId="0" applyNumberFormat="1" applyFont="1" applyBorder="1"/>
    <xf numFmtId="164" fontId="20" fillId="0" borderId="10" xfId="0" applyNumberFormat="1" applyFont="1" applyBorder="1"/>
    <xf numFmtId="0" fontId="58" fillId="0" borderId="0" xfId="416" applyFont="1"/>
    <xf numFmtId="164" fontId="20" fillId="0" borderId="0" xfId="0" applyNumberFormat="1" applyFont="1" applyProtection="1">
      <protection locked="0"/>
    </xf>
    <xf numFmtId="0" fontId="17" fillId="0" borderId="75" xfId="0" applyFont="1" applyBorder="1"/>
    <xf numFmtId="0" fontId="17" fillId="0" borderId="75" xfId="0" applyFont="1" applyBorder="1" applyAlignment="1">
      <alignment horizontal="center"/>
    </xf>
    <xf numFmtId="0" fontId="20" fillId="71" borderId="75" xfId="0" applyFont="1" applyFill="1" applyBorder="1" applyAlignment="1">
      <alignment horizontal="left"/>
    </xf>
    <xf numFmtId="0" fontId="20" fillId="71" borderId="43" xfId="0" applyFont="1" applyFill="1" applyBorder="1" applyAlignment="1">
      <alignment horizontal="left" vertical="center" wrapText="1"/>
    </xf>
    <xf numFmtId="0" fontId="20" fillId="71" borderId="43" xfId="0" applyFont="1" applyFill="1" applyBorder="1" applyAlignment="1">
      <alignment horizontal="left" vertical="center" wrapText="1" indent="1"/>
    </xf>
    <xf numFmtId="177" fontId="20" fillId="71" borderId="43" xfId="57" applyNumberFormat="1" applyFont="1" applyFill="1" applyBorder="1" applyAlignment="1" applyProtection="1">
      <alignment horizontal="center" vertical="center"/>
    </xf>
    <xf numFmtId="0" fontId="17" fillId="71" borderId="43" xfId="0" applyFont="1" applyFill="1" applyBorder="1" applyAlignment="1" applyProtection="1">
      <alignment horizontal="center" vertical="center"/>
      <protection locked="0"/>
    </xf>
    <xf numFmtId="164" fontId="18" fillId="73" borderId="20" xfId="0" applyNumberFormat="1" applyFont="1" applyFill="1" applyBorder="1"/>
    <xf numFmtId="164" fontId="18" fillId="66" borderId="110" xfId="0" applyNumberFormat="1" applyFont="1" applyFill="1" applyBorder="1" applyProtection="1">
      <protection locked="0"/>
    </xf>
    <xf numFmtId="0" fontId="52" fillId="28" borderId="111" xfId="0" applyFont="1" applyFill="1" applyBorder="1" applyAlignment="1" applyProtection="1">
      <alignment horizontal="center" vertical="center"/>
      <protection locked="0"/>
    </xf>
    <xf numFmtId="164" fontId="18" fillId="29" borderId="110" xfId="0" applyNumberFormat="1" applyFont="1" applyFill="1" applyBorder="1" applyProtection="1">
      <protection locked="0"/>
    </xf>
    <xf numFmtId="165" fontId="0" fillId="0" borderId="15" xfId="0" applyNumberFormat="1" applyBorder="1"/>
    <xf numFmtId="0" fontId="17" fillId="27" borderId="4" xfId="0" applyFont="1" applyFill="1" applyBorder="1" applyAlignment="1">
      <alignment horizontal="center" vertical="center"/>
    </xf>
    <xf numFmtId="164" fontId="18" fillId="73" borderId="20" xfId="202" applyNumberFormat="1" applyFont="1" applyFill="1" applyBorder="1"/>
    <xf numFmtId="164" fontId="18" fillId="73" borderId="45" xfId="201" applyNumberFormat="1" applyFont="1" applyFill="1" applyBorder="1"/>
    <xf numFmtId="164" fontId="18" fillId="73" borderId="20" xfId="228" applyNumberFormat="1" applyFont="1" applyFill="1" applyBorder="1"/>
    <xf numFmtId="164" fontId="18" fillId="73" borderId="20" xfId="231" applyNumberFormat="1" applyFont="1" applyFill="1" applyBorder="1"/>
    <xf numFmtId="164" fontId="18" fillId="73" borderId="73" xfId="0" applyNumberFormat="1" applyFont="1" applyFill="1" applyBorder="1"/>
    <xf numFmtId="164" fontId="18" fillId="73" borderId="47" xfId="201" applyNumberFormat="1" applyFont="1" applyFill="1" applyBorder="1"/>
    <xf numFmtId="164" fontId="18" fillId="73" borderId="20" xfId="203" applyNumberFormat="1" applyFont="1" applyFill="1" applyBorder="1"/>
    <xf numFmtId="164" fontId="18" fillId="73" borderId="24" xfId="223" applyNumberFormat="1" applyFont="1" applyFill="1" applyBorder="1"/>
    <xf numFmtId="164" fontId="18" fillId="73" borderId="24" xfId="203" applyNumberFormat="1" applyFont="1" applyFill="1" applyBorder="1"/>
    <xf numFmtId="164" fontId="18" fillId="73" borderId="73" xfId="203" applyNumberFormat="1" applyFont="1" applyFill="1" applyBorder="1"/>
    <xf numFmtId="164" fontId="18" fillId="73" borderId="20" xfId="204" applyNumberFormat="1" applyFont="1" applyFill="1" applyBorder="1"/>
    <xf numFmtId="164" fontId="18" fillId="66" borderId="45" xfId="0" applyNumberFormat="1" applyFont="1" applyFill="1" applyBorder="1" applyProtection="1">
      <protection locked="0"/>
    </xf>
    <xf numFmtId="165" fontId="19" fillId="0" borderId="10" xfId="0" applyNumberFormat="1" applyFont="1" applyBorder="1"/>
    <xf numFmtId="165" fontId="19" fillId="0" borderId="89" xfId="0" applyNumberFormat="1" applyFont="1" applyBorder="1"/>
    <xf numFmtId="164" fontId="63" fillId="0" borderId="0" xfId="0" applyNumberFormat="1" applyFont="1"/>
    <xf numFmtId="164" fontId="19" fillId="0" borderId="0" xfId="0" applyNumberFormat="1" applyFont="1" applyProtection="1">
      <protection locked="0"/>
    </xf>
    <xf numFmtId="164" fontId="18" fillId="73" borderId="45" xfId="0" applyNumberFormat="1" applyFont="1" applyFill="1" applyBorder="1"/>
    <xf numFmtId="164" fontId="18" fillId="73" borderId="20" xfId="205" applyNumberFormat="1" applyFont="1" applyFill="1" applyBorder="1"/>
    <xf numFmtId="164" fontId="18" fillId="73" borderId="20" xfId="206" applyNumberFormat="1" applyFont="1" applyFill="1" applyBorder="1"/>
    <xf numFmtId="164" fontId="18" fillId="72" borderId="105" xfId="213" applyNumberFormat="1" applyFont="1" applyFill="1" applyBorder="1"/>
    <xf numFmtId="164" fontId="18" fillId="72" borderId="106" xfId="212" applyNumberFormat="1" applyFont="1" applyFill="1" applyBorder="1"/>
    <xf numFmtId="164" fontId="18" fillId="72" borderId="106" xfId="0" applyNumberFormat="1" applyFont="1" applyFill="1" applyBorder="1"/>
    <xf numFmtId="165" fontId="0" fillId="0" borderId="89" xfId="0" applyNumberFormat="1" applyBorder="1" applyProtection="1">
      <protection locked="0"/>
    </xf>
    <xf numFmtId="164" fontId="18" fillId="29" borderId="112" xfId="0" applyNumberFormat="1" applyFont="1" applyFill="1" applyBorder="1" applyProtection="1">
      <protection locked="0"/>
    </xf>
    <xf numFmtId="165" fontId="0" fillId="0" borderId="30" xfId="0" applyNumberFormat="1" applyBorder="1"/>
    <xf numFmtId="164" fontId="18" fillId="66" borderId="20" xfId="202" applyNumberFormat="1" applyFont="1" applyFill="1" applyBorder="1" applyProtection="1">
      <protection locked="0"/>
    </xf>
    <xf numFmtId="164" fontId="18" fillId="73" borderId="24" xfId="226" applyNumberFormat="1" applyFont="1" applyFill="1" applyBorder="1"/>
    <xf numFmtId="164" fontId="18" fillId="73" borderId="21" xfId="0" applyNumberFormat="1" applyFont="1" applyFill="1" applyBorder="1"/>
    <xf numFmtId="164" fontId="18" fillId="73" borderId="73" xfId="227" applyNumberFormat="1" applyFont="1" applyFill="1" applyBorder="1"/>
    <xf numFmtId="164" fontId="18" fillId="73" borderId="20" xfId="227" applyNumberFormat="1" applyFont="1" applyFill="1" applyBorder="1"/>
    <xf numFmtId="164" fontId="18" fillId="73" borderId="20" xfId="230" applyNumberFormat="1" applyFont="1" applyFill="1" applyBorder="1"/>
    <xf numFmtId="164" fontId="18" fillId="73" borderId="24" xfId="0" applyNumberFormat="1" applyFont="1" applyFill="1" applyBorder="1"/>
    <xf numFmtId="164" fontId="18" fillId="26" borderId="113" xfId="0" applyNumberFormat="1" applyFont="1" applyFill="1" applyBorder="1"/>
    <xf numFmtId="0" fontId="17" fillId="29" borderId="28" xfId="0" applyFont="1" applyFill="1" applyBorder="1" applyAlignment="1" applyProtection="1">
      <alignment horizontal="left" vertical="top" wrapText="1"/>
      <protection locked="0"/>
    </xf>
    <xf numFmtId="164" fontId="17" fillId="0" borderId="0" xfId="0" applyNumberFormat="1" applyFont="1" applyProtection="1">
      <protection locked="0"/>
    </xf>
    <xf numFmtId="164" fontId="17" fillId="0" borderId="10" xfId="0" applyNumberFormat="1" applyFont="1" applyBorder="1"/>
    <xf numFmtId="180" fontId="17" fillId="0" borderId="0" xfId="58" applyNumberFormat="1" applyFont="1" applyBorder="1" applyAlignment="1" applyProtection="1">
      <alignment horizontal="center"/>
    </xf>
    <xf numFmtId="9" fontId="0" fillId="0" borderId="0" xfId="58" applyFont="1"/>
    <xf numFmtId="10" fontId="0" fillId="0" borderId="0" xfId="58" applyNumberFormat="1" applyFont="1"/>
    <xf numFmtId="0" fontId="110" fillId="0" borderId="78" xfId="497" applyFont="1" applyBorder="1" applyAlignment="1">
      <alignment vertical="center" wrapText="1"/>
    </xf>
    <xf numFmtId="0" fontId="110" fillId="0" borderId="87" xfId="497" applyFont="1" applyBorder="1" applyAlignment="1">
      <alignment vertical="center" wrapText="1"/>
    </xf>
    <xf numFmtId="0" fontId="108" fillId="69" borderId="17" xfId="498" applyFont="1" applyFill="1" applyBorder="1" applyAlignment="1">
      <alignment horizontal="center"/>
    </xf>
    <xf numFmtId="0" fontId="108" fillId="69" borderId="31" xfId="498" applyFont="1" applyFill="1" applyBorder="1" applyAlignment="1">
      <alignment horizontal="center"/>
    </xf>
    <xf numFmtId="0" fontId="108" fillId="69" borderId="13" xfId="498" applyFont="1" applyFill="1" applyBorder="1" applyAlignment="1">
      <alignment horizontal="center"/>
    </xf>
    <xf numFmtId="0" fontId="110" fillId="0" borderId="78" xfId="498" applyFont="1" applyBorder="1" applyAlignment="1">
      <alignment horizontal="left" wrapText="1"/>
    </xf>
    <xf numFmtId="0" fontId="110" fillId="0" borderId="0" xfId="498" applyFont="1" applyAlignment="1">
      <alignment horizontal="left" wrapText="1"/>
    </xf>
    <xf numFmtId="0" fontId="110" fillId="0" borderId="89" xfId="498" applyFont="1" applyBorder="1" applyAlignment="1">
      <alignment horizontal="left" wrapText="1"/>
    </xf>
    <xf numFmtId="0" fontId="110" fillId="0" borderId="76" xfId="497" applyFont="1" applyBorder="1" applyAlignment="1">
      <alignment vertical="center"/>
    </xf>
    <xf numFmtId="0" fontId="110" fillId="0" borderId="77" xfId="497" applyFont="1" applyBorder="1" applyAlignment="1">
      <alignment vertical="center"/>
    </xf>
    <xf numFmtId="0" fontId="52" fillId="70" borderId="76" xfId="497" applyFont="1" applyFill="1" applyBorder="1" applyAlignment="1">
      <alignment horizontal="center" vertical="center" wrapText="1"/>
    </xf>
    <xf numFmtId="0" fontId="52" fillId="70" borderId="77" xfId="497" applyFont="1" applyFill="1" applyBorder="1" applyAlignment="1">
      <alignment horizontal="center" vertical="center" wrapText="1"/>
    </xf>
    <xf numFmtId="0" fontId="52" fillId="70" borderId="80" xfId="497" applyFont="1" applyFill="1" applyBorder="1" applyAlignment="1">
      <alignment horizontal="center" vertical="center"/>
    </xf>
    <xf numFmtId="0" fontId="52" fillId="70" borderId="81" xfId="497" applyFont="1" applyFill="1" applyBorder="1" applyAlignment="1">
      <alignment horizontal="center" vertical="center"/>
    </xf>
    <xf numFmtId="0" fontId="110" fillId="0" borderId="78" xfId="497" applyFont="1" applyBorder="1" applyAlignment="1">
      <alignment vertical="center"/>
    </xf>
    <xf numFmtId="0" fontId="110" fillId="0" borderId="87" xfId="497" applyFont="1" applyBorder="1" applyAlignment="1">
      <alignment vertical="center"/>
    </xf>
    <xf numFmtId="0" fontId="110" fillId="0" borderId="78" xfId="497" applyFont="1" applyBorder="1" applyAlignment="1">
      <alignment horizontal="left" vertical="center" wrapText="1"/>
    </xf>
    <xf numFmtId="0" fontId="110" fillId="0" borderId="87" xfId="497" applyFont="1" applyBorder="1" applyAlignment="1">
      <alignment horizontal="left" vertical="center" wrapText="1"/>
    </xf>
    <xf numFmtId="0" fontId="111" fillId="0" borderId="78" xfId="497" applyFont="1" applyBorder="1" applyAlignment="1">
      <alignment horizontal="left" vertical="center"/>
    </xf>
    <xf numFmtId="0" fontId="111" fillId="0" borderId="87" xfId="497" applyFont="1" applyBorder="1" applyAlignment="1">
      <alignment horizontal="left" vertical="center"/>
    </xf>
    <xf numFmtId="0" fontId="114" fillId="0" borderId="78" xfId="497" applyFont="1" applyBorder="1" applyAlignment="1">
      <alignment horizontal="left" wrapText="1"/>
    </xf>
    <xf numFmtId="0" fontId="114" fillId="0" borderId="87" xfId="497" applyFont="1" applyBorder="1" applyAlignment="1">
      <alignment horizontal="left" wrapText="1"/>
    </xf>
    <xf numFmtId="0" fontId="110" fillId="0" borderId="76" xfId="497" applyFont="1" applyBorder="1" applyAlignment="1">
      <alignment horizontal="center" vertical="center" wrapText="1"/>
    </xf>
    <xf numFmtId="0" fontId="110" fillId="0" borderId="77" xfId="497" applyFont="1" applyBorder="1" applyAlignment="1">
      <alignment horizontal="center" vertical="center" wrapText="1"/>
    </xf>
    <xf numFmtId="0" fontId="110" fillId="0" borderId="88" xfId="497" applyFont="1" applyBorder="1" applyAlignment="1">
      <alignment horizontal="center" vertical="center" wrapText="1"/>
    </xf>
    <xf numFmtId="0" fontId="110" fillId="0" borderId="79" xfId="497" applyFont="1" applyBorder="1" applyAlignment="1">
      <alignment horizontal="center" vertical="center" wrapText="1"/>
    </xf>
    <xf numFmtId="0" fontId="110" fillId="0" borderId="76" xfId="497" applyFont="1" applyBorder="1" applyAlignment="1">
      <alignment horizontal="left" vertical="center" wrapText="1"/>
    </xf>
    <xf numFmtId="0" fontId="110" fillId="0" borderId="77" xfId="497" applyFont="1" applyBorder="1" applyAlignment="1">
      <alignment horizontal="left" vertical="center" wrapText="1"/>
    </xf>
    <xf numFmtId="0" fontId="110" fillId="0" borderId="88" xfId="497" applyFont="1" applyBorder="1" applyAlignment="1">
      <alignment vertical="center"/>
    </xf>
    <xf numFmtId="0" fontId="110" fillId="0" borderId="79" xfId="497" applyFont="1" applyBorder="1" applyAlignment="1">
      <alignment vertical="center"/>
    </xf>
    <xf numFmtId="0" fontId="110" fillId="0" borderId="78" xfId="497" applyFont="1" applyBorder="1" applyAlignment="1">
      <alignment horizontal="center" vertical="center" wrapText="1"/>
    </xf>
    <xf numFmtId="0" fontId="110" fillId="0" borderId="87" xfId="497" applyFont="1" applyBorder="1" applyAlignment="1">
      <alignment horizontal="center" vertical="center" wrapText="1"/>
    </xf>
    <xf numFmtId="0" fontId="110" fillId="0" borderId="78" xfId="497" applyFont="1" applyBorder="1" applyAlignment="1">
      <alignment horizontal="left" wrapText="1"/>
    </xf>
    <xf numFmtId="0" fontId="110" fillId="0" borderId="87" xfId="497" applyFont="1" applyBorder="1" applyAlignment="1">
      <alignment horizontal="left" wrapText="1"/>
    </xf>
    <xf numFmtId="0" fontId="110" fillId="0" borderId="0" xfId="497" applyFont="1" applyAlignment="1">
      <alignment horizontal="left" wrapText="1"/>
    </xf>
    <xf numFmtId="0" fontId="114" fillId="0" borderId="0" xfId="497" applyFont="1" applyAlignment="1">
      <alignment horizontal="left" wrapText="1"/>
    </xf>
    <xf numFmtId="0" fontId="110" fillId="0" borderId="42" xfId="497" applyFont="1" applyBorder="1" applyAlignment="1">
      <alignment horizontal="center" vertical="center" wrapText="1"/>
    </xf>
    <xf numFmtId="0" fontId="110" fillId="0" borderId="83" xfId="497" applyFont="1" applyBorder="1" applyAlignment="1">
      <alignment horizontal="center" vertical="center" wrapText="1"/>
    </xf>
    <xf numFmtId="0" fontId="110" fillId="0" borderId="43" xfId="497" applyFont="1" applyBorder="1" applyAlignment="1">
      <alignment horizontal="center" vertical="center" wrapText="1"/>
    </xf>
    <xf numFmtId="0" fontId="110" fillId="0" borderId="82" xfId="497" applyFont="1" applyBorder="1" applyAlignment="1">
      <alignment horizontal="left" wrapText="1"/>
    </xf>
    <xf numFmtId="0" fontId="110" fillId="0" borderId="77" xfId="497" applyFont="1" applyBorder="1" applyAlignment="1">
      <alignment horizontal="left" wrapText="1"/>
    </xf>
    <xf numFmtId="0" fontId="114" fillId="0" borderId="82" xfId="497" applyFont="1" applyBorder="1" applyAlignment="1">
      <alignment horizontal="left" wrapText="1"/>
    </xf>
    <xf numFmtId="0" fontId="114" fillId="0" borderId="77" xfId="497" applyFont="1" applyBorder="1" applyAlignment="1">
      <alignment horizontal="left" wrapText="1"/>
    </xf>
    <xf numFmtId="0" fontId="111" fillId="0" borderId="78" xfId="497" applyFont="1" applyBorder="1" applyAlignment="1">
      <alignment vertical="center"/>
    </xf>
    <xf numFmtId="0" fontId="111" fillId="0" borderId="87" xfId="497" applyFont="1" applyBorder="1" applyAlignment="1">
      <alignment vertical="center"/>
    </xf>
    <xf numFmtId="0" fontId="53" fillId="29" borderId="39" xfId="183" applyFont="1" applyFill="1" applyBorder="1" applyAlignment="1" applyProtection="1">
      <alignment horizontal="left" vertical="center"/>
      <protection locked="0"/>
    </xf>
    <xf numFmtId="0" fontId="53" fillId="29" borderId="40" xfId="183" applyFont="1" applyFill="1" applyBorder="1" applyAlignment="1" applyProtection="1">
      <alignment horizontal="left" vertical="center"/>
      <protection locked="0"/>
    </xf>
    <xf numFmtId="0" fontId="53" fillId="29" borderId="41" xfId="183" applyFont="1" applyFill="1" applyBorder="1" applyAlignment="1" applyProtection="1">
      <alignment horizontal="left" vertical="center"/>
      <protection locked="0"/>
    </xf>
    <xf numFmtId="0" fontId="53" fillId="28" borderId="39" xfId="59" applyFont="1" applyFill="1" applyBorder="1" applyAlignment="1" applyProtection="1">
      <alignment horizontal="left" vertical="center" wrapText="1"/>
      <protection locked="0"/>
    </xf>
    <xf numFmtId="0" fontId="53" fillId="28" borderId="40" xfId="59" applyFont="1" applyFill="1" applyBorder="1" applyAlignment="1" applyProtection="1">
      <alignment horizontal="left" vertical="center" wrapText="1"/>
      <protection locked="0"/>
    </xf>
    <xf numFmtId="0" fontId="53" fillId="28" borderId="41" xfId="59" applyFont="1" applyFill="1" applyBorder="1" applyAlignment="1" applyProtection="1">
      <alignment horizontal="left" vertical="center" wrapText="1"/>
      <protection locked="0"/>
    </xf>
    <xf numFmtId="0" fontId="54" fillId="29" borderId="39" xfId="59" applyFont="1" applyFill="1" applyBorder="1" applyAlignment="1" applyProtection="1">
      <alignment horizontal="left" vertical="center"/>
      <protection locked="0"/>
    </xf>
    <xf numFmtId="0" fontId="54" fillId="29" borderId="40" xfId="59" applyFont="1" applyFill="1" applyBorder="1" applyAlignment="1" applyProtection="1">
      <alignment horizontal="left" vertical="center"/>
      <protection locked="0"/>
    </xf>
    <xf numFmtId="0" fontId="54" fillId="29" borderId="41" xfId="59" applyFont="1" applyFill="1" applyBorder="1" applyAlignment="1" applyProtection="1">
      <alignment horizontal="left" vertical="center"/>
      <protection locked="0"/>
    </xf>
    <xf numFmtId="0" fontId="17" fillId="0" borderId="46"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53" fillId="0" borderId="0" xfId="59" applyFont="1" applyAlignment="1">
      <alignment horizontal="left" wrapText="1"/>
    </xf>
    <xf numFmtId="0" fontId="53" fillId="0" borderId="0" xfId="59" applyFont="1" applyAlignment="1">
      <alignment horizontal="left" vertical="top" wrapText="1"/>
    </xf>
    <xf numFmtId="0" fontId="53" fillId="0" borderId="0" xfId="59" applyFont="1" applyAlignment="1">
      <alignment wrapText="1"/>
    </xf>
    <xf numFmtId="0" fontId="16" fillId="0" borderId="0" xfId="59" applyAlignment="1">
      <alignment horizontal="left"/>
    </xf>
    <xf numFmtId="0" fontId="17" fillId="0" borderId="9" xfId="59" applyFont="1" applyBorder="1" applyAlignment="1">
      <alignment horizontal="left" vertical="top" wrapText="1"/>
    </xf>
    <xf numFmtId="0" fontId="17" fillId="0" borderId="0" xfId="59" applyFont="1" applyAlignment="1">
      <alignment horizontal="left" vertical="top" wrapText="1"/>
    </xf>
    <xf numFmtId="0" fontId="17" fillId="0" borderId="0" xfId="59" applyFont="1" applyAlignment="1">
      <alignment horizontal="left" wrapText="1"/>
    </xf>
    <xf numFmtId="0" fontId="16" fillId="0" borderId="0" xfId="59" applyAlignment="1">
      <alignment horizontal="left" wrapText="1"/>
    </xf>
    <xf numFmtId="0" fontId="16" fillId="0" borderId="0" xfId="59" applyAlignment="1">
      <alignment horizontal="left" vertical="top" wrapText="1"/>
    </xf>
    <xf numFmtId="0" fontId="53" fillId="0" borderId="89" xfId="59" applyFont="1" applyBorder="1" applyAlignment="1">
      <alignment wrapText="1"/>
    </xf>
    <xf numFmtId="0" fontId="53" fillId="0" borderId="0" xfId="59" applyFont="1" applyAlignment="1">
      <alignment horizontal="left" wrapText="1" indent="4"/>
    </xf>
    <xf numFmtId="0" fontId="0" fillId="0" borderId="0" xfId="0" applyAlignment="1">
      <alignment horizontal="left" wrapText="1" indent="4"/>
    </xf>
    <xf numFmtId="0" fontId="53" fillId="28" borderId="37" xfId="59" applyFont="1" applyFill="1" applyBorder="1" applyAlignment="1" applyProtection="1">
      <alignment horizontal="center" vertical="center"/>
      <protection locked="0"/>
    </xf>
    <xf numFmtId="0" fontId="53" fillId="28" borderId="15" xfId="59" applyFont="1" applyFill="1" applyBorder="1" applyAlignment="1" applyProtection="1">
      <alignment horizontal="center" vertical="center"/>
      <protection locked="0"/>
    </xf>
    <xf numFmtId="0" fontId="53" fillId="28" borderId="27" xfId="59" applyFont="1" applyFill="1" applyBorder="1" applyAlignment="1" applyProtection="1">
      <alignment horizontal="center" vertical="center"/>
      <protection locked="0"/>
    </xf>
    <xf numFmtId="0" fontId="0" fillId="0" borderId="0" xfId="0" applyAlignment="1">
      <alignment wrapText="1"/>
    </xf>
    <xf numFmtId="0" fontId="52" fillId="0" borderId="0" xfId="59" applyFont="1" applyAlignment="1">
      <alignment wrapText="1"/>
    </xf>
    <xf numFmtId="0" fontId="17" fillId="0" borderId="0" xfId="298" applyAlignment="1">
      <alignment horizontal="left" vertical="top" wrapText="1"/>
    </xf>
    <xf numFmtId="165" fontId="31" fillId="0" borderId="30" xfId="0" applyNumberFormat="1" applyFont="1" applyBorder="1" applyAlignment="1">
      <alignment horizontal="center" vertical="center" wrapText="1"/>
    </xf>
    <xf numFmtId="165" fontId="31" fillId="0" borderId="0" xfId="0" applyNumberFormat="1" applyFont="1" applyAlignment="1">
      <alignment horizontal="center" vertical="center" wrapText="1"/>
    </xf>
    <xf numFmtId="165" fontId="31" fillId="0" borderId="34" xfId="0" applyNumberFormat="1" applyFont="1" applyBorder="1" applyAlignment="1">
      <alignment horizontal="center" vertical="center" wrapText="1"/>
    </xf>
    <xf numFmtId="165" fontId="31" fillId="0" borderId="74" xfId="0" applyNumberFormat="1" applyFont="1" applyBorder="1" applyAlignment="1">
      <alignment horizontal="center" vertical="center" wrapText="1"/>
    </xf>
    <xf numFmtId="165" fontId="31" fillId="0" borderId="35" xfId="0" applyNumberFormat="1" applyFont="1" applyBorder="1" applyAlignment="1">
      <alignment horizontal="center" vertical="center" wrapText="1"/>
    </xf>
    <xf numFmtId="165" fontId="31" fillId="0" borderId="10" xfId="0" applyNumberFormat="1" applyFont="1" applyBorder="1" applyAlignment="1">
      <alignment horizontal="center" vertical="center" wrapText="1"/>
    </xf>
    <xf numFmtId="165" fontId="31" fillId="0" borderId="36" xfId="0" applyNumberFormat="1" applyFont="1" applyBorder="1" applyAlignment="1">
      <alignment horizontal="center" vertical="center" wrapText="1"/>
    </xf>
    <xf numFmtId="165" fontId="31" fillId="66" borderId="0" xfId="0" applyNumberFormat="1" applyFont="1" applyFill="1" applyAlignment="1">
      <alignment horizontal="center" vertical="center" wrapText="1"/>
    </xf>
    <xf numFmtId="165" fontId="31" fillId="66" borderId="34" xfId="0" applyNumberFormat="1" applyFont="1" applyFill="1" applyBorder="1" applyAlignment="1">
      <alignment horizontal="center" vertical="center" wrapText="1"/>
    </xf>
    <xf numFmtId="165" fontId="29" fillId="66" borderId="0" xfId="0" applyNumberFormat="1" applyFont="1" applyFill="1" applyAlignment="1">
      <alignment horizontal="center" vertical="center" wrapText="1"/>
    </xf>
    <xf numFmtId="165" fontId="29" fillId="66" borderId="34" xfId="0" applyNumberFormat="1" applyFont="1" applyFill="1" applyBorder="1" applyAlignment="1">
      <alignment horizontal="center" vertical="center" wrapText="1"/>
    </xf>
    <xf numFmtId="165" fontId="29" fillId="0" borderId="0" xfId="0" applyNumberFormat="1" applyFont="1" applyAlignment="1">
      <alignment horizontal="center" vertical="center" wrapText="1"/>
    </xf>
    <xf numFmtId="165" fontId="29" fillId="0" borderId="34" xfId="0" applyNumberFormat="1" applyFont="1" applyBorder="1" applyAlignment="1">
      <alignment horizontal="center" vertical="center" wrapText="1"/>
    </xf>
    <xf numFmtId="165" fontId="31" fillId="0" borderId="32" xfId="0" applyNumberFormat="1" applyFont="1" applyBorder="1" applyAlignment="1">
      <alignment horizontal="center" vertical="center" wrapText="1"/>
    </xf>
    <xf numFmtId="165" fontId="31" fillId="0" borderId="46" xfId="0" applyNumberFormat="1" applyFont="1" applyBorder="1" applyAlignment="1">
      <alignment horizontal="center" vertical="center" wrapText="1"/>
    </xf>
    <xf numFmtId="165" fontId="31" fillId="0" borderId="33" xfId="0" applyNumberFormat="1" applyFont="1" applyBorder="1" applyAlignment="1">
      <alignment horizontal="center" vertical="center" wrapText="1"/>
    </xf>
    <xf numFmtId="165" fontId="31" fillId="0" borderId="37" xfId="0" applyNumberFormat="1" applyFont="1" applyBorder="1" applyAlignment="1">
      <alignment horizontal="center" vertical="center" wrapText="1"/>
    </xf>
    <xf numFmtId="165" fontId="31" fillId="0" borderId="15" xfId="0" applyNumberFormat="1" applyFont="1" applyBorder="1" applyAlignment="1">
      <alignment horizontal="center" vertical="center" wrapText="1"/>
    </xf>
    <xf numFmtId="165" fontId="31" fillId="0" borderId="38" xfId="0" applyNumberFormat="1" applyFont="1" applyBorder="1" applyAlignment="1">
      <alignment horizontal="center" vertical="center" wrapText="1"/>
    </xf>
    <xf numFmtId="0" fontId="19" fillId="0" borderId="0" xfId="298" applyFont="1" applyAlignment="1">
      <alignment horizontal="left" vertical="top" wrapText="1"/>
    </xf>
    <xf numFmtId="0" fontId="47" fillId="0" borderId="32" xfId="0" applyFont="1" applyBorder="1" applyAlignment="1">
      <alignment horizontal="left" vertical="center"/>
    </xf>
    <xf numFmtId="0" fontId="47" fillId="0" borderId="46" xfId="0" applyFont="1" applyBorder="1" applyAlignment="1">
      <alignment horizontal="left" vertical="center"/>
    </xf>
    <xf numFmtId="0" fontId="31" fillId="0" borderId="35" xfId="0" applyFont="1" applyBorder="1" applyAlignment="1">
      <alignment horizontal="center" vertical="center" wrapText="1"/>
    </xf>
    <xf numFmtId="0" fontId="31" fillId="0" borderId="10" xfId="0" applyFont="1" applyBorder="1" applyAlignment="1">
      <alignment horizontal="center" vertical="center" wrapText="1"/>
    </xf>
    <xf numFmtId="165" fontId="31" fillId="66" borderId="46" xfId="0" applyNumberFormat="1" applyFont="1" applyFill="1" applyBorder="1" applyAlignment="1">
      <alignment horizontal="center" vertical="center" wrapText="1"/>
    </xf>
    <xf numFmtId="165" fontId="31" fillId="66" borderId="33" xfId="0" applyNumberFormat="1" applyFont="1" applyFill="1" applyBorder="1" applyAlignment="1">
      <alignment horizontal="center" vertical="center" wrapText="1"/>
    </xf>
    <xf numFmtId="0" fontId="118" fillId="0" borderId="17" xfId="0" applyFont="1" applyBorder="1" applyAlignment="1">
      <alignment horizontal="center"/>
    </xf>
    <xf numFmtId="0" fontId="118" fillId="0" borderId="31" xfId="0" applyFont="1" applyBorder="1" applyAlignment="1">
      <alignment horizontal="center"/>
    </xf>
    <xf numFmtId="0" fontId="118" fillId="0" borderId="13" xfId="0" applyFont="1" applyBorder="1" applyAlignment="1">
      <alignment horizontal="center"/>
    </xf>
    <xf numFmtId="0" fontId="28" fillId="0" borderId="17" xfId="0" applyFont="1" applyBorder="1" applyAlignment="1">
      <alignment horizontal="center" vertical="center"/>
    </xf>
    <xf numFmtId="0" fontId="28" fillId="0" borderId="31" xfId="0" applyFont="1" applyBorder="1" applyAlignment="1">
      <alignment horizontal="center" vertical="center"/>
    </xf>
    <xf numFmtId="0" fontId="28" fillId="0" borderId="13" xfId="0" applyFont="1" applyBorder="1" applyAlignment="1">
      <alignment horizontal="center" vertical="center"/>
    </xf>
    <xf numFmtId="0" fontId="28" fillId="0" borderId="17" xfId="0" applyFont="1" applyBorder="1" applyAlignment="1" applyProtection="1">
      <alignment horizontal="center" vertical="center"/>
      <protection locked="0"/>
    </xf>
    <xf numFmtId="0" fontId="28" fillId="0" borderId="31" xfId="0" applyFont="1" applyBorder="1" applyAlignment="1" applyProtection="1">
      <alignment horizontal="center" vertical="center"/>
      <protection locked="0"/>
    </xf>
    <xf numFmtId="0" fontId="28" fillId="0" borderId="13" xfId="0" applyFont="1" applyBorder="1" applyAlignment="1" applyProtection="1">
      <alignment horizontal="center" vertical="center"/>
      <protection locked="0"/>
    </xf>
    <xf numFmtId="0" fontId="30" fillId="0" borderId="17" xfId="0" applyFont="1" applyBorder="1" applyAlignment="1">
      <alignment horizontal="center"/>
    </xf>
    <xf numFmtId="0" fontId="30" fillId="0" borderId="31" xfId="0" applyFont="1" applyBorder="1" applyAlignment="1">
      <alignment horizontal="center"/>
    </xf>
    <xf numFmtId="0" fontId="30" fillId="0" borderId="13" xfId="0" applyFont="1" applyBorder="1" applyAlignment="1">
      <alignment horizontal="center"/>
    </xf>
    <xf numFmtId="164" fontId="31" fillId="0" borderId="35" xfId="0" applyNumberFormat="1" applyFont="1" applyBorder="1" applyAlignment="1">
      <alignment horizontal="center" vertical="center" wrapText="1"/>
    </xf>
    <xf numFmtId="164" fontId="31" fillId="0" borderId="10" xfId="0" applyNumberFormat="1" applyFont="1" applyBorder="1" applyAlignment="1">
      <alignment horizontal="center" vertical="center" wrapText="1"/>
    </xf>
    <xf numFmtId="164" fontId="31" fillId="0" borderId="36" xfId="0" applyNumberFormat="1" applyFont="1" applyBorder="1" applyAlignment="1">
      <alignment horizontal="center" vertical="center" wrapText="1"/>
    </xf>
    <xf numFmtId="0" fontId="23" fillId="0" borderId="32" xfId="0" applyFont="1" applyBorder="1" applyAlignment="1">
      <alignment horizontal="left" vertical="top" wrapText="1"/>
    </xf>
    <xf numFmtId="0" fontId="23" fillId="0" borderId="30" xfId="0" applyFont="1" applyBorder="1" applyAlignment="1">
      <alignment horizontal="left" vertical="top" wrapText="1"/>
    </xf>
    <xf numFmtId="0" fontId="23" fillId="0" borderId="35" xfId="0" applyFont="1" applyBorder="1" applyAlignment="1">
      <alignment horizontal="left" vertical="top" wrapText="1"/>
    </xf>
    <xf numFmtId="0" fontId="23" fillId="0" borderId="101" xfId="0" applyFont="1" applyBorder="1" applyAlignment="1">
      <alignment horizontal="left" vertical="top" wrapText="1"/>
    </xf>
    <xf numFmtId="0" fontId="23" fillId="0" borderId="99" xfId="0" applyFont="1" applyBorder="1" applyAlignment="1">
      <alignment horizontal="left" vertical="top" wrapText="1"/>
    </xf>
    <xf numFmtId="0" fontId="23" fillId="0" borderId="100" xfId="0" applyFont="1" applyBorder="1" applyAlignment="1">
      <alignment horizontal="left" vertical="top" wrapText="1"/>
    </xf>
    <xf numFmtId="0" fontId="31" fillId="0" borderId="36" xfId="0" applyFont="1" applyBorder="1" applyAlignment="1">
      <alignment horizontal="center" vertical="center" wrapText="1"/>
    </xf>
    <xf numFmtId="0" fontId="47" fillId="0" borderId="32" xfId="0" applyFont="1" applyBorder="1" applyAlignment="1">
      <alignment horizontal="left" vertical="center" wrapText="1"/>
    </xf>
    <xf numFmtId="0" fontId="47" fillId="0" borderId="9" xfId="0" applyFont="1" applyBorder="1" applyAlignment="1">
      <alignment horizontal="left" vertical="center" wrapText="1"/>
    </xf>
    <xf numFmtId="0" fontId="47" fillId="0" borderId="33" xfId="0" applyFont="1" applyBorder="1" applyAlignment="1">
      <alignment horizontal="left" vertical="center" wrapText="1"/>
    </xf>
    <xf numFmtId="0" fontId="20" fillId="0" borderId="0" xfId="0" applyFont="1" applyAlignment="1">
      <alignment horizontal="left" vertical="top" wrapText="1"/>
    </xf>
    <xf numFmtId="0" fontId="17" fillId="0" borderId="0" xfId="0" applyFont="1" applyAlignment="1">
      <alignment horizontal="left" vertical="top" wrapText="1"/>
    </xf>
    <xf numFmtId="177" fontId="20" fillId="27" borderId="4" xfId="69" applyNumberFormat="1" applyFont="1" applyFill="1" applyBorder="1" applyAlignment="1">
      <alignment horizontal="center" vertical="center"/>
    </xf>
    <xf numFmtId="177" fontId="20" fillId="27" borderId="4" xfId="69" applyNumberFormat="1" applyFont="1" applyFill="1" applyBorder="1" applyAlignment="1">
      <alignment horizontal="center" vertical="center" wrapText="1"/>
    </xf>
    <xf numFmtId="10" fontId="20" fillId="27" borderId="4" xfId="69" applyNumberFormat="1" applyFont="1" applyFill="1" applyBorder="1" applyAlignment="1">
      <alignment horizontal="center" vertical="center" wrapText="1"/>
    </xf>
    <xf numFmtId="177" fontId="20" fillId="64" borderId="4" xfId="69" applyNumberFormat="1" applyFont="1" applyFill="1" applyBorder="1" applyAlignment="1">
      <alignment horizontal="center" vertical="center" wrapText="1"/>
    </xf>
    <xf numFmtId="0" fontId="17" fillId="0" borderId="4" xfId="0" applyFont="1" applyBorder="1" applyAlignment="1">
      <alignment horizontal="center" vertical="center"/>
    </xf>
    <xf numFmtId="10" fontId="20" fillId="27" borderId="42" xfId="69" applyNumberFormat="1" applyFont="1" applyFill="1" applyBorder="1" applyAlignment="1">
      <alignment horizontal="center" vertical="center" wrapText="1"/>
    </xf>
    <xf numFmtId="10" fontId="20" fillId="27" borderId="43" xfId="69" applyNumberFormat="1" applyFont="1" applyFill="1" applyBorder="1" applyAlignment="1">
      <alignment horizontal="center" vertical="center" wrapText="1"/>
    </xf>
    <xf numFmtId="0" fontId="50" fillId="27" borderId="42" xfId="0" applyFont="1" applyFill="1" applyBorder="1" applyAlignment="1">
      <alignment horizontal="center" vertical="center" wrapText="1"/>
    </xf>
    <xf numFmtId="0" fontId="50" fillId="0" borderId="43" xfId="0" applyFont="1" applyBorder="1" applyAlignment="1">
      <alignment wrapText="1"/>
    </xf>
    <xf numFmtId="0" fontId="20" fillId="27" borderId="4" xfId="69" applyFont="1" applyFill="1" applyBorder="1" applyAlignment="1">
      <alignment horizontal="center" vertical="center" wrapText="1"/>
    </xf>
    <xf numFmtId="0" fontId="17" fillId="0" borderId="0" xfId="0" applyFont="1" applyAlignment="1">
      <alignment horizontal="left" wrapText="1"/>
    </xf>
    <xf numFmtId="0" fontId="17" fillId="0" borderId="4" xfId="0" quotePrefix="1" applyFont="1" applyBorder="1" applyAlignment="1">
      <alignment horizontal="center" vertical="center"/>
    </xf>
    <xf numFmtId="0" fontId="0" fillId="0" borderId="4" xfId="0" applyBorder="1" applyAlignment="1">
      <alignment horizontal="center" vertical="center"/>
    </xf>
    <xf numFmtId="0" fontId="59" fillId="0" borderId="0" xfId="0" applyFont="1" applyAlignment="1">
      <alignment horizontal="left" vertical="top" wrapText="1"/>
    </xf>
    <xf numFmtId="0" fontId="20" fillId="27" borderId="4" xfId="69" applyFont="1" applyFill="1" applyBorder="1" applyAlignment="1">
      <alignment horizontal="center" vertical="center"/>
    </xf>
    <xf numFmtId="0" fontId="20" fillId="0" borderId="4" xfId="69" applyFont="1" applyBorder="1" applyAlignment="1">
      <alignment horizontal="center" vertical="center" wrapText="1"/>
    </xf>
    <xf numFmtId="0" fontId="20" fillId="0" borderId="4" xfId="69" applyFont="1" applyBorder="1" applyAlignment="1">
      <alignment horizontal="center" vertical="center"/>
    </xf>
    <xf numFmtId="0" fontId="20" fillId="71" borderId="4" xfId="0" applyFont="1" applyFill="1" applyBorder="1" applyAlignment="1">
      <alignment horizontal="left" vertical="center" wrapText="1" indent="1"/>
    </xf>
    <xf numFmtId="0" fontId="20" fillId="64" borderId="4" xfId="0" applyFont="1" applyFill="1" applyBorder="1" applyAlignment="1">
      <alignment horizontal="right" vertical="center" wrapText="1" indent="1"/>
    </xf>
    <xf numFmtId="0" fontId="17" fillId="0" borderId="4" xfId="0" applyFont="1" applyBorder="1" applyAlignment="1">
      <alignment horizontal="right" vertical="center" wrapText="1" indent="1"/>
    </xf>
    <xf numFmtId="0" fontId="20" fillId="0" borderId="4" xfId="0" applyFont="1" applyBorder="1" applyAlignment="1">
      <alignment horizontal="right" vertical="center" wrapText="1" indent="1"/>
    </xf>
    <xf numFmtId="178" fontId="0" fillId="29" borderId="80" xfId="490" applyNumberFormat="1" applyFont="1" applyFill="1" applyBorder="1" applyAlignment="1" applyProtection="1">
      <protection locked="0"/>
    </xf>
    <xf numFmtId="0" fontId="5" fillId="0" borderId="81" xfId="487" applyBorder="1" applyProtection="1">
      <protection locked="0"/>
    </xf>
    <xf numFmtId="178" fontId="0" fillId="29" borderId="4" xfId="490" applyNumberFormat="1" applyFont="1" applyFill="1" applyBorder="1" applyAlignment="1" applyProtection="1">
      <protection locked="0"/>
    </xf>
    <xf numFmtId="0" fontId="5" fillId="0" borderId="4" xfId="487" applyBorder="1" applyProtection="1">
      <protection locked="0"/>
    </xf>
    <xf numFmtId="0" fontId="50" fillId="0" borderId="4" xfId="487" applyFont="1" applyBorder="1" applyAlignment="1">
      <alignment horizontal="center"/>
    </xf>
    <xf numFmtId="0" fontId="5" fillId="0" borderId="4" xfId="487" applyBorder="1" applyAlignment="1">
      <alignment horizontal="center"/>
    </xf>
    <xf numFmtId="0" fontId="5" fillId="0" borderId="80" xfId="487" applyBorder="1" applyAlignment="1">
      <alignment horizontal="center"/>
    </xf>
    <xf numFmtId="0" fontId="5" fillId="0" borderId="81" xfId="487" applyBorder="1"/>
    <xf numFmtId="0" fontId="50" fillId="0" borderId="42" xfId="487" applyFont="1" applyBorder="1" applyAlignment="1">
      <alignment horizontal="center"/>
    </xf>
    <xf numFmtId="0" fontId="50" fillId="0" borderId="43" xfId="487" applyFont="1" applyBorder="1" applyAlignment="1">
      <alignment horizontal="center"/>
    </xf>
    <xf numFmtId="0" fontId="50" fillId="0" borderId="80" xfId="487" applyFont="1" applyBorder="1" applyAlignment="1">
      <alignment horizontal="center"/>
    </xf>
    <xf numFmtId="0" fontId="5" fillId="0" borderId="81" xfId="487" applyBorder="1" applyAlignment="1">
      <alignment horizontal="center"/>
    </xf>
    <xf numFmtId="0" fontId="52" fillId="0" borderId="78" xfId="487" applyFont="1" applyBorder="1" applyAlignment="1">
      <alignment horizontal="left" vertical="center" wrapText="1" indent="1"/>
    </xf>
    <xf numFmtId="0" fontId="52" fillId="0" borderId="0" xfId="487" applyFont="1" applyAlignment="1">
      <alignment horizontal="left" vertical="center" wrapText="1" indent="1"/>
    </xf>
    <xf numFmtId="0" fontId="52" fillId="0" borderId="0" xfId="487" applyFont="1" applyAlignment="1">
      <alignment horizontal="left" vertical="center" wrapText="1"/>
    </xf>
    <xf numFmtId="0" fontId="5" fillId="0" borderId="0" xfId="487" applyAlignment="1">
      <alignment horizontal="left" vertical="center" wrapText="1"/>
    </xf>
    <xf numFmtId="0" fontId="5" fillId="0" borderId="87" xfId="487" applyBorder="1" applyAlignment="1">
      <alignment horizontal="left" vertical="center" wrapText="1"/>
    </xf>
    <xf numFmtId="0" fontId="52" fillId="0" borderId="4" xfId="487" applyFont="1" applyBorder="1" applyAlignment="1">
      <alignment horizontal="center" wrapText="1"/>
    </xf>
    <xf numFmtId="0" fontId="52" fillId="0" borderId="0" xfId="486" applyFont="1" applyAlignment="1">
      <alignment horizontal="left" wrapText="1"/>
    </xf>
    <xf numFmtId="0" fontId="5" fillId="0" borderId="0" xfId="486" applyAlignment="1">
      <alignment wrapText="1"/>
    </xf>
    <xf numFmtId="0" fontId="52" fillId="0" borderId="78" xfId="486" applyFont="1" applyBorder="1" applyAlignment="1">
      <alignment horizontal="left" vertical="center" wrapText="1" indent="1"/>
    </xf>
    <xf numFmtId="0" fontId="52" fillId="0" borderId="0" xfId="486" applyFont="1" applyAlignment="1">
      <alignment horizontal="left" vertical="center" wrapText="1" indent="1"/>
    </xf>
    <xf numFmtId="0" fontId="52" fillId="0" borderId="0" xfId="486" applyFont="1" applyAlignment="1">
      <alignment horizontal="left"/>
    </xf>
    <xf numFmtId="0" fontId="52" fillId="0" borderId="75" xfId="486" applyFont="1" applyBorder="1" applyAlignment="1">
      <alignment horizontal="left" wrapText="1"/>
    </xf>
    <xf numFmtId="0" fontId="87" fillId="0" borderId="17" xfId="0" applyFont="1" applyBorder="1" applyAlignment="1">
      <alignment vertical="top" wrapText="1"/>
    </xf>
    <xf numFmtId="0" fontId="87" fillId="0" borderId="31" xfId="0" applyFont="1" applyBorder="1" applyAlignment="1">
      <alignment vertical="top" wrapText="1"/>
    </xf>
    <xf numFmtId="0" fontId="87" fillId="0" borderId="13" xfId="0" applyFont="1" applyBorder="1" applyAlignment="1">
      <alignment vertical="top" wrapText="1"/>
    </xf>
    <xf numFmtId="0" fontId="52" fillId="0" borderId="0" xfId="487" applyFont="1" applyAlignment="1">
      <alignment horizontal="left" wrapText="1"/>
    </xf>
    <xf numFmtId="0" fontId="5" fillId="0" borderId="0" xfId="487" applyAlignment="1">
      <alignment wrapText="1"/>
    </xf>
    <xf numFmtId="0" fontId="52" fillId="0" borderId="0" xfId="487" applyFont="1" applyAlignment="1">
      <alignment horizontal="left"/>
    </xf>
    <xf numFmtId="0" fontId="52" fillId="0" borderId="75" xfId="487" applyFont="1" applyBorder="1" applyAlignment="1">
      <alignment horizontal="left" wrapText="1"/>
    </xf>
    <xf numFmtId="0" fontId="62" fillId="65" borderId="32" xfId="346" applyFont="1" applyFill="1" applyBorder="1" applyAlignment="1" applyProtection="1">
      <alignment horizontal="center" vertical="center" wrapText="1"/>
      <protection locked="0"/>
    </xf>
    <xf numFmtId="0" fontId="95" fillId="65" borderId="30" xfId="0" applyFont="1" applyFill="1" applyBorder="1" applyAlignment="1" applyProtection="1">
      <alignment horizontal="center" vertical="center" wrapText="1"/>
      <protection locked="0"/>
    </xf>
    <xf numFmtId="0" fontId="95" fillId="65" borderId="35" xfId="0" applyFont="1" applyFill="1" applyBorder="1" applyAlignment="1" applyProtection="1">
      <alignment horizontal="center" vertical="center" wrapText="1"/>
      <protection locked="0"/>
    </xf>
    <xf numFmtId="0" fontId="95" fillId="65" borderId="46" xfId="0" applyFont="1" applyFill="1" applyBorder="1" applyAlignment="1" applyProtection="1">
      <alignment horizontal="center" vertical="center" wrapText="1"/>
      <protection locked="0"/>
    </xf>
    <xf numFmtId="0" fontId="95" fillId="65" borderId="0" xfId="0" applyFont="1" applyFill="1" applyAlignment="1" applyProtection="1">
      <alignment horizontal="center" vertical="center" wrapText="1"/>
      <protection locked="0"/>
    </xf>
    <xf numFmtId="0" fontId="95" fillId="65" borderId="89" xfId="0" applyFont="1" applyFill="1" applyBorder="1" applyAlignment="1" applyProtection="1">
      <alignment horizontal="center" vertical="center" wrapText="1"/>
      <protection locked="0"/>
    </xf>
    <xf numFmtId="0" fontId="95" fillId="65" borderId="103" xfId="0" applyFont="1" applyFill="1" applyBorder="1" applyAlignment="1" applyProtection="1">
      <alignment horizontal="center" vertical="center" wrapText="1"/>
      <protection locked="0"/>
    </xf>
    <xf numFmtId="0" fontId="95" fillId="65" borderId="99" xfId="0" applyFont="1" applyFill="1" applyBorder="1" applyAlignment="1" applyProtection="1">
      <alignment horizontal="center" vertical="center" wrapText="1"/>
      <protection locked="0"/>
    </xf>
    <xf numFmtId="0" fontId="95" fillId="65" borderId="100" xfId="0" applyFont="1" applyFill="1" applyBorder="1" applyAlignment="1" applyProtection="1">
      <alignment horizontal="center" vertical="center" wrapText="1"/>
      <protection locked="0"/>
    </xf>
    <xf numFmtId="0" fontId="19" fillId="0" borderId="0" xfId="346" applyFont="1" applyAlignment="1">
      <alignment vertical="top" wrapText="1"/>
    </xf>
    <xf numFmtId="0" fontId="18" fillId="0" borderId="0" xfId="346" applyFont="1" applyAlignment="1">
      <alignment vertical="top"/>
    </xf>
    <xf numFmtId="0" fontId="87" fillId="0" borderId="75" xfId="346" applyFont="1" applyBorder="1" applyAlignment="1">
      <alignment horizontal="center" wrapText="1"/>
    </xf>
    <xf numFmtId="0" fontId="52" fillId="0" borderId="78" xfId="346" applyFont="1" applyBorder="1" applyAlignment="1">
      <alignment horizontal="left" vertical="center" wrapText="1" indent="1"/>
    </xf>
    <xf numFmtId="0" fontId="52" fillId="0" borderId="0" xfId="346" applyFont="1" applyAlignment="1">
      <alignment horizontal="left" vertical="center" wrapText="1" indent="1"/>
    </xf>
    <xf numFmtId="0" fontId="20" fillId="27" borderId="42" xfId="69" applyFont="1" applyFill="1" applyBorder="1" applyAlignment="1">
      <alignment horizontal="center" vertical="center" wrapText="1"/>
    </xf>
    <xf numFmtId="0" fontId="20" fillId="27" borderId="43" xfId="69" applyFont="1" applyFill="1" applyBorder="1" applyAlignment="1">
      <alignment horizontal="center" vertical="center" wrapText="1"/>
    </xf>
    <xf numFmtId="0" fontId="96" fillId="26" borderId="0" xfId="0" applyFont="1" applyFill="1" applyAlignment="1">
      <alignment horizontal="center" vertical="center" wrapText="1"/>
    </xf>
    <xf numFmtId="0" fontId="17" fillId="0" borderId="82" xfId="0" applyFont="1" applyBorder="1" applyAlignment="1">
      <alignment vertical="top" wrapText="1"/>
    </xf>
    <xf numFmtId="0" fontId="0" fillId="0" borderId="82" xfId="0" applyBorder="1" applyAlignment="1">
      <alignment vertical="top" wrapText="1"/>
    </xf>
    <xf numFmtId="0" fontId="20" fillId="0" borderId="42" xfId="69" applyFont="1" applyBorder="1" applyAlignment="1">
      <alignment horizontal="center" vertical="center" wrapText="1"/>
    </xf>
    <xf numFmtId="0" fontId="20" fillId="0" borderId="43" xfId="69" applyFont="1" applyBorder="1" applyAlignment="1">
      <alignment horizontal="center" vertical="center" wrapText="1"/>
    </xf>
    <xf numFmtId="0" fontId="20" fillId="64" borderId="4" xfId="69" applyFont="1" applyFill="1" applyBorder="1" applyAlignment="1">
      <alignment horizontal="center" vertical="center" wrapText="1"/>
    </xf>
    <xf numFmtId="0" fontId="20" fillId="64" borderId="4" xfId="69" applyFont="1" applyFill="1" applyBorder="1" applyAlignment="1">
      <alignment horizontal="center" vertical="center"/>
    </xf>
    <xf numFmtId="0" fontId="20" fillId="64" borderId="42" xfId="69" applyFont="1" applyFill="1" applyBorder="1" applyAlignment="1">
      <alignment horizontal="center" vertical="center" wrapText="1"/>
    </xf>
    <xf numFmtId="0" fontId="20" fillId="64" borderId="43" xfId="69" applyFont="1" applyFill="1" applyBorder="1" applyAlignment="1">
      <alignment horizontal="center" vertical="center" wrapText="1"/>
    </xf>
    <xf numFmtId="165" fontId="31" fillId="0" borderId="4" xfId="0" applyNumberFormat="1" applyFont="1" applyBorder="1" applyAlignment="1">
      <alignment horizontal="center" vertical="center" wrapText="1"/>
    </xf>
    <xf numFmtId="165" fontId="29" fillId="0" borderId="4" xfId="0" applyNumberFormat="1" applyFont="1" applyBorder="1" applyAlignment="1">
      <alignment horizontal="center" vertical="center" wrapText="1"/>
    </xf>
  </cellXfs>
  <cellStyles count="500">
    <cellStyle name="$" xfId="1" xr:uid="{00000000-0005-0000-0000-000000000000}"/>
    <cellStyle name="$.00" xfId="2" xr:uid="{00000000-0005-0000-0000-000001000000}"/>
    <cellStyle name="$_9. Rev2Cost_GDPIPI" xfId="60" xr:uid="{00000000-0005-0000-0000-000002000000}"/>
    <cellStyle name="$_9. Rev2Cost_GDPIPI 2" xfId="71" xr:uid="{00000000-0005-0000-0000-000003000000}"/>
    <cellStyle name="$_lists" xfId="61" xr:uid="{00000000-0005-0000-0000-000004000000}"/>
    <cellStyle name="$_lists 2" xfId="72" xr:uid="{00000000-0005-0000-0000-000005000000}"/>
    <cellStyle name="$_lists_4. Current Monthly Fixed Charge" xfId="62" xr:uid="{00000000-0005-0000-0000-000006000000}"/>
    <cellStyle name="$_Sheet4" xfId="63" xr:uid="{00000000-0005-0000-0000-000007000000}"/>
    <cellStyle name="$_Sheet4 2" xfId="73" xr:uid="{00000000-0005-0000-0000-000008000000}"/>
    <cellStyle name="$M" xfId="3" xr:uid="{00000000-0005-0000-0000-000009000000}"/>
    <cellStyle name="$M.00" xfId="4" xr:uid="{00000000-0005-0000-0000-00000A000000}"/>
    <cellStyle name="$M_9. Rev2Cost_GDPIPI" xfId="64" xr:uid="{00000000-0005-0000-0000-00000B000000}"/>
    <cellStyle name="20% - Accent1" xfId="5" builtinId="30" customBuiltin="1"/>
    <cellStyle name="20% - Accent1 2" xfId="74" xr:uid="{00000000-0005-0000-0000-00000D000000}"/>
    <cellStyle name="20% - Accent1 2 2" xfId="140" xr:uid="{00000000-0005-0000-0000-00000E000000}"/>
    <cellStyle name="20% - Accent1 2 2 2" xfId="300" xr:uid="{00000000-0005-0000-0000-00000F000000}"/>
    <cellStyle name="20% - Accent1 2 2_6. Rate Rider Calculations" xfId="366" xr:uid="{00000000-0005-0000-0000-000010000000}"/>
    <cellStyle name="20% - Accent1 2 3" xfId="277" xr:uid="{00000000-0005-0000-0000-000011000000}"/>
    <cellStyle name="20% - Accent1 2 4" xfId="419" xr:uid="{00000000-0005-0000-0000-000012000000}"/>
    <cellStyle name="20% - Accent1 2_6. Rate Rider Calculations" xfId="365" xr:uid="{00000000-0005-0000-0000-000013000000}"/>
    <cellStyle name="20% - Accent1 3" xfId="347" xr:uid="{00000000-0005-0000-0000-000014000000}"/>
    <cellStyle name="20% - Accent1 4" xfId="452" xr:uid="{00000000-0005-0000-0000-000015000000}"/>
    <cellStyle name="20% - Accent2" xfId="6" builtinId="34" customBuiltin="1"/>
    <cellStyle name="20% - Accent2 2" xfId="75" xr:uid="{00000000-0005-0000-0000-000017000000}"/>
    <cellStyle name="20% - Accent2 2 2" xfId="141" xr:uid="{00000000-0005-0000-0000-000018000000}"/>
    <cellStyle name="20% - Accent2 2 2 2" xfId="301" xr:uid="{00000000-0005-0000-0000-000019000000}"/>
    <cellStyle name="20% - Accent2 2 2_6. Rate Rider Calculations" xfId="368" xr:uid="{00000000-0005-0000-0000-00001A000000}"/>
    <cellStyle name="20% - Accent2 2 3" xfId="278" xr:uid="{00000000-0005-0000-0000-00001B000000}"/>
    <cellStyle name="20% - Accent2 2 4" xfId="420" xr:uid="{00000000-0005-0000-0000-00001C000000}"/>
    <cellStyle name="20% - Accent2 2_6. Rate Rider Calculations" xfId="367" xr:uid="{00000000-0005-0000-0000-00001D000000}"/>
    <cellStyle name="20% - Accent2 3" xfId="348" xr:uid="{00000000-0005-0000-0000-00001E000000}"/>
    <cellStyle name="20% - Accent2 4" xfId="454" xr:uid="{00000000-0005-0000-0000-00001F000000}"/>
    <cellStyle name="20% - Accent3" xfId="7" builtinId="38" customBuiltin="1"/>
    <cellStyle name="20% - Accent3 2" xfId="76" xr:uid="{00000000-0005-0000-0000-000021000000}"/>
    <cellStyle name="20% - Accent3 2 2" xfId="142" xr:uid="{00000000-0005-0000-0000-000022000000}"/>
    <cellStyle name="20% - Accent3 2 2 2" xfId="302" xr:uid="{00000000-0005-0000-0000-000023000000}"/>
    <cellStyle name="20% - Accent3 2 2_6. Rate Rider Calculations" xfId="370" xr:uid="{00000000-0005-0000-0000-000024000000}"/>
    <cellStyle name="20% - Accent3 2 3" xfId="279" xr:uid="{00000000-0005-0000-0000-000025000000}"/>
    <cellStyle name="20% - Accent3 2 4" xfId="421" xr:uid="{00000000-0005-0000-0000-000026000000}"/>
    <cellStyle name="20% - Accent3 2_6. Rate Rider Calculations" xfId="369" xr:uid="{00000000-0005-0000-0000-000027000000}"/>
    <cellStyle name="20% - Accent3 3" xfId="349" xr:uid="{00000000-0005-0000-0000-000028000000}"/>
    <cellStyle name="20% - Accent3 4" xfId="456" xr:uid="{00000000-0005-0000-0000-000029000000}"/>
    <cellStyle name="20% - Accent4" xfId="8" builtinId="42" customBuiltin="1"/>
    <cellStyle name="20% - Accent4 2" xfId="77" xr:uid="{00000000-0005-0000-0000-00002B000000}"/>
    <cellStyle name="20% - Accent4 2 2" xfId="143" xr:uid="{00000000-0005-0000-0000-00002C000000}"/>
    <cellStyle name="20% - Accent4 2 2 2" xfId="303" xr:uid="{00000000-0005-0000-0000-00002D000000}"/>
    <cellStyle name="20% - Accent4 2 2_6. Rate Rider Calculations" xfId="372" xr:uid="{00000000-0005-0000-0000-00002E000000}"/>
    <cellStyle name="20% - Accent4 2 3" xfId="280" xr:uid="{00000000-0005-0000-0000-00002F000000}"/>
    <cellStyle name="20% - Accent4 2 4" xfId="422" xr:uid="{00000000-0005-0000-0000-000030000000}"/>
    <cellStyle name="20% - Accent4 2_6. Rate Rider Calculations" xfId="371" xr:uid="{00000000-0005-0000-0000-000031000000}"/>
    <cellStyle name="20% - Accent4 3" xfId="350" xr:uid="{00000000-0005-0000-0000-000032000000}"/>
    <cellStyle name="20% - Accent4 4" xfId="458" xr:uid="{00000000-0005-0000-0000-000033000000}"/>
    <cellStyle name="20% - Accent5" xfId="9" builtinId="46" customBuiltin="1"/>
    <cellStyle name="20% - Accent5 2" xfId="78" xr:uid="{00000000-0005-0000-0000-000035000000}"/>
    <cellStyle name="20% - Accent5 2 2" xfId="144" xr:uid="{00000000-0005-0000-0000-000036000000}"/>
    <cellStyle name="20% - Accent5 2 2 2" xfId="304" xr:uid="{00000000-0005-0000-0000-000037000000}"/>
    <cellStyle name="20% - Accent5 2 2_6. Rate Rider Calculations" xfId="374" xr:uid="{00000000-0005-0000-0000-000038000000}"/>
    <cellStyle name="20% - Accent5 2 3" xfId="281" xr:uid="{00000000-0005-0000-0000-000039000000}"/>
    <cellStyle name="20% - Accent5 2 4" xfId="423" xr:uid="{00000000-0005-0000-0000-00003A000000}"/>
    <cellStyle name="20% - Accent5 2_6. Rate Rider Calculations" xfId="373" xr:uid="{00000000-0005-0000-0000-00003B000000}"/>
    <cellStyle name="20% - Accent5 3" xfId="351" xr:uid="{00000000-0005-0000-0000-00003C000000}"/>
    <cellStyle name="20% - Accent5 4" xfId="460" xr:uid="{00000000-0005-0000-0000-00003D000000}"/>
    <cellStyle name="20% - Accent6" xfId="10" builtinId="50" customBuiltin="1"/>
    <cellStyle name="20% - Accent6 2" xfId="79" xr:uid="{00000000-0005-0000-0000-00003F000000}"/>
    <cellStyle name="20% - Accent6 2 2" xfId="145" xr:uid="{00000000-0005-0000-0000-000040000000}"/>
    <cellStyle name="20% - Accent6 2 2 2" xfId="305" xr:uid="{00000000-0005-0000-0000-000041000000}"/>
    <cellStyle name="20% - Accent6 2 2_6. Rate Rider Calculations" xfId="376" xr:uid="{00000000-0005-0000-0000-000042000000}"/>
    <cellStyle name="20% - Accent6 2 3" xfId="282" xr:uid="{00000000-0005-0000-0000-000043000000}"/>
    <cellStyle name="20% - Accent6 2 4" xfId="424" xr:uid="{00000000-0005-0000-0000-000044000000}"/>
    <cellStyle name="20% - Accent6 2_6. Rate Rider Calculations" xfId="375" xr:uid="{00000000-0005-0000-0000-000045000000}"/>
    <cellStyle name="20% - Accent6 3" xfId="352" xr:uid="{00000000-0005-0000-0000-000046000000}"/>
    <cellStyle name="20% - Accent6 4" xfId="462" xr:uid="{00000000-0005-0000-0000-000047000000}"/>
    <cellStyle name="40% - Accent1" xfId="11" builtinId="31" customBuiltin="1"/>
    <cellStyle name="40% - Accent1 2" xfId="80" xr:uid="{00000000-0005-0000-0000-000049000000}"/>
    <cellStyle name="40% - Accent1 2 2" xfId="146" xr:uid="{00000000-0005-0000-0000-00004A000000}"/>
    <cellStyle name="40% - Accent1 2 2 2" xfId="306" xr:uid="{00000000-0005-0000-0000-00004B000000}"/>
    <cellStyle name="40% - Accent1 2 2_6. Rate Rider Calculations" xfId="378" xr:uid="{00000000-0005-0000-0000-00004C000000}"/>
    <cellStyle name="40% - Accent1 2 3" xfId="283" xr:uid="{00000000-0005-0000-0000-00004D000000}"/>
    <cellStyle name="40% - Accent1 2 4" xfId="425" xr:uid="{00000000-0005-0000-0000-00004E000000}"/>
    <cellStyle name="40% - Accent1 2_6. Rate Rider Calculations" xfId="377" xr:uid="{00000000-0005-0000-0000-00004F000000}"/>
    <cellStyle name="40% - Accent1 3" xfId="353" xr:uid="{00000000-0005-0000-0000-000050000000}"/>
    <cellStyle name="40% - Accent1 4" xfId="453" xr:uid="{00000000-0005-0000-0000-000051000000}"/>
    <cellStyle name="40% - Accent2" xfId="12" builtinId="35" customBuiltin="1"/>
    <cellStyle name="40% - Accent2 2" xfId="81" xr:uid="{00000000-0005-0000-0000-000053000000}"/>
    <cellStyle name="40% - Accent2 2 2" xfId="147" xr:uid="{00000000-0005-0000-0000-000054000000}"/>
    <cellStyle name="40% - Accent2 2 2 2" xfId="307" xr:uid="{00000000-0005-0000-0000-000055000000}"/>
    <cellStyle name="40% - Accent2 2 2_6. Rate Rider Calculations" xfId="380" xr:uid="{00000000-0005-0000-0000-000056000000}"/>
    <cellStyle name="40% - Accent2 2 3" xfId="284" xr:uid="{00000000-0005-0000-0000-000057000000}"/>
    <cellStyle name="40% - Accent2 2 4" xfId="426" xr:uid="{00000000-0005-0000-0000-000058000000}"/>
    <cellStyle name="40% - Accent2 2_6. Rate Rider Calculations" xfId="379" xr:uid="{00000000-0005-0000-0000-000059000000}"/>
    <cellStyle name="40% - Accent2 3" xfId="354" xr:uid="{00000000-0005-0000-0000-00005A000000}"/>
    <cellStyle name="40% - Accent2 4" xfId="455" xr:uid="{00000000-0005-0000-0000-00005B000000}"/>
    <cellStyle name="40% - Accent3" xfId="13" builtinId="39" customBuiltin="1"/>
    <cellStyle name="40% - Accent3 2" xfId="82" xr:uid="{00000000-0005-0000-0000-00005D000000}"/>
    <cellStyle name="40% - Accent3 2 2" xfId="148" xr:uid="{00000000-0005-0000-0000-00005E000000}"/>
    <cellStyle name="40% - Accent3 2 2 2" xfId="308" xr:uid="{00000000-0005-0000-0000-00005F000000}"/>
    <cellStyle name="40% - Accent3 2 2_6. Rate Rider Calculations" xfId="382" xr:uid="{00000000-0005-0000-0000-000060000000}"/>
    <cellStyle name="40% - Accent3 2 3" xfId="285" xr:uid="{00000000-0005-0000-0000-000061000000}"/>
    <cellStyle name="40% - Accent3 2 4" xfId="427" xr:uid="{00000000-0005-0000-0000-000062000000}"/>
    <cellStyle name="40% - Accent3 2_6. Rate Rider Calculations" xfId="381" xr:uid="{00000000-0005-0000-0000-000063000000}"/>
    <cellStyle name="40% - Accent3 3" xfId="355" xr:uid="{00000000-0005-0000-0000-000064000000}"/>
    <cellStyle name="40% - Accent3 4" xfId="457" xr:uid="{00000000-0005-0000-0000-000065000000}"/>
    <cellStyle name="40% - Accent4" xfId="14" builtinId="43" customBuiltin="1"/>
    <cellStyle name="40% - Accent4 2" xfId="83" xr:uid="{00000000-0005-0000-0000-000067000000}"/>
    <cellStyle name="40% - Accent4 2 2" xfId="149" xr:uid="{00000000-0005-0000-0000-000068000000}"/>
    <cellStyle name="40% - Accent4 2 2 2" xfId="309" xr:uid="{00000000-0005-0000-0000-000069000000}"/>
    <cellStyle name="40% - Accent4 2 2_6. Rate Rider Calculations" xfId="384" xr:uid="{00000000-0005-0000-0000-00006A000000}"/>
    <cellStyle name="40% - Accent4 2 3" xfId="286" xr:uid="{00000000-0005-0000-0000-00006B000000}"/>
    <cellStyle name="40% - Accent4 2 4" xfId="428" xr:uid="{00000000-0005-0000-0000-00006C000000}"/>
    <cellStyle name="40% - Accent4 2_6. Rate Rider Calculations" xfId="383" xr:uid="{00000000-0005-0000-0000-00006D000000}"/>
    <cellStyle name="40% - Accent4 3" xfId="356" xr:uid="{00000000-0005-0000-0000-00006E000000}"/>
    <cellStyle name="40% - Accent4 4" xfId="459" xr:uid="{00000000-0005-0000-0000-00006F000000}"/>
    <cellStyle name="40% - Accent5" xfId="15" builtinId="47" customBuiltin="1"/>
    <cellStyle name="40% - Accent5 2" xfId="84" xr:uid="{00000000-0005-0000-0000-000071000000}"/>
    <cellStyle name="40% - Accent5 2 2" xfId="150" xr:uid="{00000000-0005-0000-0000-000072000000}"/>
    <cellStyle name="40% - Accent5 2 2 2" xfId="310" xr:uid="{00000000-0005-0000-0000-000073000000}"/>
    <cellStyle name="40% - Accent5 2 2_6. Rate Rider Calculations" xfId="386" xr:uid="{00000000-0005-0000-0000-000074000000}"/>
    <cellStyle name="40% - Accent5 2 3" xfId="287" xr:uid="{00000000-0005-0000-0000-000075000000}"/>
    <cellStyle name="40% - Accent5 2 4" xfId="429" xr:uid="{00000000-0005-0000-0000-000076000000}"/>
    <cellStyle name="40% - Accent5 2_6. Rate Rider Calculations" xfId="385" xr:uid="{00000000-0005-0000-0000-000077000000}"/>
    <cellStyle name="40% - Accent5 3" xfId="357" xr:uid="{00000000-0005-0000-0000-000078000000}"/>
    <cellStyle name="40% - Accent5 4" xfId="461" xr:uid="{00000000-0005-0000-0000-000079000000}"/>
    <cellStyle name="40% - Accent6" xfId="16" builtinId="51" customBuiltin="1"/>
    <cellStyle name="40% - Accent6 2" xfId="85" xr:uid="{00000000-0005-0000-0000-00007B000000}"/>
    <cellStyle name="40% - Accent6 2 2" xfId="151" xr:uid="{00000000-0005-0000-0000-00007C000000}"/>
    <cellStyle name="40% - Accent6 2 2 2" xfId="311" xr:uid="{00000000-0005-0000-0000-00007D000000}"/>
    <cellStyle name="40% - Accent6 2 2_6. Rate Rider Calculations" xfId="388" xr:uid="{00000000-0005-0000-0000-00007E000000}"/>
    <cellStyle name="40% - Accent6 2 3" xfId="288" xr:uid="{00000000-0005-0000-0000-00007F000000}"/>
    <cellStyle name="40% - Accent6 2 4" xfId="430" xr:uid="{00000000-0005-0000-0000-000080000000}"/>
    <cellStyle name="40% - Accent6 2_6. Rate Rider Calculations" xfId="387" xr:uid="{00000000-0005-0000-0000-000081000000}"/>
    <cellStyle name="40% - Accent6 3" xfId="358" xr:uid="{00000000-0005-0000-0000-000082000000}"/>
    <cellStyle name="40% - Accent6 4" xfId="463" xr:uid="{00000000-0005-0000-0000-000083000000}"/>
    <cellStyle name="60% - Accent1" xfId="17" builtinId="32" customBuiltin="1"/>
    <cellStyle name="60% - Accent1 2" xfId="86" xr:uid="{00000000-0005-0000-0000-000085000000}"/>
    <cellStyle name="60% - Accent2" xfId="18" builtinId="36" customBuiltin="1"/>
    <cellStyle name="60% - Accent2 2" xfId="87" xr:uid="{00000000-0005-0000-0000-000087000000}"/>
    <cellStyle name="60% - Accent3" xfId="19" builtinId="40" customBuiltin="1"/>
    <cellStyle name="60% - Accent3 2" xfId="88" xr:uid="{00000000-0005-0000-0000-000089000000}"/>
    <cellStyle name="60% - Accent4" xfId="20" builtinId="44" customBuiltin="1"/>
    <cellStyle name="60% - Accent4 2" xfId="89" xr:uid="{00000000-0005-0000-0000-00008B000000}"/>
    <cellStyle name="60% - Accent5" xfId="21" builtinId="48" customBuiltin="1"/>
    <cellStyle name="60% - Accent5 2" xfId="90" xr:uid="{00000000-0005-0000-0000-00008D000000}"/>
    <cellStyle name="60% - Accent6" xfId="22" builtinId="52" customBuiltin="1"/>
    <cellStyle name="60% - Accent6 2" xfId="91" xr:uid="{00000000-0005-0000-0000-00008F000000}"/>
    <cellStyle name="Accent1" xfId="23" builtinId="29" customBuiltin="1"/>
    <cellStyle name="Accent1 2" xfId="92" xr:uid="{00000000-0005-0000-0000-000091000000}"/>
    <cellStyle name="Accent2" xfId="24" builtinId="33" customBuiltin="1"/>
    <cellStyle name="Accent2 2" xfId="93" xr:uid="{00000000-0005-0000-0000-000093000000}"/>
    <cellStyle name="Accent3" xfId="25" builtinId="37" customBuiltin="1"/>
    <cellStyle name="Accent3 2" xfId="94" xr:uid="{00000000-0005-0000-0000-000095000000}"/>
    <cellStyle name="Accent4" xfId="26" builtinId="41" customBuiltin="1"/>
    <cellStyle name="Accent4 2" xfId="95" xr:uid="{00000000-0005-0000-0000-000097000000}"/>
    <cellStyle name="Accent5" xfId="27" builtinId="45" customBuiltin="1"/>
    <cellStyle name="Accent5 2" xfId="96" xr:uid="{00000000-0005-0000-0000-000099000000}"/>
    <cellStyle name="Accent6" xfId="28" builtinId="49" customBuiltin="1"/>
    <cellStyle name="Accent6 2" xfId="97" xr:uid="{00000000-0005-0000-0000-00009B000000}"/>
    <cellStyle name="Bad" xfId="29" builtinId="27" customBuiltin="1"/>
    <cellStyle name="Bad 2" xfId="98" xr:uid="{00000000-0005-0000-0000-00009D000000}"/>
    <cellStyle name="Calculation" xfId="30" builtinId="22" customBuiltin="1"/>
    <cellStyle name="Calculation 2" xfId="99" xr:uid="{00000000-0005-0000-0000-00009F000000}"/>
    <cellStyle name="Check Cell" xfId="31" builtinId="23" customBuiltin="1"/>
    <cellStyle name="Check Cell 2" xfId="100" xr:uid="{00000000-0005-0000-0000-0000A1000000}"/>
    <cellStyle name="Comma" xfId="56" builtinId="3"/>
    <cellStyle name="Comma 2" xfId="101" xr:uid="{00000000-0005-0000-0000-0000A3000000}"/>
    <cellStyle name="Comma 2 2" xfId="153" xr:uid="{00000000-0005-0000-0000-0000A4000000}"/>
    <cellStyle name="Comma 2 2 2" xfId="256" xr:uid="{00000000-0005-0000-0000-0000A5000000}"/>
    <cellStyle name="Comma 2 2 2 2" xfId="330" xr:uid="{00000000-0005-0000-0000-0000A6000000}"/>
    <cellStyle name="Comma 2 2 2 3" xfId="363" xr:uid="{00000000-0005-0000-0000-0000A7000000}"/>
    <cellStyle name="Comma 2 2 2 4" xfId="470" xr:uid="{00000000-0005-0000-0000-0000A8000000}"/>
    <cellStyle name="Comma 2 2 2 5" xfId="490" xr:uid="{00000000-0005-0000-0000-0000A9000000}"/>
    <cellStyle name="Comma 2 2 3" xfId="312" xr:uid="{00000000-0005-0000-0000-0000AA000000}"/>
    <cellStyle name="Comma 2 2 3 2" xfId="475" xr:uid="{00000000-0005-0000-0000-0000AB000000}"/>
    <cellStyle name="Comma 2 2 4" xfId="340" xr:uid="{00000000-0005-0000-0000-0000AC000000}"/>
    <cellStyle name="Comma 2 2 4 2" xfId="489" xr:uid="{00000000-0005-0000-0000-0000AD000000}"/>
    <cellStyle name="Comma 2 2 5" xfId="465" xr:uid="{00000000-0005-0000-0000-0000AE000000}"/>
    <cellStyle name="Comma 2 2_Database" xfId="359" xr:uid="{00000000-0005-0000-0000-0000AF000000}"/>
    <cellStyle name="Comma 2 3" xfId="290" xr:uid="{00000000-0005-0000-0000-0000B0000000}"/>
    <cellStyle name="Comma 2 4" xfId="431" xr:uid="{00000000-0005-0000-0000-0000B1000000}"/>
    <cellStyle name="Comma 3" xfId="102" xr:uid="{00000000-0005-0000-0000-0000B2000000}"/>
    <cellStyle name="Comma 3 2" xfId="154" xr:uid="{00000000-0005-0000-0000-0000B3000000}"/>
    <cellStyle name="Comma 3 2 2" xfId="313" xr:uid="{00000000-0005-0000-0000-0000B4000000}"/>
    <cellStyle name="Comma 3 2 3" xfId="440" xr:uid="{00000000-0005-0000-0000-0000B5000000}"/>
    <cellStyle name="Comma 3 3" xfId="291" xr:uid="{00000000-0005-0000-0000-0000B6000000}"/>
    <cellStyle name="Comma 3 4" xfId="432" xr:uid="{00000000-0005-0000-0000-0000B7000000}"/>
    <cellStyle name="Comma 32" xfId="246" xr:uid="{00000000-0005-0000-0000-0000B8000000}"/>
    <cellStyle name="Comma 33" xfId="247" xr:uid="{00000000-0005-0000-0000-0000B9000000}"/>
    <cellStyle name="Comma 34" xfId="248" xr:uid="{00000000-0005-0000-0000-0000BA000000}"/>
    <cellStyle name="Comma 35" xfId="249" xr:uid="{00000000-0005-0000-0000-0000BB000000}"/>
    <cellStyle name="Comma 36" xfId="250" xr:uid="{00000000-0005-0000-0000-0000BC000000}"/>
    <cellStyle name="Comma 4" xfId="103" xr:uid="{00000000-0005-0000-0000-0000BD000000}"/>
    <cellStyle name="Comma 4 2" xfId="438" xr:uid="{00000000-0005-0000-0000-0000BE000000}"/>
    <cellStyle name="Comma 5" xfId="252" xr:uid="{00000000-0005-0000-0000-0000BF000000}"/>
    <cellStyle name="Comma 5 2" xfId="326" xr:uid="{00000000-0005-0000-0000-0000C0000000}"/>
    <cellStyle name="Comma 5 3" xfId="478" xr:uid="{00000000-0005-0000-0000-0000C1000000}"/>
    <cellStyle name="Comma 6" xfId="414" xr:uid="{00000000-0005-0000-0000-0000C2000000}"/>
    <cellStyle name="Comma0" xfId="32" xr:uid="{00000000-0005-0000-0000-0000C3000000}"/>
    <cellStyle name="Currency" xfId="57" builtinId="4"/>
    <cellStyle name="Currency 2" xfId="104" xr:uid="{00000000-0005-0000-0000-0000C5000000}"/>
    <cellStyle name="Currency 2 2" xfId="418" xr:uid="{00000000-0005-0000-0000-0000C6000000}"/>
    <cellStyle name="Currency 3" xfId="254" xr:uid="{00000000-0005-0000-0000-0000C7000000}"/>
    <cellStyle name="Currency 3 2" xfId="328" xr:uid="{00000000-0005-0000-0000-0000C8000000}"/>
    <cellStyle name="Currency 3 3" xfId="441" xr:uid="{00000000-0005-0000-0000-0000C9000000}"/>
    <cellStyle name="Currency 4" xfId="258" xr:uid="{00000000-0005-0000-0000-0000CA000000}"/>
    <cellStyle name="Currency 4 2" xfId="338" xr:uid="{00000000-0005-0000-0000-0000CB000000}"/>
    <cellStyle name="Currency 4 2 2" xfId="362" xr:uid="{00000000-0005-0000-0000-0000CC000000}"/>
    <cellStyle name="Currency 4 2 3" xfId="469" xr:uid="{00000000-0005-0000-0000-0000CD000000}"/>
    <cellStyle name="Currency 4 2 4" xfId="493" xr:uid="{00000000-0005-0000-0000-0000CE000000}"/>
    <cellStyle name="Currency 4 3" xfId="332" xr:uid="{00000000-0005-0000-0000-0000CF000000}"/>
    <cellStyle name="Currency 4 3 2" xfId="476" xr:uid="{00000000-0005-0000-0000-0000D0000000}"/>
    <cellStyle name="Currency 4 4" xfId="345" xr:uid="{00000000-0005-0000-0000-0000D1000000}"/>
    <cellStyle name="Currency 4 5" xfId="466" xr:uid="{00000000-0005-0000-0000-0000D2000000}"/>
    <cellStyle name="Currency 5" xfId="341" xr:uid="{00000000-0005-0000-0000-0000D3000000}"/>
    <cellStyle name="Currency 5 2" xfId="467" xr:uid="{00000000-0005-0000-0000-0000D4000000}"/>
    <cellStyle name="Currency 6" xfId="342" xr:uid="{00000000-0005-0000-0000-0000D5000000}"/>
    <cellStyle name="Currency 6 2" xfId="472" xr:uid="{00000000-0005-0000-0000-0000D6000000}"/>
    <cellStyle name="Currency 7" xfId="417" xr:uid="{00000000-0005-0000-0000-0000D7000000}"/>
    <cellStyle name="Currency0" xfId="33" xr:uid="{00000000-0005-0000-0000-0000D8000000}"/>
    <cellStyle name="Date" xfId="34" xr:uid="{00000000-0005-0000-0000-0000D9000000}"/>
    <cellStyle name="Explanatory Text" xfId="35" builtinId="53" customBuiltin="1"/>
    <cellStyle name="Explanatory Text 2" xfId="105" xr:uid="{00000000-0005-0000-0000-0000DB000000}"/>
    <cellStyle name="Fixed" xfId="36" xr:uid="{00000000-0005-0000-0000-0000DC000000}"/>
    <cellStyle name="Followed Hyperlink" xfId="464" builtinId="9" customBuiltin="1"/>
    <cellStyle name="Good" xfId="37" builtinId="26" customBuiltin="1"/>
    <cellStyle name="Good 2" xfId="106" xr:uid="{00000000-0005-0000-0000-0000DF000000}"/>
    <cellStyle name="Grey" xfId="38" xr:uid="{00000000-0005-0000-0000-0000E0000000}"/>
    <cellStyle name="Heading 1" xfId="39" builtinId="16" customBuiltin="1"/>
    <cellStyle name="Heading 1 2" xfId="107" xr:uid="{00000000-0005-0000-0000-0000E2000000}"/>
    <cellStyle name="Heading 2" xfId="40" builtinId="17" customBuiltin="1"/>
    <cellStyle name="Heading 2 2" xfId="108" xr:uid="{00000000-0005-0000-0000-0000E4000000}"/>
    <cellStyle name="Heading 3" xfId="41" builtinId="18" customBuiltin="1"/>
    <cellStyle name="Heading 3 2" xfId="109" xr:uid="{00000000-0005-0000-0000-0000E6000000}"/>
    <cellStyle name="Heading 3 3" xfId="197" xr:uid="{00000000-0005-0000-0000-0000E7000000}"/>
    <cellStyle name="Heading 3 3 2" xfId="323" xr:uid="{00000000-0005-0000-0000-0000E8000000}"/>
    <cellStyle name="Heading 3 3 3" xfId="275" xr:uid="{00000000-0005-0000-0000-0000E9000000}"/>
    <cellStyle name="Heading 3 3_6. Rate Rider Calculations" xfId="389" xr:uid="{00000000-0005-0000-0000-0000EA000000}"/>
    <cellStyle name="Heading 3 4" xfId="158" xr:uid="{00000000-0005-0000-0000-0000EB000000}"/>
    <cellStyle name="Heading 3 4 2" xfId="315" xr:uid="{00000000-0005-0000-0000-0000EC000000}"/>
    <cellStyle name="Heading 3 4 3" xfId="267" xr:uid="{00000000-0005-0000-0000-0000ED000000}"/>
    <cellStyle name="Heading 3 4_6. Rate Rider Calculations" xfId="390" xr:uid="{00000000-0005-0000-0000-0000EE000000}"/>
    <cellStyle name="Heading 3 5" xfId="134" xr:uid="{00000000-0005-0000-0000-0000EF000000}"/>
    <cellStyle name="Heading 3 5 2" xfId="297" xr:uid="{00000000-0005-0000-0000-0000F0000000}"/>
    <cellStyle name="Heading 3 5 3" xfId="268" xr:uid="{00000000-0005-0000-0000-0000F1000000}"/>
    <cellStyle name="Heading 3 5_6. Rate Rider Calculations" xfId="391" xr:uid="{00000000-0005-0000-0000-0000F2000000}"/>
    <cellStyle name="Heading 3 6" xfId="198" xr:uid="{00000000-0005-0000-0000-0000F3000000}"/>
    <cellStyle name="Heading 3 6 2" xfId="324" xr:uid="{00000000-0005-0000-0000-0000F4000000}"/>
    <cellStyle name="Heading 3 6 3" xfId="273" xr:uid="{00000000-0005-0000-0000-0000F5000000}"/>
    <cellStyle name="Heading 3 6_6. Rate Rider Calculations" xfId="392" xr:uid="{00000000-0005-0000-0000-0000F6000000}"/>
    <cellStyle name="Heading 3 7" xfId="157" xr:uid="{00000000-0005-0000-0000-0000F7000000}"/>
    <cellStyle name="Heading 3 7 2" xfId="314" xr:uid="{00000000-0005-0000-0000-0000F8000000}"/>
    <cellStyle name="Heading 3 7 3" xfId="289" xr:uid="{00000000-0005-0000-0000-0000F9000000}"/>
    <cellStyle name="Heading 3 7_6. Rate Rider Calculations" xfId="393" xr:uid="{00000000-0005-0000-0000-0000FA000000}"/>
    <cellStyle name="Heading 3 8" xfId="192" xr:uid="{00000000-0005-0000-0000-0000FB000000}"/>
    <cellStyle name="Heading 3 8 2" xfId="322" xr:uid="{00000000-0005-0000-0000-0000FC000000}"/>
    <cellStyle name="Heading 3 8 3" xfId="276" xr:uid="{00000000-0005-0000-0000-0000FD000000}"/>
    <cellStyle name="Heading 3 8_6. Rate Rider Calculations" xfId="394" xr:uid="{00000000-0005-0000-0000-0000FE000000}"/>
    <cellStyle name="Heading 3 9" xfId="269" xr:uid="{00000000-0005-0000-0000-0000FF000000}"/>
    <cellStyle name="Heading 4" xfId="42" builtinId="19" customBuiltin="1"/>
    <cellStyle name="Heading 4 2" xfId="110" xr:uid="{00000000-0005-0000-0000-000001010000}"/>
    <cellStyle name="Hyperlink 2" xfId="259" xr:uid="{00000000-0005-0000-0000-000002010000}"/>
    <cellStyle name="Input" xfId="43" builtinId="20" customBuiltin="1"/>
    <cellStyle name="Input [yellow]" xfId="44" xr:uid="{00000000-0005-0000-0000-000004010000}"/>
    <cellStyle name="Input 2" xfId="111" xr:uid="{00000000-0005-0000-0000-000005010000}"/>
    <cellStyle name="Input 3" xfId="450" xr:uid="{00000000-0005-0000-0000-000006010000}"/>
    <cellStyle name="Linked Cell" xfId="45" builtinId="24" customBuiltin="1"/>
    <cellStyle name="Linked Cell 2" xfId="112" xr:uid="{00000000-0005-0000-0000-000008010000}"/>
    <cellStyle name="M" xfId="46" xr:uid="{00000000-0005-0000-0000-000009010000}"/>
    <cellStyle name="M.00" xfId="47" xr:uid="{00000000-0005-0000-0000-00000A010000}"/>
    <cellStyle name="M_9. Rev2Cost_GDPIPI" xfId="65" xr:uid="{00000000-0005-0000-0000-00000B010000}"/>
    <cellStyle name="M_9. Rev2Cost_GDPIPI 2" xfId="113" xr:uid="{00000000-0005-0000-0000-00000C010000}"/>
    <cellStyle name="M_lists" xfId="66" xr:uid="{00000000-0005-0000-0000-00000D010000}"/>
    <cellStyle name="M_lists 2" xfId="114" xr:uid="{00000000-0005-0000-0000-00000E010000}"/>
    <cellStyle name="M_lists_4. Current Monthly Fixed Charge" xfId="67" xr:uid="{00000000-0005-0000-0000-00000F010000}"/>
    <cellStyle name="M_Sheet4" xfId="68" xr:uid="{00000000-0005-0000-0000-000010010000}"/>
    <cellStyle name="M_Sheet4 2" xfId="115" xr:uid="{00000000-0005-0000-0000-000011010000}"/>
    <cellStyle name="Neutral" xfId="48" builtinId="28" customBuiltin="1"/>
    <cellStyle name="Neutral 2" xfId="116" xr:uid="{00000000-0005-0000-0000-000013010000}"/>
    <cellStyle name="Normal" xfId="0" builtinId="0"/>
    <cellStyle name="Normal - Style1" xfId="49" xr:uid="{00000000-0005-0000-0000-000015010000}"/>
    <cellStyle name="Normal 10" xfId="298" xr:uid="{00000000-0005-0000-0000-000016010000}"/>
    <cellStyle name="Normal 10 12" xfId="343" xr:uid="{00000000-0005-0000-0000-000017010000}"/>
    <cellStyle name="Normal 11" xfId="339" xr:uid="{00000000-0005-0000-0000-000018010000}"/>
    <cellStyle name="Normal 11 2" xfId="487" xr:uid="{00000000-0005-0000-0000-000019010000}"/>
    <cellStyle name="Normal 12" xfId="346" xr:uid="{00000000-0005-0000-0000-00001A010000}"/>
    <cellStyle name="Normal 12 2" xfId="488" xr:uid="{00000000-0005-0000-0000-00001B010000}"/>
    <cellStyle name="Normal 13" xfId="412" xr:uid="{00000000-0005-0000-0000-00001C010000}"/>
    <cellStyle name="Normal 13 2" xfId="495" xr:uid="{00000000-0005-0000-0000-00001D010000}"/>
    <cellStyle name="Normal 13 3" xfId="496" xr:uid="{00000000-0005-0000-0000-00001E010000}"/>
    <cellStyle name="Normal 13 3 2" xfId="497" xr:uid="{00000000-0005-0000-0000-00001F010000}"/>
    <cellStyle name="Normal 14" xfId="413" xr:uid="{00000000-0005-0000-0000-000020010000}"/>
    <cellStyle name="Normal 15" xfId="486" xr:uid="{00000000-0005-0000-0000-000021010000}"/>
    <cellStyle name="Normal 16" xfId="494" xr:uid="{00000000-0005-0000-0000-000022010000}"/>
    <cellStyle name="Normal 167" xfId="260" xr:uid="{00000000-0005-0000-0000-000023010000}"/>
    <cellStyle name="Normal 167 2" xfId="333" xr:uid="{00000000-0005-0000-0000-000024010000}"/>
    <cellStyle name="Normal 167 3" xfId="445" xr:uid="{00000000-0005-0000-0000-000025010000}"/>
    <cellStyle name="Normal 167_6. Rate Rider Calculations" xfId="396" xr:uid="{00000000-0005-0000-0000-000026010000}"/>
    <cellStyle name="Normal 168" xfId="261" xr:uid="{00000000-0005-0000-0000-000027010000}"/>
    <cellStyle name="Normal 168 2" xfId="334" xr:uid="{00000000-0005-0000-0000-000028010000}"/>
    <cellStyle name="Normal 168 3" xfId="446" xr:uid="{00000000-0005-0000-0000-000029010000}"/>
    <cellStyle name="Normal 168_6. Rate Rider Calculations" xfId="397" xr:uid="{00000000-0005-0000-0000-00002A010000}"/>
    <cellStyle name="Normal 169" xfId="262" xr:uid="{00000000-0005-0000-0000-00002B010000}"/>
    <cellStyle name="Normal 169 2" xfId="335" xr:uid="{00000000-0005-0000-0000-00002C010000}"/>
    <cellStyle name="Normal 169 3" xfId="447" xr:uid="{00000000-0005-0000-0000-00002D010000}"/>
    <cellStyle name="Normal 169_6. Rate Rider Calculations" xfId="398" xr:uid="{00000000-0005-0000-0000-00002E010000}"/>
    <cellStyle name="Normal 17" xfId="499" xr:uid="{C6BB8004-960D-4692-8BFD-444B9950DBE8}"/>
    <cellStyle name="Normal 170" xfId="263" xr:uid="{00000000-0005-0000-0000-00002F010000}"/>
    <cellStyle name="Normal 170 2" xfId="336" xr:uid="{00000000-0005-0000-0000-000030010000}"/>
    <cellStyle name="Normal 170 3" xfId="448" xr:uid="{00000000-0005-0000-0000-000031010000}"/>
    <cellStyle name="Normal 170_6. Rate Rider Calculations" xfId="399" xr:uid="{00000000-0005-0000-0000-000032010000}"/>
    <cellStyle name="Normal 171" xfId="264" xr:uid="{00000000-0005-0000-0000-000033010000}"/>
    <cellStyle name="Normal 171 2" xfId="337" xr:uid="{00000000-0005-0000-0000-000034010000}"/>
    <cellStyle name="Normal 171 3" xfId="449" xr:uid="{00000000-0005-0000-0000-000035010000}"/>
    <cellStyle name="Normal 171_6. Rate Rider Calculations" xfId="400" xr:uid="{00000000-0005-0000-0000-000036010000}"/>
    <cellStyle name="Normal 19" xfId="201" xr:uid="{00000000-0005-0000-0000-000037010000}"/>
    <cellStyle name="Normal 2" xfId="59" xr:uid="{00000000-0005-0000-0000-000038010000}"/>
    <cellStyle name="Normal 2 2" xfId="183" xr:uid="{00000000-0005-0000-0000-000039010000}"/>
    <cellStyle name="Normal 2 2 2" xfId="321" xr:uid="{00000000-0005-0000-0000-00003A010000}"/>
    <cellStyle name="Normal 2 2_6. Rate Rider Calculations" xfId="402" xr:uid="{00000000-0005-0000-0000-00003B010000}"/>
    <cellStyle name="Normal 2 3" xfId="137" xr:uid="{00000000-0005-0000-0000-00003C010000}"/>
    <cellStyle name="Normal 2 3 2" xfId="299" xr:uid="{00000000-0005-0000-0000-00003D010000}"/>
    <cellStyle name="Normal 2 3_6. Rate Rider Calculations" xfId="403" xr:uid="{00000000-0005-0000-0000-00003E010000}"/>
    <cellStyle name="Normal 2 4" xfId="272" xr:uid="{00000000-0005-0000-0000-00003F010000}"/>
    <cellStyle name="Normal 2 5" xfId="416" xr:uid="{00000000-0005-0000-0000-000040010000}"/>
    <cellStyle name="Normal 2_6. Rate Rider Calculations" xfId="401" xr:uid="{00000000-0005-0000-0000-000041010000}"/>
    <cellStyle name="Normal 20" xfId="207" xr:uid="{00000000-0005-0000-0000-000042010000}"/>
    <cellStyle name="Normal 21" xfId="215" xr:uid="{00000000-0005-0000-0000-000043010000}"/>
    <cellStyle name="Normal 22" xfId="209" xr:uid="{00000000-0005-0000-0000-000044010000}"/>
    <cellStyle name="Normal 23" xfId="211" xr:uid="{00000000-0005-0000-0000-000045010000}"/>
    <cellStyle name="Normal 24" xfId="213" xr:uid="{00000000-0005-0000-0000-000046010000}"/>
    <cellStyle name="Normal 25" xfId="202" xr:uid="{00000000-0005-0000-0000-000047010000}"/>
    <cellStyle name="Normal 26" xfId="208" xr:uid="{00000000-0005-0000-0000-000048010000}"/>
    <cellStyle name="Normal 27" xfId="214" xr:uid="{00000000-0005-0000-0000-000049010000}"/>
    <cellStyle name="Normal 28" xfId="210" xr:uid="{00000000-0005-0000-0000-00004A010000}"/>
    <cellStyle name="Normal 29" xfId="212" xr:uid="{00000000-0005-0000-0000-00004B010000}"/>
    <cellStyle name="Normal 3" xfId="117" xr:uid="{00000000-0005-0000-0000-00004C010000}"/>
    <cellStyle name="Normal 3 2" xfId="159" xr:uid="{00000000-0005-0000-0000-00004D010000}"/>
    <cellStyle name="Normal 3 2 2" xfId="316" xr:uid="{00000000-0005-0000-0000-00004E010000}"/>
    <cellStyle name="Normal 3 2_6. Rate Rider Calculations" xfId="405" xr:uid="{00000000-0005-0000-0000-00004F010000}"/>
    <cellStyle name="Normal 3 3" xfId="292" xr:uid="{00000000-0005-0000-0000-000050010000}"/>
    <cellStyle name="Normal 3 4" xfId="433" xr:uid="{00000000-0005-0000-0000-000051010000}"/>
    <cellStyle name="Normal 3 5" xfId="498" xr:uid="{00000000-0005-0000-0000-000052010000}"/>
    <cellStyle name="Normal 3_6. Rate Rider Calculations" xfId="404" xr:uid="{00000000-0005-0000-0000-000053010000}"/>
    <cellStyle name="Normal 30" xfId="203" xr:uid="{00000000-0005-0000-0000-000054010000}"/>
    <cellStyle name="Normal 31" xfId="205" xr:uid="{00000000-0005-0000-0000-000055010000}"/>
    <cellStyle name="Normal 32" xfId="223" xr:uid="{00000000-0005-0000-0000-000056010000}"/>
    <cellStyle name="Normal 34" xfId="216" xr:uid="{00000000-0005-0000-0000-000057010000}"/>
    <cellStyle name="Normal 35" xfId="225" xr:uid="{00000000-0005-0000-0000-000058010000}"/>
    <cellStyle name="Normal 37" xfId="220" xr:uid="{00000000-0005-0000-0000-000059010000}"/>
    <cellStyle name="Normal 38" xfId="218" xr:uid="{00000000-0005-0000-0000-00005A010000}"/>
    <cellStyle name="Normal 4" xfId="118" xr:uid="{00000000-0005-0000-0000-00005B010000}"/>
    <cellStyle name="Normal 4 2" xfId="160" xr:uid="{00000000-0005-0000-0000-00005C010000}"/>
    <cellStyle name="Normal 4 2 2" xfId="317" xr:uid="{00000000-0005-0000-0000-00005D010000}"/>
    <cellStyle name="Normal 4 2_6. Rate Rider Calculations" xfId="407" xr:uid="{00000000-0005-0000-0000-00005E010000}"/>
    <cellStyle name="Normal 4 3" xfId="293" xr:uid="{00000000-0005-0000-0000-00005F010000}"/>
    <cellStyle name="Normal 4 4" xfId="434" xr:uid="{00000000-0005-0000-0000-000060010000}"/>
    <cellStyle name="Normal 4_6. Rate Rider Calculations" xfId="406" xr:uid="{00000000-0005-0000-0000-000061010000}"/>
    <cellStyle name="Normal 41" xfId="204" xr:uid="{00000000-0005-0000-0000-000062010000}"/>
    <cellStyle name="Normal 42" xfId="206" xr:uid="{00000000-0005-0000-0000-000063010000}"/>
    <cellStyle name="Normal 44" xfId="222" xr:uid="{00000000-0005-0000-0000-000064010000}"/>
    <cellStyle name="Normal 45" xfId="224" xr:uid="{00000000-0005-0000-0000-000065010000}"/>
    <cellStyle name="Normal 46" xfId="217" xr:uid="{00000000-0005-0000-0000-000066010000}"/>
    <cellStyle name="Normal 48" xfId="221" xr:uid="{00000000-0005-0000-0000-000067010000}"/>
    <cellStyle name="Normal 49" xfId="219" xr:uid="{00000000-0005-0000-0000-000068010000}"/>
    <cellStyle name="Normal 5" xfId="119" xr:uid="{00000000-0005-0000-0000-000069010000}"/>
    <cellStyle name="Normal 5 2" xfId="161" xr:uid="{00000000-0005-0000-0000-00006A010000}"/>
    <cellStyle name="Normal 5 2 2" xfId="318" xr:uid="{00000000-0005-0000-0000-00006B010000}"/>
    <cellStyle name="Normal 5 2 3" xfId="442" xr:uid="{00000000-0005-0000-0000-00006C010000}"/>
    <cellStyle name="Normal 5 2_6. Rate Rider Calculations" xfId="409" xr:uid="{00000000-0005-0000-0000-00006D010000}"/>
    <cellStyle name="Normal 5 3" xfId="294" xr:uid="{00000000-0005-0000-0000-00006E010000}"/>
    <cellStyle name="Normal 5 4" xfId="435" xr:uid="{00000000-0005-0000-0000-00006F010000}"/>
    <cellStyle name="Normal 5_6. Rate Rider Calculations" xfId="408" xr:uid="{00000000-0005-0000-0000-000070010000}"/>
    <cellStyle name="Normal 50" xfId="226" xr:uid="{00000000-0005-0000-0000-000071010000}"/>
    <cellStyle name="Normal 51" xfId="227" xr:uid="{00000000-0005-0000-0000-000072010000}"/>
    <cellStyle name="Normal 52" xfId="228" xr:uid="{00000000-0005-0000-0000-000073010000}"/>
    <cellStyle name="Normal 53" xfId="229" xr:uid="{00000000-0005-0000-0000-000074010000}"/>
    <cellStyle name="Normal 54" xfId="232" xr:uid="{00000000-0005-0000-0000-000075010000}"/>
    <cellStyle name="Normal 55" xfId="233" xr:uid="{00000000-0005-0000-0000-000076010000}"/>
    <cellStyle name="Normal 56" xfId="235" xr:uid="{00000000-0005-0000-0000-000077010000}"/>
    <cellStyle name="Normal 57" xfId="236" xr:uid="{00000000-0005-0000-0000-000078010000}"/>
    <cellStyle name="Normal 58" xfId="234" xr:uid="{00000000-0005-0000-0000-000079010000}"/>
    <cellStyle name="Normal 59" xfId="237" xr:uid="{00000000-0005-0000-0000-00007A010000}"/>
    <cellStyle name="Normal 6" xfId="251" xr:uid="{00000000-0005-0000-0000-00007B010000}"/>
    <cellStyle name="Normal 6 2" xfId="325" xr:uid="{00000000-0005-0000-0000-00007C010000}"/>
    <cellStyle name="Normal 6 3" xfId="439" xr:uid="{00000000-0005-0000-0000-00007D010000}"/>
    <cellStyle name="Normal 6_6. Rate Rider Calculations" xfId="410" xr:uid="{00000000-0005-0000-0000-00007E010000}"/>
    <cellStyle name="Normal 60" xfId="230" xr:uid="{00000000-0005-0000-0000-00007F010000}"/>
    <cellStyle name="Normal 61" xfId="231" xr:uid="{00000000-0005-0000-0000-000080010000}"/>
    <cellStyle name="Normal 62" xfId="243" xr:uid="{00000000-0005-0000-0000-000081010000}"/>
    <cellStyle name="Normal 63" xfId="244" xr:uid="{00000000-0005-0000-0000-000082010000}"/>
    <cellStyle name="Normal 65" xfId="238" xr:uid="{00000000-0005-0000-0000-000083010000}"/>
    <cellStyle name="Normal 66" xfId="239" xr:uid="{00000000-0005-0000-0000-000084010000}"/>
    <cellStyle name="Normal 67" xfId="240" xr:uid="{00000000-0005-0000-0000-000085010000}"/>
    <cellStyle name="Normal 68" xfId="245" xr:uid="{00000000-0005-0000-0000-000086010000}"/>
    <cellStyle name="Normal 7" xfId="255" xr:uid="{00000000-0005-0000-0000-000087010000}"/>
    <cellStyle name="Normal 7 2" xfId="329" xr:uid="{00000000-0005-0000-0000-000088010000}"/>
    <cellStyle name="Normal 7_6. Rate Rider Calculations" xfId="411" xr:uid="{00000000-0005-0000-0000-000089010000}"/>
    <cellStyle name="Normal 70" xfId="242" xr:uid="{00000000-0005-0000-0000-00008A010000}"/>
    <cellStyle name="Normal 71" xfId="241" xr:uid="{00000000-0005-0000-0000-00008B010000}"/>
    <cellStyle name="Normal 8" xfId="265" xr:uid="{00000000-0005-0000-0000-00008C010000}"/>
    <cellStyle name="Normal 9" xfId="270" xr:uid="{00000000-0005-0000-0000-00008D010000}"/>
    <cellStyle name="Normal_6. Cost Allocation for Def-Var" xfId="69" xr:uid="{00000000-0005-0000-0000-00008E010000}"/>
    <cellStyle name="Normal_6. Rate Rider Calculations" xfId="395" xr:uid="{00000000-0005-0000-0000-00008F010000}"/>
    <cellStyle name="Normal_6.2 CBR B" xfId="361" xr:uid="{00000000-0005-0000-0000-000090010000}"/>
    <cellStyle name="Normal_Sheet7" xfId="70" xr:uid="{00000000-0005-0000-0000-000091010000}"/>
    <cellStyle name="Note" xfId="50" builtinId="10" customBuiltin="1"/>
    <cellStyle name="Note 2" xfId="120" xr:uid="{00000000-0005-0000-0000-000093010000}"/>
    <cellStyle name="Note 2 2" xfId="162" xr:uid="{00000000-0005-0000-0000-000094010000}"/>
    <cellStyle name="Note 2 2 2" xfId="319" xr:uid="{00000000-0005-0000-0000-000095010000}"/>
    <cellStyle name="Note 2 3" xfId="295" xr:uid="{00000000-0005-0000-0000-000096010000}"/>
    <cellStyle name="Note 2 4" xfId="436" xr:uid="{00000000-0005-0000-0000-000097010000}"/>
    <cellStyle name="Note 3" xfId="180" xr:uid="{00000000-0005-0000-0000-000098010000}"/>
    <cellStyle name="Note 4" xfId="135" xr:uid="{00000000-0005-0000-0000-000099010000}"/>
    <cellStyle name="Note 5" xfId="451" xr:uid="{00000000-0005-0000-0000-00009A010000}"/>
    <cellStyle name="Output" xfId="51" builtinId="21" customBuiltin="1"/>
    <cellStyle name="Output 2" xfId="121" xr:uid="{00000000-0005-0000-0000-00009C010000}"/>
    <cellStyle name="Percent" xfId="58" builtinId="5"/>
    <cellStyle name="Percent [2]" xfId="52" xr:uid="{00000000-0005-0000-0000-00009E010000}"/>
    <cellStyle name="Percent 10" xfId="184" xr:uid="{00000000-0005-0000-0000-00009F010000}"/>
    <cellStyle name="Percent 10 2" xfId="479" xr:uid="{00000000-0005-0000-0000-0000A0010000}"/>
    <cellStyle name="Percent 10 3" xfId="492" xr:uid="{00000000-0005-0000-0000-0000A1010000}"/>
    <cellStyle name="Percent 11" xfId="168" xr:uid="{00000000-0005-0000-0000-0000A2010000}"/>
    <cellStyle name="Percent 11 2" xfId="480" xr:uid="{00000000-0005-0000-0000-0000A3010000}"/>
    <cellStyle name="Percent 12" xfId="177" xr:uid="{00000000-0005-0000-0000-0000A4010000}"/>
    <cellStyle name="Percent 12 2" xfId="481" xr:uid="{00000000-0005-0000-0000-0000A5010000}"/>
    <cellStyle name="Percent 13" xfId="169" xr:uid="{00000000-0005-0000-0000-0000A6010000}"/>
    <cellStyle name="Percent 13 2" xfId="482" xr:uid="{00000000-0005-0000-0000-0000A7010000}"/>
    <cellStyle name="Percent 14" xfId="176" xr:uid="{00000000-0005-0000-0000-0000A8010000}"/>
    <cellStyle name="Percent 14 2" xfId="483" xr:uid="{00000000-0005-0000-0000-0000A9010000}"/>
    <cellStyle name="Percent 15" xfId="170" xr:uid="{00000000-0005-0000-0000-0000AA010000}"/>
    <cellStyle name="Percent 15 2" xfId="484" xr:uid="{00000000-0005-0000-0000-0000AB010000}"/>
    <cellStyle name="Percent 16" xfId="175" xr:uid="{00000000-0005-0000-0000-0000AC010000}"/>
    <cellStyle name="Percent 16 2" xfId="485" xr:uid="{00000000-0005-0000-0000-0000AD010000}"/>
    <cellStyle name="Percent 17" xfId="171" xr:uid="{00000000-0005-0000-0000-0000AE010000}"/>
    <cellStyle name="Percent 18" xfId="174" xr:uid="{00000000-0005-0000-0000-0000AF010000}"/>
    <cellStyle name="Percent 19" xfId="172" xr:uid="{00000000-0005-0000-0000-0000B0010000}"/>
    <cellStyle name="Percent 2" xfId="122" xr:uid="{00000000-0005-0000-0000-0000B1010000}"/>
    <cellStyle name="Percent 20" xfId="188" xr:uid="{00000000-0005-0000-0000-0000B2010000}"/>
    <cellStyle name="Percent 21" xfId="187" xr:uid="{00000000-0005-0000-0000-0000B3010000}"/>
    <cellStyle name="Percent 22" xfId="189" xr:uid="{00000000-0005-0000-0000-0000B4010000}"/>
    <cellStyle name="Percent 23" xfId="185" xr:uid="{00000000-0005-0000-0000-0000B5010000}"/>
    <cellStyle name="Percent 24" xfId="165" xr:uid="{00000000-0005-0000-0000-0000B6010000}"/>
    <cellStyle name="Percent 25" xfId="167" xr:uid="{00000000-0005-0000-0000-0000B7010000}"/>
    <cellStyle name="Percent 26" xfId="173" xr:uid="{00000000-0005-0000-0000-0000B8010000}"/>
    <cellStyle name="Percent 27" xfId="178" xr:uid="{00000000-0005-0000-0000-0000B9010000}"/>
    <cellStyle name="Percent 28" xfId="190" xr:uid="{00000000-0005-0000-0000-0000BA010000}"/>
    <cellStyle name="Percent 29" xfId="136" xr:uid="{00000000-0005-0000-0000-0000BB010000}"/>
    <cellStyle name="Percent 3" xfId="123" xr:uid="{00000000-0005-0000-0000-0000BC010000}"/>
    <cellStyle name="Percent 3 2" xfId="163" xr:uid="{00000000-0005-0000-0000-0000BD010000}"/>
    <cellStyle name="Percent 3 2 2" xfId="320" xr:uid="{00000000-0005-0000-0000-0000BE010000}"/>
    <cellStyle name="Percent 3 2 3" xfId="443" xr:uid="{00000000-0005-0000-0000-0000BF010000}"/>
    <cellStyle name="Percent 3 3" xfId="296" xr:uid="{00000000-0005-0000-0000-0000C0010000}"/>
    <cellStyle name="Percent 3 4" xfId="437" xr:uid="{00000000-0005-0000-0000-0000C1010000}"/>
    <cellStyle name="Percent 30" xfId="129" xr:uid="{00000000-0005-0000-0000-0000C2010000}"/>
    <cellStyle name="Percent 31" xfId="156" xr:uid="{00000000-0005-0000-0000-0000C3010000}"/>
    <cellStyle name="Percent 32" xfId="155" xr:uid="{00000000-0005-0000-0000-0000C4010000}"/>
    <cellStyle name="Percent 33" xfId="132" xr:uid="{00000000-0005-0000-0000-0000C5010000}"/>
    <cellStyle name="Percent 34" xfId="193" xr:uid="{00000000-0005-0000-0000-0000C6010000}"/>
    <cellStyle name="Percent 35" xfId="138" xr:uid="{00000000-0005-0000-0000-0000C7010000}"/>
    <cellStyle name="Percent 36" xfId="195" xr:uid="{00000000-0005-0000-0000-0000C8010000}"/>
    <cellStyle name="Percent 37" xfId="139" xr:uid="{00000000-0005-0000-0000-0000C9010000}"/>
    <cellStyle name="Percent 38" xfId="199" xr:uid="{00000000-0005-0000-0000-0000CA010000}"/>
    <cellStyle name="Percent 39" xfId="152" xr:uid="{00000000-0005-0000-0000-0000CB010000}"/>
    <cellStyle name="Percent 4" xfId="182" xr:uid="{00000000-0005-0000-0000-0000CC010000}"/>
    <cellStyle name="Percent 4 2" xfId="360" xr:uid="{00000000-0005-0000-0000-0000CD010000}"/>
    <cellStyle name="Percent 4 3" xfId="444" xr:uid="{00000000-0005-0000-0000-0000CE010000}"/>
    <cellStyle name="Percent 40" xfId="133" xr:uid="{00000000-0005-0000-0000-0000CF010000}"/>
    <cellStyle name="Percent 41" xfId="194" xr:uid="{00000000-0005-0000-0000-0000D0010000}"/>
    <cellStyle name="Percent 42" xfId="128" xr:uid="{00000000-0005-0000-0000-0000D1010000}"/>
    <cellStyle name="Percent 43" xfId="200" xr:uid="{00000000-0005-0000-0000-0000D2010000}"/>
    <cellStyle name="Percent 44" xfId="131" xr:uid="{00000000-0005-0000-0000-0000D3010000}"/>
    <cellStyle name="Percent 45" xfId="127" xr:uid="{00000000-0005-0000-0000-0000D4010000}"/>
    <cellStyle name="Percent 46" xfId="191" xr:uid="{00000000-0005-0000-0000-0000D5010000}"/>
    <cellStyle name="Percent 47" xfId="196" xr:uid="{00000000-0005-0000-0000-0000D6010000}"/>
    <cellStyle name="Percent 48" xfId="130" xr:uid="{00000000-0005-0000-0000-0000D7010000}"/>
    <cellStyle name="Percent 49" xfId="253" xr:uid="{00000000-0005-0000-0000-0000D8010000}"/>
    <cellStyle name="Percent 49 2" xfId="327" xr:uid="{00000000-0005-0000-0000-0000D9010000}"/>
    <cellStyle name="Percent 5" xfId="164" xr:uid="{00000000-0005-0000-0000-0000DA010000}"/>
    <cellStyle name="Percent 5 2" xfId="364" xr:uid="{00000000-0005-0000-0000-0000DB010000}"/>
    <cellStyle name="Percent 5 3" xfId="468" xr:uid="{00000000-0005-0000-0000-0000DC010000}"/>
    <cellStyle name="Percent 50" xfId="257" xr:uid="{00000000-0005-0000-0000-0000DD010000}"/>
    <cellStyle name="Percent 50 2" xfId="331" xr:uid="{00000000-0005-0000-0000-0000DE010000}"/>
    <cellStyle name="Percent 51" xfId="271" xr:uid="{00000000-0005-0000-0000-0000DF010000}"/>
    <cellStyle name="Percent 52" xfId="274" xr:uid="{00000000-0005-0000-0000-0000E0010000}"/>
    <cellStyle name="Percent 53" xfId="266" xr:uid="{00000000-0005-0000-0000-0000E1010000}"/>
    <cellStyle name="Percent 54" xfId="344" xr:uid="{00000000-0005-0000-0000-0000E2010000}"/>
    <cellStyle name="Percent 54 2" xfId="491" xr:uid="{00000000-0005-0000-0000-0000E3010000}"/>
    <cellStyle name="Percent 55" xfId="415" xr:uid="{00000000-0005-0000-0000-0000E4010000}"/>
    <cellStyle name="Percent 6" xfId="179" xr:uid="{00000000-0005-0000-0000-0000E5010000}"/>
    <cellStyle name="Percent 6 2" xfId="473" xr:uid="{00000000-0005-0000-0000-0000E6010000}"/>
    <cellStyle name="Percent 7" xfId="186" xr:uid="{00000000-0005-0000-0000-0000E7010000}"/>
    <cellStyle name="Percent 7 2" xfId="474" xr:uid="{00000000-0005-0000-0000-0000E8010000}"/>
    <cellStyle name="Percent 8" xfId="181" xr:uid="{00000000-0005-0000-0000-0000E9010000}"/>
    <cellStyle name="Percent 8 2" xfId="471" xr:uid="{00000000-0005-0000-0000-0000EA010000}"/>
    <cellStyle name="Percent 9" xfId="166" xr:uid="{00000000-0005-0000-0000-0000EB010000}"/>
    <cellStyle name="Percent 9 2" xfId="477" xr:uid="{00000000-0005-0000-0000-0000EC010000}"/>
    <cellStyle name="Title" xfId="53" builtinId="15" customBuiltin="1"/>
    <cellStyle name="Title 2" xfId="124" xr:uid="{00000000-0005-0000-0000-0000EE010000}"/>
    <cellStyle name="Total" xfId="54" builtinId="25" customBuiltin="1"/>
    <cellStyle name="Total 2" xfId="125" xr:uid="{00000000-0005-0000-0000-0000F0010000}"/>
    <cellStyle name="Warning Text" xfId="55" builtinId="11" customBuiltin="1"/>
    <cellStyle name="Warning Text 2" xfId="126" xr:uid="{00000000-0005-0000-0000-0000F2010000}"/>
  </cellStyles>
  <dxfs count="140">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6" tint="0.79998168889431442"/>
        </patternFill>
      </fill>
    </dxf>
    <dxf>
      <fill>
        <patternFill>
          <bgColor theme="0" tint="-0.24994659260841701"/>
        </patternFill>
      </fill>
    </dxf>
    <dxf>
      <fill>
        <patternFill>
          <bgColor theme="6" tint="0.79998168889431442"/>
        </patternFill>
      </fill>
    </dxf>
    <dxf>
      <fill>
        <patternFill>
          <bgColor theme="0" tint="-0.24994659260841701"/>
        </patternFill>
      </fill>
    </dxf>
    <dxf>
      <fill>
        <patternFill>
          <bgColor theme="6" tint="0.7999816888943144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mruColors>
      <color rgb="FFA6A6A6"/>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fmlaLink="CC68" lockText="1" noThreeD="1"/>
</file>

<file path=xl/ctrlProps/ctrlProp10.xml><?xml version="1.0" encoding="utf-8"?>
<formControlPr xmlns="http://schemas.microsoft.com/office/spreadsheetml/2009/9/main" objectType="CheckBox" fmlaLink="CC65" lockText="1" noThreeD="1"/>
</file>

<file path=xl/ctrlProps/ctrlProp11.xml><?xml version="1.0" encoding="utf-8"?>
<formControlPr xmlns="http://schemas.microsoft.com/office/spreadsheetml/2009/9/main" objectType="CheckBox" fmlaLink="CC66" lockText="1" noThreeD="1"/>
</file>

<file path=xl/ctrlProps/ctrlProp12.xml><?xml version="1.0" encoding="utf-8"?>
<formControlPr xmlns="http://schemas.microsoft.com/office/spreadsheetml/2009/9/main" objectType="CheckBox" fmlaLink="CC69" lockText="1" noThreeD="1"/>
</file>

<file path=xl/ctrlProps/ctrlProp13.xml><?xml version="1.0" encoding="utf-8"?>
<formControlPr xmlns="http://schemas.microsoft.com/office/spreadsheetml/2009/9/main" objectType="CheckBox" fmlaLink="CC70" lockText="1" noThreeD="1"/>
</file>

<file path=xl/ctrlProps/ctrlProp14.xml><?xml version="1.0" encoding="utf-8"?>
<formControlPr xmlns="http://schemas.microsoft.com/office/spreadsheetml/2009/9/main" objectType="CheckBox" fmlaLink="CC67" lockText="1" noThreeD="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2.xml><?xml version="1.0" encoding="utf-8"?>
<formControlPr xmlns="http://schemas.microsoft.com/office/spreadsheetml/2009/9/main" objectType="Drop" dropStyle="combo" dx="26" fmlaLink="$F$1" fmlaRange="$B$23:$B$38" noThreeD="1" sel="16" val="8"/>
</file>

<file path=xl/ctrlProps/ctrlProp3.xml><?xml version="1.0" encoding="utf-8"?>
<formControlPr xmlns="http://schemas.microsoft.com/office/spreadsheetml/2009/9/main" objectType="CheckBox" fmlaLink="CC58" lockText="1" noThreeD="1"/>
</file>

<file path=xl/ctrlProps/ctrlProp4.xml><?xml version="1.0" encoding="utf-8"?>
<formControlPr xmlns="http://schemas.microsoft.com/office/spreadsheetml/2009/9/main" objectType="CheckBox" fmlaLink="CC59" lockText="1" noThreeD="1"/>
</file>

<file path=xl/ctrlProps/ctrlProp5.xml><?xml version="1.0" encoding="utf-8"?>
<formControlPr xmlns="http://schemas.microsoft.com/office/spreadsheetml/2009/9/main" objectType="CheckBox" fmlaLink="CC60" lockText="1" noThreeD="1"/>
</file>

<file path=xl/ctrlProps/ctrlProp6.xml><?xml version="1.0" encoding="utf-8"?>
<formControlPr xmlns="http://schemas.microsoft.com/office/spreadsheetml/2009/9/main" objectType="CheckBox" fmlaLink="CC61" lockText="1" noThreeD="1"/>
</file>

<file path=xl/ctrlProps/ctrlProp7.xml><?xml version="1.0" encoding="utf-8"?>
<formControlPr xmlns="http://schemas.microsoft.com/office/spreadsheetml/2009/9/main" objectType="CheckBox" fmlaLink="CC62" lockText="1" noThreeD="1"/>
</file>

<file path=xl/ctrlProps/ctrlProp8.xml><?xml version="1.0" encoding="utf-8"?>
<formControlPr xmlns="http://schemas.microsoft.com/office/spreadsheetml/2009/9/main" objectType="CheckBox" fmlaLink="CC63" lockText="1" noThreeD="1"/>
</file>

<file path=xl/ctrlProps/ctrlProp9.xml><?xml version="1.0" encoding="utf-8"?>
<formControlPr xmlns="http://schemas.microsoft.com/office/spreadsheetml/2009/9/main" objectType="CheckBox" fmlaLink="CC64"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9524</xdr:colOff>
      <xdr:row>0</xdr:row>
      <xdr:rowOff>28575</xdr:rowOff>
    </xdr:from>
    <xdr:to>
      <xdr:col>5</xdr:col>
      <xdr:colOff>3086100</xdr:colOff>
      <xdr:row>10</xdr:row>
      <xdr:rowOff>1</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4" y="28575"/>
          <a:ext cx="8724901" cy="1685926"/>
        </a:xfrm>
        <a:prstGeom prst="rect">
          <a:avLst/>
        </a:prstGeom>
        <a:ln>
          <a:noFill/>
        </a:ln>
        <a:effectLst>
          <a:softEdge rad="112500"/>
        </a:effectLst>
      </xdr:spPr>
    </xdr:pic>
    <xdr:clientData/>
  </xdr:twoCellAnchor>
  <xdr:twoCellAnchor>
    <xdr:from>
      <xdr:col>0</xdr:col>
      <xdr:colOff>0</xdr:colOff>
      <xdr:row>5</xdr:row>
      <xdr:rowOff>19050</xdr:rowOff>
    </xdr:from>
    <xdr:to>
      <xdr:col>5</xdr:col>
      <xdr:colOff>2276475</xdr:colOff>
      <xdr:row>8</xdr:row>
      <xdr:rowOff>66675</xdr:rowOff>
    </xdr:to>
    <xdr:sp macro="" textlink="">
      <xdr:nvSpPr>
        <xdr:cNvPr id="7" name="Rectangle 6">
          <a:extLst>
            <a:ext uri="{FF2B5EF4-FFF2-40B4-BE49-F238E27FC236}">
              <a16:creationId xmlns:a16="http://schemas.microsoft.com/office/drawing/2014/main" id="{00000000-0008-0000-0200-000007000000}"/>
            </a:ext>
          </a:extLst>
        </xdr:cNvPr>
        <xdr:cNvSpPr/>
      </xdr:nvSpPr>
      <xdr:spPr>
        <a:xfrm>
          <a:off x="0" y="876300"/>
          <a:ext cx="7924800" cy="56197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2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666750</xdr:colOff>
      <xdr:row>1</xdr:row>
      <xdr:rowOff>57150</xdr:rowOff>
    </xdr:from>
    <xdr:to>
      <xdr:col>2</xdr:col>
      <xdr:colOff>1964089</xdr:colOff>
      <xdr:row>3</xdr:row>
      <xdr:rowOff>50500</xdr:rowOff>
    </xdr:to>
    <xdr:sp macro="" textlink="">
      <xdr:nvSpPr>
        <xdr:cNvPr id="8" name="Rectangle 7">
          <a:extLst>
            <a:ext uri="{FF2B5EF4-FFF2-40B4-BE49-F238E27FC236}">
              <a16:creationId xmlns:a16="http://schemas.microsoft.com/office/drawing/2014/main" id="{00000000-0008-0000-0200-000008000000}"/>
            </a:ext>
          </a:extLst>
        </xdr:cNvPr>
        <xdr:cNvSpPr/>
      </xdr:nvSpPr>
      <xdr:spPr>
        <a:xfrm>
          <a:off x="666750" y="228600"/>
          <a:ext cx="267846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190500</xdr:colOff>
      <xdr:row>1</xdr:row>
      <xdr:rowOff>76200</xdr:rowOff>
    </xdr:from>
    <xdr:to>
      <xdr:col>0</xdr:col>
      <xdr:colOff>579782</xdr:colOff>
      <xdr:row>3</xdr:row>
      <xdr:rowOff>111445</xdr:rowOff>
    </xdr:to>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0500" y="247650"/>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47625</xdr:rowOff>
    </xdr:from>
    <xdr:to>
      <xdr:col>7</xdr:col>
      <xdr:colOff>0</xdr:colOff>
      <xdr:row>13</xdr:row>
      <xdr:rowOff>43391</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47625"/>
          <a:ext cx="14973300" cy="2129366"/>
          <a:chOff x="200024" y="4536847"/>
          <a:chExt cx="8857420" cy="1915766"/>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536847"/>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B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pic>
        <xdr:nvPicPr>
          <xdr:cNvPr id="6" name="Picture 5">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B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xdr:col>
      <xdr:colOff>361950</xdr:colOff>
      <xdr:row>3</xdr:row>
      <xdr:rowOff>152400</xdr:rowOff>
    </xdr:from>
    <xdr:to>
      <xdr:col>3</xdr:col>
      <xdr:colOff>752474</xdr:colOff>
      <xdr:row>7</xdr:row>
      <xdr:rowOff>51329</xdr:rowOff>
    </xdr:to>
    <xdr:sp macro="" textlink="">
      <xdr:nvSpPr>
        <xdr:cNvPr id="8" name="Rectangle 7">
          <a:extLst>
            <a:ext uri="{FF2B5EF4-FFF2-40B4-BE49-F238E27FC236}">
              <a16:creationId xmlns:a16="http://schemas.microsoft.com/office/drawing/2014/main" id="{00000000-0008-0000-0B00-000008000000}"/>
            </a:ext>
          </a:extLst>
        </xdr:cNvPr>
        <xdr:cNvSpPr/>
      </xdr:nvSpPr>
      <xdr:spPr>
        <a:xfrm>
          <a:off x="4086225" y="638175"/>
          <a:ext cx="3971924"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0</xdr:rowOff>
    </xdr:from>
    <xdr:to>
      <xdr:col>7</xdr:col>
      <xdr:colOff>403412</xdr:colOff>
      <xdr:row>10</xdr:row>
      <xdr:rowOff>28575</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1" y="0"/>
          <a:ext cx="11119036" cy="1933575"/>
          <a:chOff x="200024" y="4499942"/>
          <a:chExt cx="8857420" cy="1915766"/>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C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C00-000005000000}"/>
              </a:ext>
            </a:extLst>
          </xdr:cNvPr>
          <xdr:cNvSpPr/>
        </xdr:nvSpPr>
        <xdr:spPr>
          <a:xfrm>
            <a:off x="337235" y="52015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CA" sz="3600" b="1" i="0" u="none" strike="noStrike" kern="0" cap="none" spc="0" normalizeH="0" baseline="0" noProof="0">
                <a:ln w="11430">
                  <a:solidFill>
                    <a:prstClr val="black">
                      <a:lumMod val="95000"/>
                      <a:lumOff val="5000"/>
                    </a:prstClr>
                  </a:solidFill>
                </a:ln>
                <a:solidFill>
                  <a:prstClr val="black"/>
                </a:solidFill>
                <a:effectLst>
                  <a:outerShdw blurRad="60007" dist="200025" dir="15000000" sy="30000" kx="-1800000" algn="bl" rotWithShape="0">
                    <a:prstClr val="black">
                      <a:alpha val="32000"/>
                    </a:prstClr>
                  </a:outerShdw>
                </a:effectLst>
                <a:uLnTx/>
                <a:uFillTx/>
                <a:latin typeface="+mn-lt"/>
                <a:ea typeface="+mn-ea"/>
                <a:cs typeface="+mn-cs"/>
              </a:rPr>
              <a:t>2023 Deferral/Variance Account Workform</a:t>
            </a:r>
          </a:p>
        </xdr:txBody>
      </xdr:sp>
      <xdr:pic>
        <xdr:nvPicPr>
          <xdr:cNvPr id="6" name="Picture 5">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C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19049</xdr:colOff>
      <xdr:row>0</xdr:row>
      <xdr:rowOff>0</xdr:rowOff>
    </xdr:from>
    <xdr:to>
      <xdr:col>8</xdr:col>
      <xdr:colOff>419099</xdr:colOff>
      <xdr:row>12</xdr:row>
      <xdr:rowOff>55074</xdr:rowOff>
    </xdr:to>
    <xdr:pic>
      <xdr:nvPicPr>
        <xdr:cNvPr id="6" name="Picture 5">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9049" y="0"/>
          <a:ext cx="8334375" cy="1998174"/>
        </a:xfrm>
        <a:prstGeom prst="rect">
          <a:avLst/>
        </a:prstGeom>
        <a:ln>
          <a:noFill/>
        </a:ln>
        <a:effectLst>
          <a:softEdge rad="112500"/>
        </a:effectLst>
      </xdr:spPr>
    </xdr:pic>
    <xdr:clientData/>
  </xdr:twoCellAnchor>
  <xdr:twoCellAnchor>
    <xdr:from>
      <xdr:col>0</xdr:col>
      <xdr:colOff>327711</xdr:colOff>
      <xdr:row>4</xdr:row>
      <xdr:rowOff>53861</xdr:rowOff>
    </xdr:from>
    <xdr:to>
      <xdr:col>8</xdr:col>
      <xdr:colOff>171450</xdr:colOff>
      <xdr:row>7</xdr:row>
      <xdr:rowOff>114715</xdr:rowOff>
    </xdr:to>
    <xdr:sp macro="" textlink="">
      <xdr:nvSpPr>
        <xdr:cNvPr id="7" name="Rectangle 6">
          <a:extLst>
            <a:ext uri="{FF2B5EF4-FFF2-40B4-BE49-F238E27FC236}">
              <a16:creationId xmlns:a16="http://schemas.microsoft.com/office/drawing/2014/main" id="{00000000-0008-0000-0D00-000007000000}"/>
            </a:ext>
          </a:extLst>
        </xdr:cNvPr>
        <xdr:cNvSpPr/>
      </xdr:nvSpPr>
      <xdr:spPr>
        <a:xfrm>
          <a:off x="327711" y="701561"/>
          <a:ext cx="7778064"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CA" sz="3600" b="1" i="0" u="none" strike="noStrike" kern="0" cap="none" spc="0" normalizeH="0" baseline="0" noProof="0">
              <a:ln w="11430">
                <a:solidFill>
                  <a:prstClr val="black">
                    <a:lumMod val="95000"/>
                    <a:lumOff val="5000"/>
                  </a:prstClr>
                </a:solidFill>
              </a:ln>
              <a:solidFill>
                <a:prstClr val="black"/>
              </a:solidFill>
              <a:effectLst>
                <a:outerShdw blurRad="60007" dist="200025" dir="15000000" sy="30000" kx="-1800000" algn="bl" rotWithShape="0">
                  <a:prstClr val="black">
                    <a:alpha val="32000"/>
                  </a:prstClr>
                </a:outerShdw>
              </a:effectLst>
              <a:uLnTx/>
              <a:uFillTx/>
              <a:latin typeface="+mn-lt"/>
              <a:ea typeface="+mn-ea"/>
              <a:cs typeface="+mn-cs"/>
            </a:rPr>
            <a:t>2023 Deferral/Variance Account Workform</a:t>
          </a:r>
        </a:p>
      </xdr:txBody>
    </xdr:sp>
    <xdr:clientData/>
  </xdr:twoCellAnchor>
  <xdr:twoCellAnchor>
    <xdr:from>
      <xdr:col>0</xdr:col>
      <xdr:colOff>224874</xdr:colOff>
      <xdr:row>1</xdr:row>
      <xdr:rowOff>26550</xdr:rowOff>
    </xdr:from>
    <xdr:to>
      <xdr:col>1</xdr:col>
      <xdr:colOff>4556</xdr:colOff>
      <xdr:row>3</xdr:row>
      <xdr:rowOff>80845</xdr:rowOff>
    </xdr:to>
    <xdr:pic>
      <xdr:nvPicPr>
        <xdr:cNvPr id="8" name="Picture 7">
          <a:extLst>
            <a:ext uri="{FF2B5EF4-FFF2-40B4-BE49-F238E27FC236}">
              <a16:creationId xmlns:a16="http://schemas.microsoft.com/office/drawing/2014/main" id="{00000000-0008-0000-0D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2487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565421</xdr:colOff>
      <xdr:row>0</xdr:row>
      <xdr:rowOff>158221</xdr:rowOff>
    </xdr:from>
    <xdr:to>
      <xdr:col>2</xdr:col>
      <xdr:colOff>157785</xdr:colOff>
      <xdr:row>3</xdr:row>
      <xdr:rowOff>8696</xdr:rowOff>
    </xdr:to>
    <xdr:sp macro="" textlink="">
      <xdr:nvSpPr>
        <xdr:cNvPr id="9" name="Rectangle 8">
          <a:extLst>
            <a:ext uri="{FF2B5EF4-FFF2-40B4-BE49-F238E27FC236}">
              <a16:creationId xmlns:a16="http://schemas.microsoft.com/office/drawing/2014/main" id="{00000000-0008-0000-0D00-000009000000}"/>
            </a:ext>
          </a:extLst>
        </xdr:cNvPr>
        <xdr:cNvSpPr/>
      </xdr:nvSpPr>
      <xdr:spPr>
        <a:xfrm>
          <a:off x="56542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8</xdr:col>
      <xdr:colOff>733425</xdr:colOff>
      <xdr:row>150</xdr:row>
      <xdr:rowOff>123826</xdr:rowOff>
    </xdr:from>
    <xdr:to>
      <xdr:col>18</xdr:col>
      <xdr:colOff>361950</xdr:colOff>
      <xdr:row>154</xdr:row>
      <xdr:rowOff>114300</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8667750" y="18011776"/>
          <a:ext cx="3667125" cy="117157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100" b="0" i="0">
              <a:solidFill>
                <a:schemeClr val="dk1"/>
              </a:solidFill>
              <a:effectLst/>
              <a:latin typeface="+mn-lt"/>
              <a:ea typeface="+mn-ea"/>
              <a:cs typeface="+mn-cs"/>
            </a:rPr>
            <a:t>As per the Board's</a:t>
          </a:r>
          <a:r>
            <a:rPr lang="en-CA" sz="1100" b="0" i="0" baseline="0">
              <a:solidFill>
                <a:schemeClr val="dk1"/>
              </a:solidFill>
              <a:effectLst/>
              <a:latin typeface="+mn-lt"/>
              <a:ea typeface="+mn-ea"/>
              <a:cs typeface="+mn-cs"/>
            </a:rPr>
            <a:t> letter issued July 16, 2015 </a:t>
          </a:r>
          <a:r>
            <a:rPr lang="en-CA" sz="1100" b="0" i="0">
              <a:solidFill>
                <a:schemeClr val="dk1"/>
              </a:solidFill>
              <a:effectLst/>
              <a:latin typeface="+mn-lt"/>
              <a:ea typeface="+mn-ea"/>
              <a:cs typeface="+mn-cs"/>
            </a:rPr>
            <a:t>outlining details regarding the implementation of the transition to fully fixed distribution charges for residential customers,</a:t>
          </a:r>
          <a:r>
            <a:rPr lang="en-CA" sz="1100" b="0" i="0" baseline="0">
              <a:solidFill>
                <a:schemeClr val="dk1"/>
              </a:solidFill>
              <a:effectLst/>
              <a:latin typeface="+mn-lt"/>
              <a:ea typeface="+mn-ea"/>
              <a:cs typeface="+mn-cs"/>
            </a:rPr>
            <a:t> Residential rates for group 2 accounts are to be on a per customer basis.  Please choose "# of customers" for the </a:t>
          </a:r>
          <a:r>
            <a:rPr lang="en-CA" sz="1100" b="1" i="0" baseline="0">
              <a:solidFill>
                <a:schemeClr val="dk1"/>
              </a:solidFill>
              <a:effectLst/>
              <a:latin typeface="+mn-lt"/>
              <a:ea typeface="+mn-ea"/>
              <a:cs typeface="+mn-cs"/>
            </a:rPr>
            <a:t>Residential class.</a:t>
          </a:r>
          <a:endParaRPr lang="en-CA" sz="1100"/>
        </a:p>
      </xdr:txBody>
    </xdr:sp>
    <xdr:clientData/>
  </xdr:twoCellAnchor>
  <xdr:twoCellAnchor>
    <xdr:from>
      <xdr:col>8</xdr:col>
      <xdr:colOff>828675</xdr:colOff>
      <xdr:row>178</xdr:row>
      <xdr:rowOff>209550</xdr:rowOff>
    </xdr:from>
    <xdr:to>
      <xdr:col>18</xdr:col>
      <xdr:colOff>542925</xdr:colOff>
      <xdr:row>185</xdr:row>
      <xdr:rowOff>142875</xdr:rowOff>
    </xdr:to>
    <xdr:sp macro="" textlink="">
      <xdr:nvSpPr>
        <xdr:cNvPr id="10" name="TextBox 9">
          <a:extLst>
            <a:ext uri="{FF2B5EF4-FFF2-40B4-BE49-F238E27FC236}">
              <a16:creationId xmlns:a16="http://schemas.microsoft.com/office/drawing/2014/main" id="{00000000-0008-0000-0D00-00000A000000}"/>
            </a:ext>
          </a:extLst>
        </xdr:cNvPr>
        <xdr:cNvSpPr txBox="1"/>
      </xdr:nvSpPr>
      <xdr:spPr>
        <a:xfrm>
          <a:off x="8763000" y="23298150"/>
          <a:ext cx="3752850" cy="12287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100" b="0" i="0">
              <a:solidFill>
                <a:schemeClr val="dk1"/>
              </a:solidFill>
              <a:effectLst/>
              <a:latin typeface="+mn-lt"/>
              <a:ea typeface="+mn-ea"/>
              <a:cs typeface="+mn-cs"/>
            </a:rPr>
            <a:t>As per the Board's</a:t>
          </a:r>
          <a:r>
            <a:rPr lang="en-CA" sz="1100" b="0" i="0" baseline="0">
              <a:solidFill>
                <a:schemeClr val="dk1"/>
              </a:solidFill>
              <a:effectLst/>
              <a:latin typeface="+mn-lt"/>
              <a:ea typeface="+mn-ea"/>
              <a:cs typeface="+mn-cs"/>
            </a:rPr>
            <a:t> letter issued July 16, 2015 </a:t>
          </a:r>
          <a:r>
            <a:rPr lang="en-CA" sz="1100" b="0" i="0">
              <a:solidFill>
                <a:schemeClr val="dk1"/>
              </a:solidFill>
              <a:effectLst/>
              <a:latin typeface="+mn-lt"/>
              <a:ea typeface="+mn-ea"/>
              <a:cs typeface="+mn-cs"/>
            </a:rPr>
            <a:t>outlining details regarding the implementation of the transition to fully fixed distribution charges for residential customers,</a:t>
          </a:r>
          <a:r>
            <a:rPr lang="en-CA" sz="1100" b="0" i="0" baseline="0">
              <a:solidFill>
                <a:schemeClr val="dk1"/>
              </a:solidFill>
              <a:effectLst/>
              <a:latin typeface="+mn-lt"/>
              <a:ea typeface="+mn-ea"/>
              <a:cs typeface="+mn-cs"/>
            </a:rPr>
            <a:t> Residential rates for group 2 accounts, including Accounts 1575 and 1576 are to be on a per customer basis.  Please choose "# of customers" for the </a:t>
          </a:r>
          <a:r>
            <a:rPr lang="en-CA" sz="1100" b="1" i="0" baseline="0">
              <a:solidFill>
                <a:schemeClr val="dk1"/>
              </a:solidFill>
              <a:effectLst/>
              <a:latin typeface="+mn-lt"/>
              <a:ea typeface="+mn-ea"/>
              <a:cs typeface="+mn-cs"/>
            </a:rPr>
            <a:t>Residential class.</a:t>
          </a:r>
          <a:endParaRPr lang="en-CA" sz="1100"/>
        </a:p>
      </xdr:txBody>
    </xdr:sp>
    <xdr:clientData/>
  </xdr:twoCellAnchor>
  <xdr:twoCellAnchor>
    <xdr:from>
      <xdr:col>8</xdr:col>
      <xdr:colOff>523875</xdr:colOff>
      <xdr:row>99</xdr:row>
      <xdr:rowOff>19051</xdr:rowOff>
    </xdr:from>
    <xdr:to>
      <xdr:col>12</xdr:col>
      <xdr:colOff>542925</xdr:colOff>
      <xdr:row>103</xdr:row>
      <xdr:rowOff>1</xdr:rowOff>
    </xdr:to>
    <xdr:sp macro="" textlink="">
      <xdr:nvSpPr>
        <xdr:cNvPr id="11" name="TextBox 10">
          <a:extLst>
            <a:ext uri="{FF2B5EF4-FFF2-40B4-BE49-F238E27FC236}">
              <a16:creationId xmlns:a16="http://schemas.microsoft.com/office/drawing/2014/main" id="{00000000-0008-0000-0D00-00000B000000}"/>
            </a:ext>
          </a:extLst>
        </xdr:cNvPr>
        <xdr:cNvSpPr txBox="1"/>
      </xdr:nvSpPr>
      <xdr:spPr>
        <a:xfrm>
          <a:off x="9877425" y="18983326"/>
          <a:ext cx="4057650" cy="6286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100"/>
            <a:t>Rate riders for Global Adjustment is to be calculated on the basis of kWh for all classes.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182217</xdr:colOff>
      <xdr:row>76</xdr:row>
      <xdr:rowOff>8266</xdr:rowOff>
    </xdr:from>
    <xdr:to>
      <xdr:col>14</xdr:col>
      <xdr:colOff>157368</xdr:colOff>
      <xdr:row>81</xdr:row>
      <xdr:rowOff>24838</xdr:rowOff>
    </xdr:to>
    <xdr:sp macro="" textlink="">
      <xdr:nvSpPr>
        <xdr:cNvPr id="6" name="Text Box 50">
          <a:extLst>
            <a:ext uri="{FF2B5EF4-FFF2-40B4-BE49-F238E27FC236}">
              <a16:creationId xmlns:a16="http://schemas.microsoft.com/office/drawing/2014/main" id="{00000000-0008-0000-0300-000006000000}"/>
            </a:ext>
          </a:extLst>
        </xdr:cNvPr>
        <xdr:cNvSpPr txBox="1">
          <a:spLocks noChangeArrowheads="1"/>
        </xdr:cNvSpPr>
      </xdr:nvSpPr>
      <xdr:spPr bwMode="auto">
        <a:xfrm>
          <a:off x="182217" y="7123441"/>
          <a:ext cx="8785776" cy="969072"/>
        </a:xfrm>
        <a:prstGeom prst="rect">
          <a:avLst/>
        </a:prstGeom>
        <a:noFill/>
        <a:ln>
          <a:noFill/>
        </a:ln>
        <a:effectLst>
          <a:softEdge rad="31750"/>
        </a:effectLst>
      </xdr:spPr>
      <xdr:txBody>
        <a:bodyPr vertOverflow="clip" wrap="square" lIns="27432" tIns="22860" rIns="0" bIns="0" anchor="t" upright="1"/>
        <a:lstStyle/>
        <a:p>
          <a:pPr rtl="0"/>
          <a:r>
            <a:rPr lang="en-CA" sz="800" b="1" i="1" baseline="0">
              <a:effectLst/>
              <a:latin typeface="Arial" pitchFamily="34" charset="0"/>
              <a:ea typeface="+mn-ea"/>
              <a:cs typeface="Arial" pitchFamily="34" charset="0"/>
            </a:rPr>
            <a:t>This Workbook Model is protected by copyright and is being made available to you solely for the purpose of preparing your rate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or reviewing your draft rate order, you must ensure that the person understands and agrees to the restrictions noted above.</a:t>
          </a:r>
          <a:endParaRPr lang="en-CA" sz="800">
            <a:effectLst/>
            <a:latin typeface="Arial" pitchFamily="34" charset="0"/>
            <a:cs typeface="Arial" pitchFamily="34" charset="0"/>
          </a:endParaRPr>
        </a:p>
      </xdr:txBody>
    </xdr:sp>
    <xdr:clientData/>
  </xdr:twoCellAnchor>
  <xdr:twoCellAnchor>
    <xdr:from>
      <xdr:col>0</xdr:col>
      <xdr:colOff>0</xdr:colOff>
      <xdr:row>0</xdr:row>
      <xdr:rowOff>0</xdr:rowOff>
    </xdr:from>
    <xdr:to>
      <xdr:col>14</xdr:col>
      <xdr:colOff>46795</xdr:colOff>
      <xdr:row>10</xdr:row>
      <xdr:rowOff>10766</xdr:rowOff>
    </xdr:to>
    <xdr:grpSp>
      <xdr:nvGrpSpPr>
        <xdr:cNvPr id="11" name="Group 10">
          <a:extLst>
            <a:ext uri="{FF2B5EF4-FFF2-40B4-BE49-F238E27FC236}">
              <a16:creationId xmlns:a16="http://schemas.microsoft.com/office/drawing/2014/main" id="{00000000-0008-0000-0300-00000B000000}"/>
            </a:ext>
          </a:extLst>
        </xdr:cNvPr>
        <xdr:cNvGrpSpPr/>
      </xdr:nvGrpSpPr>
      <xdr:grpSpPr>
        <a:xfrm>
          <a:off x="0" y="0"/>
          <a:ext cx="9095545" cy="1915766"/>
          <a:chOff x="0" y="0"/>
          <a:chExt cx="8857420" cy="1915766"/>
        </a:xfrm>
      </xdr:grpSpPr>
      <xdr:pic>
        <xdr:nvPicPr>
          <xdr:cNvPr id="7" name="Picture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915766"/>
          </a:xfrm>
          <a:prstGeom prst="rect">
            <a:avLst/>
          </a:prstGeom>
          <a:ln>
            <a:noFill/>
          </a:ln>
          <a:effectLst>
            <a:softEdge rad="112500"/>
          </a:effectLst>
        </xdr:spPr>
      </xdr:pic>
      <xdr:sp macro="" textlink="">
        <xdr:nvSpPr>
          <xdr:cNvPr id="8" name="Rectangle 7">
            <a:extLst>
              <a:ext uri="{FF2B5EF4-FFF2-40B4-BE49-F238E27FC236}">
                <a16:creationId xmlns:a16="http://schemas.microsoft.com/office/drawing/2014/main" id="{00000000-0008-0000-0300-000008000000}"/>
              </a:ext>
            </a:extLst>
          </xdr:cNvPr>
          <xdr:cNvSpPr/>
        </xdr:nvSpPr>
        <xdr:spPr>
          <a:xfrm>
            <a:off x="137211" y="70156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9" name="Picture 8">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0" name="Rectangle 9">
            <a:extLst>
              <a:ext uri="{FF2B5EF4-FFF2-40B4-BE49-F238E27FC236}">
                <a16:creationId xmlns:a16="http://schemas.microsoft.com/office/drawing/2014/main" id="{00000000-0008-0000-0300-00000A000000}"/>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44823</xdr:rowOff>
    </xdr:from>
    <xdr:to>
      <xdr:col>5</xdr:col>
      <xdr:colOff>139053</xdr:colOff>
      <xdr:row>14</xdr:row>
      <xdr:rowOff>22411</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44823"/>
          <a:ext cx="9664053" cy="2244538"/>
        </a:xfrm>
        <a:prstGeom prst="rect">
          <a:avLst/>
        </a:prstGeom>
        <a:ln>
          <a:noFill/>
        </a:ln>
        <a:effectLst>
          <a:softEdge rad="112500"/>
        </a:effectLst>
      </xdr:spPr>
    </xdr:pic>
    <xdr:clientData/>
  </xdr:twoCellAnchor>
  <xdr:twoCellAnchor>
    <xdr:from>
      <xdr:col>1</xdr:col>
      <xdr:colOff>1319894</xdr:colOff>
      <xdr:row>4</xdr:row>
      <xdr:rowOff>6634</xdr:rowOff>
    </xdr:from>
    <xdr:to>
      <xdr:col>2</xdr:col>
      <xdr:colOff>5293180</xdr:colOff>
      <xdr:row>11</xdr:row>
      <xdr:rowOff>98450</xdr:rowOff>
    </xdr:to>
    <xdr:sp macro="" textlink="">
      <xdr:nvSpPr>
        <xdr:cNvPr id="4" name="Rectangle 3">
          <a:extLst>
            <a:ext uri="{FF2B5EF4-FFF2-40B4-BE49-F238E27FC236}">
              <a16:creationId xmlns:a16="http://schemas.microsoft.com/office/drawing/2014/main" id="{00000000-0008-0000-0400-000004000000}"/>
            </a:ext>
          </a:extLst>
        </xdr:cNvPr>
        <xdr:cNvSpPr/>
      </xdr:nvSpPr>
      <xdr:spPr>
        <a:xfrm>
          <a:off x="1319894" y="659777"/>
          <a:ext cx="5429250" cy="123481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0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205824</xdr:colOff>
      <xdr:row>1</xdr:row>
      <xdr:rowOff>26550</xdr:rowOff>
    </xdr:from>
    <xdr:to>
      <xdr:col>0</xdr:col>
      <xdr:colOff>595106</xdr:colOff>
      <xdr:row>3</xdr:row>
      <xdr:rowOff>80845</xdr:rowOff>
    </xdr:to>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0" y="188475"/>
          <a:ext cx="0"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638736</xdr:colOff>
      <xdr:row>1</xdr:row>
      <xdr:rowOff>57369</xdr:rowOff>
    </xdr:from>
    <xdr:to>
      <xdr:col>2</xdr:col>
      <xdr:colOff>2968221</xdr:colOff>
      <xdr:row>3</xdr:row>
      <xdr:rowOff>64726</xdr:rowOff>
    </xdr:to>
    <xdr:sp macro="" textlink="">
      <xdr:nvSpPr>
        <xdr:cNvPr id="6" name="Rectangle 5">
          <a:extLst>
            <a:ext uri="{FF2B5EF4-FFF2-40B4-BE49-F238E27FC236}">
              <a16:creationId xmlns:a16="http://schemas.microsoft.com/office/drawing/2014/main" id="{00000000-0008-0000-0400-000006000000}"/>
            </a:ext>
          </a:extLst>
        </xdr:cNvPr>
        <xdr:cNvSpPr/>
      </xdr:nvSpPr>
      <xdr:spPr>
        <a:xfrm>
          <a:off x="638736" y="219294"/>
          <a:ext cx="4558335" cy="331207"/>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168088</xdr:colOff>
      <xdr:row>1</xdr:row>
      <xdr:rowOff>56029</xdr:rowOff>
    </xdr:from>
    <xdr:to>
      <xdr:col>1</xdr:col>
      <xdr:colOff>557370</xdr:colOff>
      <xdr:row>3</xdr:row>
      <xdr:rowOff>120409</xdr:rowOff>
    </xdr:to>
    <xdr:pic>
      <xdr:nvPicPr>
        <xdr:cNvPr id="44" name="Picture 43">
          <a:extLst>
            <a:ext uri="{FF2B5EF4-FFF2-40B4-BE49-F238E27FC236}">
              <a16:creationId xmlns:a16="http://schemas.microsoft.com/office/drawing/2014/main" id="{00000000-0008-0000-0400-00002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68088" y="217954"/>
          <a:ext cx="389282" cy="388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5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xdr:twoCellAnchor>
    <xdr:from>
      <xdr:col>0</xdr:col>
      <xdr:colOff>0</xdr:colOff>
      <xdr:row>0</xdr:row>
      <xdr:rowOff>44823</xdr:rowOff>
    </xdr:from>
    <xdr:to>
      <xdr:col>5</xdr:col>
      <xdr:colOff>139053</xdr:colOff>
      <xdr:row>14</xdr:row>
      <xdr:rowOff>22411</xdr:rowOff>
    </xdr:to>
    <xdr:pic>
      <xdr:nvPicPr>
        <xdr:cNvPr id="6" name="Pictur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44823"/>
          <a:ext cx="8420200" cy="2173941"/>
        </a:xfrm>
        <a:prstGeom prst="rect">
          <a:avLst/>
        </a:prstGeom>
        <a:ln>
          <a:noFill/>
        </a:ln>
        <a:effectLst>
          <a:softEdge rad="112500"/>
        </a:effectLst>
      </xdr:spPr>
    </xdr:pic>
    <xdr:clientData/>
  </xdr:twoCellAnchor>
  <xdr:twoCellAnchor>
    <xdr:from>
      <xdr:col>0</xdr:col>
      <xdr:colOff>0</xdr:colOff>
      <xdr:row>5</xdr:row>
      <xdr:rowOff>20241</xdr:rowOff>
    </xdr:from>
    <xdr:to>
      <xdr:col>5</xdr:col>
      <xdr:colOff>0</xdr:colOff>
      <xdr:row>12</xdr:row>
      <xdr:rowOff>112057</xdr:rowOff>
    </xdr:to>
    <xdr:sp macro="" textlink="">
      <xdr:nvSpPr>
        <xdr:cNvPr id="7" name="Rectangle 6">
          <a:extLst>
            <a:ext uri="{FF2B5EF4-FFF2-40B4-BE49-F238E27FC236}">
              <a16:creationId xmlns:a16="http://schemas.microsoft.com/office/drawing/2014/main" id="{00000000-0008-0000-0500-000007000000}"/>
            </a:ext>
          </a:extLst>
        </xdr:cNvPr>
        <xdr:cNvSpPr/>
      </xdr:nvSpPr>
      <xdr:spPr>
        <a:xfrm>
          <a:off x="0" y="804653"/>
          <a:ext cx="9525000" cy="1189992"/>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2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205824</xdr:colOff>
      <xdr:row>1</xdr:row>
      <xdr:rowOff>26550</xdr:rowOff>
    </xdr:from>
    <xdr:to>
      <xdr:col>0</xdr:col>
      <xdr:colOff>595106</xdr:colOff>
      <xdr:row>3</xdr:row>
      <xdr:rowOff>80845</xdr:rowOff>
    </xdr:to>
    <xdr:pic>
      <xdr:nvPicPr>
        <xdr:cNvPr id="8" name="Picture 7">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638736</xdr:colOff>
      <xdr:row>1</xdr:row>
      <xdr:rowOff>57369</xdr:rowOff>
    </xdr:from>
    <xdr:to>
      <xdr:col>2</xdr:col>
      <xdr:colOff>2968221</xdr:colOff>
      <xdr:row>3</xdr:row>
      <xdr:rowOff>64726</xdr:rowOff>
    </xdr:to>
    <xdr:sp macro="" textlink="">
      <xdr:nvSpPr>
        <xdr:cNvPr id="9" name="Rectangle 8">
          <a:extLst>
            <a:ext uri="{FF2B5EF4-FFF2-40B4-BE49-F238E27FC236}">
              <a16:creationId xmlns:a16="http://schemas.microsoft.com/office/drawing/2014/main" id="{00000000-0008-0000-0500-000009000000}"/>
            </a:ext>
          </a:extLst>
        </xdr:cNvPr>
        <xdr:cNvSpPr/>
      </xdr:nvSpPr>
      <xdr:spPr>
        <a:xfrm>
          <a:off x="638736" y="214251"/>
          <a:ext cx="4559456" cy="321122"/>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editAs="absolute">
    <xdr:from>
      <xdr:col>1</xdr:col>
      <xdr:colOff>102122</xdr:colOff>
      <xdr:row>47</xdr:row>
      <xdr:rowOff>102117</xdr:rowOff>
    </xdr:from>
    <xdr:to>
      <xdr:col>1</xdr:col>
      <xdr:colOff>1783957</xdr:colOff>
      <xdr:row>73</xdr:row>
      <xdr:rowOff>170172</xdr:rowOff>
    </xdr:to>
    <xdr:sp macro="" textlink="">
      <xdr:nvSpPr>
        <xdr:cNvPr id="24" name="Rounded Rectangle 23">
          <a:extLst>
            <a:ext uri="{FF2B5EF4-FFF2-40B4-BE49-F238E27FC236}">
              <a16:creationId xmlns:a16="http://schemas.microsoft.com/office/drawing/2014/main" id="{00000000-0008-0000-0500-000018000000}"/>
            </a:ext>
          </a:extLst>
        </xdr:cNvPr>
        <xdr:cNvSpPr/>
      </xdr:nvSpPr>
      <xdr:spPr>
        <a:xfrm>
          <a:off x="100855" y="5412438"/>
          <a:ext cx="1680881" cy="545726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r>
            <a:rPr lang="en-CA" sz="1200">
              <a:solidFill>
                <a:schemeClr val="dk1"/>
              </a:solidFill>
              <a:effectLst/>
              <a:latin typeface="Arial" panose="020B0604020202020204" pitchFamily="34" charset="0"/>
              <a:ea typeface="+mn-ea"/>
              <a:cs typeface="Arial" panose="020B0604020202020204" pitchFamily="34" charset="0"/>
            </a:rPr>
            <a:t>Enter the number of utility</a:t>
          </a:r>
          <a:r>
            <a:rPr lang="en-CA" sz="1200" baseline="0">
              <a:solidFill>
                <a:schemeClr val="dk1"/>
              </a:solidFill>
              <a:effectLst/>
              <a:latin typeface="Arial" panose="020B0604020202020204" pitchFamily="34" charset="0"/>
              <a:ea typeface="+mn-ea"/>
              <a:cs typeface="Arial" panose="020B0604020202020204" pitchFamily="34" charset="0"/>
            </a:rPr>
            <a:t> specific Account 1508 sub-accounts that have been previously approved, regardless of whether disposition is being requested. If none, enter 1 and the generic sub-account will still be listed. </a:t>
          </a:r>
        </a:p>
        <a:p>
          <a:endParaRPr lang="en-CA" sz="1200" baseline="0">
            <a:solidFill>
              <a:schemeClr val="dk1"/>
            </a:solidFill>
            <a:effectLst/>
            <a:latin typeface="Arial" panose="020B0604020202020204" pitchFamily="34" charset="0"/>
            <a:ea typeface="+mn-ea"/>
            <a:cs typeface="Arial" panose="020B0604020202020204" pitchFamily="34" charset="0"/>
          </a:endParaRPr>
        </a:p>
        <a:p>
          <a:endParaRPr lang="en-CA" sz="1200" baseline="0">
            <a:solidFill>
              <a:schemeClr val="dk1"/>
            </a:solidFill>
            <a:effectLst/>
            <a:latin typeface="Arial" panose="020B0604020202020204" pitchFamily="34" charset="0"/>
            <a:ea typeface="+mn-ea"/>
            <a:cs typeface="Arial" panose="020B0604020202020204" pitchFamily="34" charset="0"/>
          </a:endParaRPr>
        </a:p>
        <a:p>
          <a:endParaRPr lang="en-CA" sz="1200" baseline="0">
            <a:solidFill>
              <a:schemeClr val="dk1"/>
            </a:solidFill>
            <a:effectLst/>
            <a:latin typeface="Arial" panose="020B0604020202020204" pitchFamily="34" charset="0"/>
            <a:ea typeface="+mn-ea"/>
            <a:cs typeface="Arial" panose="020B0604020202020204" pitchFamily="34" charset="0"/>
          </a:endParaRPr>
        </a:p>
        <a:p>
          <a:r>
            <a:rPr lang="en-CA" sz="1200" baseline="0">
              <a:solidFill>
                <a:schemeClr val="dk1"/>
              </a:solidFill>
              <a:effectLst/>
              <a:latin typeface="Arial" panose="020B0604020202020204" pitchFamily="34" charset="0"/>
              <a:ea typeface="+mn-ea"/>
              <a:cs typeface="Arial" panose="020B0604020202020204" pitchFamily="34" charset="0"/>
            </a:rPr>
            <a:t>Identify and name each sub-account and complete the continuity schedule in the line(s) generated in the continuity schedule. Indicate whether the sub-account is requested for disposition in column BT.</a:t>
          </a:r>
          <a:endParaRPr lang="en-CA" sz="1200">
            <a:effectLst/>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absolute">
        <xdr:from>
          <xdr:col>1</xdr:col>
          <xdr:colOff>276225</xdr:colOff>
          <xdr:row>59</xdr:row>
          <xdr:rowOff>66675</xdr:rowOff>
        </xdr:from>
        <xdr:to>
          <xdr:col>1</xdr:col>
          <xdr:colOff>1028700</xdr:colOff>
          <xdr:row>60</xdr:row>
          <xdr:rowOff>133350</xdr:rowOff>
        </xdr:to>
        <xdr:sp macro="" textlink="">
          <xdr:nvSpPr>
            <xdr:cNvPr id="2082" name="Drop Down 34" hidden="1">
              <a:extLst>
                <a:ext uri="{63B3BB69-23CF-44E3-9099-C40C66FF867C}">
                  <a14:compatExt spid="_x0000_s2082"/>
                </a:ext>
                <a:ext uri="{FF2B5EF4-FFF2-40B4-BE49-F238E27FC236}">
                  <a16:creationId xmlns:a16="http://schemas.microsoft.com/office/drawing/2014/main" id="{00000000-0008-0000-0500-00002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5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5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5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5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5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5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5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5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5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5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5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5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xdr:twoCellAnchor>
    <xdr:from>
      <xdr:col>1</xdr:col>
      <xdr:colOff>168088</xdr:colOff>
      <xdr:row>1</xdr:row>
      <xdr:rowOff>56029</xdr:rowOff>
    </xdr:from>
    <xdr:to>
      <xdr:col>1</xdr:col>
      <xdr:colOff>557370</xdr:colOff>
      <xdr:row>3</xdr:row>
      <xdr:rowOff>120409</xdr:rowOff>
    </xdr:to>
    <xdr:pic>
      <xdr:nvPicPr>
        <xdr:cNvPr id="45" name="Picture 44">
          <a:extLst>
            <a:ext uri="{FF2B5EF4-FFF2-40B4-BE49-F238E27FC236}">
              <a16:creationId xmlns:a16="http://schemas.microsoft.com/office/drawing/2014/main" id="{00000000-0008-0000-0500-00002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68088" y="21291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2</xdr:col>
      <xdr:colOff>80010</xdr:colOff>
      <xdr:row>12</xdr:row>
      <xdr:rowOff>7620</xdr:rowOff>
    </xdr:from>
    <xdr:to>
      <xdr:col>5</xdr:col>
      <xdr:colOff>314330</xdr:colOff>
      <xdr:row>13</xdr:row>
      <xdr:rowOff>144780</xdr:rowOff>
    </xdr:to>
    <xdr:sp macro="" textlink="#REF!">
      <xdr:nvSpPr>
        <xdr:cNvPr id="12302" name="Text Box 14">
          <a:extLst>
            <a:ext uri="{FF2B5EF4-FFF2-40B4-BE49-F238E27FC236}">
              <a16:creationId xmlns:a16="http://schemas.microsoft.com/office/drawing/2014/main" id="{00000000-0008-0000-0600-00000E300000}"/>
            </a:ext>
          </a:extLst>
        </xdr:cNvPr>
        <xdr:cNvSpPr txBox="1">
          <a:spLocks noChangeArrowheads="1" noTextEdit="1"/>
        </xdr:cNvSpPr>
      </xdr:nvSpPr>
      <xdr:spPr bwMode="auto">
        <a:xfrm>
          <a:off x="1127760" y="2019300"/>
          <a:ext cx="8168640" cy="304800"/>
        </a:xfrm>
        <a:prstGeom prst="rect">
          <a:avLst/>
        </a:prstGeom>
        <a:noFill/>
        <a:ln w="9525">
          <a:noFill/>
          <a:miter lim="800000"/>
          <a:headEnd/>
          <a:tailEnd/>
        </a:ln>
      </xdr:spPr>
      <xdr:txBody>
        <a:bodyPr vertOverflow="clip" wrap="square" lIns="36576" tIns="32004" rIns="0" bIns="0" anchor="t" upright="1"/>
        <a:lstStyle/>
        <a:p>
          <a:pPr algn="l" rtl="0">
            <a:defRPr sz="1000"/>
          </a:pPr>
          <a:fld id="{806C0CFF-A928-4D4F-9047-D2845C89EA71}" type="TxLink">
            <a:rPr lang="en-CA" sz="1200" b="1" i="0" u="none" strike="noStrike" baseline="0">
              <a:solidFill>
                <a:srgbClr val="FFFFFF"/>
              </a:solidFill>
              <a:latin typeface="Book Antiqua"/>
              <a:cs typeface="Arial"/>
            </a:rPr>
            <a:pPr algn="l" rtl="0">
              <a:defRPr sz="1000"/>
            </a:pPr>
            <a:t>Canadian Niagara Power Inc. - Eastern Ontario Power</a:t>
          </a:fld>
          <a:endParaRPr lang="en-CA" sz="1200" b="1" i="0" u="none" strike="noStrike" baseline="0">
            <a:solidFill>
              <a:srgbClr val="FFFFFF"/>
            </a:solidFill>
            <a:latin typeface="Book Antiqua"/>
          </a:endParaRPr>
        </a:p>
      </xdr:txBody>
    </xdr:sp>
    <xdr:clientData/>
  </xdr:twoCellAnchor>
  <xdr:twoCellAnchor>
    <xdr:from>
      <xdr:col>0</xdr:col>
      <xdr:colOff>1066800</xdr:colOff>
      <xdr:row>0</xdr:row>
      <xdr:rowOff>0</xdr:rowOff>
    </xdr:from>
    <xdr:to>
      <xdr:col>5</xdr:col>
      <xdr:colOff>381100</xdr:colOff>
      <xdr:row>10</xdr:row>
      <xdr:rowOff>152400</xdr:rowOff>
    </xdr:to>
    <xdr:pic>
      <xdr:nvPicPr>
        <xdr:cNvPr id="7" name="Picture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66800" y="0"/>
          <a:ext cx="9106000" cy="1771650"/>
        </a:xfrm>
        <a:prstGeom prst="rect">
          <a:avLst/>
        </a:prstGeom>
        <a:ln>
          <a:noFill/>
        </a:ln>
        <a:effectLst>
          <a:softEdge rad="112500"/>
        </a:effectLst>
      </xdr:spPr>
    </xdr:pic>
    <xdr:clientData/>
  </xdr:twoCellAnchor>
  <xdr:twoCellAnchor>
    <xdr:from>
      <xdr:col>0</xdr:col>
      <xdr:colOff>442633</xdr:colOff>
      <xdr:row>2</xdr:row>
      <xdr:rowOff>28574</xdr:rowOff>
    </xdr:from>
    <xdr:to>
      <xdr:col>4</xdr:col>
      <xdr:colOff>794497</xdr:colOff>
      <xdr:row>7</xdr:row>
      <xdr:rowOff>131666</xdr:rowOff>
    </xdr:to>
    <xdr:sp macro="" textlink="">
      <xdr:nvSpPr>
        <xdr:cNvPr id="8" name="Rectangle 7">
          <a:extLst>
            <a:ext uri="{FF2B5EF4-FFF2-40B4-BE49-F238E27FC236}">
              <a16:creationId xmlns:a16="http://schemas.microsoft.com/office/drawing/2014/main" id="{00000000-0008-0000-0600-000008000000}"/>
            </a:ext>
          </a:extLst>
        </xdr:cNvPr>
        <xdr:cNvSpPr/>
      </xdr:nvSpPr>
      <xdr:spPr>
        <a:xfrm>
          <a:off x="442633" y="352424"/>
          <a:ext cx="8810064" cy="91271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234399</xdr:colOff>
      <xdr:row>3</xdr:row>
      <xdr:rowOff>33834</xdr:rowOff>
    </xdr:from>
    <xdr:to>
      <xdr:col>2</xdr:col>
      <xdr:colOff>309356</xdr:colOff>
      <xdr:row>7</xdr:row>
      <xdr:rowOff>95250</xdr:rowOff>
    </xdr:to>
    <xdr:pic>
      <xdr:nvPicPr>
        <xdr:cNvPr id="9" name="Picture 8">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320249" y="519609"/>
          <a:ext cx="1075082" cy="7091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146321</xdr:colOff>
      <xdr:row>0</xdr:row>
      <xdr:rowOff>113398</xdr:rowOff>
    </xdr:from>
    <xdr:to>
      <xdr:col>2</xdr:col>
      <xdr:colOff>1724928</xdr:colOff>
      <xdr:row>2</xdr:row>
      <xdr:rowOff>110670</xdr:rowOff>
    </xdr:to>
    <xdr:sp macro="" textlink="">
      <xdr:nvSpPr>
        <xdr:cNvPr id="10" name="Rectangle 9">
          <a:extLst>
            <a:ext uri="{FF2B5EF4-FFF2-40B4-BE49-F238E27FC236}">
              <a16:creationId xmlns:a16="http://schemas.microsoft.com/office/drawing/2014/main" id="{00000000-0008-0000-0600-00000A000000}"/>
            </a:ext>
          </a:extLst>
        </xdr:cNvPr>
        <xdr:cNvSpPr/>
      </xdr:nvSpPr>
      <xdr:spPr>
        <a:xfrm>
          <a:off x="546371" y="113398"/>
          <a:ext cx="2578732" cy="321122"/>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47625</xdr:colOff>
      <xdr:row>0</xdr:row>
      <xdr:rowOff>76200</xdr:rowOff>
    </xdr:from>
    <xdr:to>
      <xdr:col>8</xdr:col>
      <xdr:colOff>371475</xdr:colOff>
      <xdr:row>13</xdr:row>
      <xdr:rowOff>10766</xdr:rowOff>
    </xdr:to>
    <xdr:pic>
      <xdr:nvPicPr>
        <xdr:cNvPr id="6" name="Picture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47625" y="76200"/>
          <a:ext cx="10029825" cy="1915766"/>
        </a:xfrm>
        <a:prstGeom prst="rect">
          <a:avLst/>
        </a:prstGeom>
        <a:ln>
          <a:noFill/>
        </a:ln>
        <a:effectLst>
          <a:softEdge rad="112500"/>
        </a:effectLst>
      </xdr:spPr>
    </xdr:pic>
    <xdr:clientData/>
  </xdr:twoCellAnchor>
  <xdr:twoCellAnchor>
    <xdr:from>
      <xdr:col>0</xdr:col>
      <xdr:colOff>299136</xdr:colOff>
      <xdr:row>4</xdr:row>
      <xdr:rowOff>53861</xdr:rowOff>
    </xdr:from>
    <xdr:to>
      <xdr:col>7</xdr:col>
      <xdr:colOff>798031</xdr:colOff>
      <xdr:row>7</xdr:row>
      <xdr:rowOff>114715</xdr:rowOff>
    </xdr:to>
    <xdr:sp macro="" textlink="">
      <xdr:nvSpPr>
        <xdr:cNvPr id="7" name="Rectangle 6">
          <a:extLst>
            <a:ext uri="{FF2B5EF4-FFF2-40B4-BE49-F238E27FC236}">
              <a16:creationId xmlns:a16="http://schemas.microsoft.com/office/drawing/2014/main" id="{00000000-0008-0000-0700-000007000000}"/>
            </a:ext>
          </a:extLst>
        </xdr:cNvPr>
        <xdr:cNvSpPr/>
      </xdr:nvSpPr>
      <xdr:spPr>
        <a:xfrm>
          <a:off x="299136" y="701561"/>
          <a:ext cx="79188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205824</xdr:colOff>
      <xdr:row>1</xdr:row>
      <xdr:rowOff>26550</xdr:rowOff>
    </xdr:from>
    <xdr:to>
      <xdr:col>0</xdr:col>
      <xdr:colOff>595106</xdr:colOff>
      <xdr:row>3</xdr:row>
      <xdr:rowOff>80845</xdr:rowOff>
    </xdr:to>
    <xdr:pic>
      <xdr:nvPicPr>
        <xdr:cNvPr id="8" name="Picture 7">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60596</xdr:colOff>
      <xdr:row>1</xdr:row>
      <xdr:rowOff>34396</xdr:rowOff>
    </xdr:from>
    <xdr:to>
      <xdr:col>1</xdr:col>
      <xdr:colOff>2643810</xdr:colOff>
      <xdr:row>3</xdr:row>
      <xdr:rowOff>46796</xdr:rowOff>
    </xdr:to>
    <xdr:sp macro="" textlink="">
      <xdr:nvSpPr>
        <xdr:cNvPr id="9" name="Rectangle 8">
          <a:extLst>
            <a:ext uri="{FF2B5EF4-FFF2-40B4-BE49-F238E27FC236}">
              <a16:creationId xmlns:a16="http://schemas.microsoft.com/office/drawing/2014/main" id="{00000000-0008-0000-0700-000009000000}"/>
            </a:ext>
          </a:extLst>
        </xdr:cNvPr>
        <xdr:cNvSpPr/>
      </xdr:nvSpPr>
      <xdr:spPr>
        <a:xfrm>
          <a:off x="670196" y="1963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295275</xdr:colOff>
      <xdr:row>0</xdr:row>
      <xdr:rowOff>0</xdr:rowOff>
    </xdr:from>
    <xdr:to>
      <xdr:col>6</xdr:col>
      <xdr:colOff>484945</xdr:colOff>
      <xdr:row>1</xdr:row>
      <xdr:rowOff>96491</xdr:rowOff>
    </xdr:to>
    <xdr:pic>
      <xdr:nvPicPr>
        <xdr:cNvPr id="6" name="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95275" y="0"/>
          <a:ext cx="9009820" cy="1915766"/>
        </a:xfrm>
        <a:prstGeom prst="rect">
          <a:avLst/>
        </a:prstGeom>
        <a:ln>
          <a:noFill/>
        </a:ln>
        <a:effectLst>
          <a:softEdge rad="112500"/>
        </a:effectLst>
      </xdr:spPr>
    </xdr:pic>
    <xdr:clientData/>
  </xdr:twoCellAnchor>
  <xdr:twoCellAnchor>
    <xdr:from>
      <xdr:col>1</xdr:col>
      <xdr:colOff>61011</xdr:colOff>
      <xdr:row>0</xdr:row>
      <xdr:rowOff>701561</xdr:rowOff>
    </xdr:from>
    <xdr:to>
      <xdr:col>6</xdr:col>
      <xdr:colOff>36031</xdr:colOff>
      <xdr:row>0</xdr:row>
      <xdr:rowOff>1248190</xdr:rowOff>
    </xdr:to>
    <xdr:sp macro="" textlink="">
      <xdr:nvSpPr>
        <xdr:cNvPr id="7" name="Rectangle 6">
          <a:extLst>
            <a:ext uri="{FF2B5EF4-FFF2-40B4-BE49-F238E27FC236}">
              <a16:creationId xmlns:a16="http://schemas.microsoft.com/office/drawing/2014/main" id="{00000000-0008-0000-0800-000007000000}"/>
            </a:ext>
          </a:extLst>
        </xdr:cNvPr>
        <xdr:cNvSpPr/>
      </xdr:nvSpPr>
      <xdr:spPr>
        <a:xfrm>
          <a:off x="137211" y="70156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129624</xdr:colOff>
      <xdr:row>0</xdr:row>
      <xdr:rowOff>188475</xdr:rowOff>
    </xdr:from>
    <xdr:to>
      <xdr:col>1</xdr:col>
      <xdr:colOff>518906</xdr:colOff>
      <xdr:row>0</xdr:row>
      <xdr:rowOff>566620</xdr:rowOff>
    </xdr:to>
    <xdr:pic>
      <xdr:nvPicPr>
        <xdr:cNvPr id="8" name="Picture 7">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470171</xdr:colOff>
      <xdr:row>0</xdr:row>
      <xdr:rowOff>158221</xdr:rowOff>
    </xdr:from>
    <xdr:to>
      <xdr:col>1</xdr:col>
      <xdr:colOff>3053385</xdr:colOff>
      <xdr:row>0</xdr:row>
      <xdr:rowOff>494471</xdr:rowOff>
    </xdr:to>
    <xdr:sp macro="" textlink="">
      <xdr:nvSpPr>
        <xdr:cNvPr id="9" name="Rectangle 8">
          <a:extLst>
            <a:ext uri="{FF2B5EF4-FFF2-40B4-BE49-F238E27FC236}">
              <a16:creationId xmlns:a16="http://schemas.microsoft.com/office/drawing/2014/main" id="{00000000-0008-0000-0800-000009000000}"/>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19050</xdr:colOff>
      <xdr:row>63</xdr:row>
      <xdr:rowOff>361950</xdr:rowOff>
    </xdr:from>
    <xdr:to>
      <xdr:col>25</xdr:col>
      <xdr:colOff>19050</xdr:colOff>
      <xdr:row>63</xdr:row>
      <xdr:rowOff>457200</xdr:rowOff>
    </xdr:to>
    <xdr:sp macro="" textlink="">
      <xdr:nvSpPr>
        <xdr:cNvPr id="2" name="Rectangle 1">
          <a:extLst>
            <a:ext uri="{FF2B5EF4-FFF2-40B4-BE49-F238E27FC236}">
              <a16:creationId xmlns:a16="http://schemas.microsoft.com/office/drawing/2014/main" id="{00000000-0008-0000-0800-000002000000}"/>
            </a:ext>
          </a:extLst>
        </xdr:cNvPr>
        <xdr:cNvSpPr/>
      </xdr:nvSpPr>
      <xdr:spPr bwMode="auto">
        <a:xfrm>
          <a:off x="19050" y="11058525"/>
          <a:ext cx="40233600" cy="9525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4</xdr:col>
      <xdr:colOff>1276350</xdr:colOff>
      <xdr:row>11</xdr:row>
      <xdr:rowOff>47624</xdr:rowOff>
    </xdr:to>
    <xdr:grpSp>
      <xdr:nvGrpSpPr>
        <xdr:cNvPr id="2" name="Group 1">
          <a:extLst>
            <a:ext uri="{FF2B5EF4-FFF2-40B4-BE49-F238E27FC236}">
              <a16:creationId xmlns:a16="http://schemas.microsoft.com/office/drawing/2014/main" id="{00000000-0008-0000-0900-000002000000}"/>
            </a:ext>
          </a:extLst>
        </xdr:cNvPr>
        <xdr:cNvGrpSpPr/>
      </xdr:nvGrpSpPr>
      <xdr:grpSpPr>
        <a:xfrm>
          <a:off x="1" y="0"/>
          <a:ext cx="11810999" cy="2143124"/>
          <a:chOff x="200024" y="4499942"/>
          <a:chExt cx="8891405" cy="1915766"/>
        </a:xfrm>
      </xdr:grpSpPr>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900-000004000000}"/>
              </a:ext>
            </a:extLst>
          </xdr:cNvPr>
          <xdr:cNvSpPr txBox="1"/>
        </xdr:nvSpPr>
        <xdr:spPr>
          <a:xfrm>
            <a:off x="460952" y="526194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pic>
        <xdr:nvPicPr>
          <xdr:cNvPr id="6" name="Picture 5">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46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9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xdr:from>
          <xdr:col>3</xdr:col>
          <xdr:colOff>400050</xdr:colOff>
          <xdr:row>24</xdr:row>
          <xdr:rowOff>19050</xdr:rowOff>
        </xdr:from>
        <xdr:to>
          <xdr:col>3</xdr:col>
          <xdr:colOff>1771650</xdr:colOff>
          <xdr:row>25</xdr:row>
          <xdr:rowOff>0</xdr:rowOff>
        </xdr:to>
        <xdr:sp macro="" textlink="">
          <xdr:nvSpPr>
            <xdr:cNvPr id="34817" name="Button 1" hidden="1">
              <a:extLst>
                <a:ext uri="{63B3BB69-23CF-44E3-9099-C40C66FF867C}">
                  <a14:compatExt spid="_x0000_s34817"/>
                </a:ext>
                <a:ext uri="{FF2B5EF4-FFF2-40B4-BE49-F238E27FC236}">
                  <a16:creationId xmlns:a16="http://schemas.microsoft.com/office/drawing/2014/main" id="{00000000-0008-0000-0900-0000018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cs typeface="Calibri"/>
                </a:rPr>
                <a:t>Clear All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381000</xdr:colOff>
          <xdr:row>486</xdr:row>
          <xdr:rowOff>142875</xdr:rowOff>
        </xdr:from>
        <xdr:to>
          <xdr:col>3</xdr:col>
          <xdr:colOff>1752600</xdr:colOff>
          <xdr:row>486</xdr:row>
          <xdr:rowOff>428625</xdr:rowOff>
        </xdr:to>
        <xdr:sp macro="" textlink="">
          <xdr:nvSpPr>
            <xdr:cNvPr id="34818" name="Button 2" hidden="1">
              <a:extLst>
                <a:ext uri="{63B3BB69-23CF-44E3-9099-C40C66FF867C}">
                  <a14:compatExt spid="_x0000_s34818"/>
                </a:ext>
                <a:ext uri="{FF2B5EF4-FFF2-40B4-BE49-F238E27FC236}">
                  <a16:creationId xmlns:a16="http://schemas.microsoft.com/office/drawing/2014/main" id="{00000000-0008-0000-0900-0000028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cs typeface="Calibri"/>
                </a:rPr>
                <a:t>Clear All</a:t>
              </a:r>
            </a:p>
          </xdr:txBody>
        </xdr:sp>
        <xdr:clientData fPrintsWithSheet="0"/>
      </xdr:twoCellAnchor>
    </mc:Choice>
    <mc:Fallback/>
  </mc:AlternateContent>
  <xdr:twoCellAnchor>
    <xdr:from>
      <xdr:col>1</xdr:col>
      <xdr:colOff>457201</xdr:colOff>
      <xdr:row>3</xdr:row>
      <xdr:rowOff>38100</xdr:rowOff>
    </xdr:from>
    <xdr:to>
      <xdr:col>4</xdr:col>
      <xdr:colOff>151275</xdr:colOff>
      <xdr:row>6</xdr:row>
      <xdr:rowOff>4419</xdr:rowOff>
    </xdr:to>
    <xdr:sp macro="" textlink="">
      <xdr:nvSpPr>
        <xdr:cNvPr id="10" name="Rectangle 9">
          <a:extLst>
            <a:ext uri="{FF2B5EF4-FFF2-40B4-BE49-F238E27FC236}">
              <a16:creationId xmlns:a16="http://schemas.microsoft.com/office/drawing/2014/main" id="{00000000-0008-0000-0900-00000A000000}"/>
            </a:ext>
          </a:extLst>
        </xdr:cNvPr>
        <xdr:cNvSpPr/>
      </xdr:nvSpPr>
      <xdr:spPr>
        <a:xfrm>
          <a:off x="1000126" y="609600"/>
          <a:ext cx="9323849" cy="53781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xdr:colOff>
      <xdr:row>0</xdr:row>
      <xdr:rowOff>0</xdr:rowOff>
    </xdr:from>
    <xdr:to>
      <xdr:col>7</xdr:col>
      <xdr:colOff>1828800</xdr:colOff>
      <xdr:row>10</xdr:row>
      <xdr:rowOff>133350</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1" y="0"/>
          <a:ext cx="12249149" cy="2038350"/>
          <a:chOff x="200024" y="4499942"/>
          <a:chExt cx="8857420" cy="1915766"/>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A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pic>
        <xdr:nvPicPr>
          <xdr:cNvPr id="6" name="Picture 5">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A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0</xdr:col>
      <xdr:colOff>1219201</xdr:colOff>
      <xdr:row>3</xdr:row>
      <xdr:rowOff>95250</xdr:rowOff>
    </xdr:from>
    <xdr:to>
      <xdr:col>3</xdr:col>
      <xdr:colOff>809625</xdr:colOff>
      <xdr:row>6</xdr:row>
      <xdr:rowOff>70379</xdr:rowOff>
    </xdr:to>
    <xdr:sp macro="" textlink="">
      <xdr:nvSpPr>
        <xdr:cNvPr id="8" name="Rectangle 7">
          <a:extLst>
            <a:ext uri="{FF2B5EF4-FFF2-40B4-BE49-F238E27FC236}">
              <a16:creationId xmlns:a16="http://schemas.microsoft.com/office/drawing/2014/main" id="{00000000-0008-0000-0A00-000008000000}"/>
            </a:ext>
          </a:extLst>
        </xdr:cNvPr>
        <xdr:cNvSpPr/>
      </xdr:nvSpPr>
      <xdr:spPr>
        <a:xfrm>
          <a:off x="1219201" y="666750"/>
          <a:ext cx="6038849"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0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FPS01\Home\KwanDo\Work\Rates%20Group\Filing%20Requirements\2020%20Filing%20Requirements\2019_DVA_Continuity_Schedule_CoS.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1.1 Instruction Sheet"/>
      <sheetName val="2a. 2017 Continuity Schedule"/>
      <sheetName val="2b. 2017 Continuity Schedule"/>
      <sheetName val="3. Appendix A"/>
      <sheetName val="4. Billing Determinants"/>
      <sheetName val="5. Allocation of Balances"/>
      <sheetName val="6. Class A Consumption Data"/>
      <sheetName val="6.1a GA Allocation"/>
      <sheetName val="6.2a CBR B Allocation"/>
      <sheetName val="6.2 CBR B"/>
      <sheetName val="7. Rate Rider Calculations"/>
      <sheetName val="Summary Sheet"/>
      <sheetName val="2019_DVA_Continuity_Schedule_Co"/>
    </sheetNames>
    <sheetDataSet>
      <sheetData sheetId="0"/>
      <sheetData sheetId="1"/>
      <sheetData sheetId="2"/>
      <sheetData sheetId="3"/>
      <sheetData sheetId="4"/>
      <sheetData sheetId="5">
        <row r="21">
          <cell r="B21" t="str">
            <v>RESIDENTIAL</v>
          </cell>
        </row>
        <row r="22">
          <cell r="B22" t="str">
            <v>GS &lt;50 KW</v>
          </cell>
        </row>
        <row r="23">
          <cell r="B23" t="str">
            <v>GS 50 TO 4,999 KW</v>
          </cell>
        </row>
        <row r="24">
          <cell r="B24" t="str">
            <v>UNMETERED SCATTERED LOAD</v>
          </cell>
        </row>
        <row r="25">
          <cell r="B25" t="str">
            <v>SENTINEL LIGHTING</v>
          </cell>
        </row>
        <row r="26">
          <cell r="B26" t="str">
            <v>STREET LIGHTING</v>
          </cell>
        </row>
      </sheetData>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9.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4.xml"/><Relationship Id="rId16" Type="http://schemas.openxmlformats.org/officeDocument/2006/relationships/ctrlProp" Target="../ctrlProps/ctrlProp1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B7"/>
  <sheetViews>
    <sheetView workbookViewId="0">
      <selection activeCell="B10" sqref="B10"/>
    </sheetView>
  </sheetViews>
  <sheetFormatPr defaultRowHeight="12.75" x14ac:dyDescent="0.2"/>
  <cols>
    <col min="1" max="1" width="27.28515625" bestFit="1" customWidth="1"/>
  </cols>
  <sheetData>
    <row r="1" spans="1:2" x14ac:dyDescent="0.2">
      <c r="A1" s="37" t="s">
        <v>2951</v>
      </c>
      <c r="B1" s="37" t="s">
        <v>2949</v>
      </c>
    </row>
    <row r="2" spans="1:2" x14ac:dyDescent="0.2">
      <c r="A2" s="37" t="s">
        <v>2950</v>
      </c>
      <c r="B2" s="37" t="s">
        <v>2949</v>
      </c>
    </row>
    <row r="3" spans="1:2" x14ac:dyDescent="0.2">
      <c r="A3" s="37" t="s">
        <v>387</v>
      </c>
      <c r="B3" s="37" t="s">
        <v>2949</v>
      </c>
    </row>
    <row r="4" spans="1:2" x14ac:dyDescent="0.2">
      <c r="A4" s="37" t="s">
        <v>2952</v>
      </c>
      <c r="B4" s="37" t="s">
        <v>2949</v>
      </c>
    </row>
    <row r="5" spans="1:2" x14ac:dyDescent="0.2">
      <c r="A5" s="37" t="s">
        <v>2953</v>
      </c>
      <c r="B5" s="37" t="s">
        <v>2949</v>
      </c>
    </row>
    <row r="6" spans="1:2" x14ac:dyDescent="0.2">
      <c r="A6" s="37" t="s">
        <v>2954</v>
      </c>
      <c r="B6" s="37" t="s">
        <v>2949</v>
      </c>
    </row>
    <row r="7" spans="1:2" x14ac:dyDescent="0.2">
      <c r="A7" s="37"/>
      <c r="B7" s="37"/>
    </row>
  </sheetData>
  <sheetProtection algorithmName="SHA-512" hashValue="y1KhZvxRxi8zasv9UHO60QmgYFNtAo/MK8t3QiGQtt6EyQxUwCHgK3I8T6nMVTGdin8kSgAe+T++6HlXCtD1Qw==" saltValue="OZGLp1M0AUOpohY/VpwklA=="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2">
    <pageSetUpPr fitToPage="1"/>
  </sheetPr>
  <dimension ref="A14:AE791"/>
  <sheetViews>
    <sheetView showGridLines="0" topLeftCell="A485" zoomScaleNormal="100" workbookViewId="0">
      <selection activeCell="B487" sqref="B487"/>
    </sheetView>
  </sheetViews>
  <sheetFormatPr defaultColWidth="9" defaultRowHeight="15" x14ac:dyDescent="0.25"/>
  <cols>
    <col min="1" max="1" width="13.7109375" style="405" customWidth="1"/>
    <col min="2" max="2" width="70" style="405" customWidth="1"/>
    <col min="3" max="3" width="20.28515625" style="405" customWidth="1"/>
    <col min="4" max="4" width="54" style="405" bestFit="1" customWidth="1"/>
    <col min="5" max="5" width="25.7109375" style="405" customWidth="1"/>
    <col min="6" max="12" width="20.7109375" style="405" hidden="1" customWidth="1"/>
    <col min="13" max="13" width="17.85546875" style="405" hidden="1" customWidth="1"/>
    <col min="14" max="14" width="17" style="405" hidden="1" customWidth="1"/>
    <col min="15" max="15" width="19" style="405" hidden="1" customWidth="1"/>
    <col min="16" max="17" width="9" style="405" customWidth="1"/>
    <col min="18" max="26" width="9" style="405"/>
    <col min="27" max="34" width="0" style="405" hidden="1" customWidth="1"/>
    <col min="35" max="16384" width="9" style="405"/>
  </cols>
  <sheetData>
    <row r="14" spans="1:15" x14ac:dyDescent="0.25">
      <c r="A14" s="432" t="s">
        <v>476</v>
      </c>
      <c r="B14" s="408" t="s">
        <v>477</v>
      </c>
      <c r="C14" s="433">
        <f>'1. Information Sheet'!L33</f>
        <v>2020</v>
      </c>
      <c r="D14" s="827"/>
      <c r="E14" s="828"/>
      <c r="F14" s="828"/>
      <c r="G14" s="828"/>
      <c r="H14" s="828"/>
      <c r="I14" s="828"/>
      <c r="J14" s="828"/>
      <c r="K14" s="828"/>
    </row>
    <row r="15" spans="1:15" ht="32.25" customHeight="1" x14ac:dyDescent="0.25">
      <c r="B15" s="417"/>
      <c r="C15" s="434"/>
    </row>
    <row r="16" spans="1:15" ht="30" hidden="1" customHeight="1" x14ac:dyDescent="0.25">
      <c r="B16" s="408"/>
      <c r="C16" s="829" t="s">
        <v>203</v>
      </c>
      <c r="D16" s="830"/>
      <c r="E16" s="831"/>
      <c r="F16" s="821">
        <v>2016</v>
      </c>
      <c r="G16" s="822"/>
      <c r="H16" s="821">
        <v>2015</v>
      </c>
      <c r="I16" s="822"/>
      <c r="J16" s="821">
        <v>2014</v>
      </c>
      <c r="K16" s="822"/>
      <c r="L16" s="821">
        <v>2013</v>
      </c>
      <c r="M16" s="822"/>
      <c r="N16" s="821">
        <v>2012</v>
      </c>
      <c r="O16" s="822"/>
    </row>
    <row r="17" spans="1:31" x14ac:dyDescent="0.25">
      <c r="A17" s="435" t="s">
        <v>478</v>
      </c>
      <c r="B17" s="408" t="s">
        <v>479</v>
      </c>
      <c r="C17" s="433">
        <f>'1. Information Sheet'!L43</f>
        <v>2020</v>
      </c>
      <c r="D17" s="602" t="s">
        <v>480</v>
      </c>
    </row>
    <row r="18" spans="1:31" ht="32.25" customHeight="1" x14ac:dyDescent="0.25">
      <c r="C18" s="434"/>
      <c r="E18" s="417"/>
    </row>
    <row r="19" spans="1:31" ht="72" customHeight="1" x14ac:dyDescent="0.25">
      <c r="A19" s="436" t="s">
        <v>204</v>
      </c>
      <c r="B19" s="408" t="s">
        <v>2959</v>
      </c>
      <c r="C19" s="437" t="s">
        <v>637</v>
      </c>
      <c r="D19" s="603" t="s">
        <v>3466</v>
      </c>
    </row>
    <row r="20" spans="1:31" ht="21" customHeight="1" x14ac:dyDescent="0.25">
      <c r="D20" s="604"/>
    </row>
    <row r="21" spans="1:31" ht="99" customHeight="1" x14ac:dyDescent="0.25">
      <c r="A21" s="436" t="s">
        <v>205</v>
      </c>
      <c r="B21" s="406" t="s">
        <v>2960</v>
      </c>
      <c r="C21" s="437" t="s">
        <v>637</v>
      </c>
      <c r="D21" s="603" t="s">
        <v>3467</v>
      </c>
    </row>
    <row r="22" spans="1:31" x14ac:dyDescent="0.25">
      <c r="B22" s="417"/>
    </row>
    <row r="23" spans="1:31" x14ac:dyDescent="0.25">
      <c r="B23" s="417"/>
    </row>
    <row r="24" spans="1:31" x14ac:dyDescent="0.25">
      <c r="A24" s="435"/>
    </row>
    <row r="25" spans="1:31" ht="30" hidden="1" x14ac:dyDescent="0.25">
      <c r="A25" s="436" t="s">
        <v>206</v>
      </c>
      <c r="B25" s="408" t="s">
        <v>481</v>
      </c>
      <c r="C25" s="361"/>
      <c r="P25" s="438"/>
      <c r="Q25" s="438"/>
      <c r="R25" s="438"/>
      <c r="S25" s="438"/>
      <c r="T25" s="438"/>
      <c r="U25" s="438"/>
      <c r="V25" s="438"/>
    </row>
    <row r="26" spans="1:31" hidden="1" x14ac:dyDescent="0.25">
      <c r="P26" s="438"/>
      <c r="Q26" s="438"/>
      <c r="R26" s="438"/>
      <c r="S26" s="438"/>
      <c r="T26" s="438"/>
      <c r="U26" s="438"/>
      <c r="V26" s="438"/>
      <c r="Z26" s="439"/>
      <c r="AA26" s="439"/>
      <c r="AB26" s="439"/>
    </row>
    <row r="27" spans="1:31" hidden="1" x14ac:dyDescent="0.25">
      <c r="A27" s="438"/>
      <c r="B27" s="438"/>
      <c r="C27" s="440" t="s">
        <v>418</v>
      </c>
      <c r="P27" s="438"/>
      <c r="Q27" s="438"/>
      <c r="R27" s="438"/>
      <c r="S27" s="438"/>
      <c r="T27" s="438"/>
      <c r="U27" s="438"/>
      <c r="V27" s="438"/>
      <c r="Z27" s="439"/>
      <c r="AA27" s="439"/>
      <c r="AB27" s="439"/>
      <c r="AC27" s="438"/>
    </row>
    <row r="28" spans="1:31" hidden="1" x14ac:dyDescent="0.25">
      <c r="A28" s="438"/>
      <c r="B28" s="438"/>
      <c r="C28" s="823" t="s">
        <v>188</v>
      </c>
      <c r="D28" s="823" t="s">
        <v>207</v>
      </c>
      <c r="E28" s="441"/>
      <c r="F28" s="825">
        <v>2021</v>
      </c>
      <c r="G28" s="826"/>
      <c r="H28" s="825">
        <v>2020</v>
      </c>
      <c r="I28" s="826"/>
      <c r="J28" s="825">
        <v>2019</v>
      </c>
      <c r="K28" s="826"/>
      <c r="L28" s="825">
        <v>2018</v>
      </c>
      <c r="M28" s="826"/>
      <c r="N28" s="825">
        <v>2017</v>
      </c>
      <c r="O28" s="826"/>
      <c r="P28" s="438"/>
      <c r="Q28" s="438"/>
      <c r="R28" s="438"/>
      <c r="S28" s="438"/>
      <c r="T28" s="438"/>
      <c r="U28" s="438"/>
      <c r="V28" s="438"/>
      <c r="Z28" s="439"/>
      <c r="AA28" s="439"/>
      <c r="AB28" s="439"/>
      <c r="AC28" s="439"/>
      <c r="AD28" s="439"/>
      <c r="AE28" s="439"/>
    </row>
    <row r="29" spans="1:31" hidden="1" x14ac:dyDescent="0.25">
      <c r="A29" s="438"/>
      <c r="B29" s="438"/>
      <c r="C29" s="824"/>
      <c r="D29" s="824"/>
      <c r="E29" s="442"/>
      <c r="F29" s="412" t="s">
        <v>209</v>
      </c>
      <c r="G29" s="412" t="s">
        <v>208</v>
      </c>
      <c r="H29" s="412" t="s">
        <v>209</v>
      </c>
      <c r="I29" s="412" t="s">
        <v>208</v>
      </c>
      <c r="J29" s="412" t="s">
        <v>209</v>
      </c>
      <c r="K29" s="412" t="s">
        <v>208</v>
      </c>
      <c r="L29" s="412" t="s">
        <v>209</v>
      </c>
      <c r="M29" s="412" t="s">
        <v>208</v>
      </c>
      <c r="N29" s="412" t="s">
        <v>209</v>
      </c>
      <c r="O29" s="412" t="s">
        <v>208</v>
      </c>
      <c r="P29" s="438"/>
      <c r="Q29" s="438"/>
      <c r="R29" s="438"/>
      <c r="S29" s="438"/>
      <c r="T29" s="438"/>
      <c r="U29" s="438"/>
      <c r="V29" s="438"/>
      <c r="Z29" s="439"/>
      <c r="AA29" s="439"/>
      <c r="AB29" s="439"/>
      <c r="AC29" s="439"/>
      <c r="AD29" s="439"/>
      <c r="AE29" s="439"/>
    </row>
    <row r="30" spans="1:31" hidden="1" x14ac:dyDescent="0.25">
      <c r="A30" s="438" t="str">
        <f>IF(AND(F32=G32,H32=I32,J32=K32,F32="A"),"2016 - kwh",IF(AND(F32=G32,H32=I32,J32&lt;&gt;K32,F32="A"),"2017 - kwh",IF(AND(F32=G32,H32&lt;&gt;I32,F32="A"),"2018 - kwh","N/A")))</f>
        <v>N/A</v>
      </c>
      <c r="B30" s="438" t="str">
        <f>IF(F32&lt;&gt;G32,"2018 - kwh",IF(H32&lt;&gt;I32,"2017 - kwh",IF(J32&lt;&gt;K32,"2016 - kwh","N/A")))</f>
        <v>N/A</v>
      </c>
      <c r="C30" s="443" t="s">
        <v>195</v>
      </c>
      <c r="D30" s="444"/>
      <c r="E30" s="445" t="s">
        <v>139</v>
      </c>
      <c r="F30" s="361"/>
      <c r="G30" s="361"/>
      <c r="H30" s="361"/>
      <c r="I30" s="361"/>
      <c r="J30" s="361"/>
      <c r="K30" s="361"/>
      <c r="L30" s="361"/>
      <c r="M30" s="361"/>
      <c r="N30" s="361"/>
      <c r="O30" s="361"/>
      <c r="P30" s="438"/>
      <c r="Q30" s="438"/>
      <c r="R30" s="438"/>
      <c r="S30" s="438"/>
      <c r="T30" s="438"/>
      <c r="U30" s="438"/>
      <c r="V30" s="438"/>
      <c r="Z30" s="439"/>
      <c r="AA30" s="439" t="str">
        <f>IF(AND(F32=G32,H32=I32,F32="A"),"2016 - kwh","")</f>
        <v/>
      </c>
      <c r="AB30" s="439" t="str">
        <f>IF(OR(B30="2017 - kwh",B30="2018 - kwh"),"2016 - kwh","")</f>
        <v/>
      </c>
      <c r="AC30" s="439"/>
      <c r="AD30" s="439"/>
      <c r="AE30" s="439"/>
    </row>
    <row r="31" spans="1:31" hidden="1" x14ac:dyDescent="0.25">
      <c r="A31" s="438" t="str">
        <f>IF(AND(F32=G32,H32=I32,J32=K32,F32="A"),"2016 - kw",IF(AND(F32=G32,H32=I32,J32&lt;&gt;K32,F32="A"),"2017 - kw",IF(AND(F32=G32,H32&lt;&gt;I32,F32="A"),"2018 - kw","N/A")))</f>
        <v>N/A</v>
      </c>
      <c r="B31" s="438" t="str">
        <f>IF(F32&lt;&gt;G32,"2018 - kw",IF(H32&lt;&gt;I32,"2017 - kw",IF(J32&lt;&gt;K32,"2016 - kw","N/A")))</f>
        <v>N/A</v>
      </c>
      <c r="C31" s="446"/>
      <c r="D31" s="447" t="str">
        <f>D30 &amp; "kW"</f>
        <v>kW</v>
      </c>
      <c r="E31" s="448" t="s">
        <v>170</v>
      </c>
      <c r="F31" s="361"/>
      <c r="G31" s="361"/>
      <c r="H31" s="361"/>
      <c r="I31" s="361"/>
      <c r="J31" s="361"/>
      <c r="K31" s="361"/>
      <c r="L31" s="361"/>
      <c r="M31" s="361"/>
      <c r="N31" s="361"/>
      <c r="O31" s="361"/>
      <c r="P31" s="438"/>
      <c r="Q31" s="438"/>
      <c r="R31" s="438"/>
      <c r="S31" s="438"/>
      <c r="T31" s="438"/>
      <c r="U31" s="438"/>
      <c r="V31" s="438"/>
      <c r="Z31" s="439"/>
      <c r="AA31" s="439" t="str">
        <f>IF(AND(F32=G32,H32=I32,F32="A"),"2016 - kw","")</f>
        <v/>
      </c>
      <c r="AB31" s="439" t="str">
        <f>IF(OR(B31="2017 - kw",B31="2018 - kw"),"2016 - kw","")</f>
        <v/>
      </c>
      <c r="AC31" s="439"/>
      <c r="AD31" s="439"/>
      <c r="AE31" s="439"/>
    </row>
    <row r="32" spans="1:31" hidden="1" x14ac:dyDescent="0.25">
      <c r="A32" s="438"/>
      <c r="B32" s="438"/>
      <c r="C32" s="449"/>
      <c r="D32" s="424"/>
      <c r="E32" s="450" t="s">
        <v>210</v>
      </c>
      <c r="F32" s="437"/>
      <c r="G32" s="437"/>
      <c r="H32" s="437"/>
      <c r="I32" s="437"/>
      <c r="J32" s="437"/>
      <c r="K32" s="437"/>
      <c r="L32" s="437"/>
      <c r="M32" s="437"/>
      <c r="N32" s="437"/>
      <c r="O32" s="437"/>
      <c r="P32" s="438"/>
      <c r="Q32" s="438"/>
      <c r="R32" s="438"/>
      <c r="S32" s="438"/>
      <c r="T32" s="438"/>
      <c r="U32" s="438"/>
      <c r="V32" s="438"/>
      <c r="Z32" s="439"/>
      <c r="AA32" s="439"/>
      <c r="AB32" s="439"/>
      <c r="AC32" s="439"/>
      <c r="AD32" s="439"/>
      <c r="AE32" s="439"/>
    </row>
    <row r="33" spans="1:31" hidden="1" x14ac:dyDescent="0.25">
      <c r="A33" s="438" t="str">
        <f>IF(AND(F35=G35,H35=I35,J35=K35,F35="A"),"2016 - kwh",IF(AND(F35=G35,H35=I35,J35&lt;&gt;K35,F35="A"),"2017 - kwh",IF(AND(F35=G35,H35&lt;&gt;I35,F35="A"),"2018 - kwh","N/A")))</f>
        <v>N/A</v>
      </c>
      <c r="B33" s="438" t="str">
        <f>IF(F35&lt;&gt;G35,"2018 - kwh",IF(H35&lt;&gt;I35,"2017 - kwh",IF(J35&lt;&gt;K35,"2016 - kwh","N/A")))</f>
        <v>N/A</v>
      </c>
      <c r="C33" s="443" t="s">
        <v>196</v>
      </c>
      <c r="D33" s="444"/>
      <c r="E33" s="445" t="s">
        <v>139</v>
      </c>
      <c r="F33" s="361"/>
      <c r="G33" s="361"/>
      <c r="H33" s="361"/>
      <c r="I33" s="361"/>
      <c r="J33" s="361"/>
      <c r="K33" s="361"/>
      <c r="L33" s="361"/>
      <c r="M33" s="361"/>
      <c r="N33" s="361"/>
      <c r="O33" s="361"/>
      <c r="P33" s="438"/>
      <c r="Q33" s="438"/>
      <c r="R33" s="438"/>
      <c r="S33" s="438"/>
      <c r="T33" s="438"/>
      <c r="U33" s="438"/>
      <c r="V33" s="438"/>
      <c r="Z33" s="439"/>
      <c r="AA33" s="439" t="str">
        <f>IF(AND(F35=G35,H35=I35,F35="A"),"2016 - kwh","")</f>
        <v/>
      </c>
      <c r="AB33" s="439" t="str">
        <f>IF(OR(B33="2017 - kwh",B33="2018 - kwh"),"2016 - kwh","")</f>
        <v/>
      </c>
      <c r="AC33" s="439"/>
      <c r="AD33" s="439"/>
      <c r="AE33" s="439"/>
    </row>
    <row r="34" spans="1:31" hidden="1" x14ac:dyDescent="0.25">
      <c r="A34" s="438" t="str">
        <f>IF(AND(F35=G35,H35=I35,J35=K35,F35="A"),"2016 - kw",IF(AND(F35=G35,H35=I35,J35&lt;&gt;K35,F35="A"),"2017 - kw",IF(AND(F35=G35,H35&lt;&gt;I35,F35="A"),"2018 - kw","N/A")))</f>
        <v>N/A</v>
      </c>
      <c r="B34" s="438" t="str">
        <f>IF(F35&lt;&gt;G35,"2018 - kw",IF(H35&lt;&gt;I35,"2017 - kw",IF(J35&lt;&gt;K35,"2016 - kw","N/A")))</f>
        <v>N/A</v>
      </c>
      <c r="C34" s="446"/>
      <c r="D34" s="447" t="str">
        <f>D33 &amp; "kW"</f>
        <v>kW</v>
      </c>
      <c r="E34" s="448" t="s">
        <v>170</v>
      </c>
      <c r="F34" s="361"/>
      <c r="G34" s="361"/>
      <c r="H34" s="361"/>
      <c r="I34" s="361"/>
      <c r="J34" s="361"/>
      <c r="K34" s="361"/>
      <c r="L34" s="361"/>
      <c r="M34" s="361"/>
      <c r="N34" s="361"/>
      <c r="O34" s="361"/>
      <c r="P34" s="438"/>
      <c r="Q34" s="438"/>
      <c r="R34" s="438"/>
      <c r="S34" s="438"/>
      <c r="T34" s="438"/>
      <c r="U34" s="438"/>
      <c r="V34" s="438"/>
      <c r="Z34" s="439"/>
      <c r="AA34" s="439" t="str">
        <f>IF(AND(F35=G35,H35=I35,F35="A"),"2016 - kw","")</f>
        <v/>
      </c>
      <c r="AB34" s="439" t="str">
        <f>IF(OR(B34="2017 - kw",B34="2018 - kw"),"2016 - kw","")</f>
        <v/>
      </c>
      <c r="AC34" s="439"/>
      <c r="AD34" s="439"/>
      <c r="AE34" s="439"/>
    </row>
    <row r="35" spans="1:31" hidden="1" x14ac:dyDescent="0.25">
      <c r="A35" s="438"/>
      <c r="B35" s="438"/>
      <c r="C35" s="449"/>
      <c r="D35" s="424"/>
      <c r="E35" s="450" t="s">
        <v>210</v>
      </c>
      <c r="F35" s="437"/>
      <c r="G35" s="437"/>
      <c r="H35" s="437"/>
      <c r="I35" s="437"/>
      <c r="J35" s="437"/>
      <c r="K35" s="437"/>
      <c r="L35" s="437"/>
      <c r="M35" s="437"/>
      <c r="N35" s="437"/>
      <c r="O35" s="437"/>
      <c r="P35" s="438"/>
      <c r="Q35" s="438"/>
      <c r="R35" s="438"/>
      <c r="S35" s="438"/>
      <c r="T35" s="438"/>
      <c r="U35" s="438"/>
      <c r="V35" s="438"/>
      <c r="Z35" s="439"/>
      <c r="AA35" s="439"/>
      <c r="AB35" s="439"/>
      <c r="AC35" s="439"/>
      <c r="AD35" s="439"/>
      <c r="AE35" s="439"/>
    </row>
    <row r="36" spans="1:31" hidden="1" x14ac:dyDescent="0.25">
      <c r="A36" s="438" t="str">
        <f>IF(AND(F38=G38,H38=I38,J38=K38,F38="A"),"2016 - kwh",IF(AND(F38=G38,H38=I38,J38&lt;&gt;K38,F38="A"),"2017 - kwh",IF(AND(F38=G38,H38&lt;&gt;I38,F38="A"),"2018 - kwh","N/A")))</f>
        <v>N/A</v>
      </c>
      <c r="B36" s="438" t="str">
        <f>IF(F38&lt;&gt;G38,"2018 - kwh",IF(H38&lt;&gt;I38,"2017 - kwh",IF(J38&lt;&gt;K38,"2016 - kwh","N/A")))</f>
        <v>N/A</v>
      </c>
      <c r="C36" s="443" t="s">
        <v>211</v>
      </c>
      <c r="D36" s="444"/>
      <c r="E36" s="445" t="s">
        <v>139</v>
      </c>
      <c r="F36" s="361"/>
      <c r="G36" s="361"/>
      <c r="H36" s="361"/>
      <c r="I36" s="361"/>
      <c r="J36" s="361"/>
      <c r="K36" s="361"/>
      <c r="L36" s="361"/>
      <c r="M36" s="361"/>
      <c r="N36" s="361"/>
      <c r="O36" s="361"/>
      <c r="P36" s="438"/>
      <c r="Q36" s="438"/>
      <c r="R36" s="438"/>
      <c r="S36" s="438"/>
      <c r="T36" s="438"/>
      <c r="U36" s="438"/>
      <c r="V36" s="438"/>
      <c r="Z36" s="439"/>
      <c r="AA36" s="439" t="str">
        <f>IF(AND(F38=G38,H38=I38,F38="A"),"2016 - kwh","")</f>
        <v/>
      </c>
      <c r="AB36" s="439" t="str">
        <f>IF(OR(B36="2017 - kwh",B36="2018 - kwh"),"2016 - kwh","")</f>
        <v/>
      </c>
      <c r="AC36" s="439"/>
      <c r="AD36" s="439"/>
      <c r="AE36" s="439"/>
    </row>
    <row r="37" spans="1:31" hidden="1" x14ac:dyDescent="0.25">
      <c r="A37" s="438" t="str">
        <f>IF(AND(F38=G38,H38=I38,J38=K38,F38="A"),"2016 - kw",IF(AND(F38=G38,H38=I38,J38&lt;&gt;K38,F38="A"),"2017 - kw",IF(AND(F38=G38,H38&lt;&gt;I38,F38="A"),"2018 - kw","N/A")))</f>
        <v>N/A</v>
      </c>
      <c r="B37" s="438" t="str">
        <f>IF(F38&lt;&gt;G38,"2018 - kw",IF(H38&lt;&gt;I38,"2017 - kw",IF(J38&lt;&gt;K38,"2016 - kw","N/A")))</f>
        <v>N/A</v>
      </c>
      <c r="C37" s="446"/>
      <c r="D37" s="447" t="str">
        <f>D36 &amp; "kW"</f>
        <v>kW</v>
      </c>
      <c r="E37" s="448" t="s">
        <v>170</v>
      </c>
      <c r="F37" s="361"/>
      <c r="G37" s="361"/>
      <c r="H37" s="361"/>
      <c r="I37" s="361"/>
      <c r="J37" s="361"/>
      <c r="K37" s="361"/>
      <c r="L37" s="361"/>
      <c r="M37" s="361"/>
      <c r="N37" s="361"/>
      <c r="O37" s="361"/>
      <c r="P37" s="438"/>
      <c r="Q37" s="438"/>
      <c r="R37" s="438"/>
      <c r="S37" s="438"/>
      <c r="T37" s="438"/>
      <c r="U37" s="438"/>
      <c r="V37" s="438"/>
      <c r="Z37" s="439"/>
      <c r="AA37" s="439" t="str">
        <f>IF(AND(F38=G38,H38=I38,F38="A"),"2016 - kw","")</f>
        <v/>
      </c>
      <c r="AB37" s="439" t="str">
        <f>IF(OR(B37="2017 - kw",B37="2018 - kw"),"2016 - kw","")</f>
        <v/>
      </c>
      <c r="AC37" s="439"/>
      <c r="AD37" s="439"/>
      <c r="AE37" s="439"/>
    </row>
    <row r="38" spans="1:31" hidden="1" x14ac:dyDescent="0.25">
      <c r="A38" s="438"/>
      <c r="B38" s="438"/>
      <c r="C38" s="449"/>
      <c r="D38" s="424"/>
      <c r="E38" s="450" t="s">
        <v>210</v>
      </c>
      <c r="F38" s="437"/>
      <c r="G38" s="437"/>
      <c r="H38" s="437"/>
      <c r="I38" s="437"/>
      <c r="J38" s="437"/>
      <c r="K38" s="437"/>
      <c r="L38" s="437"/>
      <c r="M38" s="437"/>
      <c r="N38" s="437"/>
      <c r="O38" s="437"/>
      <c r="P38" s="438"/>
      <c r="Q38" s="438"/>
      <c r="R38" s="438"/>
      <c r="S38" s="438"/>
      <c r="T38" s="438"/>
      <c r="U38" s="438"/>
      <c r="V38" s="438"/>
      <c r="Z38" s="439"/>
      <c r="AA38" s="439"/>
      <c r="AB38" s="439"/>
      <c r="AC38" s="439"/>
      <c r="AD38" s="439"/>
      <c r="AE38" s="439"/>
    </row>
    <row r="39" spans="1:31" hidden="1" x14ac:dyDescent="0.25">
      <c r="A39" s="438" t="str">
        <f>IF(AND(F41=G41,H41=I41,J41=K41,F41="A"),"2016 - kwh",IF(AND(F41=G41,H41=I41,J41&lt;&gt;K41,F41="A"),"2017 - kwh",IF(AND(F41=G41,H41&lt;&gt;I41,F41="A"),"2018 - kwh","N/A")))</f>
        <v>N/A</v>
      </c>
      <c r="B39" s="438" t="str">
        <f>IF(F41&lt;&gt;G41,"2018 - kwh",IF(H41&lt;&gt;I41,"2017 - kwh",IF(J41&lt;&gt;K41,"2016 - kwh","N/A")))</f>
        <v>N/A</v>
      </c>
      <c r="C39" s="443" t="s">
        <v>212</v>
      </c>
      <c r="D39" s="444"/>
      <c r="E39" s="445" t="s">
        <v>139</v>
      </c>
      <c r="F39" s="361"/>
      <c r="G39" s="361"/>
      <c r="H39" s="361"/>
      <c r="I39" s="361"/>
      <c r="J39" s="361"/>
      <c r="K39" s="361"/>
      <c r="L39" s="361"/>
      <c r="M39" s="361"/>
      <c r="N39" s="361"/>
      <c r="O39" s="361"/>
      <c r="P39" s="438"/>
      <c r="Q39" s="438"/>
      <c r="R39" s="438"/>
      <c r="S39" s="438"/>
      <c r="T39" s="438"/>
      <c r="U39" s="438"/>
      <c r="V39" s="438"/>
      <c r="Z39" s="439"/>
      <c r="AA39" s="439" t="str">
        <f>IF(AND(F41=G41,H41=I41,F41="A"),"2016 - kwh","")</f>
        <v/>
      </c>
      <c r="AB39" s="439" t="str">
        <f>IF(OR(B39="2017 - kwh",B39="2018 - kwh"),"2016 - kwh","")</f>
        <v/>
      </c>
      <c r="AC39" s="439"/>
      <c r="AD39" s="439"/>
      <c r="AE39" s="439"/>
    </row>
    <row r="40" spans="1:31" hidden="1" x14ac:dyDescent="0.25">
      <c r="A40" s="438" t="str">
        <f>IF(AND(F41=G41,H41=I41,J41=K41,F41="A"),"2016 - kw",IF(AND(F41=G41,H41=I41,J41&lt;&gt;K41,F41="A"),"2017 - kw",IF(AND(F41=G41,H41&lt;&gt;I41,F41="A"),"2018 - kw","N/A")))</f>
        <v>N/A</v>
      </c>
      <c r="B40" s="438" t="str">
        <f>IF(F41&lt;&gt;G41,"2018 - kw",IF(H41&lt;&gt;I41,"2017 - kw",IF(J41&lt;&gt;K41,"2016 - kw","N/A")))</f>
        <v>N/A</v>
      </c>
      <c r="C40" s="446"/>
      <c r="D40" s="447" t="str">
        <f>D39 &amp; "kW"</f>
        <v>kW</v>
      </c>
      <c r="E40" s="448" t="s">
        <v>170</v>
      </c>
      <c r="F40" s="361"/>
      <c r="G40" s="361"/>
      <c r="H40" s="361"/>
      <c r="I40" s="361"/>
      <c r="J40" s="361"/>
      <c r="K40" s="361"/>
      <c r="L40" s="361"/>
      <c r="M40" s="361"/>
      <c r="N40" s="361"/>
      <c r="O40" s="361"/>
      <c r="P40" s="438"/>
      <c r="Q40" s="438"/>
      <c r="R40" s="438"/>
      <c r="S40" s="438"/>
      <c r="T40" s="438"/>
      <c r="U40" s="438"/>
      <c r="V40" s="438"/>
      <c r="Z40" s="439"/>
      <c r="AA40" s="439" t="str">
        <f>IF(AND(F41=G41,H41=I41,F41="A"),"2016 - kw","")</f>
        <v/>
      </c>
      <c r="AB40" s="439" t="str">
        <f>IF(OR(B40="2017 - kw",B40="2018 - kw"),"2016 - kw","")</f>
        <v/>
      </c>
      <c r="AC40" s="439"/>
      <c r="AD40" s="439"/>
      <c r="AE40" s="439"/>
    </row>
    <row r="41" spans="1:31" hidden="1" x14ac:dyDescent="0.25">
      <c r="A41" s="438"/>
      <c r="B41" s="438"/>
      <c r="C41" s="449"/>
      <c r="D41" s="424"/>
      <c r="E41" s="450" t="s">
        <v>210</v>
      </c>
      <c r="F41" s="437"/>
      <c r="G41" s="437"/>
      <c r="H41" s="437"/>
      <c r="I41" s="437"/>
      <c r="J41" s="437"/>
      <c r="K41" s="437"/>
      <c r="L41" s="437"/>
      <c r="M41" s="437"/>
      <c r="N41" s="437"/>
      <c r="O41" s="437"/>
      <c r="P41" s="438"/>
      <c r="Q41" s="438"/>
      <c r="R41" s="438"/>
      <c r="S41" s="438"/>
      <c r="T41" s="438"/>
      <c r="U41" s="438"/>
      <c r="V41" s="438"/>
      <c r="Z41" s="439"/>
      <c r="AA41" s="439"/>
      <c r="AB41" s="439"/>
      <c r="AC41" s="439"/>
      <c r="AD41" s="439"/>
      <c r="AE41" s="439"/>
    </row>
    <row r="42" spans="1:31" hidden="1" x14ac:dyDescent="0.25">
      <c r="A42" s="438" t="str">
        <f>IF(AND(F44=G44,H44=I44,J44=K44,F44="A"),"2016 - kwh",IF(AND(F44=G44,H44=I44,J44&lt;&gt;K44,F44="A"),"2017 - kwh",IF(AND(F44=G44,H44&lt;&gt;I44,F44="A"),"2018 - kwh","N/A")))</f>
        <v>N/A</v>
      </c>
      <c r="B42" s="438" t="str">
        <f>IF(F44&lt;&gt;G44,"2018 - kwh",IF(H44&lt;&gt;I44,"2017 - kwh",IF(J44&lt;&gt;K44,"2016 - kwh","N/A")))</f>
        <v>N/A</v>
      </c>
      <c r="C42" s="443" t="s">
        <v>213</v>
      </c>
      <c r="D42" s="444"/>
      <c r="E42" s="445" t="s">
        <v>139</v>
      </c>
      <c r="F42" s="361"/>
      <c r="G42" s="361"/>
      <c r="H42" s="361"/>
      <c r="I42" s="361"/>
      <c r="J42" s="361"/>
      <c r="K42" s="361"/>
      <c r="L42" s="361"/>
      <c r="M42" s="361"/>
      <c r="N42" s="361"/>
      <c r="O42" s="361"/>
      <c r="P42" s="438"/>
      <c r="Q42" s="438"/>
      <c r="R42" s="438"/>
      <c r="S42" s="438"/>
      <c r="T42" s="438"/>
      <c r="U42" s="438"/>
      <c r="V42" s="438"/>
      <c r="Z42" s="439"/>
      <c r="AA42" s="439" t="str">
        <f>IF(AND(F44=G44,H44=I44,F44="A"),"2016 - kwh","")</f>
        <v/>
      </c>
      <c r="AB42" s="439" t="str">
        <f>IF(OR(B42="2017 - kwh",B42="2018 - kwh"),"2016 - kwh","")</f>
        <v/>
      </c>
      <c r="AC42" s="439"/>
      <c r="AD42" s="439"/>
      <c r="AE42" s="439"/>
    </row>
    <row r="43" spans="1:31" hidden="1" x14ac:dyDescent="0.25">
      <c r="A43" s="438" t="str">
        <f>IF(AND(F44=G44,H44=I44,J44=K44,F44="A"),"2016 - kw",IF(AND(F44=G44,H44=I44,J44&lt;&gt;K44,F44="A"),"2017 - kw",IF(AND(F44=G44,H44&lt;&gt;I44,F44="A"),"2018 - kw","N/A")))</f>
        <v>N/A</v>
      </c>
      <c r="B43" s="438" t="str">
        <f>IF(F44&lt;&gt;G44,"2018 - kw",IF(H44&lt;&gt;I44,"2017 - kw",IF(J44&lt;&gt;K44,"2016 - kw","N/A")))</f>
        <v>N/A</v>
      </c>
      <c r="C43" s="446"/>
      <c r="D43" s="447" t="str">
        <f>D42 &amp; "kW"</f>
        <v>kW</v>
      </c>
      <c r="E43" s="448" t="s">
        <v>170</v>
      </c>
      <c r="F43" s="361"/>
      <c r="G43" s="361"/>
      <c r="H43" s="361"/>
      <c r="I43" s="361"/>
      <c r="J43" s="361"/>
      <c r="K43" s="361"/>
      <c r="L43" s="361"/>
      <c r="M43" s="361"/>
      <c r="N43" s="361"/>
      <c r="O43" s="361"/>
      <c r="P43" s="438"/>
      <c r="Q43" s="438"/>
      <c r="R43" s="438"/>
      <c r="S43" s="438"/>
      <c r="T43" s="438"/>
      <c r="U43" s="438"/>
      <c r="V43" s="438"/>
      <c r="Z43" s="439"/>
      <c r="AA43" s="439" t="str">
        <f>IF(AND(F44=G44,H44=I44,F44="A"),"2016 - kw","")</f>
        <v/>
      </c>
      <c r="AB43" s="439" t="str">
        <f>IF(OR(B43="2017 - kw",B43="2018 - kw"),"2016 - kw","")</f>
        <v/>
      </c>
      <c r="AC43" s="439"/>
      <c r="AD43" s="439"/>
      <c r="AE43" s="439"/>
    </row>
    <row r="44" spans="1:31" hidden="1" x14ac:dyDescent="0.25">
      <c r="A44" s="438"/>
      <c r="B44" s="438"/>
      <c r="C44" s="449"/>
      <c r="D44" s="424"/>
      <c r="E44" s="450" t="s">
        <v>210</v>
      </c>
      <c r="F44" s="437"/>
      <c r="G44" s="437"/>
      <c r="H44" s="437"/>
      <c r="I44" s="437"/>
      <c r="J44" s="437"/>
      <c r="K44" s="437"/>
      <c r="L44" s="437"/>
      <c r="M44" s="437"/>
      <c r="N44" s="437"/>
      <c r="O44" s="437"/>
      <c r="P44" s="438"/>
      <c r="Q44" s="438"/>
      <c r="R44" s="438"/>
      <c r="S44" s="438"/>
      <c r="T44" s="438"/>
      <c r="U44" s="438"/>
      <c r="V44" s="438"/>
      <c r="Z44" s="439"/>
      <c r="AA44" s="439"/>
      <c r="AB44" s="439"/>
      <c r="AC44" s="439"/>
      <c r="AD44" s="439"/>
      <c r="AE44" s="439"/>
    </row>
    <row r="45" spans="1:31" hidden="1" x14ac:dyDescent="0.25">
      <c r="A45" s="438" t="str">
        <f>IF(AND(F47=G47,H47=I47,J47=K47,F47="A"),"2016 - kwh",IF(AND(F47=G47,H47=I47,J47&lt;&gt;K47,F47="A"),"2017 - kwh",IF(AND(F47=G47,H47&lt;&gt;I47,F47="A"),"2018 - kwh","N/A")))</f>
        <v>N/A</v>
      </c>
      <c r="B45" s="438" t="str">
        <f>IF(F47&lt;&gt;G47,"2018 - kwh",IF(H47&lt;&gt;I47,"2017 - kwh",IF(J47&lt;&gt;K47,"2016 - kwh","N/A")))</f>
        <v>N/A</v>
      </c>
      <c r="C45" s="443" t="s">
        <v>214</v>
      </c>
      <c r="D45" s="444"/>
      <c r="E45" s="445" t="s">
        <v>139</v>
      </c>
      <c r="F45" s="361"/>
      <c r="G45" s="361"/>
      <c r="H45" s="361"/>
      <c r="I45" s="361"/>
      <c r="J45" s="361"/>
      <c r="K45" s="361"/>
      <c r="L45" s="361"/>
      <c r="M45" s="361"/>
      <c r="N45" s="361"/>
      <c r="O45" s="361"/>
      <c r="P45" s="438"/>
      <c r="Q45" s="438"/>
      <c r="R45" s="438"/>
      <c r="S45" s="438"/>
      <c r="T45" s="438"/>
      <c r="U45" s="438"/>
      <c r="V45" s="438"/>
      <c r="Z45" s="439"/>
      <c r="AA45" s="439" t="str">
        <f>IF(AND(F47=G47,H47=I47,F47="A"),"2016 - kwh","")</f>
        <v/>
      </c>
      <c r="AB45" s="439" t="str">
        <f>IF(OR(B45="2017 - kwh",B45="2018 - kwh"),"2016 - kwh","")</f>
        <v/>
      </c>
      <c r="AC45" s="439"/>
      <c r="AD45" s="439"/>
      <c r="AE45" s="439"/>
    </row>
    <row r="46" spans="1:31" hidden="1" x14ac:dyDescent="0.25">
      <c r="A46" s="438" t="str">
        <f>IF(AND(F47=G47,H47=I47,J47=K47,F47="A"),"2016 - kw",IF(AND(F47=G47,H47=I47,J47&lt;&gt;K47,F47="A"),"2017 - kw",IF(AND(F47=G47,H47&lt;&gt;I47,F47="A"),"2018 - kw","N/A")))</f>
        <v>N/A</v>
      </c>
      <c r="B46" s="438" t="str">
        <f>IF(F47&lt;&gt;G47,"2018 - kw",IF(H47&lt;&gt;I47,"2017 - kw",IF(J47&lt;&gt;K47,"2016 - kw","N/A")))</f>
        <v>N/A</v>
      </c>
      <c r="C46" s="446"/>
      <c r="D46" s="447" t="str">
        <f>D45 &amp; "kW"</f>
        <v>kW</v>
      </c>
      <c r="E46" s="448" t="s">
        <v>170</v>
      </c>
      <c r="F46" s="361"/>
      <c r="G46" s="361"/>
      <c r="H46" s="361"/>
      <c r="I46" s="361"/>
      <c r="J46" s="361"/>
      <c r="K46" s="361"/>
      <c r="L46" s="361"/>
      <c r="M46" s="361"/>
      <c r="N46" s="361"/>
      <c r="O46" s="361"/>
      <c r="P46" s="438"/>
      <c r="Q46" s="438"/>
      <c r="R46" s="438"/>
      <c r="S46" s="438"/>
      <c r="T46" s="438"/>
      <c r="U46" s="438"/>
      <c r="V46" s="438"/>
      <c r="Z46" s="439"/>
      <c r="AA46" s="439" t="str">
        <f>IF(AND(F47=G47,H47=I47,F47="A"),"2016 - kw","")</f>
        <v/>
      </c>
      <c r="AB46" s="439" t="str">
        <f>IF(OR(B46="2017 - kw",B46="2018 - kw"),"2016 - kw","")</f>
        <v/>
      </c>
      <c r="AC46" s="439"/>
      <c r="AD46" s="439"/>
      <c r="AE46" s="439"/>
    </row>
    <row r="47" spans="1:31" hidden="1" x14ac:dyDescent="0.25">
      <c r="A47" s="438"/>
      <c r="B47" s="438"/>
      <c r="C47" s="449"/>
      <c r="D47" s="424"/>
      <c r="E47" s="450" t="s">
        <v>210</v>
      </c>
      <c r="F47" s="437"/>
      <c r="G47" s="437"/>
      <c r="H47" s="437"/>
      <c r="I47" s="437"/>
      <c r="J47" s="437"/>
      <c r="K47" s="437"/>
      <c r="L47" s="437"/>
      <c r="M47" s="437"/>
      <c r="N47" s="437"/>
      <c r="O47" s="437"/>
      <c r="P47" s="438"/>
      <c r="Q47" s="438"/>
      <c r="R47" s="438"/>
      <c r="S47" s="438"/>
      <c r="T47" s="438"/>
      <c r="U47" s="438"/>
      <c r="V47" s="438"/>
      <c r="Z47" s="439"/>
      <c r="AA47" s="439"/>
      <c r="AB47" s="439"/>
      <c r="AC47" s="439"/>
      <c r="AD47" s="439"/>
      <c r="AE47" s="439"/>
    </row>
    <row r="48" spans="1:31" hidden="1" x14ac:dyDescent="0.25">
      <c r="A48" s="438" t="str">
        <f>IF(AND(F50=G50,H50=I50,J50=K50,F50="A"),"2016 - kwh",IF(AND(F50=G50,H50=I50,J50&lt;&gt;K50,F50="A"),"2017 - kwh",IF(AND(F50=G50,H50&lt;&gt;I50,F50="A"),"2018 - kwh","N/A")))</f>
        <v>N/A</v>
      </c>
      <c r="B48" s="438" t="str">
        <f>IF(F50&lt;&gt;G50,"2018 - kwh",IF(H50&lt;&gt;I50,"2017 - kwh",IF(J50&lt;&gt;K50,"2016 - kwh","N/A")))</f>
        <v>N/A</v>
      </c>
      <c r="C48" s="443" t="s">
        <v>215</v>
      </c>
      <c r="D48" s="444"/>
      <c r="E48" s="445" t="s">
        <v>139</v>
      </c>
      <c r="F48" s="361"/>
      <c r="G48" s="361"/>
      <c r="H48" s="361"/>
      <c r="I48" s="361"/>
      <c r="J48" s="361"/>
      <c r="K48" s="361"/>
      <c r="L48" s="361"/>
      <c r="M48" s="361"/>
      <c r="N48" s="361"/>
      <c r="O48" s="361"/>
      <c r="P48" s="438"/>
      <c r="Q48" s="438"/>
      <c r="R48" s="438"/>
      <c r="S48" s="438"/>
      <c r="T48" s="438"/>
      <c r="U48" s="438"/>
      <c r="V48" s="438"/>
      <c r="Z48" s="439"/>
      <c r="AA48" s="439" t="str">
        <f>IF(AND(F50=G50,H50=I50,F50="A"),"2016 - kwh","")</f>
        <v/>
      </c>
      <c r="AB48" s="439" t="str">
        <f>IF(OR(B48="2017 - kwh",B48="2018 - kwh"),"2016 - kwh","")</f>
        <v/>
      </c>
      <c r="AC48" s="439"/>
      <c r="AD48" s="439"/>
      <c r="AE48" s="439"/>
    </row>
    <row r="49" spans="1:31" hidden="1" x14ac:dyDescent="0.25">
      <c r="A49" s="438" t="str">
        <f>IF(AND(F50=G50,H50=I50,J50=K50,F50="A"),"2016 - kw",IF(AND(F50=G50,H50=I50,J50&lt;&gt;K50,F50="A"),"2017 - kw",IF(AND(F50=G50,H50&lt;&gt;I50,F50="A"),"2018 - kw","N/A")))</f>
        <v>N/A</v>
      </c>
      <c r="B49" s="438" t="str">
        <f>IF(F50&lt;&gt;G50,"2018 - kw",IF(H50&lt;&gt;I50,"2017 - kw",IF(J50&lt;&gt;K50,"2016 - kw","N/A")))</f>
        <v>N/A</v>
      </c>
      <c r="C49" s="446"/>
      <c r="D49" s="447" t="str">
        <f>D48 &amp; "kW"</f>
        <v>kW</v>
      </c>
      <c r="E49" s="448" t="s">
        <v>170</v>
      </c>
      <c r="F49" s="361"/>
      <c r="G49" s="361"/>
      <c r="H49" s="361"/>
      <c r="I49" s="361"/>
      <c r="J49" s="361"/>
      <c r="K49" s="361"/>
      <c r="L49" s="361"/>
      <c r="M49" s="361"/>
      <c r="N49" s="361"/>
      <c r="O49" s="361"/>
      <c r="P49" s="438"/>
      <c r="Q49" s="438"/>
      <c r="R49" s="438"/>
      <c r="S49" s="438"/>
      <c r="T49" s="438"/>
      <c r="U49" s="438"/>
      <c r="V49" s="438"/>
      <c r="Z49" s="439"/>
      <c r="AA49" s="439" t="str">
        <f>IF(AND(F50=G50,H50=I50,F50="A"),"2016 - kw","")</f>
        <v/>
      </c>
      <c r="AB49" s="439" t="str">
        <f>IF(OR(B49="2017 - kw",B49="2018 - kw"),"2016 - kw","")</f>
        <v/>
      </c>
      <c r="AC49" s="439"/>
      <c r="AD49" s="439"/>
      <c r="AE49" s="439"/>
    </row>
    <row r="50" spans="1:31" hidden="1" x14ac:dyDescent="0.25">
      <c r="A50" s="438"/>
      <c r="B50" s="438"/>
      <c r="C50" s="449"/>
      <c r="D50" s="424"/>
      <c r="E50" s="450" t="s">
        <v>210</v>
      </c>
      <c r="F50" s="437"/>
      <c r="G50" s="437"/>
      <c r="H50" s="437"/>
      <c r="I50" s="437"/>
      <c r="J50" s="437"/>
      <c r="K50" s="437"/>
      <c r="L50" s="437"/>
      <c r="M50" s="437"/>
      <c r="N50" s="437"/>
      <c r="O50" s="437"/>
      <c r="P50" s="438"/>
      <c r="Q50" s="438"/>
      <c r="R50" s="438"/>
      <c r="S50" s="438"/>
      <c r="T50" s="438"/>
      <c r="U50" s="438"/>
      <c r="V50" s="438"/>
      <c r="Z50" s="439"/>
      <c r="AA50" s="439"/>
      <c r="AB50" s="439"/>
      <c r="AC50" s="439"/>
      <c r="AD50" s="439"/>
      <c r="AE50" s="439"/>
    </row>
    <row r="51" spans="1:31" hidden="1" x14ac:dyDescent="0.25">
      <c r="A51" s="438" t="str">
        <f>IF(AND(F53=G53,H53=I53,J53=K53,F53="A"),"2016 - kwh",IF(AND(F53=G53,H53=I53,J53&lt;&gt;K53,F53="A"),"2017 - kwh",IF(AND(F53=G53,H53&lt;&gt;I53,F53="A"),"2018 - kwh","N/A")))</f>
        <v>N/A</v>
      </c>
      <c r="B51" s="438" t="str">
        <f>IF(F53&lt;&gt;G53,"2018 - kwh",IF(H53&lt;&gt;I53,"2017 - kwh",IF(J53&lt;&gt;K53,"2016 - kwh","N/A")))</f>
        <v>N/A</v>
      </c>
      <c r="C51" s="443" t="s">
        <v>216</v>
      </c>
      <c r="D51" s="444"/>
      <c r="E51" s="445" t="s">
        <v>139</v>
      </c>
      <c r="F51" s="361"/>
      <c r="G51" s="361"/>
      <c r="H51" s="361"/>
      <c r="I51" s="361"/>
      <c r="J51" s="361"/>
      <c r="K51" s="361"/>
      <c r="L51" s="361"/>
      <c r="M51" s="361"/>
      <c r="N51" s="361"/>
      <c r="O51" s="361"/>
      <c r="P51" s="438"/>
      <c r="Q51" s="438"/>
      <c r="R51" s="438"/>
      <c r="S51" s="438"/>
      <c r="T51" s="438"/>
      <c r="U51" s="438"/>
      <c r="V51" s="438"/>
      <c r="Z51" s="439"/>
      <c r="AA51" s="439" t="str">
        <f>IF(AND(F53=G53,H53=I53,F53="A"),"2016 - kwh","")</f>
        <v/>
      </c>
      <c r="AB51" s="439" t="str">
        <f>IF(OR(B51="2017 - kwh",B51="2018 - kwh"),"2016 - kwh","")</f>
        <v/>
      </c>
      <c r="AC51" s="439"/>
      <c r="AD51" s="439"/>
      <c r="AE51" s="439"/>
    </row>
    <row r="52" spans="1:31" hidden="1" x14ac:dyDescent="0.25">
      <c r="A52" s="438" t="str">
        <f>IF(AND(F53=G53,H53=I53,J53=K53,F53="A"),"2016 - kw",IF(AND(F53=G53,H53=I53,J53&lt;&gt;K53,F53="A"),"2017 - kw",IF(AND(F53=G53,H53&lt;&gt;I53,F53="A"),"2018 - kw","N/A")))</f>
        <v>N/A</v>
      </c>
      <c r="B52" s="438" t="str">
        <f>IF(F53&lt;&gt;G53,"2018 - kw",IF(H53&lt;&gt;I53,"2017 - kw",IF(J53&lt;&gt;K53,"2016 - kw","N/A")))</f>
        <v>N/A</v>
      </c>
      <c r="C52" s="446"/>
      <c r="D52" s="447" t="str">
        <f>D51 &amp; "kW"</f>
        <v>kW</v>
      </c>
      <c r="E52" s="448" t="s">
        <v>170</v>
      </c>
      <c r="F52" s="361"/>
      <c r="G52" s="361"/>
      <c r="H52" s="361"/>
      <c r="I52" s="361"/>
      <c r="J52" s="361"/>
      <c r="K52" s="361"/>
      <c r="L52" s="361"/>
      <c r="M52" s="361"/>
      <c r="N52" s="361"/>
      <c r="O52" s="361"/>
      <c r="P52" s="438"/>
      <c r="Q52" s="438"/>
      <c r="R52" s="438"/>
      <c r="S52" s="438"/>
      <c r="T52" s="438"/>
      <c r="U52" s="438"/>
      <c r="V52" s="438"/>
      <c r="Z52" s="439"/>
      <c r="AA52" s="439" t="str">
        <f>IF(AND(F53=G53,H53=I53,F53="A"),"2016 - kw","")</f>
        <v/>
      </c>
      <c r="AB52" s="439" t="str">
        <f>IF(OR(B52="2017 - kw",B52="2018 - kw"),"2016 - kw","")</f>
        <v/>
      </c>
      <c r="AC52" s="439"/>
      <c r="AD52" s="439"/>
      <c r="AE52" s="439"/>
    </row>
    <row r="53" spans="1:31" hidden="1" x14ac:dyDescent="0.25">
      <c r="A53" s="438"/>
      <c r="B53" s="438"/>
      <c r="C53" s="449"/>
      <c r="D53" s="424"/>
      <c r="E53" s="450" t="s">
        <v>210</v>
      </c>
      <c r="F53" s="437"/>
      <c r="G53" s="437"/>
      <c r="H53" s="437"/>
      <c r="I53" s="437"/>
      <c r="J53" s="437"/>
      <c r="K53" s="437"/>
      <c r="L53" s="437"/>
      <c r="M53" s="437"/>
      <c r="N53" s="437"/>
      <c r="O53" s="437"/>
      <c r="P53" s="438"/>
      <c r="Q53" s="438"/>
      <c r="R53" s="438"/>
      <c r="S53" s="438"/>
      <c r="T53" s="438"/>
      <c r="U53" s="438"/>
      <c r="V53" s="438"/>
      <c r="Z53" s="439"/>
      <c r="AA53" s="439"/>
      <c r="AB53" s="439"/>
      <c r="AC53" s="439"/>
      <c r="AD53" s="439"/>
      <c r="AE53" s="439"/>
    </row>
    <row r="54" spans="1:31" hidden="1" x14ac:dyDescent="0.25">
      <c r="A54" s="438" t="str">
        <f>IF(AND(F56=G56,H56=I56,J56=K56,F56="A"),"2016 - kwh",IF(AND(F56=G56,H56=I56,J56&lt;&gt;K56,F56="A"),"2017 - kwh",IF(AND(F56=G56,H56&lt;&gt;I56,F56="A"),"2018 - kwh","N/A")))</f>
        <v>N/A</v>
      </c>
      <c r="B54" s="438" t="str">
        <f>IF(F56&lt;&gt;G56,"2018 - kwh",IF(H56&lt;&gt;I56,"2017 - kwh",IF(J56&lt;&gt;K56,"2016 - kwh","N/A")))</f>
        <v>N/A</v>
      </c>
      <c r="C54" s="443" t="s">
        <v>217</v>
      </c>
      <c r="D54" s="444"/>
      <c r="E54" s="445" t="s">
        <v>139</v>
      </c>
      <c r="F54" s="361"/>
      <c r="G54" s="361"/>
      <c r="H54" s="361"/>
      <c r="I54" s="361"/>
      <c r="J54" s="361"/>
      <c r="K54" s="361"/>
      <c r="L54" s="361"/>
      <c r="M54" s="361"/>
      <c r="N54" s="361"/>
      <c r="O54" s="361"/>
      <c r="P54" s="438"/>
      <c r="Q54" s="438"/>
      <c r="R54" s="438"/>
      <c r="S54" s="438"/>
      <c r="T54" s="438"/>
      <c r="U54" s="438"/>
      <c r="V54" s="438"/>
      <c r="Z54" s="439"/>
      <c r="AA54" s="439" t="str">
        <f>IF(AND(F56=G56,H56=I56,F56="A"),"2016 - kwh","")</f>
        <v/>
      </c>
      <c r="AB54" s="439" t="str">
        <f>IF(OR(B54="2017 - kwh",B54="2018 - kwh"),"2016 - kwh","")</f>
        <v/>
      </c>
      <c r="AC54" s="439"/>
      <c r="AD54" s="439"/>
      <c r="AE54" s="439"/>
    </row>
    <row r="55" spans="1:31" hidden="1" x14ac:dyDescent="0.25">
      <c r="A55" s="438" t="str">
        <f>IF(AND(F56=G56,H56=I56,J56=K56,F56="A"),"2016 - kw",IF(AND(F56=G56,H56=I56,J56&lt;&gt;K56,F56="A"),"2017 - kw",IF(AND(F56=G56,H56&lt;&gt;I56,F56="A"),"2018 - kw","N/A")))</f>
        <v>N/A</v>
      </c>
      <c r="B55" s="438" t="str">
        <f>IF(F56&lt;&gt;G56,"2018 - kw",IF(H56&lt;&gt;I56,"2017 - kw",IF(J56&lt;&gt;K56,"2016 - kw","N/A")))</f>
        <v>N/A</v>
      </c>
      <c r="C55" s="446"/>
      <c r="D55" s="447" t="str">
        <f>D54 &amp; "kW"</f>
        <v>kW</v>
      </c>
      <c r="E55" s="448" t="s">
        <v>170</v>
      </c>
      <c r="F55" s="361"/>
      <c r="G55" s="361"/>
      <c r="H55" s="361"/>
      <c r="I55" s="361"/>
      <c r="J55" s="361"/>
      <c r="K55" s="361"/>
      <c r="L55" s="361"/>
      <c r="M55" s="361"/>
      <c r="N55" s="361"/>
      <c r="O55" s="361"/>
      <c r="P55" s="438"/>
      <c r="Q55" s="438"/>
      <c r="R55" s="438"/>
      <c r="S55" s="438"/>
      <c r="T55" s="438"/>
      <c r="U55" s="438"/>
      <c r="V55" s="438"/>
      <c r="Z55" s="439"/>
      <c r="AA55" s="439" t="str">
        <f>IF(AND(F56=G56,H56=I56,F56="A"),"2016 - kw","")</f>
        <v/>
      </c>
      <c r="AB55" s="439" t="str">
        <f>IF(OR(B55="2017 - kw",B55="2018 - kw"),"2016 - kw","")</f>
        <v/>
      </c>
      <c r="AC55" s="439"/>
      <c r="AD55" s="439"/>
      <c r="AE55" s="439"/>
    </row>
    <row r="56" spans="1:31" hidden="1" x14ac:dyDescent="0.25">
      <c r="A56" s="438"/>
      <c r="B56" s="438"/>
      <c r="C56" s="449"/>
      <c r="D56" s="424"/>
      <c r="E56" s="450" t="s">
        <v>210</v>
      </c>
      <c r="F56" s="437"/>
      <c r="G56" s="437"/>
      <c r="H56" s="437"/>
      <c r="I56" s="437"/>
      <c r="J56" s="437"/>
      <c r="K56" s="437"/>
      <c r="L56" s="437"/>
      <c r="M56" s="437"/>
      <c r="N56" s="437"/>
      <c r="O56" s="437"/>
      <c r="P56" s="438"/>
      <c r="Q56" s="438"/>
      <c r="R56" s="438"/>
      <c r="S56" s="438"/>
      <c r="T56" s="438"/>
      <c r="U56" s="438"/>
      <c r="V56" s="438"/>
      <c r="Z56" s="439"/>
      <c r="AA56" s="439"/>
      <c r="AB56" s="439"/>
      <c r="AC56" s="439"/>
      <c r="AD56" s="439"/>
      <c r="AE56" s="439"/>
    </row>
    <row r="57" spans="1:31" hidden="1" x14ac:dyDescent="0.25">
      <c r="A57" s="438" t="str">
        <f>IF(AND(F59=G59,H59=I59,J59=K59,F59="A"),"2016 - kwh",IF(AND(F59=G59,H59=I59,J59&lt;&gt;K59,F59="A"),"2017 - kwh",IF(AND(F59=G59,H59&lt;&gt;I59,F59="A"),"2018 - kwh","N/A")))</f>
        <v>N/A</v>
      </c>
      <c r="B57" s="438" t="str">
        <f>IF(F59&lt;&gt;G59,"2018 - kwh",IF(H59&lt;&gt;I59,"2017 - kwh",IF(J59&lt;&gt;K59,"2016 - kwh","N/A")))</f>
        <v>N/A</v>
      </c>
      <c r="C57" s="443" t="s">
        <v>218</v>
      </c>
      <c r="D57" s="444"/>
      <c r="E57" s="445" t="s">
        <v>139</v>
      </c>
      <c r="F57" s="361"/>
      <c r="G57" s="361"/>
      <c r="H57" s="361"/>
      <c r="I57" s="361"/>
      <c r="J57" s="361"/>
      <c r="K57" s="361"/>
      <c r="L57" s="361"/>
      <c r="M57" s="361"/>
      <c r="N57" s="361"/>
      <c r="O57" s="361"/>
      <c r="P57" s="438"/>
      <c r="Q57" s="438"/>
      <c r="R57" s="438"/>
      <c r="S57" s="438"/>
      <c r="T57" s="438"/>
      <c r="U57" s="438"/>
      <c r="V57" s="438"/>
      <c r="Z57" s="439"/>
      <c r="AA57" s="439" t="str">
        <f>IF(AND(F59=G59,H59=I59,F59="A"),"2016 - kwh","")</f>
        <v/>
      </c>
      <c r="AB57" s="439" t="str">
        <f>IF(OR(B57="2017 - kwh",B57="2018 - kwh"),"2016 - kwh","")</f>
        <v/>
      </c>
      <c r="AC57" s="439"/>
      <c r="AD57" s="439"/>
      <c r="AE57" s="439"/>
    </row>
    <row r="58" spans="1:31" hidden="1" x14ac:dyDescent="0.25">
      <c r="A58" s="438" t="str">
        <f>IF(AND(F59=G59,H59=I59,J59=K59,F59="A"),"2016 - kw",IF(AND(F59=G59,H59=I59,J59&lt;&gt;K59,F59="A"),"2017 - kw",IF(AND(F59=G59,H59&lt;&gt;I59,F59="A"),"2018 - kw","N/A")))</f>
        <v>N/A</v>
      </c>
      <c r="B58" s="438" t="str">
        <f>IF(F59&lt;&gt;G59,"2018 - kw",IF(H59&lt;&gt;I59,"2017 - kw",IF(J59&lt;&gt;K59,"2016 - kw","N/A")))</f>
        <v>N/A</v>
      </c>
      <c r="C58" s="446"/>
      <c r="D58" s="447" t="str">
        <f>D57 &amp; "kW"</f>
        <v>kW</v>
      </c>
      <c r="E58" s="448" t="s">
        <v>170</v>
      </c>
      <c r="F58" s="361"/>
      <c r="G58" s="361"/>
      <c r="H58" s="361"/>
      <c r="I58" s="361"/>
      <c r="J58" s="361"/>
      <c r="K58" s="361"/>
      <c r="L58" s="361"/>
      <c r="M58" s="361"/>
      <c r="N58" s="361"/>
      <c r="O58" s="361"/>
      <c r="P58" s="438"/>
      <c r="Q58" s="438"/>
      <c r="R58" s="438"/>
      <c r="S58" s="438"/>
      <c r="T58" s="438"/>
      <c r="U58" s="438"/>
      <c r="V58" s="438"/>
      <c r="Z58" s="439"/>
      <c r="AA58" s="439" t="str">
        <f>IF(AND(F59=G59,H59=I59,F59="A"),"2016 - kw","")</f>
        <v/>
      </c>
      <c r="AB58" s="439" t="str">
        <f>IF(OR(B58="2017 - kw",B58="2018 - kw"),"2016 - kw","")</f>
        <v/>
      </c>
      <c r="AC58" s="439"/>
      <c r="AD58" s="439"/>
      <c r="AE58" s="439"/>
    </row>
    <row r="59" spans="1:31" hidden="1" x14ac:dyDescent="0.25">
      <c r="A59" s="438"/>
      <c r="B59" s="438"/>
      <c r="C59" s="449"/>
      <c r="D59" s="424"/>
      <c r="E59" s="450" t="s">
        <v>210</v>
      </c>
      <c r="F59" s="437"/>
      <c r="G59" s="437"/>
      <c r="H59" s="437"/>
      <c r="I59" s="437"/>
      <c r="J59" s="437"/>
      <c r="K59" s="437"/>
      <c r="L59" s="437"/>
      <c r="M59" s="437"/>
      <c r="N59" s="437"/>
      <c r="O59" s="437"/>
      <c r="P59" s="438"/>
      <c r="Q59" s="438"/>
      <c r="R59" s="438"/>
      <c r="S59" s="438"/>
      <c r="T59" s="438"/>
      <c r="U59" s="438"/>
      <c r="V59" s="438"/>
      <c r="Z59" s="439"/>
      <c r="AA59" s="439"/>
      <c r="AB59" s="439"/>
      <c r="AC59" s="439"/>
      <c r="AD59" s="439"/>
      <c r="AE59" s="439"/>
    </row>
    <row r="60" spans="1:31" hidden="1" x14ac:dyDescent="0.25">
      <c r="A60" s="438" t="str">
        <f>IF(AND(F62=G62,H62=I62,J62=K62,F62="A"),"2016 - kwh",IF(AND(F62=G62,H62=I62,J62&lt;&gt;K62,F62="A"),"2017 - kwh",IF(AND(F62=G62,H62&lt;&gt;I62,F62="A"),"2018 - kwh","N/A")))</f>
        <v>N/A</v>
      </c>
      <c r="B60" s="438" t="str">
        <f>IF(F62&lt;&gt;G62,"2018 - kwh",IF(H62&lt;&gt;I62,"2017 - kwh",IF(J62&lt;&gt;K62,"2016 - kwh","N/A")))</f>
        <v>N/A</v>
      </c>
      <c r="C60" s="443" t="s">
        <v>219</v>
      </c>
      <c r="D60" s="444"/>
      <c r="E60" s="445" t="s">
        <v>139</v>
      </c>
      <c r="F60" s="361"/>
      <c r="G60" s="361"/>
      <c r="H60" s="361"/>
      <c r="I60" s="361"/>
      <c r="J60" s="361"/>
      <c r="K60" s="361"/>
      <c r="L60" s="361"/>
      <c r="M60" s="361"/>
      <c r="N60" s="361"/>
      <c r="O60" s="361"/>
      <c r="P60" s="438"/>
      <c r="Q60" s="438"/>
      <c r="R60" s="438"/>
      <c r="S60" s="438"/>
      <c r="T60" s="438"/>
      <c r="U60" s="438"/>
      <c r="V60" s="438"/>
      <c r="Z60" s="439"/>
      <c r="AA60" s="439" t="str">
        <f>IF(AND(F62=G62,H62=I62,F62="A"),"2016 - kwh","")</f>
        <v/>
      </c>
      <c r="AB60" s="439" t="str">
        <f>IF(OR(B60="2017 - kwh",B60="2018 - kwh"),"2016 - kwh","")</f>
        <v/>
      </c>
      <c r="AC60" s="439"/>
      <c r="AD60" s="439"/>
      <c r="AE60" s="439"/>
    </row>
    <row r="61" spans="1:31" hidden="1" x14ac:dyDescent="0.25">
      <c r="A61" s="438" t="str">
        <f>IF(AND(F62=G62,H62=I62,J62=K62,F62="A"),"2016 - kw",IF(AND(F62=G62,H62=I62,J62&lt;&gt;K62,F62="A"),"2017 - kw",IF(AND(F62=G62,H62&lt;&gt;I62,F62="A"),"2018 - kw","N/A")))</f>
        <v>N/A</v>
      </c>
      <c r="B61" s="438" t="str">
        <f>IF(F62&lt;&gt;G62,"2018 - kw",IF(H62&lt;&gt;I62,"2017 - kw",IF(J62&lt;&gt;K62,"2016 - kw","N/A")))</f>
        <v>N/A</v>
      </c>
      <c r="C61" s="446"/>
      <c r="D61" s="447" t="str">
        <f>D60 &amp; "kW"</f>
        <v>kW</v>
      </c>
      <c r="E61" s="448" t="s">
        <v>170</v>
      </c>
      <c r="F61" s="361"/>
      <c r="G61" s="361"/>
      <c r="H61" s="361"/>
      <c r="I61" s="361"/>
      <c r="J61" s="361"/>
      <c r="K61" s="361"/>
      <c r="L61" s="361"/>
      <c r="M61" s="361"/>
      <c r="N61" s="361"/>
      <c r="O61" s="361"/>
      <c r="P61" s="438"/>
      <c r="Q61" s="438"/>
      <c r="R61" s="438"/>
      <c r="S61" s="438"/>
      <c r="T61" s="438"/>
      <c r="U61" s="438"/>
      <c r="V61" s="438"/>
      <c r="Z61" s="439"/>
      <c r="AA61" s="439" t="str">
        <f>IF(AND(F62=G62,H62=I62,F62="A"),"2016 - kw","")</f>
        <v/>
      </c>
      <c r="AB61" s="439" t="str">
        <f>IF(OR(B61="2017 - kw",B61="2018 - kw"),"2016 - kw","")</f>
        <v/>
      </c>
      <c r="AC61" s="439"/>
      <c r="AD61" s="439"/>
      <c r="AE61" s="439"/>
    </row>
    <row r="62" spans="1:31" hidden="1" x14ac:dyDescent="0.25">
      <c r="A62" s="438"/>
      <c r="B62" s="438"/>
      <c r="C62" s="449"/>
      <c r="D62" s="424"/>
      <c r="E62" s="450" t="s">
        <v>210</v>
      </c>
      <c r="F62" s="437"/>
      <c r="G62" s="437"/>
      <c r="H62" s="437"/>
      <c r="I62" s="437"/>
      <c r="J62" s="437"/>
      <c r="K62" s="437"/>
      <c r="L62" s="437"/>
      <c r="M62" s="437"/>
      <c r="N62" s="437"/>
      <c r="O62" s="437"/>
      <c r="P62" s="438"/>
      <c r="Q62" s="438"/>
      <c r="R62" s="438"/>
      <c r="S62" s="438"/>
      <c r="T62" s="438"/>
      <c r="U62" s="438"/>
      <c r="V62" s="438"/>
      <c r="Z62" s="439"/>
      <c r="AA62" s="439"/>
      <c r="AB62" s="439"/>
      <c r="AC62" s="439"/>
      <c r="AD62" s="439"/>
      <c r="AE62" s="439"/>
    </row>
    <row r="63" spans="1:31" hidden="1" x14ac:dyDescent="0.25">
      <c r="A63" s="438" t="str">
        <f>IF(AND(F65=G65,H65=I65,J65=K65,F65="A"),"2016 - kwh",IF(AND(F65=G65,H65=I65,J65&lt;&gt;K65,F65="A"),"2017 - kwh",IF(AND(F65=G65,H65&lt;&gt;I65,F65="A"),"2018 - kwh","N/A")))</f>
        <v>N/A</v>
      </c>
      <c r="B63" s="438" t="str">
        <f>IF(F65&lt;&gt;G65,"2018 - kwh",IF(H65&lt;&gt;I65,"2017 - kwh",IF(J65&lt;&gt;K65,"2016 - kwh","N/A")))</f>
        <v>N/A</v>
      </c>
      <c r="C63" s="443" t="s">
        <v>220</v>
      </c>
      <c r="D63" s="444"/>
      <c r="E63" s="445" t="s">
        <v>139</v>
      </c>
      <c r="F63" s="361"/>
      <c r="G63" s="361"/>
      <c r="H63" s="361"/>
      <c r="I63" s="361"/>
      <c r="J63" s="361"/>
      <c r="K63" s="361"/>
      <c r="L63" s="361"/>
      <c r="M63" s="361"/>
      <c r="N63" s="361"/>
      <c r="O63" s="361"/>
      <c r="P63" s="438"/>
      <c r="Q63" s="438"/>
      <c r="R63" s="438"/>
      <c r="S63" s="438"/>
      <c r="T63" s="438"/>
      <c r="U63" s="438"/>
      <c r="V63" s="438"/>
      <c r="Z63" s="439"/>
      <c r="AA63" s="439" t="str">
        <f>IF(AND(F65=G65,H65=I65,F65="A"),"2016 - kwh","")</f>
        <v/>
      </c>
      <c r="AB63" s="439" t="str">
        <f>IF(OR(B63="2017 - kwh",B63="2018 - kwh"),"2016 - kwh","")</f>
        <v/>
      </c>
      <c r="AC63" s="439"/>
      <c r="AD63" s="439"/>
      <c r="AE63" s="439"/>
    </row>
    <row r="64" spans="1:31" hidden="1" x14ac:dyDescent="0.25">
      <c r="A64" s="438" t="str">
        <f>IF(AND(F65=G65,H65=I65,J65=K65,F65="A"),"2016 - kw",IF(AND(F65=G65,H65=I65,J65&lt;&gt;K65,F65="A"),"2017 - kw",IF(AND(F65=G65,H65&lt;&gt;I65,F65="A"),"2018 - kw","N/A")))</f>
        <v>N/A</v>
      </c>
      <c r="B64" s="438" t="str">
        <f>IF(F65&lt;&gt;G65,"2018 - kw",IF(H65&lt;&gt;I65,"2017 - kw",IF(J65&lt;&gt;K65,"2016 - kw","N/A")))</f>
        <v>N/A</v>
      </c>
      <c r="C64" s="446"/>
      <c r="D64" s="447" t="str">
        <f>D63 &amp; "kW"</f>
        <v>kW</v>
      </c>
      <c r="E64" s="448" t="s">
        <v>170</v>
      </c>
      <c r="F64" s="361"/>
      <c r="G64" s="361"/>
      <c r="H64" s="361"/>
      <c r="I64" s="361"/>
      <c r="J64" s="361"/>
      <c r="K64" s="361"/>
      <c r="L64" s="361"/>
      <c r="M64" s="361"/>
      <c r="N64" s="361"/>
      <c r="O64" s="361"/>
      <c r="P64" s="438"/>
      <c r="Q64" s="438"/>
      <c r="R64" s="438"/>
      <c r="S64" s="438"/>
      <c r="T64" s="438"/>
      <c r="U64" s="438"/>
      <c r="V64" s="438"/>
      <c r="Z64" s="439"/>
      <c r="AA64" s="439" t="str">
        <f>IF(AND(F65=G65,H65=I65,F65="A"),"2016 - kw","")</f>
        <v/>
      </c>
      <c r="AB64" s="439" t="str">
        <f>IF(OR(B64="2017 - kw",B64="2018 - kw"),"2016 - kw","")</f>
        <v/>
      </c>
      <c r="AC64" s="439"/>
      <c r="AD64" s="439"/>
      <c r="AE64" s="439"/>
    </row>
    <row r="65" spans="1:31" hidden="1" x14ac:dyDescent="0.25">
      <c r="A65" s="438"/>
      <c r="B65" s="438"/>
      <c r="C65" s="449"/>
      <c r="D65" s="424"/>
      <c r="E65" s="450" t="s">
        <v>210</v>
      </c>
      <c r="F65" s="437"/>
      <c r="G65" s="437"/>
      <c r="H65" s="437"/>
      <c r="I65" s="437"/>
      <c r="J65" s="437"/>
      <c r="K65" s="437"/>
      <c r="L65" s="437"/>
      <c r="M65" s="437"/>
      <c r="N65" s="437"/>
      <c r="O65" s="437"/>
      <c r="P65" s="438"/>
      <c r="Q65" s="438"/>
      <c r="R65" s="438"/>
      <c r="S65" s="438"/>
      <c r="T65" s="438"/>
      <c r="U65" s="438"/>
      <c r="V65" s="438"/>
      <c r="Z65" s="439"/>
      <c r="AA65" s="439"/>
      <c r="AB65" s="439"/>
      <c r="AC65" s="439"/>
      <c r="AD65" s="439"/>
      <c r="AE65" s="439"/>
    </row>
    <row r="66" spans="1:31" hidden="1" x14ac:dyDescent="0.25">
      <c r="A66" s="438" t="str">
        <f>IF(AND(F68=G68,H68=I68,J68=K68,F68="A"),"2016 - kwh",IF(AND(F68=G68,H68=I68,J68&lt;&gt;K68,F68="A"),"2017 - kwh",IF(AND(F68=G68,H68&lt;&gt;I68,F68="A"),"2018 - kwh","N/A")))</f>
        <v>N/A</v>
      </c>
      <c r="B66" s="438" t="str">
        <f>IF(F68&lt;&gt;G68,"2018 - kwh",IF(H68&lt;&gt;I68,"2017 - kwh",IF(J68&lt;&gt;K68,"2016 - kwh","N/A")))</f>
        <v>N/A</v>
      </c>
      <c r="C66" s="443" t="s">
        <v>221</v>
      </c>
      <c r="D66" s="444"/>
      <c r="E66" s="445" t="s">
        <v>139</v>
      </c>
      <c r="F66" s="361"/>
      <c r="G66" s="361"/>
      <c r="H66" s="361"/>
      <c r="I66" s="361"/>
      <c r="J66" s="361"/>
      <c r="K66" s="361"/>
      <c r="L66" s="361"/>
      <c r="M66" s="361"/>
      <c r="N66" s="361"/>
      <c r="O66" s="361"/>
      <c r="P66" s="438"/>
      <c r="Q66" s="438"/>
      <c r="R66" s="438"/>
      <c r="S66" s="438"/>
      <c r="T66" s="438"/>
      <c r="U66" s="438"/>
      <c r="V66" s="438"/>
      <c r="Z66" s="439"/>
      <c r="AA66" s="439" t="str">
        <f>IF(AND(F68=G68,H68=I68,F68="A"),"2016 - kwh","")</f>
        <v/>
      </c>
      <c r="AB66" s="439" t="str">
        <f>IF(OR(B66="2017 - kwh",B66="2018 - kwh"),"2016 - kwh","")</f>
        <v/>
      </c>
      <c r="AC66" s="439"/>
      <c r="AD66" s="439"/>
      <c r="AE66" s="439"/>
    </row>
    <row r="67" spans="1:31" hidden="1" x14ac:dyDescent="0.25">
      <c r="A67" s="438" t="str">
        <f>IF(AND(F68=G68,H68=I68,J68=K68,F68="A"),"2016 - kw",IF(AND(F68=G68,H68=I68,J68&lt;&gt;K68,F68="A"),"2017 - kw",IF(AND(F68=G68,H68&lt;&gt;I68,F68="A"),"2018 - kw","N/A")))</f>
        <v>N/A</v>
      </c>
      <c r="B67" s="438" t="str">
        <f>IF(F68&lt;&gt;G68,"2018 - kw",IF(H68&lt;&gt;I68,"2017 - kw",IF(J68&lt;&gt;K68,"2016 - kw","N/A")))</f>
        <v>N/A</v>
      </c>
      <c r="C67" s="446"/>
      <c r="D67" s="447" t="str">
        <f>D66 &amp; "kW"</f>
        <v>kW</v>
      </c>
      <c r="E67" s="448" t="s">
        <v>170</v>
      </c>
      <c r="F67" s="361"/>
      <c r="G67" s="361"/>
      <c r="H67" s="361"/>
      <c r="I67" s="361"/>
      <c r="J67" s="361"/>
      <c r="K67" s="361"/>
      <c r="L67" s="361"/>
      <c r="M67" s="361"/>
      <c r="N67" s="361"/>
      <c r="O67" s="361"/>
      <c r="P67" s="438"/>
      <c r="Q67" s="438"/>
      <c r="R67" s="438"/>
      <c r="S67" s="438"/>
      <c r="T67" s="438"/>
      <c r="U67" s="438"/>
      <c r="V67" s="438"/>
      <c r="Z67" s="439"/>
      <c r="AA67" s="439" t="str">
        <f>IF(AND(F68=G68,H68=I68,F68="A"),"2016 - kw","")</f>
        <v/>
      </c>
      <c r="AB67" s="439" t="str">
        <f>IF(OR(B67="2017 - kw",B67="2018 - kw"),"2016 - kw","")</f>
        <v/>
      </c>
      <c r="AC67" s="439"/>
      <c r="AD67" s="439"/>
      <c r="AE67" s="439"/>
    </row>
    <row r="68" spans="1:31" hidden="1" x14ac:dyDescent="0.25">
      <c r="A68" s="438"/>
      <c r="B68" s="438"/>
      <c r="C68" s="449"/>
      <c r="D68" s="424"/>
      <c r="E68" s="450" t="s">
        <v>210</v>
      </c>
      <c r="F68" s="437"/>
      <c r="G68" s="437"/>
      <c r="H68" s="437"/>
      <c r="I68" s="437"/>
      <c r="J68" s="437"/>
      <c r="K68" s="437"/>
      <c r="L68" s="437"/>
      <c r="M68" s="437"/>
      <c r="N68" s="437"/>
      <c r="O68" s="437"/>
      <c r="P68" s="438"/>
      <c r="Q68" s="438"/>
      <c r="R68" s="438"/>
      <c r="S68" s="438"/>
      <c r="T68" s="438"/>
      <c r="U68" s="438"/>
      <c r="V68" s="438"/>
      <c r="Z68" s="439"/>
      <c r="AA68" s="439"/>
      <c r="AB68" s="439"/>
      <c r="AC68" s="439"/>
      <c r="AD68" s="439"/>
      <c r="AE68" s="439"/>
    </row>
    <row r="69" spans="1:31" hidden="1" x14ac:dyDescent="0.25">
      <c r="A69" s="438" t="str">
        <f>IF(AND(F71=G71,H71=I71,J71=K71,F71="A"),"2016 - kwh",IF(AND(F71=G71,H71=I71,J71&lt;&gt;K71,F71="A"),"2017 - kwh",IF(AND(F71=G71,H71&lt;&gt;I71,F71="A"),"2018 - kwh","N/A")))</f>
        <v>N/A</v>
      </c>
      <c r="B69" s="438" t="str">
        <f>IF(F71&lt;&gt;G71,"2018 - kwh",IF(H71&lt;&gt;I71,"2017 - kwh",IF(J71&lt;&gt;K71,"2016 - kwh","N/A")))</f>
        <v>N/A</v>
      </c>
      <c r="C69" s="443" t="s">
        <v>222</v>
      </c>
      <c r="D69" s="444"/>
      <c r="E69" s="445" t="s">
        <v>139</v>
      </c>
      <c r="F69" s="361"/>
      <c r="G69" s="361"/>
      <c r="H69" s="361"/>
      <c r="I69" s="361"/>
      <c r="J69" s="361"/>
      <c r="K69" s="361"/>
      <c r="L69" s="361"/>
      <c r="M69" s="361"/>
      <c r="N69" s="361"/>
      <c r="O69" s="361"/>
      <c r="P69" s="438"/>
      <c r="Q69" s="438"/>
      <c r="R69" s="438"/>
      <c r="S69" s="438"/>
      <c r="T69" s="438"/>
      <c r="U69" s="438"/>
      <c r="V69" s="438"/>
      <c r="Z69" s="439"/>
      <c r="AA69" s="439" t="str">
        <f>IF(AND(F71=G71,H71=I71,F71="A"),"2016 - kwh","")</f>
        <v/>
      </c>
      <c r="AB69" s="439" t="str">
        <f>IF(OR(B69="2017 - kwh",B69="2018 - kwh"),"2016 - kwh","")</f>
        <v/>
      </c>
      <c r="AC69" s="439"/>
      <c r="AD69" s="439"/>
      <c r="AE69" s="439"/>
    </row>
    <row r="70" spans="1:31" hidden="1" x14ac:dyDescent="0.25">
      <c r="A70" s="438" t="str">
        <f>IF(AND(F71=G71,H71=I71,J71=K71,F71="A"),"2016 - kw",IF(AND(F71=G71,H71=I71,J71&lt;&gt;K71,F71="A"),"2017 - kw",IF(AND(F71=G71,H71&lt;&gt;I71,F71="A"),"2018 - kw","N/A")))</f>
        <v>N/A</v>
      </c>
      <c r="B70" s="438" t="str">
        <f>IF(F71&lt;&gt;G71,"2018 - kw",IF(H71&lt;&gt;I71,"2017 - kw",IF(J71&lt;&gt;K71,"2016 - kw","N/A")))</f>
        <v>N/A</v>
      </c>
      <c r="C70" s="446"/>
      <c r="D70" s="447" t="str">
        <f>D69 &amp; "kW"</f>
        <v>kW</v>
      </c>
      <c r="E70" s="448" t="s">
        <v>170</v>
      </c>
      <c r="F70" s="361"/>
      <c r="G70" s="361"/>
      <c r="H70" s="361"/>
      <c r="I70" s="361"/>
      <c r="J70" s="361"/>
      <c r="K70" s="361"/>
      <c r="L70" s="361"/>
      <c r="M70" s="361"/>
      <c r="N70" s="361"/>
      <c r="O70" s="361"/>
      <c r="P70" s="438"/>
      <c r="Q70" s="438"/>
      <c r="R70" s="438"/>
      <c r="S70" s="438"/>
      <c r="T70" s="438"/>
      <c r="U70" s="438"/>
      <c r="V70" s="438"/>
      <c r="Z70" s="439"/>
      <c r="AA70" s="439" t="str">
        <f>IF(AND(F71=G71,H71=I71,F71="A"),"2016 - kw","")</f>
        <v/>
      </c>
      <c r="AB70" s="439" t="str">
        <f>IF(OR(B70="2017 - kw",B70="2018 - kw"),"2016 - kw","")</f>
        <v/>
      </c>
      <c r="AC70" s="439"/>
      <c r="AD70" s="439"/>
      <c r="AE70" s="439"/>
    </row>
    <row r="71" spans="1:31" hidden="1" x14ac:dyDescent="0.25">
      <c r="A71" s="438"/>
      <c r="B71" s="438"/>
      <c r="C71" s="449"/>
      <c r="D71" s="424"/>
      <c r="E71" s="450" t="s">
        <v>210</v>
      </c>
      <c r="F71" s="437"/>
      <c r="G71" s="437"/>
      <c r="H71" s="437"/>
      <c r="I71" s="437"/>
      <c r="J71" s="437"/>
      <c r="K71" s="437"/>
      <c r="L71" s="437"/>
      <c r="M71" s="437"/>
      <c r="N71" s="437"/>
      <c r="O71" s="437"/>
      <c r="P71" s="438"/>
      <c r="Q71" s="438"/>
      <c r="R71" s="438"/>
      <c r="S71" s="438"/>
      <c r="T71" s="438"/>
      <c r="U71" s="438"/>
      <c r="V71" s="438"/>
      <c r="Z71" s="439"/>
      <c r="AA71" s="439"/>
      <c r="AB71" s="439"/>
      <c r="AC71" s="439"/>
      <c r="AD71" s="439"/>
      <c r="AE71" s="439"/>
    </row>
    <row r="72" spans="1:31" hidden="1" x14ac:dyDescent="0.25">
      <c r="A72" s="438" t="str">
        <f>IF(AND(F74=G74,H74=I74,J74=K74,F74="A"),"2016 - kwh",IF(AND(F74=G74,H74=I74,J74&lt;&gt;K74,F74="A"),"2017 - kwh",IF(AND(F74=G74,H74&lt;&gt;I74,F74="A"),"2018 - kwh","N/A")))</f>
        <v>N/A</v>
      </c>
      <c r="B72" s="438" t="str">
        <f>IF(F74&lt;&gt;G74,"2018 - kwh",IF(H74&lt;&gt;I74,"2017 - kwh",IF(J74&lt;&gt;K74,"2016 - kwh","N/A")))</f>
        <v>N/A</v>
      </c>
      <c r="C72" s="443" t="s">
        <v>223</v>
      </c>
      <c r="D72" s="444"/>
      <c r="E72" s="445" t="s">
        <v>139</v>
      </c>
      <c r="F72" s="361"/>
      <c r="G72" s="361"/>
      <c r="H72" s="361"/>
      <c r="I72" s="361"/>
      <c r="J72" s="361"/>
      <c r="K72" s="361"/>
      <c r="L72" s="361"/>
      <c r="M72" s="361"/>
      <c r="N72" s="361"/>
      <c r="O72" s="361"/>
      <c r="P72" s="438"/>
      <c r="Q72" s="438"/>
      <c r="R72" s="438"/>
      <c r="S72" s="438"/>
      <c r="T72" s="438"/>
      <c r="U72" s="438"/>
      <c r="V72" s="438"/>
      <c r="Z72" s="439"/>
      <c r="AA72" s="439" t="str">
        <f>IF(AND(F74=G74,H74=I74,F74="A"),"2016 - kwh","")</f>
        <v/>
      </c>
      <c r="AB72" s="439" t="str">
        <f>IF(OR(B72="2017 - kwh",B72="2018 - kwh"),"2016 - kwh","")</f>
        <v/>
      </c>
      <c r="AC72" s="439"/>
      <c r="AD72" s="439"/>
      <c r="AE72" s="439"/>
    </row>
    <row r="73" spans="1:31" hidden="1" x14ac:dyDescent="0.25">
      <c r="A73" s="438" t="str">
        <f>IF(AND(F74=G74,H74=I74,J74=K74,F74="A"),"2016 - kw",IF(AND(F74=G74,H74=I74,J74&lt;&gt;K74,F74="A"),"2017 - kw",IF(AND(F74=G74,H74&lt;&gt;I74,F74="A"),"2018 - kw","N/A")))</f>
        <v>N/A</v>
      </c>
      <c r="B73" s="438" t="str">
        <f>IF(F74&lt;&gt;G74,"2018 - kw",IF(H74&lt;&gt;I74,"2017 - kw",IF(J74&lt;&gt;K74,"2016 - kw","N/A")))</f>
        <v>N/A</v>
      </c>
      <c r="C73" s="446"/>
      <c r="D73" s="447" t="str">
        <f>D72 &amp; "kW"</f>
        <v>kW</v>
      </c>
      <c r="E73" s="448" t="s">
        <v>170</v>
      </c>
      <c r="F73" s="361"/>
      <c r="G73" s="361"/>
      <c r="H73" s="361"/>
      <c r="I73" s="361"/>
      <c r="J73" s="361"/>
      <c r="K73" s="361"/>
      <c r="L73" s="361"/>
      <c r="M73" s="361"/>
      <c r="N73" s="361"/>
      <c r="O73" s="361"/>
      <c r="P73" s="438"/>
      <c r="Q73" s="438"/>
      <c r="R73" s="438"/>
      <c r="S73" s="438"/>
      <c r="T73" s="438"/>
      <c r="U73" s="438"/>
      <c r="V73" s="438"/>
      <c r="Z73" s="439"/>
      <c r="AA73" s="439" t="str">
        <f>IF(AND(F74=G74,H74=I74,F74="A"),"2016 - kw","")</f>
        <v/>
      </c>
      <c r="AB73" s="439" t="str">
        <f>IF(OR(B73="2017 - kw",B73="2018 - kw"),"2016 - kw","")</f>
        <v/>
      </c>
      <c r="AC73" s="439"/>
      <c r="AD73" s="439"/>
      <c r="AE73" s="439"/>
    </row>
    <row r="74" spans="1:31" hidden="1" x14ac:dyDescent="0.25">
      <c r="A74" s="438"/>
      <c r="B74" s="438"/>
      <c r="C74" s="449"/>
      <c r="D74" s="424"/>
      <c r="E74" s="450" t="s">
        <v>210</v>
      </c>
      <c r="F74" s="437"/>
      <c r="G74" s="437"/>
      <c r="H74" s="437"/>
      <c r="I74" s="437"/>
      <c r="J74" s="437"/>
      <c r="K74" s="437"/>
      <c r="L74" s="437"/>
      <c r="M74" s="437"/>
      <c r="N74" s="437"/>
      <c r="O74" s="437"/>
      <c r="P74" s="438"/>
      <c r="Q74" s="438"/>
      <c r="R74" s="438"/>
      <c r="S74" s="438"/>
      <c r="T74" s="438"/>
      <c r="U74" s="438"/>
      <c r="V74" s="438"/>
      <c r="Z74" s="439"/>
      <c r="AA74" s="439"/>
      <c r="AB74" s="439"/>
      <c r="AC74" s="439"/>
      <c r="AD74" s="439"/>
      <c r="AE74" s="439"/>
    </row>
    <row r="75" spans="1:31" hidden="1" x14ac:dyDescent="0.25">
      <c r="A75" s="438" t="str">
        <f>IF(AND(F77=G77,H77=I77,J77=K77,F77="A"),"2016 - kwh",IF(AND(F77=G77,H77=I77,J77&lt;&gt;K77,F77="A"),"2017 - kwh",IF(AND(F77=G77,H77&lt;&gt;I77,F77="A"),"2018 - kwh","N/A")))</f>
        <v>N/A</v>
      </c>
      <c r="B75" s="438" t="str">
        <f>IF(F77&lt;&gt;G77,"2018 - kwh",IF(H77&lt;&gt;I77,"2017 - kwh",IF(J77&lt;&gt;K77,"2016 - kwh","N/A")))</f>
        <v>N/A</v>
      </c>
      <c r="C75" s="443" t="s">
        <v>224</v>
      </c>
      <c r="D75" s="444"/>
      <c r="E75" s="445" t="s">
        <v>139</v>
      </c>
      <c r="F75" s="361"/>
      <c r="G75" s="361"/>
      <c r="H75" s="361"/>
      <c r="I75" s="361"/>
      <c r="J75" s="361"/>
      <c r="K75" s="361"/>
      <c r="L75" s="361"/>
      <c r="M75" s="361"/>
      <c r="N75" s="361"/>
      <c r="O75" s="361"/>
      <c r="P75" s="438"/>
      <c r="Q75" s="438"/>
      <c r="R75" s="438"/>
      <c r="S75" s="438"/>
      <c r="T75" s="438"/>
      <c r="U75" s="438"/>
      <c r="V75" s="438"/>
      <c r="Z75" s="439"/>
      <c r="AA75" s="439" t="str">
        <f>IF(AND(F77=G77,H77=I77,F77="A"),"2016 - kwh","")</f>
        <v/>
      </c>
      <c r="AB75" s="439" t="str">
        <f>IF(OR(B75="2017 - kwh",B75="2018 - kwh"),"2016 - kwh","")</f>
        <v/>
      </c>
      <c r="AC75" s="439"/>
      <c r="AD75" s="439"/>
      <c r="AE75" s="439"/>
    </row>
    <row r="76" spans="1:31" hidden="1" x14ac:dyDescent="0.25">
      <c r="A76" s="438" t="str">
        <f>IF(AND(F77=G77,H77=I77,J77=K77,F77="A"),"2016 - kw",IF(AND(F77=G77,H77=I77,J77&lt;&gt;K77,F77="A"),"2017 - kw",IF(AND(F77=G77,H77&lt;&gt;I77,F77="A"),"2018 - kw","N/A")))</f>
        <v>N/A</v>
      </c>
      <c r="B76" s="438" t="str">
        <f>IF(F77&lt;&gt;G77,"2018 - kw",IF(H77&lt;&gt;I77,"2017 - kw",IF(J77&lt;&gt;K77,"2016 - kw","N/A")))</f>
        <v>N/A</v>
      </c>
      <c r="C76" s="446"/>
      <c r="D76" s="447" t="str">
        <f>D75 &amp; "kW"</f>
        <v>kW</v>
      </c>
      <c r="E76" s="448" t="s">
        <v>170</v>
      </c>
      <c r="F76" s="361"/>
      <c r="G76" s="361"/>
      <c r="H76" s="361"/>
      <c r="I76" s="361"/>
      <c r="J76" s="361"/>
      <c r="K76" s="361"/>
      <c r="L76" s="361"/>
      <c r="M76" s="361"/>
      <c r="N76" s="361"/>
      <c r="O76" s="361"/>
      <c r="P76" s="438"/>
      <c r="Q76" s="438"/>
      <c r="R76" s="438"/>
      <c r="S76" s="438"/>
      <c r="T76" s="438"/>
      <c r="U76" s="438"/>
      <c r="V76" s="438"/>
      <c r="Z76" s="439"/>
      <c r="AA76" s="439" t="str">
        <f>IF(AND(F77=G77,H77=I77,F77="A"),"2016 - kw","")</f>
        <v/>
      </c>
      <c r="AB76" s="439" t="str">
        <f>IF(OR(B76="2017 - kw",B76="2018 - kw"),"2016 - kw","")</f>
        <v/>
      </c>
      <c r="AC76" s="439"/>
      <c r="AD76" s="439"/>
      <c r="AE76" s="439"/>
    </row>
    <row r="77" spans="1:31" hidden="1" x14ac:dyDescent="0.25">
      <c r="A77" s="438"/>
      <c r="B77" s="438"/>
      <c r="C77" s="449"/>
      <c r="D77" s="424"/>
      <c r="E77" s="450" t="s">
        <v>210</v>
      </c>
      <c r="F77" s="437"/>
      <c r="G77" s="437"/>
      <c r="H77" s="437"/>
      <c r="I77" s="437"/>
      <c r="J77" s="437"/>
      <c r="K77" s="437"/>
      <c r="L77" s="437"/>
      <c r="M77" s="437"/>
      <c r="N77" s="437"/>
      <c r="O77" s="437"/>
      <c r="P77" s="438"/>
      <c r="Q77" s="438"/>
      <c r="R77" s="438"/>
      <c r="S77" s="438"/>
      <c r="T77" s="438"/>
      <c r="U77" s="438"/>
      <c r="V77" s="438"/>
      <c r="Z77" s="439"/>
      <c r="AA77" s="439"/>
      <c r="AB77" s="439"/>
      <c r="AC77" s="439"/>
      <c r="AD77" s="439"/>
      <c r="AE77" s="439"/>
    </row>
    <row r="78" spans="1:31" hidden="1" x14ac:dyDescent="0.25">
      <c r="A78" s="438" t="str">
        <f>IF(AND(F80=G80,H80=I80,J80=K80,F80="A"),"2016 - kwh",IF(AND(F80=G80,H80=I80,J80&lt;&gt;K80,F80="A"),"2017 - kwh",IF(AND(F80=G80,H80&lt;&gt;I80,F80="A"),"2018 - kwh","N/A")))</f>
        <v>N/A</v>
      </c>
      <c r="B78" s="438" t="str">
        <f>IF(F80&lt;&gt;G80,"2018 - kwh",IF(H80&lt;&gt;I80,"2017 - kwh",IF(J80&lt;&gt;K80,"2016 - kwh","N/A")))</f>
        <v>N/A</v>
      </c>
      <c r="C78" s="443" t="s">
        <v>225</v>
      </c>
      <c r="D78" s="444"/>
      <c r="E78" s="445" t="s">
        <v>139</v>
      </c>
      <c r="F78" s="361"/>
      <c r="G78" s="361"/>
      <c r="H78" s="361"/>
      <c r="I78" s="361"/>
      <c r="J78" s="361"/>
      <c r="K78" s="361"/>
      <c r="L78" s="361"/>
      <c r="M78" s="361"/>
      <c r="N78" s="361"/>
      <c r="O78" s="361"/>
      <c r="P78" s="438"/>
      <c r="Q78" s="438"/>
      <c r="R78" s="438"/>
      <c r="S78" s="438"/>
      <c r="T78" s="438"/>
      <c r="U78" s="438"/>
      <c r="V78" s="438"/>
      <c r="Z78" s="439"/>
      <c r="AA78" s="439" t="str">
        <f>IF(AND(F80=G80,H80=I80,F80="A"),"2016 - kwh","")</f>
        <v/>
      </c>
      <c r="AB78" s="439" t="str">
        <f>IF(OR(B78="2017 - kwh",B78="2018 - kwh"),"2016 - kwh","")</f>
        <v/>
      </c>
      <c r="AC78" s="439"/>
      <c r="AD78" s="439"/>
      <c r="AE78" s="439"/>
    </row>
    <row r="79" spans="1:31" hidden="1" x14ac:dyDescent="0.25">
      <c r="A79" s="438" t="str">
        <f>IF(AND(F80=G80,H80=I80,J80=K80,F80="A"),"2016 - kw",IF(AND(F80=G80,H80=I80,J80&lt;&gt;K80,F80="A"),"2017 - kw",IF(AND(F80=G80,H80&lt;&gt;I80,F80="A"),"2018 - kw","N/A")))</f>
        <v>N/A</v>
      </c>
      <c r="B79" s="438" t="str">
        <f>IF(F80&lt;&gt;G80,"2018 - kw",IF(H80&lt;&gt;I80,"2017 - kw",IF(J80&lt;&gt;K80,"2016 - kw","N/A")))</f>
        <v>N/A</v>
      </c>
      <c r="C79" s="446"/>
      <c r="D79" s="447" t="str">
        <f>D78 &amp; "kW"</f>
        <v>kW</v>
      </c>
      <c r="E79" s="448" t="s">
        <v>170</v>
      </c>
      <c r="F79" s="361"/>
      <c r="G79" s="361"/>
      <c r="H79" s="361"/>
      <c r="I79" s="361"/>
      <c r="J79" s="361"/>
      <c r="K79" s="361"/>
      <c r="L79" s="361"/>
      <c r="M79" s="361"/>
      <c r="N79" s="361"/>
      <c r="O79" s="361"/>
      <c r="P79" s="438"/>
      <c r="Q79" s="438"/>
      <c r="R79" s="438"/>
      <c r="S79" s="438"/>
      <c r="T79" s="438"/>
      <c r="U79" s="438"/>
      <c r="V79" s="438"/>
      <c r="Z79" s="439"/>
      <c r="AA79" s="439" t="str">
        <f>IF(AND(F80=G80,H80=I80,F80="A"),"2016 - kw","")</f>
        <v/>
      </c>
      <c r="AB79" s="439" t="str">
        <f>IF(OR(B79="2017 - kw",B79="2018 - kw"),"2016 - kw","")</f>
        <v/>
      </c>
      <c r="AC79" s="439"/>
      <c r="AD79" s="439"/>
      <c r="AE79" s="439"/>
    </row>
    <row r="80" spans="1:31" hidden="1" x14ac:dyDescent="0.25">
      <c r="A80" s="438"/>
      <c r="B80" s="438"/>
      <c r="C80" s="449"/>
      <c r="D80" s="424"/>
      <c r="E80" s="450" t="s">
        <v>210</v>
      </c>
      <c r="F80" s="437"/>
      <c r="G80" s="437"/>
      <c r="H80" s="437"/>
      <c r="I80" s="437"/>
      <c r="J80" s="437"/>
      <c r="K80" s="437"/>
      <c r="L80" s="437"/>
      <c r="M80" s="437"/>
      <c r="N80" s="437"/>
      <c r="O80" s="437"/>
      <c r="P80" s="438"/>
      <c r="Q80" s="438"/>
      <c r="R80" s="438"/>
      <c r="S80" s="438"/>
      <c r="T80" s="438"/>
      <c r="U80" s="438"/>
      <c r="V80" s="438"/>
      <c r="Z80" s="439"/>
      <c r="AA80" s="439"/>
      <c r="AB80" s="439"/>
      <c r="AC80" s="439"/>
      <c r="AD80" s="439"/>
      <c r="AE80" s="439"/>
    </row>
    <row r="81" spans="1:31" hidden="1" x14ac:dyDescent="0.25">
      <c r="A81" s="438" t="str">
        <f>IF(AND(F83=G83,H83=I83,J83=K83,F83="A"),"2016 - kwh",IF(AND(F83=G83,H83=I83,J83&lt;&gt;K83,F83="A"),"2017 - kwh",IF(AND(F83=G83,H83&lt;&gt;I83,F83="A"),"2018 - kwh","N/A")))</f>
        <v>N/A</v>
      </c>
      <c r="B81" s="438" t="str">
        <f>IF(F83&lt;&gt;G83,"2018 - kwh",IF(H83&lt;&gt;I83,"2017 - kwh",IF(J83&lt;&gt;K83,"2016 - kwh","N/A")))</f>
        <v>N/A</v>
      </c>
      <c r="C81" s="443" t="s">
        <v>226</v>
      </c>
      <c r="D81" s="444"/>
      <c r="E81" s="445" t="s">
        <v>139</v>
      </c>
      <c r="F81" s="361"/>
      <c r="G81" s="361"/>
      <c r="H81" s="361"/>
      <c r="I81" s="361"/>
      <c r="J81" s="361"/>
      <c r="K81" s="361"/>
      <c r="L81" s="361"/>
      <c r="M81" s="361"/>
      <c r="N81" s="361"/>
      <c r="O81" s="361"/>
      <c r="P81" s="438"/>
      <c r="Q81" s="438"/>
      <c r="R81" s="438"/>
      <c r="S81" s="438"/>
      <c r="T81" s="438"/>
      <c r="U81" s="438"/>
      <c r="V81" s="438"/>
      <c r="Z81" s="439"/>
      <c r="AA81" s="439" t="str">
        <f>IF(AND(F83=G83,H83=I83,F83="A"),"2016 - kwh","")</f>
        <v/>
      </c>
      <c r="AB81" s="439" t="str">
        <f>IF(OR(B81="2017 - kwh",B81="2018 - kwh"),"2016 - kwh","")</f>
        <v/>
      </c>
      <c r="AC81" s="439"/>
      <c r="AD81" s="439"/>
      <c r="AE81" s="439"/>
    </row>
    <row r="82" spans="1:31" hidden="1" x14ac:dyDescent="0.25">
      <c r="A82" s="438" t="str">
        <f>IF(AND(F83=G83,H83=I83,J83=K83,F83="A"),"2016 - kw",IF(AND(F83=G83,H83=I83,J83&lt;&gt;K83,F83="A"),"2017 - kw",IF(AND(F83=G83,H83&lt;&gt;I83,F83="A"),"2018 - kw","N/A")))</f>
        <v>N/A</v>
      </c>
      <c r="B82" s="438" t="str">
        <f>IF(F83&lt;&gt;G83,"2018 - kw",IF(H83&lt;&gt;I83,"2017 - kw",IF(J83&lt;&gt;K83,"2016 - kw","N/A")))</f>
        <v>N/A</v>
      </c>
      <c r="C82" s="446"/>
      <c r="D82" s="447" t="str">
        <f>D81 &amp; "kW"</f>
        <v>kW</v>
      </c>
      <c r="E82" s="448" t="s">
        <v>170</v>
      </c>
      <c r="F82" s="361"/>
      <c r="G82" s="361"/>
      <c r="H82" s="361"/>
      <c r="I82" s="361"/>
      <c r="J82" s="361"/>
      <c r="K82" s="361"/>
      <c r="L82" s="361"/>
      <c r="M82" s="361"/>
      <c r="N82" s="361"/>
      <c r="O82" s="361"/>
      <c r="P82" s="438"/>
      <c r="Q82" s="438"/>
      <c r="R82" s="438"/>
      <c r="S82" s="438"/>
      <c r="T82" s="438"/>
      <c r="U82" s="438"/>
      <c r="V82" s="438"/>
      <c r="Z82" s="439"/>
      <c r="AA82" s="439" t="str">
        <f>IF(AND(F83=G83,H83=I83,F83="A"),"2016 - kw","")</f>
        <v/>
      </c>
      <c r="AB82" s="439" t="str">
        <f>IF(OR(B82="2017 - kw",B82="2018 - kw"),"2016 - kw","")</f>
        <v/>
      </c>
      <c r="AC82" s="439"/>
      <c r="AD82" s="439"/>
      <c r="AE82" s="439"/>
    </row>
    <row r="83" spans="1:31" hidden="1" x14ac:dyDescent="0.25">
      <c r="A83" s="438"/>
      <c r="B83" s="438"/>
      <c r="C83" s="449"/>
      <c r="D83" s="424"/>
      <c r="E83" s="450" t="s">
        <v>210</v>
      </c>
      <c r="F83" s="437"/>
      <c r="G83" s="437"/>
      <c r="H83" s="437"/>
      <c r="I83" s="437"/>
      <c r="J83" s="437"/>
      <c r="K83" s="437"/>
      <c r="L83" s="437"/>
      <c r="M83" s="437"/>
      <c r="N83" s="437"/>
      <c r="O83" s="437"/>
      <c r="P83" s="438"/>
      <c r="Q83" s="438"/>
      <c r="R83" s="438"/>
      <c r="S83" s="438"/>
      <c r="T83" s="438"/>
      <c r="U83" s="438"/>
      <c r="V83" s="438"/>
      <c r="Z83" s="439"/>
      <c r="AA83" s="439"/>
      <c r="AB83" s="439"/>
      <c r="AC83" s="439"/>
      <c r="AD83" s="439"/>
      <c r="AE83" s="439"/>
    </row>
    <row r="84" spans="1:31" hidden="1" x14ac:dyDescent="0.25">
      <c r="A84" s="438" t="str">
        <f>IF(AND(F86=G86,H86=I86,J86=K86,F86="A"),"2016 - kwh",IF(AND(F86=G86,H86=I86,J86&lt;&gt;K86,F86="A"),"2017 - kwh",IF(AND(F86=G86,H86&lt;&gt;I86,F86="A"),"2018 - kwh","N/A")))</f>
        <v>N/A</v>
      </c>
      <c r="B84" s="438" t="str">
        <f>IF(F86&lt;&gt;G86,"2018 - kwh",IF(H86&lt;&gt;I86,"2017 - kwh",IF(J86&lt;&gt;K86,"2016 - kwh","N/A")))</f>
        <v>N/A</v>
      </c>
      <c r="C84" s="443" t="s">
        <v>227</v>
      </c>
      <c r="D84" s="444"/>
      <c r="E84" s="445" t="s">
        <v>139</v>
      </c>
      <c r="F84" s="361"/>
      <c r="G84" s="361"/>
      <c r="H84" s="361"/>
      <c r="I84" s="361"/>
      <c r="J84" s="361"/>
      <c r="K84" s="361"/>
      <c r="L84" s="361"/>
      <c r="M84" s="361"/>
      <c r="N84" s="361"/>
      <c r="O84" s="361"/>
      <c r="P84" s="438"/>
      <c r="Q84" s="438"/>
      <c r="R84" s="438"/>
      <c r="S84" s="438"/>
      <c r="T84" s="438"/>
      <c r="U84" s="438"/>
      <c r="V84" s="438"/>
      <c r="Z84" s="439"/>
      <c r="AA84" s="439" t="str">
        <f>IF(AND(F86=G86,H86=I86,F86="A"),"2016 - kwh","")</f>
        <v/>
      </c>
      <c r="AB84" s="439" t="str">
        <f>IF(OR(B84="2017 - kwh",B84="2018 - kwh"),"2016 - kwh","")</f>
        <v/>
      </c>
      <c r="AC84" s="439"/>
      <c r="AD84" s="439"/>
      <c r="AE84" s="439"/>
    </row>
    <row r="85" spans="1:31" hidden="1" x14ac:dyDescent="0.25">
      <c r="A85" s="438" t="str">
        <f>IF(AND(F86=G86,H86=I86,J86=K86,F86="A"),"2016 - kw",IF(AND(F86=G86,H86=I86,J86&lt;&gt;K86,F86="A"),"2017 - kw",IF(AND(F86=G86,H86&lt;&gt;I86,F86="A"),"2018 - kw","N/A")))</f>
        <v>N/A</v>
      </c>
      <c r="B85" s="438" t="str">
        <f>IF(F86&lt;&gt;G86,"2018 - kw",IF(H86&lt;&gt;I86,"2017 - kw",IF(J86&lt;&gt;K86,"2016 - kw","N/A")))</f>
        <v>N/A</v>
      </c>
      <c r="C85" s="446"/>
      <c r="D85" s="447" t="str">
        <f>D84 &amp; "kW"</f>
        <v>kW</v>
      </c>
      <c r="E85" s="448" t="s">
        <v>170</v>
      </c>
      <c r="F85" s="361"/>
      <c r="G85" s="361"/>
      <c r="H85" s="361"/>
      <c r="I85" s="361"/>
      <c r="J85" s="361"/>
      <c r="K85" s="361"/>
      <c r="L85" s="361"/>
      <c r="M85" s="361"/>
      <c r="N85" s="361"/>
      <c r="O85" s="361"/>
      <c r="P85" s="438"/>
      <c r="Q85" s="438"/>
      <c r="R85" s="438"/>
      <c r="S85" s="438"/>
      <c r="T85" s="438"/>
      <c r="U85" s="438"/>
      <c r="V85" s="438"/>
      <c r="Z85" s="439"/>
      <c r="AA85" s="439" t="str">
        <f>IF(AND(F86=G86,H86=I86,F86="A"),"2016 - kw","")</f>
        <v/>
      </c>
      <c r="AB85" s="439" t="str">
        <f>IF(OR(B85="2017 - kw",B85="2018 - kw"),"2016 - kw","")</f>
        <v/>
      </c>
      <c r="AC85" s="439"/>
      <c r="AD85" s="439"/>
      <c r="AE85" s="439"/>
    </row>
    <row r="86" spans="1:31" hidden="1" x14ac:dyDescent="0.25">
      <c r="A86" s="438"/>
      <c r="B86" s="438"/>
      <c r="C86" s="449"/>
      <c r="D86" s="424"/>
      <c r="E86" s="450" t="s">
        <v>210</v>
      </c>
      <c r="F86" s="437"/>
      <c r="G86" s="437"/>
      <c r="H86" s="437"/>
      <c r="I86" s="437"/>
      <c r="J86" s="437"/>
      <c r="K86" s="437"/>
      <c r="L86" s="437"/>
      <c r="M86" s="437"/>
      <c r="N86" s="437"/>
      <c r="O86" s="437"/>
      <c r="P86" s="438"/>
      <c r="Q86" s="438"/>
      <c r="R86" s="438"/>
      <c r="S86" s="438"/>
      <c r="T86" s="438"/>
      <c r="U86" s="438"/>
      <c r="V86" s="438"/>
      <c r="Z86" s="439"/>
      <c r="AA86" s="439"/>
      <c r="AB86" s="439"/>
      <c r="AC86" s="439"/>
      <c r="AD86" s="439"/>
      <c r="AE86" s="439"/>
    </row>
    <row r="87" spans="1:31" hidden="1" x14ac:dyDescent="0.25">
      <c r="A87" s="438" t="str">
        <f>IF(AND(F89=G89,H89=I89,J89=K89,F89="A"),"2016 - kwh",IF(AND(F89=G89,H89=I89,J89&lt;&gt;K89,F89="A"),"2017 - kwh",IF(AND(F89=G89,H89&lt;&gt;I89,F89="A"),"2018 - kwh","N/A")))</f>
        <v>N/A</v>
      </c>
      <c r="B87" s="438" t="str">
        <f>IF(F89&lt;&gt;G89,"2018 - kwh",IF(H89&lt;&gt;I89,"2017 - kwh",IF(J89&lt;&gt;K89,"2016 - kwh","N/A")))</f>
        <v>N/A</v>
      </c>
      <c r="C87" s="443" t="s">
        <v>228</v>
      </c>
      <c r="D87" s="444"/>
      <c r="E87" s="445" t="s">
        <v>139</v>
      </c>
      <c r="F87" s="361"/>
      <c r="G87" s="361"/>
      <c r="H87" s="361"/>
      <c r="I87" s="361"/>
      <c r="J87" s="361"/>
      <c r="K87" s="361"/>
      <c r="L87" s="361"/>
      <c r="M87" s="361"/>
      <c r="N87" s="361"/>
      <c r="O87" s="361"/>
      <c r="P87" s="438"/>
      <c r="Q87" s="438"/>
      <c r="R87" s="438"/>
      <c r="S87" s="438"/>
      <c r="T87" s="438"/>
      <c r="U87" s="438"/>
      <c r="V87" s="438"/>
      <c r="Z87" s="439"/>
      <c r="AA87" s="439" t="str">
        <f>IF(AND(F89=G89,H89=I89,F89="A"),"2016 - kwh","")</f>
        <v/>
      </c>
      <c r="AB87" s="439" t="str">
        <f>IF(OR(B87="2017 - kwh",B87="2018 - kwh"),"2016 - kwh","")</f>
        <v/>
      </c>
      <c r="AC87" s="439"/>
      <c r="AD87" s="439"/>
      <c r="AE87" s="439"/>
    </row>
    <row r="88" spans="1:31" hidden="1" x14ac:dyDescent="0.25">
      <c r="A88" s="438" t="str">
        <f>IF(AND(F89=G89,H89=I89,J89=K89,F89="A"),"2016 - kw",IF(AND(F89=G89,H89=I89,J89&lt;&gt;K89,F89="A"),"2017 - kw",IF(AND(F89=G89,H89&lt;&gt;I89,F89="A"),"2018 - kw","N/A")))</f>
        <v>N/A</v>
      </c>
      <c r="B88" s="438" t="str">
        <f>IF(F89&lt;&gt;G89,"2018 - kw",IF(H89&lt;&gt;I89,"2017 - kw",IF(J89&lt;&gt;K89,"2016 - kw","N/A")))</f>
        <v>N/A</v>
      </c>
      <c r="C88" s="446"/>
      <c r="D88" s="447" t="str">
        <f>D87 &amp; "kW"</f>
        <v>kW</v>
      </c>
      <c r="E88" s="448" t="s">
        <v>170</v>
      </c>
      <c r="F88" s="361"/>
      <c r="G88" s="361"/>
      <c r="H88" s="361"/>
      <c r="I88" s="361"/>
      <c r="J88" s="361"/>
      <c r="K88" s="361"/>
      <c r="L88" s="361"/>
      <c r="M88" s="361"/>
      <c r="N88" s="361"/>
      <c r="O88" s="361"/>
      <c r="P88" s="438"/>
      <c r="Q88" s="438"/>
      <c r="R88" s="438"/>
      <c r="S88" s="438"/>
      <c r="T88" s="438"/>
      <c r="U88" s="438"/>
      <c r="V88" s="438"/>
      <c r="Z88" s="439"/>
      <c r="AA88" s="439" t="str">
        <f>IF(AND(F89=G89,H89=I89,F89="A"),"2016 - kw","")</f>
        <v/>
      </c>
      <c r="AB88" s="439" t="str">
        <f>IF(OR(B88="2017 - kw",B88="2018 - kw"),"2016 - kw","")</f>
        <v/>
      </c>
      <c r="AC88" s="439"/>
      <c r="AD88" s="439"/>
      <c r="AE88" s="439"/>
    </row>
    <row r="89" spans="1:31" hidden="1" x14ac:dyDescent="0.25">
      <c r="A89" s="438"/>
      <c r="B89" s="438"/>
      <c r="C89" s="449"/>
      <c r="D89" s="424"/>
      <c r="E89" s="450" t="s">
        <v>210</v>
      </c>
      <c r="F89" s="437"/>
      <c r="G89" s="437"/>
      <c r="H89" s="437"/>
      <c r="I89" s="437"/>
      <c r="J89" s="437"/>
      <c r="K89" s="437"/>
      <c r="L89" s="437"/>
      <c r="M89" s="437"/>
      <c r="N89" s="437"/>
      <c r="O89" s="437"/>
      <c r="P89" s="438"/>
      <c r="Q89" s="438"/>
      <c r="R89" s="438"/>
      <c r="S89" s="438"/>
      <c r="T89" s="438"/>
      <c r="U89" s="438"/>
      <c r="V89" s="438"/>
      <c r="Z89" s="439"/>
      <c r="AA89" s="439"/>
      <c r="AB89" s="439"/>
      <c r="AC89" s="439"/>
      <c r="AD89" s="439"/>
      <c r="AE89" s="439"/>
    </row>
    <row r="90" spans="1:31" hidden="1" x14ac:dyDescent="0.25">
      <c r="A90" s="438" t="str">
        <f>IF(AND(F92=G92,H92=I92,J92=K92,F92="A"),"2016 - kwh",IF(AND(F92=G92,H92=I92,J92&lt;&gt;K92,F92="A"),"2017 - kwh",IF(AND(F92=G92,H92&lt;&gt;I92,F92="A"),"2018 - kwh","N/A")))</f>
        <v>N/A</v>
      </c>
      <c r="B90" s="438" t="str">
        <f>IF(F92&lt;&gt;G92,"2018 - kwh",IF(H92&lt;&gt;I92,"2017 - kwh",IF(J92&lt;&gt;K92,"2016 - kwh","N/A")))</f>
        <v>N/A</v>
      </c>
      <c r="C90" s="443" t="s">
        <v>229</v>
      </c>
      <c r="D90" s="444"/>
      <c r="E90" s="445" t="s">
        <v>139</v>
      </c>
      <c r="F90" s="361"/>
      <c r="G90" s="361"/>
      <c r="H90" s="361"/>
      <c r="I90" s="361"/>
      <c r="J90" s="361"/>
      <c r="K90" s="361"/>
      <c r="L90" s="361"/>
      <c r="M90" s="361"/>
      <c r="N90" s="361"/>
      <c r="O90" s="361"/>
      <c r="P90" s="438"/>
      <c r="Q90" s="438"/>
      <c r="R90" s="438"/>
      <c r="S90" s="438"/>
      <c r="T90" s="438"/>
      <c r="U90" s="438"/>
      <c r="V90" s="438"/>
      <c r="Z90" s="439"/>
      <c r="AA90" s="439" t="str">
        <f>IF(AND(F92=G92,H92=I92,F92="A"),"2016 - kwh","")</f>
        <v/>
      </c>
      <c r="AB90" s="439" t="str">
        <f>IF(OR(B90="2017 - kwh",B90="2018 - kwh"),"2016 - kwh","")</f>
        <v/>
      </c>
      <c r="AC90" s="439"/>
      <c r="AD90" s="439"/>
      <c r="AE90" s="439"/>
    </row>
    <row r="91" spans="1:31" hidden="1" x14ac:dyDescent="0.25">
      <c r="A91" s="438" t="str">
        <f>IF(AND(F92=G92,H92=I92,J92=K92,F92="A"),"2016 - kw",IF(AND(F92=G92,H92=I92,J92&lt;&gt;K92,F92="A"),"2017 - kw",IF(AND(F92=G92,H92&lt;&gt;I92,F92="A"),"2018 - kw","N/A")))</f>
        <v>N/A</v>
      </c>
      <c r="B91" s="438" t="str">
        <f>IF(F92&lt;&gt;G92,"2018 - kw",IF(H92&lt;&gt;I92,"2017 - kw",IF(J92&lt;&gt;K92,"2016 - kw","N/A")))</f>
        <v>N/A</v>
      </c>
      <c r="C91" s="446"/>
      <c r="D91" s="447" t="str">
        <f>D90 &amp; "kW"</f>
        <v>kW</v>
      </c>
      <c r="E91" s="448" t="s">
        <v>170</v>
      </c>
      <c r="F91" s="361"/>
      <c r="G91" s="361"/>
      <c r="H91" s="361"/>
      <c r="I91" s="361"/>
      <c r="J91" s="361"/>
      <c r="K91" s="361"/>
      <c r="L91" s="361"/>
      <c r="M91" s="361"/>
      <c r="N91" s="361"/>
      <c r="O91" s="361"/>
      <c r="P91" s="438"/>
      <c r="Q91" s="438"/>
      <c r="R91" s="438"/>
      <c r="S91" s="438"/>
      <c r="T91" s="438"/>
      <c r="U91" s="438"/>
      <c r="V91" s="438"/>
      <c r="Z91" s="439"/>
      <c r="AA91" s="439" t="str">
        <f>IF(AND(F92=G92,H92=I92,F92="A"),"2016 - kw","")</f>
        <v/>
      </c>
      <c r="AB91" s="439" t="str">
        <f>IF(OR(B91="2017 - kw",B91="2018 - kw"),"2016 - kw","")</f>
        <v/>
      </c>
      <c r="AC91" s="439"/>
      <c r="AD91" s="439"/>
      <c r="AE91" s="439"/>
    </row>
    <row r="92" spans="1:31" hidden="1" x14ac:dyDescent="0.25">
      <c r="A92" s="438"/>
      <c r="B92" s="438"/>
      <c r="C92" s="449"/>
      <c r="D92" s="424"/>
      <c r="E92" s="450" t="s">
        <v>210</v>
      </c>
      <c r="F92" s="437"/>
      <c r="G92" s="437"/>
      <c r="H92" s="437"/>
      <c r="I92" s="437"/>
      <c r="J92" s="437"/>
      <c r="K92" s="437"/>
      <c r="L92" s="437"/>
      <c r="M92" s="437"/>
      <c r="N92" s="437"/>
      <c r="O92" s="437"/>
      <c r="P92" s="438"/>
      <c r="Q92" s="438"/>
      <c r="R92" s="438"/>
      <c r="S92" s="438"/>
      <c r="T92" s="438"/>
      <c r="U92" s="438"/>
      <c r="V92" s="438"/>
      <c r="Z92" s="439"/>
      <c r="AA92" s="439"/>
      <c r="AB92" s="439"/>
      <c r="AC92" s="439"/>
      <c r="AD92" s="439"/>
      <c r="AE92" s="439"/>
    </row>
    <row r="93" spans="1:31" hidden="1" x14ac:dyDescent="0.25">
      <c r="A93" s="438" t="str">
        <f>IF(AND(F95=G95,H95=I95,J95=K95,F95="A"),"2016 - kwh",IF(AND(F95=G95,H95=I95,J95&lt;&gt;K95,F95="A"),"2017 - kwh",IF(AND(F95=G95,H95&lt;&gt;I95,F95="A"),"2018 - kwh","N/A")))</f>
        <v>N/A</v>
      </c>
      <c r="B93" s="438" t="str">
        <f>IF(F95&lt;&gt;G95,"2018 - kwh",IF(H95&lt;&gt;I95,"2017 - kwh",IF(J95&lt;&gt;K95,"2016 - kwh","N/A")))</f>
        <v>N/A</v>
      </c>
      <c r="C93" s="443" t="s">
        <v>230</v>
      </c>
      <c r="D93" s="444"/>
      <c r="E93" s="445" t="s">
        <v>139</v>
      </c>
      <c r="F93" s="361"/>
      <c r="G93" s="361"/>
      <c r="H93" s="361"/>
      <c r="I93" s="361"/>
      <c r="J93" s="361"/>
      <c r="K93" s="361"/>
      <c r="L93" s="361"/>
      <c r="M93" s="361"/>
      <c r="N93" s="361"/>
      <c r="O93" s="361"/>
      <c r="P93" s="438"/>
      <c r="Q93" s="438"/>
      <c r="R93" s="438"/>
      <c r="S93" s="438"/>
      <c r="T93" s="438"/>
      <c r="U93" s="438"/>
      <c r="V93" s="438"/>
      <c r="Z93" s="439"/>
      <c r="AA93" s="439" t="str">
        <f>IF(AND(F95=G95,H95=I95,F95="A"),"2016 - kwh","")</f>
        <v/>
      </c>
      <c r="AB93" s="439" t="str">
        <f>IF(OR(B93="2017 - kwh",B93="2018 - kwh"),"2016 - kwh","")</f>
        <v/>
      </c>
      <c r="AC93" s="439"/>
      <c r="AD93" s="439"/>
      <c r="AE93" s="439"/>
    </row>
    <row r="94" spans="1:31" hidden="1" x14ac:dyDescent="0.25">
      <c r="A94" s="438" t="str">
        <f>IF(AND(F95=G95,H95=I95,J95=K95,F95="A"),"2016 - kw",IF(AND(F95=G95,H95=I95,J95&lt;&gt;K95,F95="A"),"2017 - kw",IF(AND(F95=G95,H95&lt;&gt;I95,F95="A"),"2018 - kw","N/A")))</f>
        <v>N/A</v>
      </c>
      <c r="B94" s="438" t="str">
        <f>IF(F95&lt;&gt;G95,"2018 - kw",IF(H95&lt;&gt;I95,"2017 - kw",IF(J95&lt;&gt;K95,"2016 - kw","N/A")))</f>
        <v>N/A</v>
      </c>
      <c r="C94" s="446"/>
      <c r="D94" s="447" t="str">
        <f>D93 &amp; "kW"</f>
        <v>kW</v>
      </c>
      <c r="E94" s="448" t="s">
        <v>170</v>
      </c>
      <c r="F94" s="361"/>
      <c r="G94" s="361"/>
      <c r="H94" s="361"/>
      <c r="I94" s="361"/>
      <c r="J94" s="361"/>
      <c r="K94" s="361"/>
      <c r="L94" s="361"/>
      <c r="M94" s="361"/>
      <c r="N94" s="361"/>
      <c r="O94" s="361"/>
      <c r="P94" s="438"/>
      <c r="Q94" s="438"/>
      <c r="R94" s="438"/>
      <c r="S94" s="438"/>
      <c r="T94" s="438"/>
      <c r="U94" s="438"/>
      <c r="V94" s="438"/>
      <c r="Z94" s="439"/>
      <c r="AA94" s="439" t="str">
        <f>IF(AND(F95=G95,H95=I95,F95="A"),"2016 - kw","")</f>
        <v/>
      </c>
      <c r="AB94" s="439" t="str">
        <f>IF(OR(B94="2017 - kw",B94="2018 - kw"),"2016 - kw","")</f>
        <v/>
      </c>
      <c r="AC94" s="439"/>
      <c r="AD94" s="439"/>
      <c r="AE94" s="439"/>
    </row>
    <row r="95" spans="1:31" hidden="1" x14ac:dyDescent="0.25">
      <c r="A95" s="438"/>
      <c r="B95" s="438"/>
      <c r="C95" s="449"/>
      <c r="D95" s="424"/>
      <c r="E95" s="450" t="s">
        <v>210</v>
      </c>
      <c r="F95" s="437"/>
      <c r="G95" s="437"/>
      <c r="H95" s="437"/>
      <c r="I95" s="437"/>
      <c r="J95" s="437"/>
      <c r="K95" s="437"/>
      <c r="L95" s="437"/>
      <c r="M95" s="437"/>
      <c r="N95" s="437"/>
      <c r="O95" s="437"/>
      <c r="P95" s="438"/>
      <c r="Q95" s="438"/>
      <c r="R95" s="438"/>
      <c r="S95" s="438"/>
      <c r="T95" s="438"/>
      <c r="U95" s="438"/>
      <c r="V95" s="438"/>
      <c r="Z95" s="439"/>
      <c r="AA95" s="439"/>
      <c r="AB95" s="439"/>
      <c r="AC95" s="439"/>
      <c r="AD95" s="439"/>
      <c r="AE95" s="439"/>
    </row>
    <row r="96" spans="1:31" hidden="1" x14ac:dyDescent="0.25">
      <c r="A96" s="438" t="str">
        <f>IF(AND(F98=G98,H98=I98,J98=K98,F98="A"),"2016 - kwh",IF(AND(F98=G98,H98=I98,J98&lt;&gt;K98,F98="A"),"2017 - kwh",IF(AND(F98=G98,H98&lt;&gt;I98,F98="A"),"2018 - kwh","N/A")))</f>
        <v>N/A</v>
      </c>
      <c r="B96" s="438" t="str">
        <f>IF(F98&lt;&gt;G98,"2018 - kwh",IF(H98&lt;&gt;I98,"2017 - kwh",IF(J98&lt;&gt;K98,"2016 - kwh","N/A")))</f>
        <v>N/A</v>
      </c>
      <c r="C96" s="443" t="s">
        <v>231</v>
      </c>
      <c r="D96" s="444"/>
      <c r="E96" s="445" t="s">
        <v>139</v>
      </c>
      <c r="F96" s="361"/>
      <c r="G96" s="361"/>
      <c r="H96" s="361"/>
      <c r="I96" s="361"/>
      <c r="J96" s="361"/>
      <c r="K96" s="361"/>
      <c r="L96" s="361"/>
      <c r="M96" s="361"/>
      <c r="N96" s="361"/>
      <c r="O96" s="361"/>
      <c r="P96" s="438"/>
      <c r="Q96" s="438"/>
      <c r="R96" s="438"/>
      <c r="S96" s="438"/>
      <c r="T96" s="438"/>
      <c r="U96" s="438"/>
      <c r="V96" s="438"/>
      <c r="Z96" s="439"/>
      <c r="AA96" s="439" t="str">
        <f>IF(AND(F98=G98,H98=I98,F98="A"),"2016 - kwh","")</f>
        <v/>
      </c>
      <c r="AB96" s="439" t="str">
        <f>IF(OR(B96="2017 - kwh",B96="2018 - kwh"),"2016 - kwh","")</f>
        <v/>
      </c>
      <c r="AC96" s="439"/>
      <c r="AD96" s="439"/>
      <c r="AE96" s="439"/>
    </row>
    <row r="97" spans="1:31" hidden="1" x14ac:dyDescent="0.25">
      <c r="A97" s="438" t="str">
        <f>IF(AND(F98=G98,H98=I98,J98=K98,F98="A"),"2016 - kw",IF(AND(F98=G98,H98=I98,J98&lt;&gt;K98,F98="A"),"2017 - kw",IF(AND(F98=G98,H98&lt;&gt;I98,F98="A"),"2018 - kw","N/A")))</f>
        <v>N/A</v>
      </c>
      <c r="B97" s="438" t="str">
        <f>IF(F98&lt;&gt;G98,"2018 - kw",IF(H98&lt;&gt;I98,"2017 - kw",IF(J98&lt;&gt;K98,"2016 - kw","N/A")))</f>
        <v>N/A</v>
      </c>
      <c r="C97" s="446"/>
      <c r="D97" s="447" t="str">
        <f>D96 &amp; "kW"</f>
        <v>kW</v>
      </c>
      <c r="E97" s="448" t="s">
        <v>170</v>
      </c>
      <c r="F97" s="361"/>
      <c r="G97" s="361"/>
      <c r="H97" s="361"/>
      <c r="I97" s="361"/>
      <c r="J97" s="361"/>
      <c r="K97" s="361"/>
      <c r="L97" s="361"/>
      <c r="M97" s="361"/>
      <c r="N97" s="361"/>
      <c r="O97" s="361"/>
      <c r="P97" s="438"/>
      <c r="Q97" s="438"/>
      <c r="R97" s="438"/>
      <c r="S97" s="438"/>
      <c r="T97" s="438"/>
      <c r="U97" s="438"/>
      <c r="V97" s="438"/>
      <c r="Z97" s="439"/>
      <c r="AA97" s="439" t="str">
        <f>IF(AND(F98=G98,H98=I98,F98="A"),"2016 - kw","")</f>
        <v/>
      </c>
      <c r="AB97" s="439" t="str">
        <f>IF(OR(B97="2017 - kw",B97="2018 - kw"),"2016 - kw","")</f>
        <v/>
      </c>
      <c r="AC97" s="439"/>
      <c r="AD97" s="439"/>
      <c r="AE97" s="439"/>
    </row>
    <row r="98" spans="1:31" hidden="1" x14ac:dyDescent="0.25">
      <c r="A98" s="438"/>
      <c r="B98" s="438"/>
      <c r="C98" s="449"/>
      <c r="D98" s="424"/>
      <c r="E98" s="450" t="s">
        <v>210</v>
      </c>
      <c r="F98" s="437"/>
      <c r="G98" s="437"/>
      <c r="H98" s="437"/>
      <c r="I98" s="437"/>
      <c r="J98" s="437"/>
      <c r="K98" s="437"/>
      <c r="L98" s="437"/>
      <c r="M98" s="437"/>
      <c r="N98" s="437"/>
      <c r="O98" s="437"/>
      <c r="P98" s="438"/>
      <c r="Q98" s="438"/>
      <c r="R98" s="438"/>
      <c r="S98" s="438"/>
      <c r="T98" s="438"/>
      <c r="U98" s="438"/>
      <c r="V98" s="438"/>
      <c r="Z98" s="439"/>
      <c r="AA98" s="439"/>
      <c r="AB98" s="439"/>
      <c r="AC98" s="439"/>
      <c r="AD98" s="439"/>
      <c r="AE98" s="439"/>
    </row>
    <row r="99" spans="1:31" hidden="1" x14ac:dyDescent="0.25">
      <c r="A99" s="438" t="str">
        <f>IF(AND(F101=G101,H101=I101,J101=K101,F101="A"),"2016 - kwh",IF(AND(F101=G101,H101=I101,J101&lt;&gt;K101,F101="A"),"2017 - kwh",IF(AND(F101=G101,H101&lt;&gt;I101,F101="A"),"2018 - kwh","N/A")))</f>
        <v>N/A</v>
      </c>
      <c r="B99" s="438" t="str">
        <f>IF(F101&lt;&gt;G101,"2018 - kwh",IF(H101&lt;&gt;I101,"2017 - kwh",IF(J101&lt;&gt;K101,"2016 - kwh","N/A")))</f>
        <v>N/A</v>
      </c>
      <c r="C99" s="443" t="s">
        <v>232</v>
      </c>
      <c r="D99" s="444"/>
      <c r="E99" s="445" t="s">
        <v>139</v>
      </c>
      <c r="F99" s="361"/>
      <c r="G99" s="361"/>
      <c r="H99" s="361"/>
      <c r="I99" s="361"/>
      <c r="J99" s="361"/>
      <c r="K99" s="361"/>
      <c r="L99" s="361"/>
      <c r="M99" s="361"/>
      <c r="N99" s="361"/>
      <c r="O99" s="361"/>
      <c r="P99" s="438"/>
      <c r="Q99" s="438"/>
      <c r="R99" s="438"/>
      <c r="S99" s="438"/>
      <c r="T99" s="438"/>
      <c r="U99" s="438"/>
      <c r="V99" s="438"/>
      <c r="Z99" s="439"/>
      <c r="AA99" s="439" t="str">
        <f>IF(AND(F101=G101,H101=I101,F101="A"),"2016 - kwh","")</f>
        <v/>
      </c>
      <c r="AB99" s="439" t="str">
        <f>IF(OR(B99="2017 - kwh",B99="2018 - kwh"),"2016 - kwh","")</f>
        <v/>
      </c>
      <c r="AC99" s="439"/>
      <c r="AD99" s="439"/>
      <c r="AE99" s="439"/>
    </row>
    <row r="100" spans="1:31" hidden="1" x14ac:dyDescent="0.25">
      <c r="A100" s="438" t="str">
        <f>IF(AND(F101=G101,H101=I101,J101=K101,F101="A"),"2016 - kw",IF(AND(F101=G101,H101=I101,J101&lt;&gt;K101,F101="A"),"2017 - kw",IF(AND(F101=G101,H101&lt;&gt;I101,F101="A"),"2018 - kw","N/A")))</f>
        <v>N/A</v>
      </c>
      <c r="B100" s="438" t="str">
        <f>IF(F101&lt;&gt;G101,"2018 - kw",IF(H101&lt;&gt;I101,"2017 - kw",IF(J101&lt;&gt;K101,"2016 - kw","N/A")))</f>
        <v>N/A</v>
      </c>
      <c r="C100" s="446"/>
      <c r="D100" s="447" t="str">
        <f>D99 &amp; "kW"</f>
        <v>kW</v>
      </c>
      <c r="E100" s="448" t="s">
        <v>170</v>
      </c>
      <c r="F100" s="361"/>
      <c r="G100" s="361"/>
      <c r="H100" s="361"/>
      <c r="I100" s="361"/>
      <c r="J100" s="361"/>
      <c r="K100" s="361"/>
      <c r="L100" s="361"/>
      <c r="M100" s="361"/>
      <c r="N100" s="361"/>
      <c r="O100" s="361"/>
      <c r="P100" s="438"/>
      <c r="Q100" s="438"/>
      <c r="R100" s="438"/>
      <c r="S100" s="438"/>
      <c r="T100" s="438"/>
      <c r="U100" s="438"/>
      <c r="V100" s="438"/>
      <c r="Z100" s="439"/>
      <c r="AA100" s="439" t="str">
        <f>IF(AND(F101=G101,H101=I101,F101="A"),"2016 - kw","")</f>
        <v/>
      </c>
      <c r="AB100" s="439" t="str">
        <f>IF(OR(B100="2017 - kw",B100="2018 - kw"),"2016 - kw","")</f>
        <v/>
      </c>
      <c r="AC100" s="439"/>
      <c r="AD100" s="439"/>
      <c r="AE100" s="439"/>
    </row>
    <row r="101" spans="1:31" hidden="1" x14ac:dyDescent="0.25">
      <c r="A101" s="438"/>
      <c r="B101" s="438"/>
      <c r="C101" s="449"/>
      <c r="D101" s="424"/>
      <c r="E101" s="450" t="s">
        <v>210</v>
      </c>
      <c r="F101" s="437"/>
      <c r="G101" s="437"/>
      <c r="H101" s="437"/>
      <c r="I101" s="437"/>
      <c r="J101" s="437"/>
      <c r="K101" s="437"/>
      <c r="L101" s="437"/>
      <c r="M101" s="437"/>
      <c r="N101" s="437"/>
      <c r="O101" s="437"/>
      <c r="P101" s="438"/>
      <c r="Q101" s="438"/>
      <c r="R101" s="438"/>
      <c r="S101" s="438"/>
      <c r="T101" s="438"/>
      <c r="U101" s="438"/>
      <c r="V101" s="438"/>
      <c r="Z101" s="439"/>
      <c r="AA101" s="439"/>
      <c r="AB101" s="439"/>
      <c r="AC101" s="439"/>
      <c r="AD101" s="439"/>
      <c r="AE101" s="439"/>
    </row>
    <row r="102" spans="1:31" hidden="1" x14ac:dyDescent="0.25">
      <c r="A102" s="438" t="str">
        <f>IF(AND(F104=G104,H104=I104,J104=K104,F104="A"),"2016 - kwh",IF(AND(F104=G104,H104=I104,J104&lt;&gt;K104,F104="A"),"2017 - kwh",IF(AND(F104=G104,H104&lt;&gt;I104,F104="A"),"2018 - kwh","N/A")))</f>
        <v>N/A</v>
      </c>
      <c r="B102" s="438" t="str">
        <f>IF(F104&lt;&gt;G104,"2018 - kwh",IF(H104&lt;&gt;I104,"2017 - kwh",IF(J104&lt;&gt;K104,"2016 - kwh","N/A")))</f>
        <v>N/A</v>
      </c>
      <c r="C102" s="443" t="s">
        <v>233</v>
      </c>
      <c r="D102" s="444"/>
      <c r="E102" s="445" t="s">
        <v>139</v>
      </c>
      <c r="F102" s="361"/>
      <c r="G102" s="361"/>
      <c r="H102" s="361"/>
      <c r="I102" s="361"/>
      <c r="J102" s="361"/>
      <c r="K102" s="361"/>
      <c r="L102" s="361"/>
      <c r="M102" s="361"/>
      <c r="N102" s="361"/>
      <c r="O102" s="361"/>
      <c r="P102" s="438"/>
      <c r="Q102" s="438"/>
      <c r="R102" s="438"/>
      <c r="S102" s="438"/>
      <c r="T102" s="438"/>
      <c r="U102" s="438"/>
      <c r="V102" s="438"/>
      <c r="Z102" s="439"/>
      <c r="AA102" s="439" t="str">
        <f>IF(AND(F104=G104,H104=I104,F104="A"),"2016 - kwh","")</f>
        <v/>
      </c>
      <c r="AB102" s="439" t="str">
        <f>IF(OR(B102="2017 - kwh",B102="2018 - kwh"),"2016 - kwh","")</f>
        <v/>
      </c>
      <c r="AC102" s="439"/>
      <c r="AD102" s="439"/>
      <c r="AE102" s="439"/>
    </row>
    <row r="103" spans="1:31" hidden="1" x14ac:dyDescent="0.25">
      <c r="A103" s="438" t="str">
        <f>IF(AND(F104=G104,H104=I104,J104=K104,F104="A"),"2016 - kw",IF(AND(F104=G104,H104=I104,J104&lt;&gt;K104,F104="A"),"2017 - kw",IF(AND(F104=G104,H104&lt;&gt;I104,F104="A"),"2018 - kw","N/A")))</f>
        <v>N/A</v>
      </c>
      <c r="B103" s="438" t="str">
        <f>IF(F104&lt;&gt;G104,"2018 - kw",IF(H104&lt;&gt;I104,"2017 - kw",IF(J104&lt;&gt;K104,"2016 - kw","N/A")))</f>
        <v>N/A</v>
      </c>
      <c r="C103" s="446"/>
      <c r="D103" s="447" t="str">
        <f>D102 &amp; "kW"</f>
        <v>kW</v>
      </c>
      <c r="E103" s="448" t="s">
        <v>170</v>
      </c>
      <c r="F103" s="361"/>
      <c r="G103" s="361"/>
      <c r="H103" s="361"/>
      <c r="I103" s="361"/>
      <c r="J103" s="361"/>
      <c r="K103" s="361"/>
      <c r="L103" s="361"/>
      <c r="M103" s="361"/>
      <c r="N103" s="361"/>
      <c r="O103" s="361"/>
      <c r="P103" s="438"/>
      <c r="Q103" s="438"/>
      <c r="R103" s="438"/>
      <c r="S103" s="438"/>
      <c r="T103" s="438"/>
      <c r="U103" s="438"/>
      <c r="V103" s="438"/>
      <c r="Z103" s="439"/>
      <c r="AA103" s="439" t="str">
        <f>IF(AND(F104=G104,H104=I104,F104="A"),"2016 - kw","")</f>
        <v/>
      </c>
      <c r="AB103" s="439" t="str">
        <f>IF(OR(B103="2017 - kw",B103="2018 - kw"),"2016 - kw","")</f>
        <v/>
      </c>
      <c r="AC103" s="439"/>
      <c r="AD103" s="439"/>
      <c r="AE103" s="439"/>
    </row>
    <row r="104" spans="1:31" hidden="1" x14ac:dyDescent="0.25">
      <c r="A104" s="438"/>
      <c r="B104" s="438"/>
      <c r="C104" s="449"/>
      <c r="D104" s="424"/>
      <c r="E104" s="450" t="s">
        <v>210</v>
      </c>
      <c r="F104" s="437"/>
      <c r="G104" s="437"/>
      <c r="H104" s="437"/>
      <c r="I104" s="437"/>
      <c r="J104" s="437"/>
      <c r="K104" s="437"/>
      <c r="L104" s="437"/>
      <c r="M104" s="437"/>
      <c r="N104" s="437"/>
      <c r="O104" s="437"/>
      <c r="P104" s="438"/>
      <c r="Q104" s="438"/>
      <c r="R104" s="438"/>
      <c r="S104" s="438"/>
      <c r="T104" s="438"/>
      <c r="U104" s="438"/>
      <c r="V104" s="438"/>
      <c r="Z104" s="439"/>
      <c r="AA104" s="439"/>
      <c r="AB104" s="439"/>
      <c r="AC104" s="439"/>
      <c r="AD104" s="439"/>
      <c r="AE104" s="439"/>
    </row>
    <row r="105" spans="1:31" hidden="1" x14ac:dyDescent="0.25">
      <c r="A105" s="438" t="str">
        <f>IF(AND(F107=G107,H107=I107,J107=K107,F107="A"),"2016 - kwh",IF(AND(F107=G107,H107=I107,J107&lt;&gt;K107,F107="A"),"2017 - kwh",IF(AND(F107=G107,H107&lt;&gt;I107,F107="A"),"2018 - kwh","N/A")))</f>
        <v>N/A</v>
      </c>
      <c r="B105" s="438" t="str">
        <f>IF(F107&lt;&gt;G107,"2018 - kwh",IF(H107&lt;&gt;I107,"2017 - kwh",IF(J107&lt;&gt;K107,"2016 - kwh","N/A")))</f>
        <v>N/A</v>
      </c>
      <c r="C105" s="443" t="s">
        <v>234</v>
      </c>
      <c r="D105" s="444"/>
      <c r="E105" s="445" t="s">
        <v>139</v>
      </c>
      <c r="F105" s="361"/>
      <c r="G105" s="361"/>
      <c r="H105" s="361"/>
      <c r="I105" s="361"/>
      <c r="J105" s="361"/>
      <c r="K105" s="361"/>
      <c r="L105" s="361"/>
      <c r="M105" s="361"/>
      <c r="N105" s="361"/>
      <c r="O105" s="361"/>
      <c r="P105" s="438"/>
      <c r="Q105" s="438"/>
      <c r="R105" s="438"/>
      <c r="S105" s="438"/>
      <c r="T105" s="438"/>
      <c r="U105" s="438"/>
      <c r="V105" s="438"/>
      <c r="Z105" s="439"/>
      <c r="AA105" s="439" t="str">
        <f>IF(AND(F107=G107,H107=I107,F107="A"),"2016 - kwh","")</f>
        <v/>
      </c>
      <c r="AB105" s="439" t="str">
        <f>IF(OR(B105="2017 - kwh",B105="2018 - kwh"),"2016 - kwh","")</f>
        <v/>
      </c>
      <c r="AC105" s="439"/>
      <c r="AD105" s="439"/>
      <c r="AE105" s="439"/>
    </row>
    <row r="106" spans="1:31" hidden="1" x14ac:dyDescent="0.25">
      <c r="A106" s="438" t="str">
        <f>IF(AND(F107=G107,H107=I107,J107=K107,F107="A"),"2016 - kw",IF(AND(F107=G107,H107=I107,J107&lt;&gt;K107,F107="A"),"2017 - kw",IF(AND(F107=G107,H107&lt;&gt;I107,F107="A"),"2018 - kw","N/A")))</f>
        <v>N/A</v>
      </c>
      <c r="B106" s="438" t="str">
        <f>IF(F107&lt;&gt;G107,"2018 - kw",IF(H107&lt;&gt;I107,"2017 - kw",IF(J107&lt;&gt;K107,"2016 - kw","N/A")))</f>
        <v>N/A</v>
      </c>
      <c r="C106" s="446"/>
      <c r="D106" s="447" t="str">
        <f>D105 &amp; "kW"</f>
        <v>kW</v>
      </c>
      <c r="E106" s="448" t="s">
        <v>170</v>
      </c>
      <c r="F106" s="361"/>
      <c r="G106" s="361"/>
      <c r="H106" s="361"/>
      <c r="I106" s="361"/>
      <c r="J106" s="361"/>
      <c r="K106" s="361"/>
      <c r="L106" s="361"/>
      <c r="M106" s="361"/>
      <c r="N106" s="361"/>
      <c r="O106" s="361"/>
      <c r="P106" s="438"/>
      <c r="Q106" s="438"/>
      <c r="R106" s="438"/>
      <c r="S106" s="438"/>
      <c r="T106" s="438"/>
      <c r="U106" s="438"/>
      <c r="V106" s="438"/>
      <c r="Z106" s="439"/>
      <c r="AA106" s="439" t="str">
        <f>IF(AND(F107=G107,H107=I107,F107="A"),"2016 - kw","")</f>
        <v/>
      </c>
      <c r="AB106" s="439" t="str">
        <f>IF(OR(B106="2017 - kw",B106="2018 - kw"),"2016 - kw","")</f>
        <v/>
      </c>
      <c r="AC106" s="439"/>
      <c r="AD106" s="439"/>
      <c r="AE106" s="439"/>
    </row>
    <row r="107" spans="1:31" hidden="1" x14ac:dyDescent="0.25">
      <c r="A107" s="438"/>
      <c r="B107" s="438"/>
      <c r="C107" s="449"/>
      <c r="D107" s="424"/>
      <c r="E107" s="450" t="s">
        <v>210</v>
      </c>
      <c r="F107" s="437"/>
      <c r="G107" s="437"/>
      <c r="H107" s="437"/>
      <c r="I107" s="437"/>
      <c r="J107" s="437"/>
      <c r="K107" s="437"/>
      <c r="L107" s="437"/>
      <c r="M107" s="437"/>
      <c r="N107" s="437"/>
      <c r="O107" s="437"/>
      <c r="P107" s="438"/>
      <c r="Q107" s="438"/>
      <c r="R107" s="438"/>
      <c r="S107" s="438"/>
      <c r="T107" s="438"/>
      <c r="U107" s="438"/>
      <c r="V107" s="438"/>
      <c r="Z107" s="439"/>
      <c r="AA107" s="439"/>
      <c r="AB107" s="439"/>
      <c r="AC107" s="439"/>
      <c r="AD107" s="439"/>
      <c r="AE107" s="439"/>
    </row>
    <row r="108" spans="1:31" hidden="1" x14ac:dyDescent="0.25">
      <c r="A108" s="438" t="str">
        <f>IF(AND(F110=G110,H110=I110,J110=K110,F110="A"),"2016 - kwh",IF(AND(F110=G110,H110=I110,J110&lt;&gt;K110,F110="A"),"2017 - kwh",IF(AND(F110=G110,H110&lt;&gt;I110,F110="A"),"2018 - kwh","N/A")))</f>
        <v>N/A</v>
      </c>
      <c r="B108" s="438" t="str">
        <f>IF(F110&lt;&gt;G110,"2018 - kwh",IF(H110&lt;&gt;I110,"2017 - kwh",IF(J110&lt;&gt;K110,"2016 - kwh","N/A")))</f>
        <v>N/A</v>
      </c>
      <c r="C108" s="443" t="s">
        <v>235</v>
      </c>
      <c r="D108" s="444"/>
      <c r="E108" s="445" t="s">
        <v>139</v>
      </c>
      <c r="F108" s="361"/>
      <c r="G108" s="361"/>
      <c r="H108" s="361"/>
      <c r="I108" s="361"/>
      <c r="J108" s="361"/>
      <c r="K108" s="361"/>
      <c r="L108" s="361"/>
      <c r="M108" s="361"/>
      <c r="N108" s="361"/>
      <c r="O108" s="361"/>
      <c r="P108" s="438"/>
      <c r="Q108" s="438"/>
      <c r="R108" s="438"/>
      <c r="S108" s="438"/>
      <c r="T108" s="438"/>
      <c r="U108" s="438"/>
      <c r="V108" s="438"/>
      <c r="Z108" s="439"/>
      <c r="AA108" s="439" t="str">
        <f>IF(AND(F110=G110,H110=I110,F110="A"),"2016 - kwh","")</f>
        <v/>
      </c>
      <c r="AB108" s="439" t="str">
        <f>IF(OR(B108="2017 - kwh",B108="2018 - kwh"),"2016 - kwh","")</f>
        <v/>
      </c>
      <c r="AC108" s="439"/>
      <c r="AD108" s="439"/>
      <c r="AE108" s="439"/>
    </row>
    <row r="109" spans="1:31" hidden="1" x14ac:dyDescent="0.25">
      <c r="A109" s="438" t="str">
        <f>IF(AND(F110=G110,H110=I110,J110=K110,F110="A"),"2016 - kw",IF(AND(F110=G110,H110=I110,J110&lt;&gt;K110,F110="A"),"2017 - kw",IF(AND(F110=G110,H110&lt;&gt;I110,F110="A"),"2018 - kw","N/A")))</f>
        <v>N/A</v>
      </c>
      <c r="B109" s="438" t="str">
        <f>IF(F110&lt;&gt;G110,"2018 - kw",IF(H110&lt;&gt;I110,"2017 - kw",IF(J110&lt;&gt;K110,"2016 - kw","N/A")))</f>
        <v>N/A</v>
      </c>
      <c r="C109" s="446"/>
      <c r="D109" s="447" t="str">
        <f>D108 &amp; "kW"</f>
        <v>kW</v>
      </c>
      <c r="E109" s="448" t="s">
        <v>170</v>
      </c>
      <c r="F109" s="361"/>
      <c r="G109" s="361"/>
      <c r="H109" s="361"/>
      <c r="I109" s="361"/>
      <c r="J109" s="361"/>
      <c r="K109" s="361"/>
      <c r="L109" s="361"/>
      <c r="M109" s="361"/>
      <c r="N109" s="361"/>
      <c r="O109" s="361"/>
      <c r="P109" s="438"/>
      <c r="Q109" s="438"/>
      <c r="R109" s="438"/>
      <c r="S109" s="438"/>
      <c r="T109" s="438"/>
      <c r="U109" s="438"/>
      <c r="V109" s="438"/>
      <c r="Z109" s="439"/>
      <c r="AA109" s="439" t="str">
        <f>IF(AND(F110=G110,H110=I110,F110="A"),"2016 - kw","")</f>
        <v/>
      </c>
      <c r="AB109" s="439" t="str">
        <f>IF(OR(B109="2017 - kw",B109="2018 - kw"),"2016 - kw","")</f>
        <v/>
      </c>
      <c r="AC109" s="439"/>
      <c r="AD109" s="439"/>
      <c r="AE109" s="439"/>
    </row>
    <row r="110" spans="1:31" hidden="1" x14ac:dyDescent="0.25">
      <c r="A110" s="438"/>
      <c r="B110" s="438"/>
      <c r="C110" s="449"/>
      <c r="D110" s="424"/>
      <c r="E110" s="450" t="s">
        <v>210</v>
      </c>
      <c r="F110" s="437"/>
      <c r="G110" s="437"/>
      <c r="H110" s="437"/>
      <c r="I110" s="437"/>
      <c r="J110" s="437"/>
      <c r="K110" s="437"/>
      <c r="L110" s="437"/>
      <c r="M110" s="437"/>
      <c r="N110" s="437"/>
      <c r="O110" s="437"/>
      <c r="P110" s="438"/>
      <c r="Q110" s="438"/>
      <c r="R110" s="438"/>
      <c r="S110" s="438"/>
      <c r="T110" s="438"/>
      <c r="U110" s="438"/>
      <c r="V110" s="438"/>
      <c r="Z110" s="439"/>
      <c r="AA110" s="439"/>
      <c r="AB110" s="439"/>
      <c r="AC110" s="439"/>
      <c r="AD110" s="439"/>
      <c r="AE110" s="439"/>
    </row>
    <row r="111" spans="1:31" hidden="1" x14ac:dyDescent="0.25">
      <c r="A111" s="438" t="str">
        <f>IF(AND(F113=G113,H113=I113,J113=K113,F113="A"),"2016 - kwh",IF(AND(F113=G113,H113=I113,J113&lt;&gt;K113,F113="A"),"2017 - kwh",IF(AND(F113=G113,H113&lt;&gt;I113,F113="A"),"2018 - kwh","N/A")))</f>
        <v>N/A</v>
      </c>
      <c r="B111" s="438" t="str">
        <f>IF(F113&lt;&gt;G113,"2018 - kwh",IF(H113&lt;&gt;I113,"2017 - kwh",IF(J113&lt;&gt;K113,"2016 - kwh","N/A")))</f>
        <v>N/A</v>
      </c>
      <c r="C111" s="443" t="s">
        <v>236</v>
      </c>
      <c r="D111" s="444"/>
      <c r="E111" s="445" t="s">
        <v>139</v>
      </c>
      <c r="F111" s="361"/>
      <c r="G111" s="361"/>
      <c r="H111" s="361"/>
      <c r="I111" s="361"/>
      <c r="J111" s="361"/>
      <c r="K111" s="361"/>
      <c r="L111" s="361"/>
      <c r="M111" s="361"/>
      <c r="N111" s="361"/>
      <c r="O111" s="361"/>
      <c r="P111" s="438"/>
      <c r="Q111" s="438"/>
      <c r="R111" s="438"/>
      <c r="S111" s="438"/>
      <c r="T111" s="438"/>
      <c r="U111" s="438"/>
      <c r="V111" s="438"/>
      <c r="Z111" s="439"/>
      <c r="AA111" s="439" t="str">
        <f>IF(AND(F113=G113,H113=I113,F113="A"),"2016 - kwh","")</f>
        <v/>
      </c>
      <c r="AB111" s="439" t="str">
        <f>IF(OR(B111="2017 - kwh",B111="2018 - kwh"),"2016 - kwh","")</f>
        <v/>
      </c>
      <c r="AC111" s="439"/>
      <c r="AD111" s="439"/>
      <c r="AE111" s="439"/>
    </row>
    <row r="112" spans="1:31" hidden="1" x14ac:dyDescent="0.25">
      <c r="A112" s="438" t="str">
        <f>IF(AND(F113=G113,H113=I113,J113=K113,F113="A"),"2016 - kw",IF(AND(F113=G113,H113=I113,J113&lt;&gt;K113,F113="A"),"2017 - kw",IF(AND(F113=G113,H113&lt;&gt;I113,F113="A"),"2018 - kw","N/A")))</f>
        <v>N/A</v>
      </c>
      <c r="B112" s="438" t="str">
        <f>IF(F113&lt;&gt;G113,"2018 - kw",IF(H113&lt;&gt;I113,"2017 - kw",IF(J113&lt;&gt;K113,"2016 - kw","N/A")))</f>
        <v>N/A</v>
      </c>
      <c r="C112" s="446"/>
      <c r="D112" s="447" t="str">
        <f>D111 &amp; "kW"</f>
        <v>kW</v>
      </c>
      <c r="E112" s="448" t="s">
        <v>170</v>
      </c>
      <c r="F112" s="361"/>
      <c r="G112" s="361"/>
      <c r="H112" s="361"/>
      <c r="I112" s="361"/>
      <c r="J112" s="361"/>
      <c r="K112" s="361"/>
      <c r="L112" s="361"/>
      <c r="M112" s="361"/>
      <c r="N112" s="361"/>
      <c r="O112" s="361"/>
      <c r="P112" s="438"/>
      <c r="Q112" s="438"/>
      <c r="R112" s="438"/>
      <c r="S112" s="438"/>
      <c r="T112" s="438"/>
      <c r="U112" s="438"/>
      <c r="V112" s="438"/>
      <c r="Z112" s="439"/>
      <c r="AA112" s="439" t="str">
        <f>IF(AND(F113=G113,H113=I113,F113="A"),"2016 - kw","")</f>
        <v/>
      </c>
      <c r="AB112" s="439" t="str">
        <f>IF(OR(B112="2017 - kw",B112="2018 - kw"),"2016 - kw","")</f>
        <v/>
      </c>
      <c r="AC112" s="439"/>
      <c r="AD112" s="439"/>
      <c r="AE112" s="439"/>
    </row>
    <row r="113" spans="1:31" hidden="1" x14ac:dyDescent="0.25">
      <c r="A113" s="438"/>
      <c r="B113" s="438"/>
      <c r="C113" s="449"/>
      <c r="D113" s="424"/>
      <c r="E113" s="450" t="s">
        <v>210</v>
      </c>
      <c r="F113" s="437"/>
      <c r="G113" s="437"/>
      <c r="H113" s="437"/>
      <c r="I113" s="437"/>
      <c r="J113" s="437"/>
      <c r="K113" s="437"/>
      <c r="L113" s="437"/>
      <c r="M113" s="437"/>
      <c r="N113" s="437"/>
      <c r="O113" s="437"/>
      <c r="P113" s="438"/>
      <c r="Q113" s="438"/>
      <c r="R113" s="438"/>
      <c r="S113" s="438"/>
      <c r="T113" s="438"/>
      <c r="U113" s="438"/>
      <c r="V113" s="438"/>
      <c r="Z113" s="439"/>
      <c r="AA113" s="439"/>
      <c r="AB113" s="439"/>
      <c r="AC113" s="439"/>
      <c r="AD113" s="439"/>
      <c r="AE113" s="439"/>
    </row>
    <row r="114" spans="1:31" hidden="1" x14ac:dyDescent="0.25">
      <c r="A114" s="438" t="str">
        <f>IF(AND(F116=G116,H116=I116,J116=K116,F116="A"),"2016 - kwh",IF(AND(F116=G116,H116=I116,J116&lt;&gt;K116,F116="A"),"2017 - kwh",IF(AND(F116=G116,H116&lt;&gt;I116,F116="A"),"2018 - kwh","N/A")))</f>
        <v>N/A</v>
      </c>
      <c r="B114" s="438" t="str">
        <f>IF(F116&lt;&gt;G116,"2018 - kwh",IF(H116&lt;&gt;I116,"2017 - kwh",IF(J116&lt;&gt;K116,"2016 - kwh","N/A")))</f>
        <v>N/A</v>
      </c>
      <c r="C114" s="443" t="s">
        <v>237</v>
      </c>
      <c r="D114" s="444"/>
      <c r="E114" s="445" t="s">
        <v>139</v>
      </c>
      <c r="F114" s="361"/>
      <c r="G114" s="361"/>
      <c r="H114" s="361"/>
      <c r="I114" s="361"/>
      <c r="J114" s="361"/>
      <c r="K114" s="361"/>
      <c r="L114" s="361"/>
      <c r="M114" s="361"/>
      <c r="N114" s="361"/>
      <c r="O114" s="361"/>
      <c r="P114" s="438"/>
      <c r="Q114" s="438"/>
      <c r="R114" s="438"/>
      <c r="S114" s="438"/>
      <c r="T114" s="438"/>
      <c r="U114" s="438"/>
      <c r="V114" s="438"/>
      <c r="Z114" s="439"/>
      <c r="AA114" s="439" t="str">
        <f>IF(AND(F116=G116,H116=I116,F116="A"),"2016 - kwh","")</f>
        <v/>
      </c>
      <c r="AB114" s="439" t="str">
        <f>IF(OR(B114="2017 - kwh",B114="2018 - kwh"),"2016 - kwh","")</f>
        <v/>
      </c>
      <c r="AC114" s="439"/>
      <c r="AD114" s="439"/>
      <c r="AE114" s="439"/>
    </row>
    <row r="115" spans="1:31" hidden="1" x14ac:dyDescent="0.25">
      <c r="A115" s="438" t="str">
        <f>IF(AND(F116=G116,H116=I116,J116=K116,F116="A"),"2016 - kw",IF(AND(F116=G116,H116=I116,J116&lt;&gt;K116,F116="A"),"2017 - kw",IF(AND(F116=G116,H116&lt;&gt;I116,F116="A"),"2018 - kw","N/A")))</f>
        <v>N/A</v>
      </c>
      <c r="B115" s="438" t="str">
        <f>IF(F116&lt;&gt;G116,"2018 - kw",IF(H116&lt;&gt;I116,"2017 - kw",IF(J116&lt;&gt;K116,"2016 - kw","N/A")))</f>
        <v>N/A</v>
      </c>
      <c r="C115" s="446"/>
      <c r="D115" s="447" t="str">
        <f>D114 &amp; "kW"</f>
        <v>kW</v>
      </c>
      <c r="E115" s="448" t="s">
        <v>170</v>
      </c>
      <c r="F115" s="361"/>
      <c r="G115" s="361"/>
      <c r="H115" s="361"/>
      <c r="I115" s="361"/>
      <c r="J115" s="361"/>
      <c r="K115" s="361"/>
      <c r="L115" s="361"/>
      <c r="M115" s="361"/>
      <c r="N115" s="361"/>
      <c r="O115" s="361"/>
      <c r="P115" s="438"/>
      <c r="Q115" s="438"/>
      <c r="R115" s="438"/>
      <c r="S115" s="438"/>
      <c r="T115" s="438"/>
      <c r="U115" s="438"/>
      <c r="V115" s="438"/>
      <c r="Z115" s="439"/>
      <c r="AA115" s="439" t="str">
        <f>IF(AND(F116=G116,H116=I116,F116="A"),"2016 - kw","")</f>
        <v/>
      </c>
      <c r="AB115" s="439" t="str">
        <f>IF(OR(B115="2017 - kw",B115="2018 - kw"),"2016 - kw","")</f>
        <v/>
      </c>
      <c r="AC115" s="439"/>
      <c r="AD115" s="439"/>
      <c r="AE115" s="439"/>
    </row>
    <row r="116" spans="1:31" hidden="1" x14ac:dyDescent="0.25">
      <c r="A116" s="438"/>
      <c r="B116" s="438"/>
      <c r="C116" s="449"/>
      <c r="D116" s="424"/>
      <c r="E116" s="450" t="s">
        <v>210</v>
      </c>
      <c r="F116" s="437"/>
      <c r="G116" s="437"/>
      <c r="H116" s="437"/>
      <c r="I116" s="437"/>
      <c r="J116" s="437"/>
      <c r="K116" s="437"/>
      <c r="L116" s="437"/>
      <c r="M116" s="437"/>
      <c r="N116" s="437"/>
      <c r="O116" s="437"/>
      <c r="P116" s="438"/>
      <c r="Q116" s="438"/>
      <c r="R116" s="438"/>
      <c r="S116" s="438"/>
      <c r="T116" s="438"/>
      <c r="U116" s="438"/>
      <c r="V116" s="438"/>
      <c r="Z116" s="439"/>
      <c r="AA116" s="439"/>
      <c r="AB116" s="439"/>
      <c r="AC116" s="439"/>
      <c r="AD116" s="439"/>
      <c r="AE116" s="439"/>
    </row>
    <row r="117" spans="1:31" hidden="1" x14ac:dyDescent="0.25">
      <c r="A117" s="438" t="str">
        <f>IF(AND(F119=G119,H119=I119,J119=K119,F119="A"),"2016 - kwh",IF(AND(F119=G119,H119=I119,J119&lt;&gt;K119,F119="A"),"2017 - kwh",IF(AND(F119=G119,H119&lt;&gt;I119,F119="A"),"2018 - kwh","N/A")))</f>
        <v>N/A</v>
      </c>
      <c r="B117" s="438" t="str">
        <f>IF(F119&lt;&gt;G119,"2018 - kwh",IF(H119&lt;&gt;I119,"2017 - kwh",IF(J119&lt;&gt;K119,"2016 - kwh","N/A")))</f>
        <v>N/A</v>
      </c>
      <c r="C117" s="443" t="s">
        <v>238</v>
      </c>
      <c r="D117" s="444"/>
      <c r="E117" s="445" t="s">
        <v>139</v>
      </c>
      <c r="F117" s="361"/>
      <c r="G117" s="361"/>
      <c r="H117" s="361"/>
      <c r="I117" s="361"/>
      <c r="J117" s="361"/>
      <c r="K117" s="361"/>
      <c r="L117" s="361"/>
      <c r="M117" s="361"/>
      <c r="N117" s="361"/>
      <c r="O117" s="361"/>
      <c r="P117" s="438"/>
      <c r="Q117" s="438"/>
      <c r="R117" s="438"/>
      <c r="S117" s="438"/>
      <c r="T117" s="438"/>
      <c r="U117" s="438"/>
      <c r="V117" s="438"/>
      <c r="Z117" s="439"/>
      <c r="AA117" s="439" t="str">
        <f>IF(AND(F119=G119,H119=I119,F119="A"),"2016 - kwh","")</f>
        <v/>
      </c>
      <c r="AB117" s="439" t="str">
        <f>IF(OR(B117="2017 - kwh",B117="2018 - kwh"),"2016 - kwh","")</f>
        <v/>
      </c>
      <c r="AC117" s="439"/>
      <c r="AD117" s="439"/>
      <c r="AE117" s="439"/>
    </row>
    <row r="118" spans="1:31" hidden="1" x14ac:dyDescent="0.25">
      <c r="A118" s="438" t="str">
        <f>IF(AND(F119=G119,H119=I119,J119=K119,F119="A"),"2016 - kw",IF(AND(F119=G119,H119=I119,J119&lt;&gt;K119,F119="A"),"2017 - kw",IF(AND(F119=G119,H119&lt;&gt;I119,F119="A"),"2018 - kw","N/A")))</f>
        <v>N/A</v>
      </c>
      <c r="B118" s="438" t="str">
        <f>IF(F119&lt;&gt;G119,"2018 - kw",IF(H119&lt;&gt;I119,"2017 - kw",IF(J119&lt;&gt;K119,"2016 - kw","N/A")))</f>
        <v>N/A</v>
      </c>
      <c r="C118" s="446"/>
      <c r="D118" s="447" t="str">
        <f>D117 &amp; "kW"</f>
        <v>kW</v>
      </c>
      <c r="E118" s="448" t="s">
        <v>170</v>
      </c>
      <c r="F118" s="361"/>
      <c r="G118" s="361"/>
      <c r="H118" s="361"/>
      <c r="I118" s="361"/>
      <c r="J118" s="361"/>
      <c r="K118" s="361"/>
      <c r="L118" s="361"/>
      <c r="M118" s="361"/>
      <c r="N118" s="361"/>
      <c r="O118" s="361"/>
      <c r="P118" s="438"/>
      <c r="Q118" s="438"/>
      <c r="R118" s="438"/>
      <c r="S118" s="438"/>
      <c r="T118" s="438"/>
      <c r="U118" s="438"/>
      <c r="V118" s="438"/>
      <c r="Z118" s="439"/>
      <c r="AA118" s="439" t="str">
        <f>IF(AND(F119=G119,H119=I119,F119="A"),"2016 - kw","")</f>
        <v/>
      </c>
      <c r="AB118" s="439" t="str">
        <f>IF(OR(B118="2017 - kw",B118="2018 - kw"),"2016 - kw","")</f>
        <v/>
      </c>
      <c r="AC118" s="439"/>
      <c r="AD118" s="439"/>
      <c r="AE118" s="439"/>
    </row>
    <row r="119" spans="1:31" hidden="1" x14ac:dyDescent="0.25">
      <c r="A119" s="438"/>
      <c r="B119" s="438"/>
      <c r="C119" s="449"/>
      <c r="D119" s="424"/>
      <c r="E119" s="450" t="s">
        <v>210</v>
      </c>
      <c r="F119" s="437"/>
      <c r="G119" s="437"/>
      <c r="H119" s="437"/>
      <c r="I119" s="437"/>
      <c r="J119" s="437"/>
      <c r="K119" s="437"/>
      <c r="L119" s="437"/>
      <c r="M119" s="437"/>
      <c r="N119" s="437"/>
      <c r="O119" s="437"/>
      <c r="P119" s="438"/>
      <c r="Q119" s="438"/>
      <c r="R119" s="438"/>
      <c r="S119" s="438"/>
      <c r="T119" s="438"/>
      <c r="U119" s="438"/>
      <c r="V119" s="438"/>
      <c r="Z119" s="439"/>
      <c r="AA119" s="439"/>
      <c r="AB119" s="439"/>
      <c r="AC119" s="439"/>
      <c r="AD119" s="439"/>
      <c r="AE119" s="439"/>
    </row>
    <row r="120" spans="1:31" hidden="1" x14ac:dyDescent="0.25">
      <c r="A120" s="438" t="str">
        <f>IF(AND(F122=G122,H122=I122,J122=K122,F122="A"),"2016 - kwh",IF(AND(F122=G122,H122=I122,J122&lt;&gt;K122,F122="A"),"2017 - kwh",IF(AND(F122=G122,H122&lt;&gt;I122,F122="A"),"2018 - kwh","N/A")))</f>
        <v>N/A</v>
      </c>
      <c r="B120" s="438" t="str">
        <f>IF(F122&lt;&gt;G122,"2018 - kwh",IF(H122&lt;&gt;I122,"2017 - kwh",IF(J122&lt;&gt;K122,"2016 - kwh","N/A")))</f>
        <v>N/A</v>
      </c>
      <c r="C120" s="443" t="s">
        <v>239</v>
      </c>
      <c r="D120" s="444"/>
      <c r="E120" s="445" t="s">
        <v>139</v>
      </c>
      <c r="F120" s="361"/>
      <c r="G120" s="361"/>
      <c r="H120" s="361"/>
      <c r="I120" s="361"/>
      <c r="J120" s="361"/>
      <c r="K120" s="361"/>
      <c r="L120" s="361"/>
      <c r="M120" s="361"/>
      <c r="N120" s="361"/>
      <c r="O120" s="361"/>
      <c r="P120" s="438"/>
      <c r="Q120" s="438"/>
      <c r="R120" s="438"/>
      <c r="S120" s="438"/>
      <c r="T120" s="438"/>
      <c r="U120" s="438"/>
      <c r="V120" s="438"/>
      <c r="Z120" s="439"/>
      <c r="AA120" s="439" t="str">
        <f>IF(AND(F122=G122,H122=I122,F122="A"),"2016 - kwh","")</f>
        <v/>
      </c>
      <c r="AB120" s="439" t="str">
        <f>IF(OR(B120="2017 - kwh",B120="2018 - kwh"),"2016 - kwh","")</f>
        <v/>
      </c>
      <c r="AC120" s="439"/>
      <c r="AD120" s="439"/>
      <c r="AE120" s="439"/>
    </row>
    <row r="121" spans="1:31" hidden="1" x14ac:dyDescent="0.25">
      <c r="A121" s="438" t="str">
        <f>IF(AND(F122=G122,H122=I122,J122=K122,F122="A"),"2016 - kw",IF(AND(F122=G122,H122=I122,J122&lt;&gt;K122,F122="A"),"2017 - kw",IF(AND(F122=G122,H122&lt;&gt;I122,F122="A"),"2018 - kw","N/A")))</f>
        <v>N/A</v>
      </c>
      <c r="B121" s="438" t="str">
        <f>IF(F122&lt;&gt;G122,"2018 - kw",IF(H122&lt;&gt;I122,"2017 - kw",IF(J122&lt;&gt;K122,"2016 - kw","N/A")))</f>
        <v>N/A</v>
      </c>
      <c r="C121" s="446"/>
      <c r="D121" s="447" t="str">
        <f>D120 &amp; "kW"</f>
        <v>kW</v>
      </c>
      <c r="E121" s="448" t="s">
        <v>170</v>
      </c>
      <c r="F121" s="361"/>
      <c r="G121" s="361"/>
      <c r="H121" s="361"/>
      <c r="I121" s="361"/>
      <c r="J121" s="361"/>
      <c r="K121" s="361"/>
      <c r="L121" s="361"/>
      <c r="M121" s="361"/>
      <c r="N121" s="361"/>
      <c r="O121" s="361"/>
      <c r="P121" s="438"/>
      <c r="Q121" s="438"/>
      <c r="R121" s="438"/>
      <c r="S121" s="438"/>
      <c r="T121" s="438"/>
      <c r="U121" s="438"/>
      <c r="V121" s="438"/>
      <c r="Z121" s="439"/>
      <c r="AA121" s="439" t="str">
        <f>IF(AND(F122=G122,H122=I122,F122="A"),"2016 - kw","")</f>
        <v/>
      </c>
      <c r="AB121" s="439" t="str">
        <f>IF(OR(B121="2017 - kw",B121="2018 - kw"),"2016 - kw","")</f>
        <v/>
      </c>
      <c r="AC121" s="439"/>
      <c r="AD121" s="439"/>
      <c r="AE121" s="439"/>
    </row>
    <row r="122" spans="1:31" hidden="1" x14ac:dyDescent="0.25">
      <c r="A122" s="438"/>
      <c r="B122" s="438"/>
      <c r="C122" s="449"/>
      <c r="D122" s="424"/>
      <c r="E122" s="450" t="s">
        <v>210</v>
      </c>
      <c r="F122" s="437"/>
      <c r="G122" s="437"/>
      <c r="H122" s="437"/>
      <c r="I122" s="437"/>
      <c r="J122" s="437"/>
      <c r="K122" s="437"/>
      <c r="L122" s="437"/>
      <c r="M122" s="437"/>
      <c r="N122" s="437"/>
      <c r="O122" s="437"/>
      <c r="P122" s="438"/>
      <c r="Q122" s="438"/>
      <c r="R122" s="438"/>
      <c r="S122" s="438"/>
      <c r="T122" s="438"/>
      <c r="U122" s="438"/>
      <c r="V122" s="438"/>
      <c r="Z122" s="439"/>
      <c r="AA122" s="439"/>
      <c r="AB122" s="439"/>
      <c r="AC122" s="439"/>
      <c r="AD122" s="439"/>
      <c r="AE122" s="439"/>
    </row>
    <row r="123" spans="1:31" hidden="1" x14ac:dyDescent="0.25">
      <c r="A123" s="438" t="str">
        <f>IF(AND(F125=G125,H125=I125,J125=K125,F125="A"),"2016 - kwh",IF(AND(F125=G125,H125=I125,J125&lt;&gt;K125,F125="A"),"2017 - kwh",IF(AND(F125=G125,H125&lt;&gt;I125,F125="A"),"2018 - kwh","N/A")))</f>
        <v>N/A</v>
      </c>
      <c r="B123" s="438" t="str">
        <f>IF(F125&lt;&gt;G125,"2018 - kwh",IF(H125&lt;&gt;I125,"2017 - kwh",IF(J125&lt;&gt;K125,"2016 - kwh","N/A")))</f>
        <v>N/A</v>
      </c>
      <c r="C123" s="443" t="s">
        <v>240</v>
      </c>
      <c r="D123" s="444"/>
      <c r="E123" s="445" t="s">
        <v>139</v>
      </c>
      <c r="F123" s="361"/>
      <c r="G123" s="361"/>
      <c r="H123" s="361"/>
      <c r="I123" s="361"/>
      <c r="J123" s="361"/>
      <c r="K123" s="361"/>
      <c r="L123" s="361"/>
      <c r="M123" s="361"/>
      <c r="N123" s="361"/>
      <c r="O123" s="361"/>
      <c r="P123" s="438"/>
      <c r="Q123" s="438"/>
      <c r="R123" s="438"/>
      <c r="S123" s="438"/>
      <c r="T123" s="438"/>
      <c r="U123" s="438"/>
      <c r="V123" s="438"/>
      <c r="Z123" s="439"/>
      <c r="AA123" s="439" t="str">
        <f>IF(AND(F125=G125,H125=I125,F125="A"),"2016 - kwh","")</f>
        <v/>
      </c>
      <c r="AB123" s="439" t="str">
        <f>IF(OR(B123="2017 - kwh",B123="2018 - kwh"),"2016 - kwh","")</f>
        <v/>
      </c>
      <c r="AC123" s="439"/>
      <c r="AD123" s="439"/>
      <c r="AE123" s="439"/>
    </row>
    <row r="124" spans="1:31" hidden="1" x14ac:dyDescent="0.25">
      <c r="A124" s="438" t="str">
        <f>IF(AND(F125=G125,H125=I125,J125=K125,F125="A"),"2016 - kw",IF(AND(F125=G125,H125=I125,J125&lt;&gt;K125,F125="A"),"2017 - kw",IF(AND(F125=G125,H125&lt;&gt;I125,F125="A"),"2018 - kw","N/A")))</f>
        <v>N/A</v>
      </c>
      <c r="B124" s="438" t="str">
        <f>IF(F125&lt;&gt;G125,"2018 - kw",IF(H125&lt;&gt;I125,"2017 - kw",IF(J125&lt;&gt;K125,"2016 - kw","N/A")))</f>
        <v>N/A</v>
      </c>
      <c r="C124" s="446"/>
      <c r="D124" s="447" t="str">
        <f>D123 &amp; "kW"</f>
        <v>kW</v>
      </c>
      <c r="E124" s="448" t="s">
        <v>170</v>
      </c>
      <c r="F124" s="361"/>
      <c r="G124" s="361"/>
      <c r="H124" s="361"/>
      <c r="I124" s="361"/>
      <c r="J124" s="361"/>
      <c r="K124" s="361"/>
      <c r="L124" s="361"/>
      <c r="M124" s="361"/>
      <c r="N124" s="361"/>
      <c r="O124" s="361"/>
      <c r="P124" s="438"/>
      <c r="Q124" s="438"/>
      <c r="R124" s="438"/>
      <c r="S124" s="438"/>
      <c r="T124" s="438"/>
      <c r="U124" s="438"/>
      <c r="V124" s="438"/>
      <c r="Z124" s="439"/>
      <c r="AA124" s="439" t="str">
        <f>IF(AND(F125=G125,H125=I125,F125="A"),"2016 - kw","")</f>
        <v/>
      </c>
      <c r="AB124" s="439" t="str">
        <f>IF(OR(B124="2017 - kw",B124="2018 - kw"),"2016 - kw","")</f>
        <v/>
      </c>
      <c r="AC124" s="439"/>
      <c r="AD124" s="439"/>
      <c r="AE124" s="439"/>
    </row>
    <row r="125" spans="1:31" hidden="1" x14ac:dyDescent="0.25">
      <c r="A125" s="438"/>
      <c r="B125" s="438"/>
      <c r="C125" s="449"/>
      <c r="D125" s="424"/>
      <c r="E125" s="450" t="s">
        <v>210</v>
      </c>
      <c r="F125" s="437"/>
      <c r="G125" s="437"/>
      <c r="H125" s="437"/>
      <c r="I125" s="437"/>
      <c r="J125" s="437"/>
      <c r="K125" s="437"/>
      <c r="L125" s="437"/>
      <c r="M125" s="437"/>
      <c r="N125" s="437"/>
      <c r="O125" s="437"/>
      <c r="P125" s="438"/>
      <c r="Q125" s="438"/>
      <c r="R125" s="438"/>
      <c r="S125" s="438"/>
      <c r="T125" s="438"/>
      <c r="U125" s="438"/>
      <c r="V125" s="438"/>
      <c r="Z125" s="439"/>
      <c r="AA125" s="439"/>
      <c r="AB125" s="439"/>
      <c r="AC125" s="439"/>
      <c r="AD125" s="439"/>
      <c r="AE125" s="439"/>
    </row>
    <row r="126" spans="1:31" hidden="1" x14ac:dyDescent="0.25">
      <c r="A126" s="438" t="str">
        <f>IF(AND(F128=G128,H128=I128,J128=K128,F128="A"),"2016 - kwh",IF(AND(F128=G128,H128=I128,J128&lt;&gt;K128,F128="A"),"2017 - kwh",IF(AND(F128=G128,H128&lt;&gt;I128,F128="A"),"2018 - kwh","N/A")))</f>
        <v>N/A</v>
      </c>
      <c r="B126" s="438" t="str">
        <f>IF(F128&lt;&gt;G128,"2018 - kwh",IF(H128&lt;&gt;I128,"2017 - kwh",IF(J128&lt;&gt;K128,"2016 - kwh","N/A")))</f>
        <v>N/A</v>
      </c>
      <c r="C126" s="443" t="s">
        <v>241</v>
      </c>
      <c r="D126" s="444"/>
      <c r="E126" s="445" t="s">
        <v>139</v>
      </c>
      <c r="F126" s="361"/>
      <c r="G126" s="361"/>
      <c r="H126" s="361"/>
      <c r="I126" s="361"/>
      <c r="J126" s="361"/>
      <c r="K126" s="361"/>
      <c r="L126" s="361"/>
      <c r="M126" s="361"/>
      <c r="N126" s="361"/>
      <c r="O126" s="361"/>
      <c r="P126" s="438"/>
      <c r="Q126" s="438"/>
      <c r="R126" s="438"/>
      <c r="S126" s="438"/>
      <c r="T126" s="438"/>
      <c r="U126" s="438"/>
      <c r="V126" s="438"/>
      <c r="Z126" s="439"/>
      <c r="AA126" s="439" t="str">
        <f>IF(AND(F128=G128,H128=I128,F128="A"),"2016 - kwh","")</f>
        <v/>
      </c>
      <c r="AB126" s="439" t="str">
        <f>IF(OR(B126="2017 - kwh",B126="2018 - kwh"),"2016 - kwh","")</f>
        <v/>
      </c>
      <c r="AC126" s="439"/>
      <c r="AD126" s="439"/>
      <c r="AE126" s="439"/>
    </row>
    <row r="127" spans="1:31" hidden="1" x14ac:dyDescent="0.25">
      <c r="A127" s="438" t="str">
        <f>IF(AND(F128=G128,H128=I128,J128=K128,F128="A"),"2016 - kw",IF(AND(F128=G128,H128=I128,J128&lt;&gt;K128,F128="A"),"2017 - kw",IF(AND(F128=G128,H128&lt;&gt;I128,F128="A"),"2018 - kw","N/A")))</f>
        <v>N/A</v>
      </c>
      <c r="B127" s="438" t="str">
        <f>IF(F128&lt;&gt;G128,"2018 - kw",IF(H128&lt;&gt;I128,"2017 - kw",IF(J128&lt;&gt;K128,"2016 - kw","N/A")))</f>
        <v>N/A</v>
      </c>
      <c r="C127" s="446"/>
      <c r="D127" s="447" t="str">
        <f>D126 &amp; "kW"</f>
        <v>kW</v>
      </c>
      <c r="E127" s="448" t="s">
        <v>170</v>
      </c>
      <c r="F127" s="361"/>
      <c r="G127" s="361"/>
      <c r="H127" s="361"/>
      <c r="I127" s="361"/>
      <c r="J127" s="361"/>
      <c r="K127" s="361"/>
      <c r="L127" s="361"/>
      <c r="M127" s="361"/>
      <c r="N127" s="361"/>
      <c r="O127" s="361"/>
      <c r="P127" s="438"/>
      <c r="Q127" s="438"/>
      <c r="R127" s="438"/>
      <c r="S127" s="438"/>
      <c r="T127" s="438"/>
      <c r="U127" s="438"/>
      <c r="V127" s="438"/>
      <c r="Z127" s="439"/>
      <c r="AA127" s="439" t="str">
        <f>IF(AND(F128=G128,H128=I128,F128="A"),"2016 - kw","")</f>
        <v/>
      </c>
      <c r="AB127" s="439" t="str">
        <f>IF(OR(B127="2017 - kw",B127="2018 - kw"),"2016 - kw","")</f>
        <v/>
      </c>
      <c r="AC127" s="439"/>
      <c r="AD127" s="439"/>
      <c r="AE127" s="439"/>
    </row>
    <row r="128" spans="1:31" hidden="1" x14ac:dyDescent="0.25">
      <c r="A128" s="438"/>
      <c r="B128" s="438"/>
      <c r="C128" s="449"/>
      <c r="D128" s="424"/>
      <c r="E128" s="450" t="s">
        <v>210</v>
      </c>
      <c r="F128" s="437"/>
      <c r="G128" s="437"/>
      <c r="H128" s="437"/>
      <c r="I128" s="437"/>
      <c r="J128" s="437"/>
      <c r="K128" s="437"/>
      <c r="L128" s="437"/>
      <c r="M128" s="437"/>
      <c r="N128" s="437"/>
      <c r="O128" s="437"/>
      <c r="P128" s="438"/>
      <c r="Q128" s="438"/>
      <c r="R128" s="438"/>
      <c r="S128" s="438"/>
      <c r="T128" s="438"/>
      <c r="U128" s="438"/>
      <c r="V128" s="438"/>
      <c r="Z128" s="439"/>
      <c r="AA128" s="439"/>
      <c r="AB128" s="439"/>
      <c r="AC128" s="439"/>
      <c r="AD128" s="439"/>
      <c r="AE128" s="439"/>
    </row>
    <row r="129" spans="1:31" hidden="1" x14ac:dyDescent="0.25">
      <c r="A129" s="438" t="str">
        <f>IF(AND(F131=G131,H131=I131,J131=K131,F131="A"),"2016 - kwh",IF(AND(F131=G131,H131=I131,J131&lt;&gt;K131,F131="A"),"2017 - kwh",IF(AND(F131=G131,H131&lt;&gt;I131,F131="A"),"2018 - kwh","N/A")))</f>
        <v>N/A</v>
      </c>
      <c r="B129" s="438" t="str">
        <f>IF(F131&lt;&gt;G131,"2018 - kwh",IF(H131&lt;&gt;I131,"2017 - kwh",IF(J131&lt;&gt;K131,"2016 - kwh","N/A")))</f>
        <v>N/A</v>
      </c>
      <c r="C129" s="443" t="s">
        <v>242</v>
      </c>
      <c r="D129" s="444"/>
      <c r="E129" s="445" t="s">
        <v>139</v>
      </c>
      <c r="F129" s="361"/>
      <c r="G129" s="361"/>
      <c r="H129" s="361"/>
      <c r="I129" s="361"/>
      <c r="J129" s="361"/>
      <c r="K129" s="361"/>
      <c r="L129" s="361"/>
      <c r="M129" s="361"/>
      <c r="N129" s="361"/>
      <c r="O129" s="361"/>
      <c r="P129" s="438"/>
      <c r="Q129" s="438"/>
      <c r="R129" s="438"/>
      <c r="S129" s="438"/>
      <c r="T129" s="438"/>
      <c r="U129" s="438"/>
      <c r="V129" s="438"/>
      <c r="Z129" s="439"/>
      <c r="AA129" s="439" t="str">
        <f>IF(AND(F131=G131,H131=I131,F131="A"),"2016 - kwh","")</f>
        <v/>
      </c>
      <c r="AB129" s="439" t="str">
        <f>IF(OR(B129="2017 - kwh",B129="2018 - kwh"),"2016 - kwh","")</f>
        <v/>
      </c>
      <c r="AC129" s="439"/>
      <c r="AD129" s="439"/>
      <c r="AE129" s="439"/>
    </row>
    <row r="130" spans="1:31" hidden="1" x14ac:dyDescent="0.25">
      <c r="A130" s="438" t="str">
        <f>IF(AND(F131=G131,H131=I131,J131=K131,F131="A"),"2016 - kw",IF(AND(F131=G131,H131=I131,J131&lt;&gt;K131,F131="A"),"2017 - kw",IF(AND(F131=G131,H131&lt;&gt;I131,F131="A"),"2018 - kw","N/A")))</f>
        <v>N/A</v>
      </c>
      <c r="B130" s="438" t="str">
        <f>IF(F131&lt;&gt;G131,"2018 - kw",IF(H131&lt;&gt;I131,"2017 - kw",IF(J131&lt;&gt;K131,"2016 - kw","N/A")))</f>
        <v>N/A</v>
      </c>
      <c r="C130" s="446"/>
      <c r="D130" s="447" t="str">
        <f>D129 &amp; "kW"</f>
        <v>kW</v>
      </c>
      <c r="E130" s="448" t="s">
        <v>170</v>
      </c>
      <c r="F130" s="361"/>
      <c r="G130" s="361"/>
      <c r="H130" s="361"/>
      <c r="I130" s="361"/>
      <c r="J130" s="361"/>
      <c r="K130" s="361"/>
      <c r="L130" s="361"/>
      <c r="M130" s="361"/>
      <c r="N130" s="361"/>
      <c r="O130" s="361"/>
      <c r="P130" s="438"/>
      <c r="Q130" s="438"/>
      <c r="R130" s="438"/>
      <c r="S130" s="438"/>
      <c r="T130" s="438"/>
      <c r="U130" s="438"/>
      <c r="V130" s="438"/>
      <c r="Z130" s="439"/>
      <c r="AA130" s="439" t="str">
        <f>IF(AND(F131=G131,H131=I131,F131="A"),"2016 - kw","")</f>
        <v/>
      </c>
      <c r="AB130" s="439" t="str">
        <f>IF(OR(B130="2017 - kw",B130="2018 - kw"),"2016 - kw","")</f>
        <v/>
      </c>
      <c r="AC130" s="439"/>
      <c r="AD130" s="439"/>
      <c r="AE130" s="439"/>
    </row>
    <row r="131" spans="1:31" hidden="1" x14ac:dyDescent="0.25">
      <c r="A131" s="438"/>
      <c r="B131" s="438"/>
      <c r="C131" s="449"/>
      <c r="D131" s="424"/>
      <c r="E131" s="450" t="s">
        <v>210</v>
      </c>
      <c r="F131" s="437"/>
      <c r="G131" s="437"/>
      <c r="H131" s="437"/>
      <c r="I131" s="437"/>
      <c r="J131" s="437"/>
      <c r="K131" s="437"/>
      <c r="L131" s="437"/>
      <c r="M131" s="437"/>
      <c r="N131" s="437"/>
      <c r="O131" s="437"/>
      <c r="P131" s="438"/>
      <c r="Q131" s="438"/>
      <c r="R131" s="438"/>
      <c r="S131" s="438"/>
      <c r="T131" s="438"/>
      <c r="U131" s="438"/>
      <c r="V131" s="438"/>
      <c r="Z131" s="439"/>
      <c r="AA131" s="439"/>
      <c r="AB131" s="439"/>
      <c r="AC131" s="439"/>
      <c r="AD131" s="439"/>
      <c r="AE131" s="439"/>
    </row>
    <row r="132" spans="1:31" hidden="1" x14ac:dyDescent="0.25">
      <c r="A132" s="438" t="str">
        <f>IF(AND(F134=G134,H134=I134,J134=K134,F134="A"),"2016 - kwh",IF(AND(F134=G134,H134=I134,J134&lt;&gt;K134,F134="A"),"2017 - kwh",IF(AND(F134=G134,H134&lt;&gt;I134,F134="A"),"2018 - kwh","N/A")))</f>
        <v>N/A</v>
      </c>
      <c r="B132" s="438" t="str">
        <f>IF(F134&lt;&gt;G134,"2018 - kwh",IF(H134&lt;&gt;I134,"2017 - kwh",IF(J134&lt;&gt;K134,"2016 - kwh","N/A")))</f>
        <v>N/A</v>
      </c>
      <c r="C132" s="443" t="s">
        <v>243</v>
      </c>
      <c r="D132" s="444"/>
      <c r="E132" s="445" t="s">
        <v>139</v>
      </c>
      <c r="F132" s="361"/>
      <c r="G132" s="361"/>
      <c r="H132" s="361"/>
      <c r="I132" s="361"/>
      <c r="J132" s="361"/>
      <c r="K132" s="361"/>
      <c r="L132" s="361"/>
      <c r="M132" s="361"/>
      <c r="N132" s="361"/>
      <c r="O132" s="361"/>
      <c r="P132" s="438"/>
      <c r="Q132" s="438"/>
      <c r="R132" s="438"/>
      <c r="S132" s="438"/>
      <c r="T132" s="438"/>
      <c r="U132" s="438"/>
      <c r="V132" s="438"/>
      <c r="Z132" s="439"/>
      <c r="AA132" s="439" t="str">
        <f>IF(AND(F134=G134,H134=I134,F134="A"),"2016 - kwh","")</f>
        <v/>
      </c>
      <c r="AB132" s="439" t="str">
        <f>IF(OR(B132="2017 - kwh",B132="2018 - kwh"),"2016 - kwh","")</f>
        <v/>
      </c>
      <c r="AC132" s="439"/>
      <c r="AD132" s="439"/>
      <c r="AE132" s="439"/>
    </row>
    <row r="133" spans="1:31" hidden="1" x14ac:dyDescent="0.25">
      <c r="A133" s="438" t="str">
        <f>IF(AND(F134=G134,H134=I134,J134=K134,F134="A"),"2016 - kw",IF(AND(F134=G134,H134=I134,J134&lt;&gt;K134,F134="A"),"2017 - kw",IF(AND(F134=G134,H134&lt;&gt;I134,F134="A"),"2018 - kw","N/A")))</f>
        <v>N/A</v>
      </c>
      <c r="B133" s="438" t="str">
        <f>IF(F134&lt;&gt;G134,"2018 - kw",IF(H134&lt;&gt;I134,"2017 - kw",IF(J134&lt;&gt;K134,"2016 - kw","N/A")))</f>
        <v>N/A</v>
      </c>
      <c r="C133" s="446"/>
      <c r="D133" s="447" t="str">
        <f>D132 &amp; "kW"</f>
        <v>kW</v>
      </c>
      <c r="E133" s="448" t="s">
        <v>170</v>
      </c>
      <c r="F133" s="361"/>
      <c r="G133" s="361"/>
      <c r="H133" s="361"/>
      <c r="I133" s="361"/>
      <c r="J133" s="361"/>
      <c r="K133" s="361"/>
      <c r="L133" s="361"/>
      <c r="M133" s="361"/>
      <c r="N133" s="361"/>
      <c r="O133" s="361"/>
      <c r="P133" s="438"/>
      <c r="Q133" s="438"/>
      <c r="R133" s="438"/>
      <c r="S133" s="438"/>
      <c r="T133" s="438"/>
      <c r="U133" s="438"/>
      <c r="V133" s="438"/>
      <c r="Z133" s="439"/>
      <c r="AA133" s="439" t="str">
        <f>IF(AND(F134=G134,H134=I134,F134="A"),"2016 - kw","")</f>
        <v/>
      </c>
      <c r="AB133" s="439" t="str">
        <f>IF(OR(B133="2017 - kw",B133="2018 - kw"),"2016 - kw","")</f>
        <v/>
      </c>
      <c r="AC133" s="439"/>
      <c r="AD133" s="439"/>
      <c r="AE133" s="439"/>
    </row>
    <row r="134" spans="1:31" hidden="1" x14ac:dyDescent="0.25">
      <c r="A134" s="438"/>
      <c r="B134" s="438"/>
      <c r="C134" s="449"/>
      <c r="D134" s="424"/>
      <c r="E134" s="450" t="s">
        <v>210</v>
      </c>
      <c r="F134" s="437"/>
      <c r="G134" s="437"/>
      <c r="H134" s="437"/>
      <c r="I134" s="437"/>
      <c r="J134" s="437"/>
      <c r="K134" s="437"/>
      <c r="L134" s="437"/>
      <c r="M134" s="437"/>
      <c r="N134" s="437"/>
      <c r="O134" s="437"/>
      <c r="P134" s="438"/>
      <c r="Q134" s="438"/>
      <c r="R134" s="438"/>
      <c r="S134" s="438"/>
      <c r="T134" s="438"/>
      <c r="U134" s="438"/>
      <c r="V134" s="438"/>
      <c r="Z134" s="439"/>
      <c r="AA134" s="439"/>
      <c r="AB134" s="439"/>
      <c r="AC134" s="439"/>
      <c r="AD134" s="439"/>
      <c r="AE134" s="439"/>
    </row>
    <row r="135" spans="1:31" hidden="1" x14ac:dyDescent="0.25">
      <c r="A135" s="438" t="str">
        <f>IF(AND(F137=G137,H137=I137,J137=K137,F137="A"),"2016 - kwh",IF(AND(F137=G137,H137=I137,J137&lt;&gt;K137,F137="A"),"2017 - kwh",IF(AND(F137=G137,H137&lt;&gt;I137,F137="A"),"2018 - kwh","N/A")))</f>
        <v>N/A</v>
      </c>
      <c r="B135" s="438" t="str">
        <f>IF(F137&lt;&gt;G137,"2018 - kwh",IF(H137&lt;&gt;I137,"2017 - kwh",IF(J137&lt;&gt;K137,"2016 - kwh","N/A")))</f>
        <v>N/A</v>
      </c>
      <c r="C135" s="443" t="s">
        <v>244</v>
      </c>
      <c r="D135" s="444"/>
      <c r="E135" s="445" t="s">
        <v>139</v>
      </c>
      <c r="F135" s="361"/>
      <c r="G135" s="361"/>
      <c r="H135" s="361"/>
      <c r="I135" s="361"/>
      <c r="J135" s="361"/>
      <c r="K135" s="361"/>
      <c r="L135" s="361"/>
      <c r="M135" s="361"/>
      <c r="N135" s="361"/>
      <c r="O135" s="361"/>
      <c r="P135" s="438"/>
      <c r="Q135" s="438"/>
      <c r="R135" s="438"/>
      <c r="S135" s="438"/>
      <c r="T135" s="438"/>
      <c r="U135" s="438"/>
      <c r="V135" s="438"/>
      <c r="Z135" s="439"/>
      <c r="AA135" s="439" t="str">
        <f>IF(AND(F137=G137,H137=I137,F137="A"),"2016 - kwh","")</f>
        <v/>
      </c>
      <c r="AB135" s="439" t="str">
        <f>IF(OR(B135="2017 - kwh",B135="2018 - kwh"),"2016 - kwh","")</f>
        <v/>
      </c>
      <c r="AC135" s="439"/>
      <c r="AD135" s="439"/>
      <c r="AE135" s="439"/>
    </row>
    <row r="136" spans="1:31" hidden="1" x14ac:dyDescent="0.25">
      <c r="A136" s="438" t="str">
        <f>IF(AND(F137=G137,H137=I137,J137=K137,F137="A"),"2016 - kw",IF(AND(F137=G137,H137=I137,J137&lt;&gt;K137,F137="A"),"2017 - kw",IF(AND(F137=G137,H137&lt;&gt;I137,F137="A"),"2018 - kw","N/A")))</f>
        <v>N/A</v>
      </c>
      <c r="B136" s="438" t="str">
        <f>IF(F137&lt;&gt;G137,"2018 - kw",IF(H137&lt;&gt;I137,"2017 - kw",IF(J137&lt;&gt;K137,"2016 - kw","N/A")))</f>
        <v>N/A</v>
      </c>
      <c r="C136" s="446"/>
      <c r="D136" s="447" t="str">
        <f>D135 &amp; "kW"</f>
        <v>kW</v>
      </c>
      <c r="E136" s="448" t="s">
        <v>170</v>
      </c>
      <c r="F136" s="361"/>
      <c r="G136" s="361"/>
      <c r="H136" s="361"/>
      <c r="I136" s="361"/>
      <c r="J136" s="361"/>
      <c r="K136" s="361"/>
      <c r="L136" s="361"/>
      <c r="M136" s="361"/>
      <c r="N136" s="361"/>
      <c r="O136" s="361"/>
      <c r="P136" s="438"/>
      <c r="Q136" s="438"/>
      <c r="R136" s="438"/>
      <c r="S136" s="438"/>
      <c r="T136" s="438"/>
      <c r="U136" s="438"/>
      <c r="V136" s="438"/>
      <c r="Z136" s="439"/>
      <c r="AA136" s="439" t="str">
        <f>IF(AND(F137=G137,H137=I137,F137="A"),"2016 - kw","")</f>
        <v/>
      </c>
      <c r="AB136" s="439" t="str">
        <f>IF(OR(B136="2017 - kw",B136="2018 - kw"),"2016 - kw","")</f>
        <v/>
      </c>
      <c r="AC136" s="439"/>
      <c r="AD136" s="439"/>
      <c r="AE136" s="439"/>
    </row>
    <row r="137" spans="1:31" hidden="1" x14ac:dyDescent="0.25">
      <c r="A137" s="438"/>
      <c r="B137" s="438"/>
      <c r="C137" s="449"/>
      <c r="D137" s="424"/>
      <c r="E137" s="450" t="s">
        <v>210</v>
      </c>
      <c r="F137" s="437"/>
      <c r="G137" s="437"/>
      <c r="H137" s="437"/>
      <c r="I137" s="437"/>
      <c r="J137" s="437"/>
      <c r="K137" s="437"/>
      <c r="L137" s="437"/>
      <c r="M137" s="437"/>
      <c r="N137" s="437"/>
      <c r="O137" s="437"/>
      <c r="P137" s="438"/>
      <c r="Q137" s="438"/>
      <c r="R137" s="438"/>
      <c r="S137" s="438"/>
      <c r="T137" s="438"/>
      <c r="U137" s="438"/>
      <c r="V137" s="438"/>
      <c r="Z137" s="439"/>
      <c r="AA137" s="439"/>
      <c r="AB137" s="439"/>
      <c r="AC137" s="439"/>
      <c r="AD137" s="439"/>
      <c r="AE137" s="439"/>
    </row>
    <row r="138" spans="1:31" hidden="1" x14ac:dyDescent="0.25">
      <c r="A138" s="438" t="str">
        <f>IF(AND(F140=G140,H140=I140,J140=K140,F140="A"),"2016 - kwh",IF(AND(F140=G140,H140=I140,J140&lt;&gt;K140,F140="A"),"2017 - kwh",IF(AND(F140=G140,H140&lt;&gt;I140,F140="A"),"2018 - kwh","N/A")))</f>
        <v>N/A</v>
      </c>
      <c r="B138" s="438" t="str">
        <f>IF(F140&lt;&gt;G140,"2018 - kwh",IF(H140&lt;&gt;I140,"2017 - kwh",IF(J140&lt;&gt;K140,"2016 - kwh","N/A")))</f>
        <v>N/A</v>
      </c>
      <c r="C138" s="443" t="s">
        <v>245</v>
      </c>
      <c r="D138" s="444"/>
      <c r="E138" s="445" t="s">
        <v>139</v>
      </c>
      <c r="F138" s="361"/>
      <c r="G138" s="361"/>
      <c r="H138" s="361"/>
      <c r="I138" s="361"/>
      <c r="J138" s="361"/>
      <c r="K138" s="361"/>
      <c r="L138" s="361"/>
      <c r="M138" s="361"/>
      <c r="N138" s="361"/>
      <c r="O138" s="361"/>
      <c r="P138" s="438"/>
      <c r="Q138" s="438"/>
      <c r="R138" s="438"/>
      <c r="S138" s="438"/>
      <c r="T138" s="438"/>
      <c r="U138" s="438"/>
      <c r="V138" s="438"/>
      <c r="Z138" s="439"/>
      <c r="AA138" s="439" t="str">
        <f>IF(AND(F140=G140,H140=I140,F140="A"),"2016 - kwh","")</f>
        <v/>
      </c>
      <c r="AB138" s="439" t="str">
        <f>IF(OR(B138="2017 - kwh",B138="2018 - kwh"),"2016 - kwh","")</f>
        <v/>
      </c>
      <c r="AC138" s="439"/>
      <c r="AD138" s="439"/>
      <c r="AE138" s="439"/>
    </row>
    <row r="139" spans="1:31" hidden="1" x14ac:dyDescent="0.25">
      <c r="A139" s="438" t="str">
        <f>IF(AND(F140=G140,H140=I140,J140=K140,F140="A"),"2016 - kw",IF(AND(F140=G140,H140=I140,J140&lt;&gt;K140,F140="A"),"2017 - kw",IF(AND(F140=G140,H140&lt;&gt;I140,F140="A"),"2018 - kw","N/A")))</f>
        <v>N/A</v>
      </c>
      <c r="B139" s="438" t="str">
        <f>IF(F140&lt;&gt;G140,"2018 - kw",IF(H140&lt;&gt;I140,"2017 - kw",IF(J140&lt;&gt;K140,"2016 - kw","N/A")))</f>
        <v>N/A</v>
      </c>
      <c r="C139" s="446"/>
      <c r="D139" s="447" t="str">
        <f>D138 &amp; "kW"</f>
        <v>kW</v>
      </c>
      <c r="E139" s="448" t="s">
        <v>170</v>
      </c>
      <c r="F139" s="361"/>
      <c r="G139" s="361"/>
      <c r="H139" s="361"/>
      <c r="I139" s="361"/>
      <c r="J139" s="361"/>
      <c r="K139" s="361"/>
      <c r="L139" s="361"/>
      <c r="M139" s="361"/>
      <c r="N139" s="361"/>
      <c r="O139" s="361"/>
      <c r="P139" s="438"/>
      <c r="Q139" s="438"/>
      <c r="R139" s="438"/>
      <c r="S139" s="438"/>
      <c r="T139" s="438"/>
      <c r="U139" s="438"/>
      <c r="V139" s="438"/>
      <c r="Z139" s="439"/>
      <c r="AA139" s="439" t="str">
        <f>IF(AND(F140=G140,H140=I140,F140="A"),"2016 - kw","")</f>
        <v/>
      </c>
      <c r="AB139" s="439" t="str">
        <f>IF(OR(B139="2017 - kw",B139="2018 - kw"),"2016 - kw","")</f>
        <v/>
      </c>
      <c r="AC139" s="439"/>
      <c r="AD139" s="439"/>
      <c r="AE139" s="439"/>
    </row>
    <row r="140" spans="1:31" hidden="1" x14ac:dyDescent="0.25">
      <c r="A140" s="438"/>
      <c r="B140" s="438"/>
      <c r="C140" s="449"/>
      <c r="D140" s="424"/>
      <c r="E140" s="450" t="s">
        <v>210</v>
      </c>
      <c r="F140" s="437"/>
      <c r="G140" s="437"/>
      <c r="H140" s="437"/>
      <c r="I140" s="437"/>
      <c r="J140" s="437"/>
      <c r="K140" s="437"/>
      <c r="L140" s="437"/>
      <c r="M140" s="437"/>
      <c r="N140" s="437"/>
      <c r="O140" s="437"/>
      <c r="P140" s="438"/>
      <c r="Q140" s="438"/>
      <c r="R140" s="438"/>
      <c r="S140" s="438"/>
      <c r="T140" s="438"/>
      <c r="U140" s="438"/>
      <c r="V140" s="438"/>
      <c r="Z140" s="439"/>
      <c r="AA140" s="439"/>
      <c r="AB140" s="439"/>
      <c r="AC140" s="439"/>
      <c r="AD140" s="439"/>
      <c r="AE140" s="439"/>
    </row>
    <row r="141" spans="1:31" hidden="1" x14ac:dyDescent="0.25">
      <c r="A141" s="438" t="str">
        <f>IF(AND(F143=G143,H143=I143,J143=K143,F143="A"),"2016 - kwh",IF(AND(F143=G143,H143=I143,J143&lt;&gt;K143,F143="A"),"2017 - kwh",IF(AND(F143=G143,H143&lt;&gt;I143,F143="A"),"2018 - kwh","N/A")))</f>
        <v>N/A</v>
      </c>
      <c r="B141" s="438" t="str">
        <f>IF(F143&lt;&gt;G143,"2018 - kwh",IF(H143&lt;&gt;I143,"2017 - kwh",IF(J143&lt;&gt;K143,"2016 - kwh","N/A")))</f>
        <v>N/A</v>
      </c>
      <c r="C141" s="443" t="s">
        <v>246</v>
      </c>
      <c r="D141" s="444"/>
      <c r="E141" s="445" t="s">
        <v>139</v>
      </c>
      <c r="F141" s="361"/>
      <c r="G141" s="361"/>
      <c r="H141" s="361"/>
      <c r="I141" s="361"/>
      <c r="J141" s="361"/>
      <c r="K141" s="361"/>
      <c r="L141" s="361"/>
      <c r="M141" s="361"/>
      <c r="N141" s="361"/>
      <c r="O141" s="361"/>
      <c r="P141" s="438"/>
      <c r="Q141" s="438"/>
      <c r="R141" s="438"/>
      <c r="S141" s="438"/>
      <c r="T141" s="438"/>
      <c r="U141" s="438"/>
      <c r="V141" s="438"/>
      <c r="Z141" s="439"/>
      <c r="AA141" s="439" t="str">
        <f>IF(AND(F143=G143,H143=I143,F143="A"),"2016 - kwh","")</f>
        <v/>
      </c>
      <c r="AB141" s="439" t="str">
        <f>IF(OR(B141="2017 - kwh",B141="2018 - kwh"),"2016 - kwh","")</f>
        <v/>
      </c>
      <c r="AC141" s="439"/>
      <c r="AD141" s="439"/>
      <c r="AE141" s="439"/>
    </row>
    <row r="142" spans="1:31" hidden="1" x14ac:dyDescent="0.25">
      <c r="A142" s="438" t="str">
        <f>IF(AND(F143=G143,H143=I143,J143=K143,F143="A"),"2016 - kw",IF(AND(F143=G143,H143=I143,J143&lt;&gt;K143,F143="A"),"2017 - kw",IF(AND(F143=G143,H143&lt;&gt;I143,F143="A"),"2018 - kw","N/A")))</f>
        <v>N/A</v>
      </c>
      <c r="B142" s="438" t="str">
        <f>IF(F143&lt;&gt;G143,"2018 - kw",IF(H143&lt;&gt;I143,"2017 - kw",IF(J143&lt;&gt;K143,"2016 - kw","N/A")))</f>
        <v>N/A</v>
      </c>
      <c r="C142" s="446"/>
      <c r="D142" s="447" t="str">
        <f>D141 &amp; "kW"</f>
        <v>kW</v>
      </c>
      <c r="E142" s="448" t="s">
        <v>170</v>
      </c>
      <c r="F142" s="361"/>
      <c r="G142" s="361"/>
      <c r="H142" s="361"/>
      <c r="I142" s="361"/>
      <c r="J142" s="361"/>
      <c r="K142" s="361"/>
      <c r="L142" s="361"/>
      <c r="M142" s="361"/>
      <c r="N142" s="361"/>
      <c r="O142" s="361"/>
      <c r="P142" s="438"/>
      <c r="Q142" s="438"/>
      <c r="R142" s="438"/>
      <c r="S142" s="438"/>
      <c r="T142" s="438"/>
      <c r="U142" s="438"/>
      <c r="V142" s="438"/>
      <c r="Z142" s="439"/>
      <c r="AA142" s="439" t="str">
        <f>IF(AND(F143=G143,H143=I143,F143="A"),"2016 - kw","")</f>
        <v/>
      </c>
      <c r="AB142" s="439" t="str">
        <f>IF(OR(B142="2017 - kw",B142="2018 - kw"),"2016 - kw","")</f>
        <v/>
      </c>
      <c r="AC142" s="439"/>
      <c r="AD142" s="439"/>
      <c r="AE142" s="439"/>
    </row>
    <row r="143" spans="1:31" hidden="1" x14ac:dyDescent="0.25">
      <c r="A143" s="438"/>
      <c r="B143" s="438"/>
      <c r="C143" s="449"/>
      <c r="D143" s="424"/>
      <c r="E143" s="450" t="s">
        <v>210</v>
      </c>
      <c r="F143" s="437"/>
      <c r="G143" s="437"/>
      <c r="H143" s="437"/>
      <c r="I143" s="437"/>
      <c r="J143" s="437"/>
      <c r="K143" s="437"/>
      <c r="L143" s="437"/>
      <c r="M143" s="437"/>
      <c r="N143" s="437"/>
      <c r="O143" s="437"/>
      <c r="P143" s="438"/>
      <c r="Q143" s="438"/>
      <c r="R143" s="438"/>
      <c r="S143" s="438"/>
      <c r="T143" s="438"/>
      <c r="U143" s="438"/>
      <c r="V143" s="438"/>
      <c r="Z143" s="439"/>
      <c r="AA143" s="439"/>
      <c r="AB143" s="439"/>
      <c r="AC143" s="439"/>
      <c r="AD143" s="439"/>
      <c r="AE143" s="439"/>
    </row>
    <row r="144" spans="1:31" hidden="1" x14ac:dyDescent="0.25">
      <c r="A144" s="438" t="str">
        <f>IF(AND(F146=G146,H146=I146,J146=K146,F146="A"),"2016 - kwh",IF(AND(F146=G146,H146=I146,J146&lt;&gt;K146,F146="A"),"2017 - kwh",IF(AND(F146=G146,H146&lt;&gt;I146,F146="A"),"2018 - kwh","N/A")))</f>
        <v>N/A</v>
      </c>
      <c r="B144" s="438" t="str">
        <f>IF(F146&lt;&gt;G146,"2018 - kwh",IF(H146&lt;&gt;I146,"2017 - kwh",IF(J146&lt;&gt;K146,"2016 - kwh","N/A")))</f>
        <v>N/A</v>
      </c>
      <c r="C144" s="443" t="s">
        <v>247</v>
      </c>
      <c r="D144" s="444"/>
      <c r="E144" s="445" t="s">
        <v>139</v>
      </c>
      <c r="F144" s="361"/>
      <c r="G144" s="361"/>
      <c r="H144" s="361"/>
      <c r="I144" s="361"/>
      <c r="J144" s="361"/>
      <c r="K144" s="361"/>
      <c r="L144" s="361"/>
      <c r="M144" s="361"/>
      <c r="N144" s="361"/>
      <c r="O144" s="361"/>
      <c r="P144" s="438"/>
      <c r="Q144" s="438"/>
      <c r="R144" s="438"/>
      <c r="S144" s="438"/>
      <c r="T144" s="438"/>
      <c r="U144" s="438"/>
      <c r="V144" s="438"/>
      <c r="Z144" s="439"/>
      <c r="AA144" s="439" t="str">
        <f>IF(AND(F146=G146,H146=I146,F146="A"),"2016 - kwh","")</f>
        <v/>
      </c>
      <c r="AB144" s="439" t="str">
        <f>IF(OR(B144="2017 - kwh",B144="2018 - kwh"),"2016 - kwh","")</f>
        <v/>
      </c>
      <c r="AC144" s="439"/>
      <c r="AD144" s="439"/>
      <c r="AE144" s="439"/>
    </row>
    <row r="145" spans="1:31" hidden="1" x14ac:dyDescent="0.25">
      <c r="A145" s="438" t="str">
        <f>IF(AND(F146=G146,H146=I146,J146=K146,F146="A"),"2016 - kw",IF(AND(F146=G146,H146=I146,J146&lt;&gt;K146,F146="A"),"2017 - kw",IF(AND(F146=G146,H146&lt;&gt;I146,F146="A"),"2018 - kw","N/A")))</f>
        <v>N/A</v>
      </c>
      <c r="B145" s="438" t="str">
        <f>IF(F146&lt;&gt;G146,"2018 - kw",IF(H146&lt;&gt;I146,"2017 - kw",IF(J146&lt;&gt;K146,"2016 - kw","N/A")))</f>
        <v>N/A</v>
      </c>
      <c r="C145" s="446"/>
      <c r="D145" s="447" t="str">
        <f>D144 &amp; "kW"</f>
        <v>kW</v>
      </c>
      <c r="E145" s="448" t="s">
        <v>170</v>
      </c>
      <c r="F145" s="361"/>
      <c r="G145" s="361"/>
      <c r="H145" s="361"/>
      <c r="I145" s="361"/>
      <c r="J145" s="361"/>
      <c r="K145" s="361"/>
      <c r="L145" s="361"/>
      <c r="M145" s="361"/>
      <c r="N145" s="361"/>
      <c r="O145" s="361"/>
      <c r="P145" s="438"/>
      <c r="Q145" s="438"/>
      <c r="R145" s="438"/>
      <c r="S145" s="438"/>
      <c r="T145" s="438"/>
      <c r="U145" s="438"/>
      <c r="V145" s="438"/>
      <c r="Z145" s="439"/>
      <c r="AA145" s="439" t="str">
        <f>IF(AND(F146=G146,H146=I146,F146="A"),"2016 - kw","")</f>
        <v/>
      </c>
      <c r="AB145" s="439" t="str">
        <f>IF(OR(B145="2017 - kw",B145="2018 - kw"),"2016 - kw","")</f>
        <v/>
      </c>
      <c r="AC145" s="439"/>
      <c r="AD145" s="439"/>
      <c r="AE145" s="439"/>
    </row>
    <row r="146" spans="1:31" hidden="1" x14ac:dyDescent="0.25">
      <c r="A146" s="438"/>
      <c r="B146" s="438"/>
      <c r="C146" s="449"/>
      <c r="D146" s="424"/>
      <c r="E146" s="450" t="s">
        <v>210</v>
      </c>
      <c r="F146" s="437"/>
      <c r="G146" s="437"/>
      <c r="H146" s="437"/>
      <c r="I146" s="437"/>
      <c r="J146" s="437"/>
      <c r="K146" s="437"/>
      <c r="L146" s="437"/>
      <c r="M146" s="437"/>
      <c r="N146" s="437"/>
      <c r="O146" s="437"/>
      <c r="P146" s="438"/>
      <c r="Q146" s="438"/>
      <c r="R146" s="438"/>
      <c r="S146" s="438"/>
      <c r="T146" s="438"/>
      <c r="U146" s="438"/>
      <c r="V146" s="438"/>
      <c r="Z146" s="439"/>
      <c r="AA146" s="439"/>
      <c r="AB146" s="439"/>
      <c r="AC146" s="439"/>
      <c r="AD146" s="439"/>
      <c r="AE146" s="439"/>
    </row>
    <row r="147" spans="1:31" hidden="1" x14ac:dyDescent="0.25">
      <c r="A147" s="438" t="str">
        <f>IF(AND(F149=G149,H149=I149,J149=K149,F149="A"),"2016 - kwh",IF(AND(F149=G149,H149=I149,J149&lt;&gt;K149,F149="A"),"2017 - kwh",IF(AND(F149=G149,H149&lt;&gt;I149,F149="A"),"2018 - kwh","N/A")))</f>
        <v>N/A</v>
      </c>
      <c r="B147" s="438" t="str">
        <f>IF(F149&lt;&gt;G149,"2018 - kwh",IF(H149&lt;&gt;I149,"2017 - kwh",IF(J149&lt;&gt;K149,"2016 - kwh","N/A")))</f>
        <v>N/A</v>
      </c>
      <c r="C147" s="443" t="s">
        <v>248</v>
      </c>
      <c r="D147" s="444"/>
      <c r="E147" s="445" t="s">
        <v>139</v>
      </c>
      <c r="F147" s="361"/>
      <c r="G147" s="361"/>
      <c r="H147" s="361"/>
      <c r="I147" s="361"/>
      <c r="J147" s="361"/>
      <c r="K147" s="361"/>
      <c r="L147" s="361"/>
      <c r="M147" s="361"/>
      <c r="N147" s="361"/>
      <c r="O147" s="361"/>
      <c r="P147" s="438"/>
      <c r="Q147" s="438"/>
      <c r="R147" s="438"/>
      <c r="S147" s="438"/>
      <c r="T147" s="438"/>
      <c r="U147" s="438"/>
      <c r="V147" s="438"/>
      <c r="Z147" s="439"/>
      <c r="AA147" s="439" t="str">
        <f>IF(AND(F149=G149,H149=I149,F149="A"),"2016 - kwh","")</f>
        <v/>
      </c>
      <c r="AB147" s="439" t="str">
        <f>IF(OR(B147="2017 - kwh",B147="2018 - kwh"),"2016 - kwh","")</f>
        <v/>
      </c>
      <c r="AC147" s="439"/>
      <c r="AD147" s="439"/>
      <c r="AE147" s="439"/>
    </row>
    <row r="148" spans="1:31" hidden="1" x14ac:dyDescent="0.25">
      <c r="A148" s="438" t="str">
        <f>IF(AND(F149=G149,H149=I149,J149=K149,F149="A"),"2016 - kw",IF(AND(F149=G149,H149=I149,J149&lt;&gt;K149,F149="A"),"2017 - kw",IF(AND(F149=G149,H149&lt;&gt;I149,F149="A"),"2018 - kw","N/A")))</f>
        <v>N/A</v>
      </c>
      <c r="B148" s="438" t="str">
        <f>IF(F149&lt;&gt;G149,"2018 - kw",IF(H149&lt;&gt;I149,"2017 - kw",IF(J149&lt;&gt;K149,"2016 - kw","N/A")))</f>
        <v>N/A</v>
      </c>
      <c r="C148" s="446"/>
      <c r="D148" s="447" t="str">
        <f>D147 &amp; "kW"</f>
        <v>kW</v>
      </c>
      <c r="E148" s="448" t="s">
        <v>170</v>
      </c>
      <c r="F148" s="361"/>
      <c r="G148" s="361"/>
      <c r="H148" s="361"/>
      <c r="I148" s="361"/>
      <c r="J148" s="361"/>
      <c r="K148" s="361"/>
      <c r="L148" s="361"/>
      <c r="M148" s="361"/>
      <c r="N148" s="361"/>
      <c r="O148" s="361"/>
      <c r="P148" s="438"/>
      <c r="Q148" s="438"/>
      <c r="R148" s="438"/>
      <c r="S148" s="438"/>
      <c r="T148" s="438"/>
      <c r="U148" s="438"/>
      <c r="V148" s="438"/>
      <c r="Z148" s="439"/>
      <c r="AA148" s="439" t="str">
        <f>IF(AND(F149=G149,H149=I149,F149="A"),"2016 - kw","")</f>
        <v/>
      </c>
      <c r="AB148" s="439" t="str">
        <f>IF(OR(B148="2017 - kw",B148="2018 - kw"),"2016 - kw","")</f>
        <v/>
      </c>
      <c r="AC148" s="439"/>
      <c r="AD148" s="439"/>
      <c r="AE148" s="439"/>
    </row>
    <row r="149" spans="1:31" hidden="1" x14ac:dyDescent="0.25">
      <c r="A149" s="438"/>
      <c r="B149" s="438"/>
      <c r="C149" s="449"/>
      <c r="D149" s="424"/>
      <c r="E149" s="450" t="s">
        <v>210</v>
      </c>
      <c r="F149" s="437"/>
      <c r="G149" s="437"/>
      <c r="H149" s="437"/>
      <c r="I149" s="437"/>
      <c r="J149" s="437"/>
      <c r="K149" s="437"/>
      <c r="L149" s="437"/>
      <c r="M149" s="437"/>
      <c r="N149" s="437"/>
      <c r="O149" s="437"/>
      <c r="P149" s="438"/>
      <c r="Q149" s="438"/>
      <c r="R149" s="438"/>
      <c r="S149" s="438"/>
      <c r="T149" s="438"/>
      <c r="U149" s="438"/>
      <c r="V149" s="438"/>
      <c r="Z149" s="439"/>
      <c r="AA149" s="439"/>
      <c r="AB149" s="439"/>
      <c r="AC149" s="439"/>
      <c r="AD149" s="439"/>
      <c r="AE149" s="439"/>
    </row>
    <row r="150" spans="1:31" hidden="1" x14ac:dyDescent="0.25">
      <c r="A150" s="438" t="str">
        <f>IF(AND(F152=G152,H152=I152,J152=K152,F152="A"),"2016 - kwh",IF(AND(F152=G152,H152=I152,J152&lt;&gt;K152,F152="A"),"2017 - kwh",IF(AND(F152=G152,H152&lt;&gt;I152,F152="A"),"2018 - kwh","N/A")))</f>
        <v>N/A</v>
      </c>
      <c r="B150" s="438" t="str">
        <f>IF(F152&lt;&gt;G152,"2018 - kwh",IF(H152&lt;&gt;I152,"2017 - kwh",IF(J152&lt;&gt;K152,"2016 - kwh","N/A")))</f>
        <v>N/A</v>
      </c>
      <c r="C150" s="443" t="s">
        <v>249</v>
      </c>
      <c r="D150" s="444"/>
      <c r="E150" s="445" t="s">
        <v>139</v>
      </c>
      <c r="F150" s="361"/>
      <c r="G150" s="361"/>
      <c r="H150" s="361"/>
      <c r="I150" s="361"/>
      <c r="J150" s="361"/>
      <c r="K150" s="361"/>
      <c r="L150" s="361"/>
      <c r="M150" s="361"/>
      <c r="N150" s="361"/>
      <c r="O150" s="361"/>
      <c r="P150" s="438"/>
      <c r="Q150" s="438"/>
      <c r="R150" s="438"/>
      <c r="S150" s="438"/>
      <c r="T150" s="438"/>
      <c r="U150" s="438"/>
      <c r="V150" s="438"/>
      <c r="Z150" s="439"/>
      <c r="AA150" s="439" t="str">
        <f>IF(AND(F152=G152,H152=I152,F152="A"),"2016 - kwh","")</f>
        <v/>
      </c>
      <c r="AB150" s="439" t="str">
        <f>IF(OR(B150="2017 - kwh",B150="2018 - kwh"),"2016 - kwh","")</f>
        <v/>
      </c>
      <c r="AC150" s="439"/>
      <c r="AD150" s="439"/>
      <c r="AE150" s="439"/>
    </row>
    <row r="151" spans="1:31" hidden="1" x14ac:dyDescent="0.25">
      <c r="A151" s="438" t="str">
        <f>IF(AND(F152=G152,H152=I152,J152=K152,F152="A"),"2016 - kw",IF(AND(F152=G152,H152=I152,J152&lt;&gt;K152,F152="A"),"2017 - kw",IF(AND(F152=G152,H152&lt;&gt;I152,F152="A"),"2018 - kw","N/A")))</f>
        <v>N/A</v>
      </c>
      <c r="B151" s="438" t="str">
        <f>IF(F152&lt;&gt;G152,"2018 - kw",IF(H152&lt;&gt;I152,"2017 - kw",IF(J152&lt;&gt;K152,"2016 - kw","N/A")))</f>
        <v>N/A</v>
      </c>
      <c r="C151" s="446"/>
      <c r="D151" s="447" t="str">
        <f>D150 &amp; "kW"</f>
        <v>kW</v>
      </c>
      <c r="E151" s="448" t="s">
        <v>170</v>
      </c>
      <c r="F151" s="361"/>
      <c r="G151" s="361"/>
      <c r="H151" s="361"/>
      <c r="I151" s="361"/>
      <c r="J151" s="361"/>
      <c r="K151" s="361"/>
      <c r="L151" s="361"/>
      <c r="M151" s="361"/>
      <c r="N151" s="361"/>
      <c r="O151" s="361"/>
      <c r="P151" s="438"/>
      <c r="Q151" s="438"/>
      <c r="R151" s="438"/>
      <c r="S151" s="438"/>
      <c r="T151" s="438"/>
      <c r="U151" s="438"/>
      <c r="V151" s="438"/>
      <c r="Z151" s="439"/>
      <c r="AA151" s="439" t="str">
        <f>IF(AND(F152=G152,H152=I152,F152="A"),"2016 - kw","")</f>
        <v/>
      </c>
      <c r="AB151" s="439" t="str">
        <f>IF(OR(B151="2017 - kw",B151="2018 - kw"),"2016 - kw","")</f>
        <v/>
      </c>
      <c r="AC151" s="439"/>
      <c r="AD151" s="439"/>
      <c r="AE151" s="439"/>
    </row>
    <row r="152" spans="1:31" hidden="1" x14ac:dyDescent="0.25">
      <c r="A152" s="438"/>
      <c r="B152" s="438"/>
      <c r="C152" s="449"/>
      <c r="D152" s="424"/>
      <c r="E152" s="450" t="s">
        <v>210</v>
      </c>
      <c r="F152" s="437"/>
      <c r="G152" s="437"/>
      <c r="H152" s="437"/>
      <c r="I152" s="437"/>
      <c r="J152" s="437"/>
      <c r="K152" s="437"/>
      <c r="L152" s="437"/>
      <c r="M152" s="437"/>
      <c r="N152" s="437"/>
      <c r="O152" s="437"/>
      <c r="P152" s="438"/>
      <c r="Q152" s="438"/>
      <c r="R152" s="438"/>
      <c r="S152" s="438"/>
      <c r="T152" s="438"/>
      <c r="U152" s="438"/>
      <c r="V152" s="438"/>
      <c r="Z152" s="439"/>
      <c r="AA152" s="439"/>
      <c r="AB152" s="439"/>
      <c r="AC152" s="439"/>
      <c r="AD152" s="439"/>
      <c r="AE152" s="439"/>
    </row>
    <row r="153" spans="1:31" hidden="1" x14ac:dyDescent="0.25">
      <c r="A153" s="438" t="str">
        <f>IF(AND(F155=G155,H155=I155,J155=K155,F155="A"),"2016 - kwh",IF(AND(F155=G155,H155=I155,J155&lt;&gt;K155,F155="A"),"2017 - kwh",IF(AND(F155=G155,H155&lt;&gt;I155,F155="A"),"2018 - kwh","N/A")))</f>
        <v>N/A</v>
      </c>
      <c r="B153" s="438" t="str">
        <f>IF(F155&lt;&gt;G155,"2018 - kwh",IF(H155&lt;&gt;I155,"2017 - kwh",IF(J155&lt;&gt;K155,"2016 - kwh","N/A")))</f>
        <v>N/A</v>
      </c>
      <c r="C153" s="443" t="s">
        <v>250</v>
      </c>
      <c r="D153" s="444"/>
      <c r="E153" s="445" t="s">
        <v>139</v>
      </c>
      <c r="F153" s="361"/>
      <c r="G153" s="361"/>
      <c r="H153" s="361"/>
      <c r="I153" s="361"/>
      <c r="J153" s="361"/>
      <c r="K153" s="361"/>
      <c r="L153" s="361"/>
      <c r="M153" s="361"/>
      <c r="N153" s="361"/>
      <c r="O153" s="361"/>
      <c r="P153" s="438"/>
      <c r="Q153" s="438"/>
      <c r="R153" s="438"/>
      <c r="S153" s="438"/>
      <c r="T153" s="438"/>
      <c r="U153" s="438"/>
      <c r="V153" s="438"/>
      <c r="Z153" s="439"/>
      <c r="AA153" s="439" t="str">
        <f>IF(AND(F155=G155,H155=I155,F155="A"),"2016 - kwh","")</f>
        <v/>
      </c>
      <c r="AB153" s="439" t="str">
        <f>IF(OR(B153="2017 - kwh",B153="2018 - kwh"),"2016 - kwh","")</f>
        <v/>
      </c>
      <c r="AC153" s="439"/>
      <c r="AD153" s="439"/>
      <c r="AE153" s="439"/>
    </row>
    <row r="154" spans="1:31" hidden="1" x14ac:dyDescent="0.25">
      <c r="A154" s="438" t="str">
        <f>IF(AND(F155=G155,H155=I155,J155=K155,F155="A"),"2016 - kw",IF(AND(F155=G155,H155=I155,J155&lt;&gt;K155,F155="A"),"2017 - kw",IF(AND(F155=G155,H155&lt;&gt;I155,F155="A"),"2018 - kw","N/A")))</f>
        <v>N/A</v>
      </c>
      <c r="B154" s="438" t="str">
        <f>IF(F155&lt;&gt;G155,"2018 - kw",IF(H155&lt;&gt;I155,"2017 - kw",IF(J155&lt;&gt;K155,"2016 - kw","N/A")))</f>
        <v>N/A</v>
      </c>
      <c r="C154" s="446"/>
      <c r="D154" s="447" t="str">
        <f>D153 &amp; "kW"</f>
        <v>kW</v>
      </c>
      <c r="E154" s="448" t="s">
        <v>170</v>
      </c>
      <c r="F154" s="361"/>
      <c r="G154" s="361"/>
      <c r="H154" s="361"/>
      <c r="I154" s="361"/>
      <c r="J154" s="361"/>
      <c r="K154" s="361"/>
      <c r="L154" s="361"/>
      <c r="M154" s="361"/>
      <c r="N154" s="361"/>
      <c r="O154" s="361"/>
      <c r="P154" s="438"/>
      <c r="Q154" s="438"/>
      <c r="R154" s="438"/>
      <c r="S154" s="438"/>
      <c r="T154" s="438"/>
      <c r="U154" s="438"/>
      <c r="V154" s="438"/>
      <c r="Z154" s="439"/>
      <c r="AA154" s="439" t="str">
        <f>IF(AND(F155=G155,H155=I155,F155="A"),"2016 - kw","")</f>
        <v/>
      </c>
      <c r="AB154" s="439" t="str">
        <f>IF(OR(B154="2017 - kw",B154="2018 - kw"),"2016 - kw","")</f>
        <v/>
      </c>
      <c r="AC154" s="439"/>
      <c r="AD154" s="439"/>
      <c r="AE154" s="439"/>
    </row>
    <row r="155" spans="1:31" hidden="1" x14ac:dyDescent="0.25">
      <c r="A155" s="438"/>
      <c r="B155" s="438"/>
      <c r="C155" s="449"/>
      <c r="D155" s="424"/>
      <c r="E155" s="450" t="s">
        <v>210</v>
      </c>
      <c r="F155" s="437"/>
      <c r="G155" s="437"/>
      <c r="H155" s="437"/>
      <c r="I155" s="437"/>
      <c r="J155" s="437"/>
      <c r="K155" s="437"/>
      <c r="L155" s="437"/>
      <c r="M155" s="437"/>
      <c r="N155" s="437"/>
      <c r="O155" s="437"/>
      <c r="P155" s="438"/>
      <c r="Q155" s="438"/>
      <c r="R155" s="438"/>
      <c r="S155" s="438"/>
      <c r="T155" s="438"/>
      <c r="U155" s="438"/>
      <c r="V155" s="438"/>
      <c r="Z155" s="439"/>
      <c r="AA155" s="439"/>
      <c r="AB155" s="439"/>
      <c r="AC155" s="439"/>
      <c r="AD155" s="439"/>
      <c r="AE155" s="439"/>
    </row>
    <row r="156" spans="1:31" hidden="1" x14ac:dyDescent="0.25">
      <c r="A156" s="438" t="str">
        <f>IF(AND(F158=G158,H158=I158,J158=K158,F158="A"),"2016 - kwh",IF(AND(F158=G158,H158=I158,J158&lt;&gt;K158,F158="A"),"2017 - kwh",IF(AND(F158=G158,H158&lt;&gt;I158,F158="A"),"2018 - kwh","N/A")))</f>
        <v>N/A</v>
      </c>
      <c r="B156" s="438" t="str">
        <f>IF(F158&lt;&gt;G158,"2018 - kwh",IF(H158&lt;&gt;I158,"2017 - kwh",IF(J158&lt;&gt;K158,"2016 - kwh","N/A")))</f>
        <v>N/A</v>
      </c>
      <c r="C156" s="443" t="s">
        <v>251</v>
      </c>
      <c r="D156" s="444"/>
      <c r="E156" s="445" t="s">
        <v>139</v>
      </c>
      <c r="F156" s="361"/>
      <c r="G156" s="361"/>
      <c r="H156" s="361"/>
      <c r="I156" s="361"/>
      <c r="J156" s="361"/>
      <c r="K156" s="361"/>
      <c r="L156" s="361"/>
      <c r="M156" s="361"/>
      <c r="N156" s="361"/>
      <c r="O156" s="361"/>
      <c r="P156" s="438"/>
      <c r="Q156" s="438"/>
      <c r="R156" s="438"/>
      <c r="S156" s="438"/>
      <c r="T156" s="438"/>
      <c r="U156" s="438"/>
      <c r="V156" s="438"/>
      <c r="Z156" s="439"/>
      <c r="AA156" s="439" t="str">
        <f>IF(AND(F158=G158,H158=I158,F158="A"),"2016 - kwh","")</f>
        <v/>
      </c>
      <c r="AB156" s="439" t="str">
        <f>IF(OR(B156="2017 - kwh",B156="2018 - kwh"),"2016 - kwh","")</f>
        <v/>
      </c>
      <c r="AC156" s="439"/>
      <c r="AD156" s="439"/>
      <c r="AE156" s="439"/>
    </row>
    <row r="157" spans="1:31" hidden="1" x14ac:dyDescent="0.25">
      <c r="A157" s="438" t="str">
        <f>IF(AND(F158=G158,H158=I158,J158=K158,F158="A"),"2016 - kw",IF(AND(F158=G158,H158=I158,J158&lt;&gt;K158,F158="A"),"2017 - kw",IF(AND(F158=G158,H158&lt;&gt;I158,F158="A"),"2018 - kw","N/A")))</f>
        <v>N/A</v>
      </c>
      <c r="B157" s="438" t="str">
        <f>IF(F158&lt;&gt;G158,"2018 - kw",IF(H158&lt;&gt;I158,"2017 - kw",IF(J158&lt;&gt;K158,"2016 - kw","N/A")))</f>
        <v>N/A</v>
      </c>
      <c r="C157" s="446"/>
      <c r="D157" s="447" t="str">
        <f>D156 &amp; "kW"</f>
        <v>kW</v>
      </c>
      <c r="E157" s="448" t="s">
        <v>170</v>
      </c>
      <c r="F157" s="361"/>
      <c r="G157" s="361"/>
      <c r="H157" s="361"/>
      <c r="I157" s="361"/>
      <c r="J157" s="361"/>
      <c r="K157" s="361"/>
      <c r="L157" s="361"/>
      <c r="M157" s="361"/>
      <c r="N157" s="361"/>
      <c r="O157" s="361"/>
      <c r="P157" s="438"/>
      <c r="Q157" s="438"/>
      <c r="R157" s="438"/>
      <c r="S157" s="438"/>
      <c r="T157" s="438"/>
      <c r="U157" s="438"/>
      <c r="V157" s="438"/>
      <c r="Z157" s="439"/>
      <c r="AA157" s="439" t="str">
        <f>IF(AND(F158=G158,H158=I158,F158="A"),"2016 - kw","")</f>
        <v/>
      </c>
      <c r="AB157" s="439" t="str">
        <f>IF(OR(B157="2017 - kw",B157="2018 - kw"),"2016 - kw","")</f>
        <v/>
      </c>
      <c r="AC157" s="439"/>
      <c r="AD157" s="439"/>
      <c r="AE157" s="439"/>
    </row>
    <row r="158" spans="1:31" hidden="1" x14ac:dyDescent="0.25">
      <c r="A158" s="438"/>
      <c r="B158" s="438"/>
      <c r="C158" s="449"/>
      <c r="D158" s="424"/>
      <c r="E158" s="450" t="s">
        <v>210</v>
      </c>
      <c r="F158" s="437"/>
      <c r="G158" s="437"/>
      <c r="H158" s="437"/>
      <c r="I158" s="437"/>
      <c r="J158" s="437"/>
      <c r="K158" s="437"/>
      <c r="L158" s="437"/>
      <c r="M158" s="437"/>
      <c r="N158" s="437"/>
      <c r="O158" s="437"/>
      <c r="P158" s="438"/>
      <c r="Q158" s="438"/>
      <c r="R158" s="438"/>
      <c r="S158" s="438"/>
      <c r="T158" s="438"/>
      <c r="U158" s="438"/>
      <c r="V158" s="438"/>
      <c r="Z158" s="439"/>
      <c r="AA158" s="439"/>
      <c r="AB158" s="439"/>
      <c r="AC158" s="439"/>
      <c r="AD158" s="439"/>
      <c r="AE158" s="439"/>
    </row>
    <row r="159" spans="1:31" hidden="1" x14ac:dyDescent="0.25">
      <c r="A159" s="438" t="str">
        <f>IF(AND(F161=G161,H161=I161,J161=K161,F161="A"),"2016 - kwh",IF(AND(F161=G161,H161=I161,J161&lt;&gt;K161,F161="A"),"2017 - kwh",IF(AND(F161=G161,H161&lt;&gt;I161,F161="A"),"2018 - kwh","N/A")))</f>
        <v>N/A</v>
      </c>
      <c r="B159" s="438" t="str">
        <f>IF(F161&lt;&gt;G161,"2018 - kwh",IF(H161&lt;&gt;I161,"2017 - kwh",IF(J161&lt;&gt;K161,"2016 - kwh","N/A")))</f>
        <v>N/A</v>
      </c>
      <c r="C159" s="443" t="s">
        <v>252</v>
      </c>
      <c r="D159" s="444"/>
      <c r="E159" s="445" t="s">
        <v>139</v>
      </c>
      <c r="F159" s="361"/>
      <c r="G159" s="361"/>
      <c r="H159" s="361"/>
      <c r="I159" s="361"/>
      <c r="J159" s="361"/>
      <c r="K159" s="361"/>
      <c r="L159" s="361"/>
      <c r="M159" s="361"/>
      <c r="N159" s="361"/>
      <c r="O159" s="361"/>
      <c r="P159" s="438"/>
      <c r="Q159" s="438"/>
      <c r="R159" s="438"/>
      <c r="S159" s="438"/>
      <c r="T159" s="438"/>
      <c r="U159" s="438"/>
      <c r="V159" s="438"/>
      <c r="Z159" s="439"/>
      <c r="AA159" s="439" t="str">
        <f>IF(AND(F161=G161,H161=I161,F161="A"),"2016 - kwh","")</f>
        <v/>
      </c>
      <c r="AB159" s="439" t="str">
        <f>IF(OR(B159="2017 - kwh",B159="2018 - kwh"),"2016 - kwh","")</f>
        <v/>
      </c>
      <c r="AC159" s="439"/>
      <c r="AD159" s="439"/>
      <c r="AE159" s="439"/>
    </row>
    <row r="160" spans="1:31" hidden="1" x14ac:dyDescent="0.25">
      <c r="A160" s="438" t="str">
        <f>IF(AND(F161=G161,H161=I161,J161=K161,F161="A"),"2016 - kw",IF(AND(F161=G161,H161=I161,J161&lt;&gt;K161,F161="A"),"2017 - kw",IF(AND(F161=G161,H161&lt;&gt;I161,F161="A"),"2018 - kw","N/A")))</f>
        <v>N/A</v>
      </c>
      <c r="B160" s="438" t="str">
        <f>IF(F161&lt;&gt;G161,"2018 - kw",IF(H161&lt;&gt;I161,"2017 - kw",IF(J161&lt;&gt;K161,"2016 - kw","N/A")))</f>
        <v>N/A</v>
      </c>
      <c r="C160" s="446"/>
      <c r="D160" s="447" t="str">
        <f>D159 &amp; "kW"</f>
        <v>kW</v>
      </c>
      <c r="E160" s="448" t="s">
        <v>170</v>
      </c>
      <c r="F160" s="361"/>
      <c r="G160" s="361"/>
      <c r="H160" s="361"/>
      <c r="I160" s="361"/>
      <c r="J160" s="361"/>
      <c r="K160" s="361"/>
      <c r="L160" s="361"/>
      <c r="M160" s="361"/>
      <c r="N160" s="361"/>
      <c r="O160" s="361"/>
      <c r="P160" s="438"/>
      <c r="Q160" s="438"/>
      <c r="R160" s="438"/>
      <c r="S160" s="438"/>
      <c r="T160" s="438"/>
      <c r="U160" s="438"/>
      <c r="V160" s="438"/>
      <c r="Z160" s="439"/>
      <c r="AA160" s="439" t="str">
        <f>IF(AND(F161=G161,H161=I161,F161="A"),"2016 - kw","")</f>
        <v/>
      </c>
      <c r="AB160" s="439" t="str">
        <f>IF(OR(B160="2017 - kw",B160="2018 - kw"),"2016 - kw","")</f>
        <v/>
      </c>
      <c r="AC160" s="439"/>
      <c r="AD160" s="439"/>
      <c r="AE160" s="439"/>
    </row>
    <row r="161" spans="1:31" hidden="1" x14ac:dyDescent="0.25">
      <c r="A161" s="438"/>
      <c r="B161" s="438"/>
      <c r="C161" s="449"/>
      <c r="D161" s="424"/>
      <c r="E161" s="450" t="s">
        <v>210</v>
      </c>
      <c r="F161" s="437"/>
      <c r="G161" s="437"/>
      <c r="H161" s="437"/>
      <c r="I161" s="437"/>
      <c r="J161" s="437"/>
      <c r="K161" s="437"/>
      <c r="L161" s="437"/>
      <c r="M161" s="437"/>
      <c r="N161" s="437"/>
      <c r="O161" s="437"/>
      <c r="P161" s="438"/>
      <c r="Q161" s="438"/>
      <c r="R161" s="438"/>
      <c r="S161" s="438"/>
      <c r="T161" s="438"/>
      <c r="U161" s="438"/>
      <c r="V161" s="438"/>
      <c r="Z161" s="439"/>
      <c r="AA161" s="439"/>
      <c r="AB161" s="439"/>
      <c r="AC161" s="439"/>
      <c r="AD161" s="439"/>
      <c r="AE161" s="439"/>
    </row>
    <row r="162" spans="1:31" hidden="1" x14ac:dyDescent="0.25">
      <c r="A162" s="438" t="str">
        <f>IF(AND(F164=G164,H164=I164,J164=K164,F164="A"),"2016 - kwh",IF(AND(F164=G164,H164=I164,J164&lt;&gt;K164,F164="A"),"2017 - kwh",IF(AND(F164=G164,H164&lt;&gt;I164,F164="A"),"2018 - kwh","N/A")))</f>
        <v>N/A</v>
      </c>
      <c r="B162" s="438" t="str">
        <f>IF(F164&lt;&gt;G164,"2018 - kwh",IF(H164&lt;&gt;I164,"2017 - kwh",IF(J164&lt;&gt;K164,"2016 - kwh","N/A")))</f>
        <v>N/A</v>
      </c>
      <c r="C162" s="443" t="s">
        <v>253</v>
      </c>
      <c r="D162" s="444"/>
      <c r="E162" s="445" t="s">
        <v>139</v>
      </c>
      <c r="F162" s="361"/>
      <c r="G162" s="361"/>
      <c r="H162" s="361"/>
      <c r="I162" s="361"/>
      <c r="J162" s="361"/>
      <c r="K162" s="361"/>
      <c r="L162" s="361"/>
      <c r="M162" s="361"/>
      <c r="N162" s="361"/>
      <c r="O162" s="361"/>
      <c r="P162" s="438"/>
      <c r="Q162" s="438"/>
      <c r="R162" s="438"/>
      <c r="S162" s="438"/>
      <c r="T162" s="438"/>
      <c r="U162" s="438"/>
      <c r="V162" s="438"/>
      <c r="Z162" s="439"/>
      <c r="AA162" s="439" t="str">
        <f>IF(AND(F164=G164,H164=I164,F164="A"),"2016 - kwh","")</f>
        <v/>
      </c>
      <c r="AB162" s="439" t="str">
        <f>IF(OR(B162="2017 - kwh",B162="2018 - kwh"),"2016 - kwh","")</f>
        <v/>
      </c>
      <c r="AC162" s="439"/>
      <c r="AD162" s="439"/>
      <c r="AE162" s="439"/>
    </row>
    <row r="163" spans="1:31" hidden="1" x14ac:dyDescent="0.25">
      <c r="A163" s="438" t="str">
        <f>IF(AND(F164=G164,H164=I164,J164=K164,F164="A"),"2016 - kw",IF(AND(F164=G164,H164=I164,J164&lt;&gt;K164,F164="A"),"2017 - kw",IF(AND(F164=G164,H164&lt;&gt;I164,F164="A"),"2018 - kw","N/A")))</f>
        <v>N/A</v>
      </c>
      <c r="B163" s="438" t="str">
        <f>IF(F164&lt;&gt;G164,"2018 - kw",IF(H164&lt;&gt;I164,"2017 - kw",IF(J164&lt;&gt;K164,"2016 - kw","N/A")))</f>
        <v>N/A</v>
      </c>
      <c r="C163" s="446"/>
      <c r="D163" s="447" t="str">
        <f>D162 &amp; "kW"</f>
        <v>kW</v>
      </c>
      <c r="E163" s="448" t="s">
        <v>170</v>
      </c>
      <c r="F163" s="361"/>
      <c r="G163" s="361"/>
      <c r="H163" s="361"/>
      <c r="I163" s="361"/>
      <c r="J163" s="361"/>
      <c r="K163" s="361"/>
      <c r="L163" s="361"/>
      <c r="M163" s="361"/>
      <c r="N163" s="361"/>
      <c r="O163" s="361"/>
      <c r="P163" s="438"/>
      <c r="Q163" s="438"/>
      <c r="R163" s="438"/>
      <c r="S163" s="438"/>
      <c r="T163" s="438"/>
      <c r="U163" s="438"/>
      <c r="V163" s="438"/>
      <c r="Z163" s="439"/>
      <c r="AA163" s="439" t="str">
        <f>IF(AND(F164=G164,H164=I164,F164="A"),"2016 - kw","")</f>
        <v/>
      </c>
      <c r="AB163" s="439" t="str">
        <f>IF(OR(B163="2017 - kw",B163="2018 - kw"),"2016 - kw","")</f>
        <v/>
      </c>
      <c r="AC163" s="439"/>
      <c r="AD163" s="439"/>
      <c r="AE163" s="439"/>
    </row>
    <row r="164" spans="1:31" hidden="1" x14ac:dyDescent="0.25">
      <c r="A164" s="438"/>
      <c r="B164" s="438"/>
      <c r="C164" s="449"/>
      <c r="D164" s="424"/>
      <c r="E164" s="450" t="s">
        <v>210</v>
      </c>
      <c r="F164" s="437"/>
      <c r="G164" s="437"/>
      <c r="H164" s="437"/>
      <c r="I164" s="437"/>
      <c r="J164" s="437"/>
      <c r="K164" s="437"/>
      <c r="L164" s="437"/>
      <c r="M164" s="437"/>
      <c r="N164" s="437"/>
      <c r="O164" s="437"/>
      <c r="P164" s="438"/>
      <c r="Q164" s="438"/>
      <c r="R164" s="438"/>
      <c r="S164" s="438"/>
      <c r="T164" s="438"/>
      <c r="U164" s="438"/>
      <c r="V164" s="438"/>
      <c r="Z164" s="439"/>
      <c r="AA164" s="439"/>
      <c r="AB164" s="439"/>
      <c r="AC164" s="439"/>
      <c r="AD164" s="439"/>
      <c r="AE164" s="439"/>
    </row>
    <row r="165" spans="1:31" hidden="1" x14ac:dyDescent="0.25">
      <c r="A165" s="438" t="str">
        <f>IF(AND(F167=G167,H167=I167,J167=K167,F167="A"),"2016 - kwh",IF(AND(F167=G167,H167=I167,J167&lt;&gt;K167,F167="A"),"2017 - kwh",IF(AND(F167=G167,H167&lt;&gt;I167,F167="A"),"2018 - kwh","N/A")))</f>
        <v>N/A</v>
      </c>
      <c r="B165" s="438" t="str">
        <f>IF(F167&lt;&gt;G167,"2018 - kwh",IF(H167&lt;&gt;I167,"2017 - kwh",IF(J167&lt;&gt;K167,"2016 - kwh","N/A")))</f>
        <v>N/A</v>
      </c>
      <c r="C165" s="443" t="s">
        <v>254</v>
      </c>
      <c r="D165" s="444"/>
      <c r="E165" s="445" t="s">
        <v>139</v>
      </c>
      <c r="F165" s="361"/>
      <c r="G165" s="361"/>
      <c r="H165" s="361"/>
      <c r="I165" s="361"/>
      <c r="J165" s="361"/>
      <c r="K165" s="361"/>
      <c r="L165" s="361"/>
      <c r="M165" s="361"/>
      <c r="N165" s="361"/>
      <c r="O165" s="361"/>
      <c r="P165" s="438"/>
      <c r="Q165" s="438"/>
      <c r="R165" s="438"/>
      <c r="S165" s="438"/>
      <c r="T165" s="438"/>
      <c r="U165" s="438"/>
      <c r="V165" s="438"/>
      <c r="Z165" s="439"/>
      <c r="AA165" s="439" t="str">
        <f>IF(AND(F167=G167,H167=I167,F167="A"),"2016 - kwh","")</f>
        <v/>
      </c>
      <c r="AB165" s="439" t="str">
        <f>IF(OR(B165="2017 - kwh",B165="2018 - kwh"),"2016 - kwh","")</f>
        <v/>
      </c>
      <c r="AC165" s="439"/>
      <c r="AD165" s="439"/>
      <c r="AE165" s="439"/>
    </row>
    <row r="166" spans="1:31" hidden="1" x14ac:dyDescent="0.25">
      <c r="A166" s="438" t="str">
        <f>IF(AND(F167=G167,H167=I167,J167=K167,F167="A"),"2016 - kw",IF(AND(F167=G167,H167=I167,J167&lt;&gt;K167,F167="A"),"2017 - kw",IF(AND(F167=G167,H167&lt;&gt;I167,F167="A"),"2018 - kw","N/A")))</f>
        <v>N/A</v>
      </c>
      <c r="B166" s="438" t="str">
        <f>IF(F167&lt;&gt;G167,"2018 - kw",IF(H167&lt;&gt;I167,"2017 - kw",IF(J167&lt;&gt;K167,"2016 - kw","N/A")))</f>
        <v>N/A</v>
      </c>
      <c r="C166" s="446"/>
      <c r="D166" s="447" t="str">
        <f>D165 &amp; "kW"</f>
        <v>kW</v>
      </c>
      <c r="E166" s="448" t="s">
        <v>170</v>
      </c>
      <c r="F166" s="361"/>
      <c r="G166" s="361"/>
      <c r="H166" s="361"/>
      <c r="I166" s="361"/>
      <c r="J166" s="361"/>
      <c r="K166" s="361"/>
      <c r="L166" s="361"/>
      <c r="M166" s="361"/>
      <c r="N166" s="361"/>
      <c r="O166" s="361"/>
      <c r="P166" s="438"/>
      <c r="Q166" s="438"/>
      <c r="R166" s="438"/>
      <c r="S166" s="438"/>
      <c r="T166" s="438"/>
      <c r="U166" s="438"/>
      <c r="V166" s="438"/>
      <c r="Z166" s="439"/>
      <c r="AA166" s="439" t="str">
        <f>IF(AND(F167=G167,H167=I167,F167="A"),"2016 - kw","")</f>
        <v/>
      </c>
      <c r="AB166" s="439" t="str">
        <f>IF(OR(B166="2017 - kw",B166="2018 - kw"),"2016 - kw","")</f>
        <v/>
      </c>
      <c r="AC166" s="439"/>
      <c r="AD166" s="439"/>
      <c r="AE166" s="439"/>
    </row>
    <row r="167" spans="1:31" hidden="1" x14ac:dyDescent="0.25">
      <c r="A167" s="438"/>
      <c r="B167" s="438"/>
      <c r="C167" s="449"/>
      <c r="D167" s="424"/>
      <c r="E167" s="450" t="s">
        <v>210</v>
      </c>
      <c r="F167" s="437"/>
      <c r="G167" s="437"/>
      <c r="H167" s="437"/>
      <c r="I167" s="437"/>
      <c r="J167" s="437"/>
      <c r="K167" s="437"/>
      <c r="L167" s="437"/>
      <c r="M167" s="437"/>
      <c r="N167" s="437"/>
      <c r="O167" s="437"/>
      <c r="P167" s="438"/>
      <c r="Q167" s="438"/>
      <c r="R167" s="438"/>
      <c r="S167" s="438"/>
      <c r="T167" s="438"/>
      <c r="U167" s="438"/>
      <c r="V167" s="438"/>
      <c r="Z167" s="439"/>
      <c r="AA167" s="439"/>
      <c r="AB167" s="439"/>
      <c r="AC167" s="439"/>
      <c r="AD167" s="439"/>
      <c r="AE167" s="439"/>
    </row>
    <row r="168" spans="1:31" hidden="1" x14ac:dyDescent="0.25">
      <c r="A168" s="438" t="str">
        <f>IF(AND(F170=G170,H170=I170,J170=K170,F170="A"),"2016 - kwh",IF(AND(F170=G170,H170=I170,J170&lt;&gt;K170,F170="A"),"2017 - kwh",IF(AND(F170=G170,H170&lt;&gt;I170,F170="A"),"2018 - kwh","N/A")))</f>
        <v>N/A</v>
      </c>
      <c r="B168" s="438" t="str">
        <f>IF(F170&lt;&gt;G170,"2018 - kwh",IF(H170&lt;&gt;I170,"2017 - kwh",IF(J170&lt;&gt;K170,"2016 - kwh","N/A")))</f>
        <v>N/A</v>
      </c>
      <c r="C168" s="443" t="s">
        <v>255</v>
      </c>
      <c r="D168" s="444"/>
      <c r="E168" s="445" t="s">
        <v>139</v>
      </c>
      <c r="F168" s="361"/>
      <c r="G168" s="361"/>
      <c r="H168" s="361"/>
      <c r="I168" s="361"/>
      <c r="J168" s="361"/>
      <c r="K168" s="361"/>
      <c r="L168" s="361"/>
      <c r="M168" s="361"/>
      <c r="N168" s="361"/>
      <c r="O168" s="361"/>
      <c r="P168" s="438"/>
      <c r="Q168" s="438"/>
      <c r="R168" s="438"/>
      <c r="S168" s="438"/>
      <c r="T168" s="438"/>
      <c r="U168" s="438"/>
      <c r="V168" s="438"/>
      <c r="Z168" s="439"/>
      <c r="AA168" s="439" t="str">
        <f>IF(AND(F170=G170,H170=I170,F170="A"),"2016 - kwh","")</f>
        <v/>
      </c>
      <c r="AB168" s="439" t="str">
        <f>IF(OR(B168="2017 - kwh",B168="2018 - kwh"),"2016 - kwh","")</f>
        <v/>
      </c>
      <c r="AC168" s="439"/>
      <c r="AD168" s="439"/>
      <c r="AE168" s="439"/>
    </row>
    <row r="169" spans="1:31" hidden="1" x14ac:dyDescent="0.25">
      <c r="A169" s="438" t="str">
        <f>IF(AND(F170=G170,H170=I170,J170=K170,F170="A"),"2016 - kw",IF(AND(F170=G170,H170=I170,J170&lt;&gt;K170,F170="A"),"2017 - kw",IF(AND(F170=G170,H170&lt;&gt;I170,F170="A"),"2018 - kw","N/A")))</f>
        <v>N/A</v>
      </c>
      <c r="B169" s="438" t="str">
        <f>IF(F170&lt;&gt;G170,"2018 - kw",IF(H170&lt;&gt;I170,"2017 - kw",IF(J170&lt;&gt;K170,"2016 - kw","N/A")))</f>
        <v>N/A</v>
      </c>
      <c r="C169" s="446"/>
      <c r="D169" s="447" t="str">
        <f>D168 &amp; "kW"</f>
        <v>kW</v>
      </c>
      <c r="E169" s="448" t="s">
        <v>170</v>
      </c>
      <c r="F169" s="361"/>
      <c r="G169" s="361"/>
      <c r="H169" s="361"/>
      <c r="I169" s="361"/>
      <c r="J169" s="361"/>
      <c r="K169" s="361"/>
      <c r="L169" s="361"/>
      <c r="M169" s="361"/>
      <c r="N169" s="361"/>
      <c r="O169" s="361"/>
      <c r="P169" s="438"/>
      <c r="Q169" s="438"/>
      <c r="R169" s="438"/>
      <c r="S169" s="438"/>
      <c r="T169" s="438"/>
      <c r="U169" s="438"/>
      <c r="V169" s="438"/>
      <c r="Z169" s="439"/>
      <c r="AA169" s="439" t="str">
        <f>IF(AND(F170=G170,H170=I170,F170="A"),"2016 - kw","")</f>
        <v/>
      </c>
      <c r="AB169" s="439" t="str">
        <f>IF(OR(B169="2017 - kw",B169="2018 - kw"),"2016 - kw","")</f>
        <v/>
      </c>
      <c r="AC169" s="439"/>
      <c r="AD169" s="439"/>
      <c r="AE169" s="439"/>
    </row>
    <row r="170" spans="1:31" hidden="1" x14ac:dyDescent="0.25">
      <c r="A170" s="438"/>
      <c r="B170" s="438"/>
      <c r="C170" s="449"/>
      <c r="D170" s="424"/>
      <c r="E170" s="450" t="s">
        <v>210</v>
      </c>
      <c r="F170" s="437"/>
      <c r="G170" s="437"/>
      <c r="H170" s="437"/>
      <c r="I170" s="437"/>
      <c r="J170" s="437"/>
      <c r="K170" s="437"/>
      <c r="L170" s="437"/>
      <c r="M170" s="437"/>
      <c r="N170" s="437"/>
      <c r="O170" s="437"/>
      <c r="P170" s="438"/>
      <c r="Q170" s="438"/>
      <c r="R170" s="438"/>
      <c r="S170" s="438"/>
      <c r="T170" s="438"/>
      <c r="U170" s="438"/>
      <c r="V170" s="438"/>
      <c r="Z170" s="439"/>
      <c r="AA170" s="439"/>
      <c r="AB170" s="439"/>
      <c r="AC170" s="439"/>
      <c r="AD170" s="439"/>
      <c r="AE170" s="439"/>
    </row>
    <row r="171" spans="1:31" hidden="1" x14ac:dyDescent="0.25">
      <c r="A171" s="438" t="str">
        <f>IF(AND(F173=G173,H173=I173,J173=K173,F173="A"),"2016 - kwh",IF(AND(F173=G173,H173=I173,J173&lt;&gt;K173,F173="A"),"2017 - kwh",IF(AND(F173=G173,H173&lt;&gt;I173,F173="A"),"2018 - kwh","N/A")))</f>
        <v>N/A</v>
      </c>
      <c r="B171" s="438" t="str">
        <f>IF(F173&lt;&gt;G173,"2018 - kwh",IF(H173&lt;&gt;I173,"2017 - kwh",IF(J173&lt;&gt;K173,"2016 - kwh","N/A")))</f>
        <v>N/A</v>
      </c>
      <c r="C171" s="443" t="s">
        <v>256</v>
      </c>
      <c r="D171" s="444"/>
      <c r="E171" s="445" t="s">
        <v>139</v>
      </c>
      <c r="F171" s="361"/>
      <c r="G171" s="361"/>
      <c r="H171" s="361"/>
      <c r="I171" s="361"/>
      <c r="J171" s="361"/>
      <c r="K171" s="361"/>
      <c r="L171" s="361"/>
      <c r="M171" s="361"/>
      <c r="N171" s="361"/>
      <c r="O171" s="361"/>
      <c r="P171" s="438"/>
      <c r="Q171" s="438"/>
      <c r="R171" s="438"/>
      <c r="S171" s="438"/>
      <c r="T171" s="438"/>
      <c r="U171" s="438"/>
      <c r="V171" s="438"/>
      <c r="Z171" s="439"/>
      <c r="AA171" s="439" t="str">
        <f>IF(AND(F173=G173,H173=I173,F173="A"),"2016 - kwh","")</f>
        <v/>
      </c>
      <c r="AB171" s="439" t="str">
        <f>IF(OR(B171="2017 - kwh",B171="2018 - kwh"),"2016 - kwh","")</f>
        <v/>
      </c>
      <c r="AC171" s="439"/>
      <c r="AD171" s="439"/>
      <c r="AE171" s="439"/>
    </row>
    <row r="172" spans="1:31" hidden="1" x14ac:dyDescent="0.25">
      <c r="A172" s="438" t="str">
        <f>IF(AND(F173=G173,H173=I173,J173=K173,F173="A"),"2016 - kw",IF(AND(F173=G173,H173=I173,J173&lt;&gt;K173,F173="A"),"2017 - kw",IF(AND(F173=G173,H173&lt;&gt;I173,F173="A"),"2018 - kw","N/A")))</f>
        <v>N/A</v>
      </c>
      <c r="B172" s="438" t="str">
        <f>IF(F173&lt;&gt;G173,"2018 - kw",IF(H173&lt;&gt;I173,"2017 - kw",IF(J173&lt;&gt;K173,"2016 - kw","N/A")))</f>
        <v>N/A</v>
      </c>
      <c r="C172" s="446"/>
      <c r="D172" s="447" t="str">
        <f>D171 &amp; "kW"</f>
        <v>kW</v>
      </c>
      <c r="E172" s="448" t="s">
        <v>170</v>
      </c>
      <c r="F172" s="361"/>
      <c r="G172" s="361"/>
      <c r="H172" s="361"/>
      <c r="I172" s="361"/>
      <c r="J172" s="361"/>
      <c r="K172" s="361"/>
      <c r="L172" s="361"/>
      <c r="M172" s="361"/>
      <c r="N172" s="361"/>
      <c r="O172" s="361"/>
      <c r="P172" s="438"/>
      <c r="Q172" s="438"/>
      <c r="R172" s="438"/>
      <c r="S172" s="438"/>
      <c r="T172" s="438"/>
      <c r="U172" s="438"/>
      <c r="V172" s="438"/>
      <c r="Z172" s="439"/>
      <c r="AA172" s="439" t="str">
        <f>IF(AND(F173=G173,H173=I173,F173="A"),"2016 - kw","")</f>
        <v/>
      </c>
      <c r="AB172" s="439" t="str">
        <f>IF(OR(B172="2017 - kw",B172="2018 - kw"),"2016 - kw","")</f>
        <v/>
      </c>
      <c r="AC172" s="439"/>
      <c r="AD172" s="439"/>
      <c r="AE172" s="439"/>
    </row>
    <row r="173" spans="1:31" hidden="1" x14ac:dyDescent="0.25">
      <c r="A173" s="438"/>
      <c r="B173" s="438"/>
      <c r="C173" s="449"/>
      <c r="D173" s="424"/>
      <c r="E173" s="450" t="s">
        <v>210</v>
      </c>
      <c r="F173" s="437"/>
      <c r="G173" s="437"/>
      <c r="H173" s="437"/>
      <c r="I173" s="437"/>
      <c r="J173" s="437"/>
      <c r="K173" s="437"/>
      <c r="L173" s="437"/>
      <c r="M173" s="437"/>
      <c r="N173" s="437"/>
      <c r="O173" s="437"/>
      <c r="P173" s="438"/>
      <c r="Q173" s="438"/>
      <c r="R173" s="438"/>
      <c r="S173" s="438"/>
      <c r="T173" s="438"/>
      <c r="U173" s="438"/>
      <c r="V173" s="438"/>
      <c r="Z173" s="439"/>
      <c r="AA173" s="439"/>
      <c r="AB173" s="439"/>
      <c r="AC173" s="439"/>
      <c r="AD173" s="439"/>
      <c r="AE173" s="439"/>
    </row>
    <row r="174" spans="1:31" hidden="1" x14ac:dyDescent="0.25">
      <c r="A174" s="438" t="str">
        <f>IF(AND(F176=G176,H176=I176,J176=K176,F176="A"),"2016 - kwh",IF(AND(F176=G176,H176=I176,J176&lt;&gt;K176,F176="A"),"2017 - kwh",IF(AND(F176=G176,H176&lt;&gt;I176,F176="A"),"2018 - kwh","N/A")))</f>
        <v>N/A</v>
      </c>
      <c r="B174" s="438" t="str">
        <f>IF(F176&lt;&gt;G176,"2018 - kwh",IF(H176&lt;&gt;I176,"2017 - kwh",IF(J176&lt;&gt;K176,"2016 - kwh","N/A")))</f>
        <v>N/A</v>
      </c>
      <c r="C174" s="443" t="s">
        <v>257</v>
      </c>
      <c r="D174" s="444"/>
      <c r="E174" s="445" t="s">
        <v>139</v>
      </c>
      <c r="F174" s="361"/>
      <c r="G174" s="361"/>
      <c r="H174" s="361"/>
      <c r="I174" s="361"/>
      <c r="J174" s="361"/>
      <c r="K174" s="361"/>
      <c r="L174" s="361"/>
      <c r="M174" s="361"/>
      <c r="N174" s="361"/>
      <c r="O174" s="361"/>
      <c r="P174" s="438"/>
      <c r="Q174" s="438"/>
      <c r="R174" s="438"/>
      <c r="S174" s="438"/>
      <c r="T174" s="438"/>
      <c r="U174" s="438"/>
      <c r="V174" s="438"/>
      <c r="Z174" s="439"/>
      <c r="AA174" s="439" t="str">
        <f>IF(AND(F176=G176,H176=I176,F176="A"),"2016 - kwh","")</f>
        <v/>
      </c>
      <c r="AB174" s="439" t="str">
        <f>IF(OR(B174="2017 - kwh",B174="2018 - kwh"),"2016 - kwh","")</f>
        <v/>
      </c>
      <c r="AC174" s="439"/>
      <c r="AD174" s="439"/>
      <c r="AE174" s="439"/>
    </row>
    <row r="175" spans="1:31" hidden="1" x14ac:dyDescent="0.25">
      <c r="A175" s="438" t="str">
        <f>IF(AND(F176=G176,H176=I176,J176=K176,F176="A"),"2016 - kw",IF(AND(F176=G176,H176=I176,J176&lt;&gt;K176,F176="A"),"2017 - kw",IF(AND(F176=G176,H176&lt;&gt;I176,F176="A"),"2018 - kw","N/A")))</f>
        <v>N/A</v>
      </c>
      <c r="B175" s="438" t="str">
        <f>IF(F176&lt;&gt;G176,"2018 - kw",IF(H176&lt;&gt;I176,"2017 - kw",IF(J176&lt;&gt;K176,"2016 - kw","N/A")))</f>
        <v>N/A</v>
      </c>
      <c r="C175" s="446"/>
      <c r="D175" s="447" t="str">
        <f>D174 &amp; "kW"</f>
        <v>kW</v>
      </c>
      <c r="E175" s="448" t="s">
        <v>170</v>
      </c>
      <c r="F175" s="361"/>
      <c r="G175" s="361"/>
      <c r="H175" s="361"/>
      <c r="I175" s="361"/>
      <c r="J175" s="361"/>
      <c r="K175" s="361"/>
      <c r="L175" s="361"/>
      <c r="M175" s="361"/>
      <c r="N175" s="361"/>
      <c r="O175" s="361"/>
      <c r="P175" s="438"/>
      <c r="Q175" s="438"/>
      <c r="R175" s="438"/>
      <c r="S175" s="438"/>
      <c r="T175" s="438"/>
      <c r="U175" s="438"/>
      <c r="V175" s="438"/>
      <c r="Z175" s="439"/>
      <c r="AA175" s="439" t="str">
        <f>IF(AND(F176=G176,H176=I176,F176="A"),"2016 - kw","")</f>
        <v/>
      </c>
      <c r="AB175" s="439" t="str">
        <f>IF(OR(B175="2017 - kw",B175="2018 - kw"),"2016 - kw","")</f>
        <v/>
      </c>
      <c r="AC175" s="439"/>
      <c r="AD175" s="439"/>
      <c r="AE175" s="439"/>
    </row>
    <row r="176" spans="1:31" hidden="1" x14ac:dyDescent="0.25">
      <c r="A176" s="438"/>
      <c r="B176" s="438"/>
      <c r="C176" s="449"/>
      <c r="D176" s="424"/>
      <c r="E176" s="450" t="s">
        <v>210</v>
      </c>
      <c r="F176" s="437"/>
      <c r="G176" s="437"/>
      <c r="H176" s="437"/>
      <c r="I176" s="437"/>
      <c r="J176" s="437"/>
      <c r="K176" s="437"/>
      <c r="L176" s="437"/>
      <c r="M176" s="437"/>
      <c r="N176" s="437"/>
      <c r="O176" s="437"/>
      <c r="P176" s="438"/>
      <c r="Q176" s="438"/>
      <c r="R176" s="438"/>
      <c r="S176" s="438"/>
      <c r="T176" s="438"/>
      <c r="U176" s="438"/>
      <c r="V176" s="438"/>
      <c r="Z176" s="439"/>
      <c r="AA176" s="439"/>
      <c r="AB176" s="439"/>
      <c r="AC176" s="439"/>
      <c r="AD176" s="439"/>
      <c r="AE176" s="439"/>
    </row>
    <row r="177" spans="1:31" hidden="1" x14ac:dyDescent="0.25">
      <c r="A177" s="438" t="str">
        <f>IF(AND(F179=G179,H179=I179,J179=K179,F179="A"),"2016 - kwh",IF(AND(F179=G179,H179=I179,J179&lt;&gt;K179,F179="A"),"2017 - kwh",IF(AND(F179=G179,H179&lt;&gt;I179,F179="A"),"2018 - kwh","N/A")))</f>
        <v>N/A</v>
      </c>
      <c r="B177" s="438" t="str">
        <f>IF(F179&lt;&gt;G179,"2018 - kwh",IF(H179&lt;&gt;I179,"2017 - kwh",IF(J179&lt;&gt;K179,"2016 - kwh","N/A")))</f>
        <v>N/A</v>
      </c>
      <c r="C177" s="443" t="s">
        <v>258</v>
      </c>
      <c r="D177" s="444"/>
      <c r="E177" s="445" t="s">
        <v>139</v>
      </c>
      <c r="F177" s="361"/>
      <c r="G177" s="361"/>
      <c r="H177" s="361"/>
      <c r="I177" s="361"/>
      <c r="J177" s="361"/>
      <c r="K177" s="361"/>
      <c r="L177" s="361"/>
      <c r="M177" s="361"/>
      <c r="N177" s="361"/>
      <c r="O177" s="361"/>
      <c r="P177" s="438"/>
      <c r="Q177" s="438"/>
      <c r="R177" s="438"/>
      <c r="S177" s="438"/>
      <c r="T177" s="438"/>
      <c r="U177" s="438"/>
      <c r="V177" s="438"/>
      <c r="Z177" s="439"/>
      <c r="AA177" s="439" t="str">
        <f>IF(AND(F179=G179,H179=I179,F179="A"),"2016 - kwh","")</f>
        <v/>
      </c>
      <c r="AB177" s="439" t="str">
        <f>IF(OR(B177="2017 - kwh",B177="2018 - kwh"),"2016 - kwh","")</f>
        <v/>
      </c>
      <c r="AC177" s="439"/>
      <c r="AD177" s="439"/>
      <c r="AE177" s="439"/>
    </row>
    <row r="178" spans="1:31" hidden="1" x14ac:dyDescent="0.25">
      <c r="A178" s="438" t="str">
        <f>IF(AND(F179=G179,H179=I179,J179=K179,F179="A"),"2016 - kw",IF(AND(F179=G179,H179=I179,J179&lt;&gt;K179,F179="A"),"2017 - kw",IF(AND(F179=G179,H179&lt;&gt;I179,F179="A"),"2018 - kw","N/A")))</f>
        <v>N/A</v>
      </c>
      <c r="B178" s="438" t="str">
        <f>IF(F179&lt;&gt;G179,"2018 - kw",IF(H179&lt;&gt;I179,"2017 - kw",IF(J179&lt;&gt;K179,"2016 - kw","N/A")))</f>
        <v>N/A</v>
      </c>
      <c r="C178" s="446"/>
      <c r="D178" s="447" t="str">
        <f>D177 &amp; "kW"</f>
        <v>kW</v>
      </c>
      <c r="E178" s="448" t="s">
        <v>170</v>
      </c>
      <c r="F178" s="361"/>
      <c r="G178" s="361"/>
      <c r="H178" s="361"/>
      <c r="I178" s="361"/>
      <c r="J178" s="361"/>
      <c r="K178" s="361"/>
      <c r="L178" s="361"/>
      <c r="M178" s="361"/>
      <c r="N178" s="361"/>
      <c r="O178" s="361"/>
      <c r="P178" s="438"/>
      <c r="Q178" s="438"/>
      <c r="R178" s="438"/>
      <c r="S178" s="438"/>
      <c r="T178" s="438"/>
      <c r="U178" s="438"/>
      <c r="V178" s="438"/>
      <c r="Z178" s="439"/>
      <c r="AA178" s="439" t="str">
        <f>IF(AND(F179=G179,H179=I179,F179="A"),"2016 - kw","")</f>
        <v/>
      </c>
      <c r="AB178" s="439" t="str">
        <f>IF(OR(B178="2017 - kw",B178="2018 - kw"),"2016 - kw","")</f>
        <v/>
      </c>
      <c r="AC178" s="439"/>
      <c r="AD178" s="439"/>
      <c r="AE178" s="439"/>
    </row>
    <row r="179" spans="1:31" hidden="1" x14ac:dyDescent="0.25">
      <c r="A179" s="438"/>
      <c r="B179" s="438"/>
      <c r="C179" s="449"/>
      <c r="D179" s="424"/>
      <c r="E179" s="450" t="s">
        <v>210</v>
      </c>
      <c r="F179" s="437"/>
      <c r="G179" s="437"/>
      <c r="H179" s="437"/>
      <c r="I179" s="437"/>
      <c r="J179" s="437"/>
      <c r="K179" s="437"/>
      <c r="L179" s="437"/>
      <c r="M179" s="437"/>
      <c r="N179" s="437"/>
      <c r="O179" s="437"/>
      <c r="P179" s="438"/>
      <c r="Q179" s="438"/>
      <c r="R179" s="438"/>
      <c r="S179" s="438"/>
      <c r="T179" s="438"/>
      <c r="U179" s="438"/>
      <c r="V179" s="438"/>
      <c r="Z179" s="439"/>
      <c r="AA179" s="439"/>
      <c r="AB179" s="439"/>
      <c r="AC179" s="439"/>
      <c r="AD179" s="439"/>
      <c r="AE179" s="439"/>
    </row>
    <row r="180" spans="1:31" hidden="1" x14ac:dyDescent="0.25">
      <c r="A180" s="438" t="str">
        <f>IF(AND(F182=G182,H182=I182,J182=K182,F182="A"),"2016 - kwh",IF(AND(F182=G182,H182=I182,J182&lt;&gt;K182,F182="A"),"2017 - kwh",IF(AND(F182=G182,H182&lt;&gt;I182,F182="A"),"2018 - kwh","N/A")))</f>
        <v>N/A</v>
      </c>
      <c r="B180" s="438" t="str">
        <f>IF(F182&lt;&gt;G182,"2018 - kwh",IF(H182&lt;&gt;I182,"2017 - kwh",IF(J182&lt;&gt;K182,"2016 - kwh","N/A")))</f>
        <v>N/A</v>
      </c>
      <c r="C180" s="443" t="s">
        <v>259</v>
      </c>
      <c r="D180" s="444"/>
      <c r="E180" s="445" t="s">
        <v>139</v>
      </c>
      <c r="F180" s="361"/>
      <c r="G180" s="361"/>
      <c r="H180" s="361"/>
      <c r="I180" s="361"/>
      <c r="J180" s="361"/>
      <c r="K180" s="361"/>
      <c r="L180" s="361"/>
      <c r="M180" s="361"/>
      <c r="N180" s="361"/>
      <c r="O180" s="361"/>
      <c r="P180" s="438"/>
      <c r="Q180" s="438"/>
      <c r="R180" s="438"/>
      <c r="S180" s="438"/>
      <c r="T180" s="438"/>
      <c r="U180" s="438"/>
      <c r="V180" s="438"/>
      <c r="Z180" s="439"/>
      <c r="AA180" s="439" t="str">
        <f>IF(AND(F182=G182,H182=I182,F182="A"),"2016 - kwh","")</f>
        <v/>
      </c>
      <c r="AB180" s="439" t="str">
        <f>IF(OR(B180="2017 - kwh",B180="2018 - kwh"),"2016 - kwh","")</f>
        <v/>
      </c>
      <c r="AC180" s="439"/>
      <c r="AD180" s="439"/>
      <c r="AE180" s="439"/>
    </row>
    <row r="181" spans="1:31" hidden="1" x14ac:dyDescent="0.25">
      <c r="A181" s="438" t="str">
        <f>IF(AND(F182=G182,H182=I182,J182=K182,F182="A"),"2016 - kw",IF(AND(F182=G182,H182=I182,J182&lt;&gt;K182,F182="A"),"2017 - kw",IF(AND(F182=G182,H182&lt;&gt;I182,F182="A"),"2018 - kw","N/A")))</f>
        <v>N/A</v>
      </c>
      <c r="B181" s="438" t="str">
        <f>IF(F182&lt;&gt;G182,"2018 - kw",IF(H182&lt;&gt;I182,"2017 - kw",IF(J182&lt;&gt;K182,"2016 - kw","N/A")))</f>
        <v>N/A</v>
      </c>
      <c r="C181" s="446"/>
      <c r="D181" s="447" t="str">
        <f>D180 &amp; "kW"</f>
        <v>kW</v>
      </c>
      <c r="E181" s="448" t="s">
        <v>170</v>
      </c>
      <c r="F181" s="361"/>
      <c r="G181" s="361"/>
      <c r="H181" s="361"/>
      <c r="I181" s="361"/>
      <c r="J181" s="361"/>
      <c r="K181" s="361"/>
      <c r="L181" s="361"/>
      <c r="M181" s="361"/>
      <c r="N181" s="361"/>
      <c r="O181" s="361"/>
      <c r="P181" s="438"/>
      <c r="Q181" s="438"/>
      <c r="R181" s="438"/>
      <c r="S181" s="438"/>
      <c r="T181" s="438"/>
      <c r="U181" s="438"/>
      <c r="V181" s="438"/>
      <c r="Z181" s="439"/>
      <c r="AA181" s="439" t="str">
        <f>IF(AND(F182=G182,H182=I182,F182="A"),"2016 - kw","")</f>
        <v/>
      </c>
      <c r="AB181" s="439" t="str">
        <f>IF(OR(B181="2017 - kw",B181="2018 - kw"),"2016 - kw","")</f>
        <v/>
      </c>
      <c r="AC181" s="439"/>
      <c r="AD181" s="439"/>
      <c r="AE181" s="439"/>
    </row>
    <row r="182" spans="1:31" hidden="1" x14ac:dyDescent="0.25">
      <c r="A182" s="438"/>
      <c r="B182" s="438"/>
      <c r="C182" s="449"/>
      <c r="D182" s="424"/>
      <c r="E182" s="450" t="s">
        <v>210</v>
      </c>
      <c r="F182" s="437"/>
      <c r="G182" s="437"/>
      <c r="H182" s="437"/>
      <c r="I182" s="437"/>
      <c r="J182" s="437"/>
      <c r="K182" s="437"/>
      <c r="L182" s="437"/>
      <c r="M182" s="437"/>
      <c r="N182" s="437"/>
      <c r="O182" s="437"/>
      <c r="P182" s="438"/>
      <c r="Q182" s="438"/>
      <c r="R182" s="438"/>
      <c r="S182" s="438"/>
      <c r="T182" s="438"/>
      <c r="U182" s="438"/>
      <c r="V182" s="438"/>
      <c r="Z182" s="439"/>
      <c r="AA182" s="439"/>
      <c r="AB182" s="439"/>
      <c r="AC182" s="439"/>
      <c r="AD182" s="439"/>
      <c r="AE182" s="439"/>
    </row>
    <row r="183" spans="1:31" hidden="1" x14ac:dyDescent="0.25">
      <c r="A183" s="438" t="str">
        <f>IF(AND(F185=G185,H185=I185,J185=K185,F185="A"),"2016 - kwh",IF(AND(F185=G185,H185=I185,J185&lt;&gt;K185,F185="A"),"2017 - kwh",IF(AND(F185=G185,H185&lt;&gt;I185,F185="A"),"2018 - kwh","N/A")))</f>
        <v>N/A</v>
      </c>
      <c r="B183" s="438" t="str">
        <f>IF(F185&lt;&gt;G185,"2018 - kwh",IF(H185&lt;&gt;I185,"2017 - kwh",IF(J185&lt;&gt;K185,"2016 - kwh","N/A")))</f>
        <v>N/A</v>
      </c>
      <c r="C183" s="443" t="s">
        <v>260</v>
      </c>
      <c r="D183" s="444"/>
      <c r="E183" s="445" t="s">
        <v>139</v>
      </c>
      <c r="F183" s="361"/>
      <c r="G183" s="361"/>
      <c r="H183" s="361"/>
      <c r="I183" s="361"/>
      <c r="J183" s="361"/>
      <c r="K183" s="361"/>
      <c r="L183" s="361"/>
      <c r="M183" s="361"/>
      <c r="N183" s="361"/>
      <c r="O183" s="361"/>
      <c r="P183" s="438"/>
      <c r="Q183" s="438"/>
      <c r="R183" s="438"/>
      <c r="S183" s="438"/>
      <c r="T183" s="438"/>
      <c r="U183" s="438"/>
      <c r="V183" s="438"/>
      <c r="Z183" s="439"/>
      <c r="AA183" s="439" t="str">
        <f>IF(AND(F185=G185,H185=I185,F185="A"),"2016 - kwh","")</f>
        <v/>
      </c>
      <c r="AB183" s="439" t="str">
        <f>IF(OR(B183="2017 - kwh",B183="2018 - kwh"),"2016 - kwh","")</f>
        <v/>
      </c>
      <c r="AC183" s="439"/>
      <c r="AD183" s="439"/>
      <c r="AE183" s="439"/>
    </row>
    <row r="184" spans="1:31" hidden="1" x14ac:dyDescent="0.25">
      <c r="A184" s="438" t="str">
        <f>IF(AND(F185=G185,H185=I185,J185=K185,F185="A"),"2016 - kw",IF(AND(F185=G185,H185=I185,J185&lt;&gt;K185,F185="A"),"2017 - kw",IF(AND(F185=G185,H185&lt;&gt;I185,F185="A"),"2018 - kw","N/A")))</f>
        <v>N/A</v>
      </c>
      <c r="B184" s="438" t="str">
        <f>IF(F185&lt;&gt;G185,"2018 - kw",IF(H185&lt;&gt;I185,"2017 - kw",IF(J185&lt;&gt;K185,"2016 - kw","N/A")))</f>
        <v>N/A</v>
      </c>
      <c r="C184" s="446"/>
      <c r="D184" s="447" t="str">
        <f>D183 &amp; "kW"</f>
        <v>kW</v>
      </c>
      <c r="E184" s="448" t="s">
        <v>170</v>
      </c>
      <c r="F184" s="361"/>
      <c r="G184" s="361"/>
      <c r="H184" s="361"/>
      <c r="I184" s="361"/>
      <c r="J184" s="361"/>
      <c r="K184" s="361"/>
      <c r="L184" s="361"/>
      <c r="M184" s="361"/>
      <c r="N184" s="361"/>
      <c r="O184" s="361"/>
      <c r="P184" s="438"/>
      <c r="Q184" s="438"/>
      <c r="R184" s="438"/>
      <c r="S184" s="438"/>
      <c r="T184" s="438"/>
      <c r="U184" s="438"/>
      <c r="V184" s="438"/>
      <c r="Z184" s="439"/>
      <c r="AA184" s="439" t="str">
        <f>IF(AND(F185=G185,H185=I185,F185="A"),"2016 - kw","")</f>
        <v/>
      </c>
      <c r="AB184" s="439" t="str">
        <f>IF(OR(B184="2017 - kw",B184="2018 - kw"),"2016 - kw","")</f>
        <v/>
      </c>
      <c r="AC184" s="439"/>
      <c r="AD184" s="439"/>
      <c r="AE184" s="439"/>
    </row>
    <row r="185" spans="1:31" hidden="1" x14ac:dyDescent="0.25">
      <c r="A185" s="438"/>
      <c r="B185" s="438"/>
      <c r="C185" s="449"/>
      <c r="D185" s="424"/>
      <c r="E185" s="450" t="s">
        <v>210</v>
      </c>
      <c r="F185" s="437"/>
      <c r="G185" s="437"/>
      <c r="H185" s="437"/>
      <c r="I185" s="437"/>
      <c r="J185" s="437"/>
      <c r="K185" s="437"/>
      <c r="L185" s="437"/>
      <c r="M185" s="437"/>
      <c r="N185" s="437"/>
      <c r="O185" s="437"/>
      <c r="P185" s="438"/>
      <c r="Q185" s="438"/>
      <c r="R185" s="438"/>
      <c r="S185" s="438"/>
      <c r="T185" s="438"/>
      <c r="U185" s="438"/>
      <c r="V185" s="438"/>
      <c r="Z185" s="439"/>
      <c r="AA185" s="439"/>
      <c r="AB185" s="439"/>
      <c r="AC185" s="439"/>
      <c r="AD185" s="439"/>
      <c r="AE185" s="439"/>
    </row>
    <row r="186" spans="1:31" hidden="1" x14ac:dyDescent="0.25">
      <c r="A186" s="438" t="str">
        <f>IF(AND(F188=G188,H188=I188,J188=K188,F188="A"),"2016 - kwh",IF(AND(F188=G188,H188=I188,J188&lt;&gt;K188,F188="A"),"2017 - kwh",IF(AND(F188=G188,H188&lt;&gt;I188,F188="A"),"2018 - kwh","N/A")))</f>
        <v>N/A</v>
      </c>
      <c r="B186" s="438" t="str">
        <f>IF(F188&lt;&gt;G188,"2018 - kwh",IF(H188&lt;&gt;I188,"2017 - kwh",IF(J188&lt;&gt;K188,"2016 - kwh","N/A")))</f>
        <v>N/A</v>
      </c>
      <c r="C186" s="443" t="s">
        <v>261</v>
      </c>
      <c r="D186" s="444"/>
      <c r="E186" s="445" t="s">
        <v>139</v>
      </c>
      <c r="F186" s="361"/>
      <c r="G186" s="361"/>
      <c r="H186" s="361"/>
      <c r="I186" s="361"/>
      <c r="J186" s="361"/>
      <c r="K186" s="361"/>
      <c r="L186" s="361"/>
      <c r="M186" s="361"/>
      <c r="N186" s="361"/>
      <c r="O186" s="361"/>
      <c r="P186" s="438"/>
      <c r="Q186" s="438"/>
      <c r="R186" s="438"/>
      <c r="S186" s="438"/>
      <c r="T186" s="438"/>
      <c r="U186" s="438"/>
      <c r="V186" s="438"/>
      <c r="Z186" s="439"/>
      <c r="AA186" s="439" t="str">
        <f>IF(AND(F188=G188,H188=I188,F188="A"),"2016 - kwh","")</f>
        <v/>
      </c>
      <c r="AB186" s="439" t="str">
        <f>IF(OR(B186="2017 - kwh",B186="2018 - kwh"),"2016 - kwh","")</f>
        <v/>
      </c>
      <c r="AC186" s="439"/>
      <c r="AD186" s="439"/>
      <c r="AE186" s="439"/>
    </row>
    <row r="187" spans="1:31" hidden="1" x14ac:dyDescent="0.25">
      <c r="A187" s="438" t="str">
        <f>IF(AND(F188=G188,H188=I188,J188=K188,F188="A"),"2016 - kw",IF(AND(F188=G188,H188=I188,J188&lt;&gt;K188,F188="A"),"2017 - kw",IF(AND(F188=G188,H188&lt;&gt;I188,F188="A"),"2018 - kw","N/A")))</f>
        <v>N/A</v>
      </c>
      <c r="B187" s="438" t="str">
        <f>IF(F188&lt;&gt;G188,"2018 - kw",IF(H188&lt;&gt;I188,"2017 - kw",IF(J188&lt;&gt;K188,"2016 - kw","N/A")))</f>
        <v>N/A</v>
      </c>
      <c r="C187" s="446"/>
      <c r="D187" s="447" t="str">
        <f>D186 &amp; "kW"</f>
        <v>kW</v>
      </c>
      <c r="E187" s="448" t="s">
        <v>170</v>
      </c>
      <c r="F187" s="361"/>
      <c r="G187" s="361"/>
      <c r="H187" s="361"/>
      <c r="I187" s="361"/>
      <c r="J187" s="361"/>
      <c r="K187" s="361"/>
      <c r="L187" s="361"/>
      <c r="M187" s="361"/>
      <c r="N187" s="361"/>
      <c r="O187" s="361"/>
      <c r="P187" s="438"/>
      <c r="Q187" s="438"/>
      <c r="R187" s="438"/>
      <c r="S187" s="438"/>
      <c r="T187" s="438"/>
      <c r="U187" s="438"/>
      <c r="V187" s="438"/>
      <c r="Z187" s="439"/>
      <c r="AA187" s="439" t="str">
        <f>IF(AND(F188=G188,H188=I188,F188="A"),"2016 - kw","")</f>
        <v/>
      </c>
      <c r="AB187" s="439" t="str">
        <f>IF(OR(B187="2017 - kw",B187="2018 - kw"),"2016 - kw","")</f>
        <v/>
      </c>
      <c r="AC187" s="439"/>
      <c r="AD187" s="439"/>
      <c r="AE187" s="439"/>
    </row>
    <row r="188" spans="1:31" hidden="1" x14ac:dyDescent="0.25">
      <c r="A188" s="438"/>
      <c r="B188" s="438"/>
      <c r="C188" s="449"/>
      <c r="D188" s="424"/>
      <c r="E188" s="450" t="s">
        <v>210</v>
      </c>
      <c r="F188" s="437"/>
      <c r="G188" s="437"/>
      <c r="H188" s="437"/>
      <c r="I188" s="437"/>
      <c r="J188" s="437"/>
      <c r="K188" s="437"/>
      <c r="L188" s="437"/>
      <c r="M188" s="437"/>
      <c r="N188" s="437"/>
      <c r="O188" s="437"/>
      <c r="P188" s="438"/>
      <c r="Q188" s="438"/>
      <c r="R188" s="438"/>
      <c r="S188" s="438"/>
      <c r="T188" s="438"/>
      <c r="U188" s="438"/>
      <c r="V188" s="438"/>
      <c r="Z188" s="439"/>
      <c r="AA188" s="439"/>
      <c r="AB188" s="439"/>
      <c r="AC188" s="439"/>
      <c r="AD188" s="439"/>
      <c r="AE188" s="439"/>
    </row>
    <row r="189" spans="1:31" hidden="1" x14ac:dyDescent="0.25">
      <c r="A189" s="438" t="str">
        <f>IF(AND(F191=G191,H191=I191,J191=K191,F191="A"),"2016 - kwh",IF(AND(F191=G191,H191=I191,J191&lt;&gt;K191,F191="A"),"2017 - kwh",IF(AND(F191=G191,H191&lt;&gt;I191,F191="A"),"2018 - kwh","N/A")))</f>
        <v>N/A</v>
      </c>
      <c r="B189" s="438" t="str">
        <f>IF(F191&lt;&gt;G191,"2018 - kwh",IF(H191&lt;&gt;I191,"2017 - kwh",IF(J191&lt;&gt;K191,"2016 - kwh","N/A")))</f>
        <v>N/A</v>
      </c>
      <c r="C189" s="443" t="s">
        <v>262</v>
      </c>
      <c r="D189" s="444"/>
      <c r="E189" s="445" t="s">
        <v>139</v>
      </c>
      <c r="F189" s="361"/>
      <c r="G189" s="361"/>
      <c r="H189" s="361"/>
      <c r="I189" s="361"/>
      <c r="J189" s="361"/>
      <c r="K189" s="361"/>
      <c r="L189" s="361"/>
      <c r="M189" s="361"/>
      <c r="N189" s="361"/>
      <c r="O189" s="361"/>
      <c r="P189" s="438"/>
      <c r="Q189" s="438"/>
      <c r="R189" s="438"/>
      <c r="S189" s="438"/>
      <c r="T189" s="438"/>
      <c r="U189" s="438"/>
      <c r="V189" s="438"/>
      <c r="Z189" s="439"/>
      <c r="AA189" s="439" t="str">
        <f>IF(AND(F191=G191,H191=I191,F191="A"),"2016 - kwh","")</f>
        <v/>
      </c>
      <c r="AB189" s="439" t="str">
        <f>IF(OR(B189="2017 - kwh",B189="2018 - kwh"),"2016 - kwh","")</f>
        <v/>
      </c>
      <c r="AC189" s="439"/>
      <c r="AD189" s="439"/>
      <c r="AE189" s="439"/>
    </row>
    <row r="190" spans="1:31" hidden="1" x14ac:dyDescent="0.25">
      <c r="A190" s="438" t="str">
        <f>IF(AND(F191=G191,H191=I191,J191=K191,F191="A"),"2016 - kw",IF(AND(F191=G191,H191=I191,J191&lt;&gt;K191,F191="A"),"2017 - kw",IF(AND(F191=G191,H191&lt;&gt;I191,F191="A"),"2018 - kw","N/A")))</f>
        <v>N/A</v>
      </c>
      <c r="B190" s="438" t="str">
        <f>IF(F191&lt;&gt;G191,"2018 - kw",IF(H191&lt;&gt;I191,"2017 - kw",IF(J191&lt;&gt;K191,"2016 - kw","N/A")))</f>
        <v>N/A</v>
      </c>
      <c r="C190" s="446"/>
      <c r="D190" s="447" t="str">
        <f>D189 &amp; "kW"</f>
        <v>kW</v>
      </c>
      <c r="E190" s="448" t="s">
        <v>170</v>
      </c>
      <c r="F190" s="361"/>
      <c r="G190" s="361"/>
      <c r="H190" s="361"/>
      <c r="I190" s="361"/>
      <c r="J190" s="361"/>
      <c r="K190" s="361"/>
      <c r="L190" s="361"/>
      <c r="M190" s="361"/>
      <c r="N190" s="361"/>
      <c r="O190" s="361"/>
      <c r="P190" s="438"/>
      <c r="Q190" s="438"/>
      <c r="R190" s="438"/>
      <c r="S190" s="438"/>
      <c r="T190" s="438"/>
      <c r="U190" s="438"/>
      <c r="V190" s="438"/>
      <c r="Z190" s="439"/>
      <c r="AA190" s="439" t="str">
        <f>IF(AND(F191=G191,H191=I191,F191="A"),"2016 - kw","")</f>
        <v/>
      </c>
      <c r="AB190" s="439" t="str">
        <f>IF(OR(B190="2017 - kw",B190="2018 - kw"),"2016 - kw","")</f>
        <v/>
      </c>
      <c r="AC190" s="439"/>
      <c r="AD190" s="439"/>
      <c r="AE190" s="439"/>
    </row>
    <row r="191" spans="1:31" hidden="1" x14ac:dyDescent="0.25">
      <c r="A191" s="438"/>
      <c r="B191" s="438"/>
      <c r="C191" s="449"/>
      <c r="D191" s="424"/>
      <c r="E191" s="450" t="s">
        <v>210</v>
      </c>
      <c r="F191" s="437"/>
      <c r="G191" s="437"/>
      <c r="H191" s="437"/>
      <c r="I191" s="437"/>
      <c r="J191" s="437"/>
      <c r="K191" s="437"/>
      <c r="L191" s="437"/>
      <c r="M191" s="437"/>
      <c r="N191" s="437"/>
      <c r="O191" s="437"/>
      <c r="P191" s="438"/>
      <c r="Q191" s="438"/>
      <c r="R191" s="438"/>
      <c r="S191" s="438"/>
      <c r="T191" s="438"/>
      <c r="U191" s="438"/>
      <c r="V191" s="438"/>
      <c r="Z191" s="439"/>
      <c r="AA191" s="439"/>
      <c r="AB191" s="439"/>
      <c r="AC191" s="439"/>
      <c r="AD191" s="439"/>
      <c r="AE191" s="439"/>
    </row>
    <row r="192" spans="1:31" hidden="1" x14ac:dyDescent="0.25">
      <c r="A192" s="438" t="str">
        <f>IF(AND(F194=G194,H194=I194,J194=K194,F194="A"),"2016 - kwh",IF(AND(F194=G194,H194=I194,J194&lt;&gt;K194,F194="A"),"2017 - kwh",IF(AND(F194=G194,H194&lt;&gt;I194,F194="A"),"2018 - kwh","N/A")))</f>
        <v>N/A</v>
      </c>
      <c r="B192" s="438" t="str">
        <f>IF(F194&lt;&gt;G194,"2018 - kwh",IF(H194&lt;&gt;I194,"2017 - kwh",IF(J194&lt;&gt;K194,"2016 - kwh","N/A")))</f>
        <v>N/A</v>
      </c>
      <c r="C192" s="443" t="s">
        <v>263</v>
      </c>
      <c r="D192" s="444"/>
      <c r="E192" s="445" t="s">
        <v>139</v>
      </c>
      <c r="F192" s="361"/>
      <c r="G192" s="361"/>
      <c r="H192" s="361"/>
      <c r="I192" s="361"/>
      <c r="J192" s="361"/>
      <c r="K192" s="361"/>
      <c r="L192" s="361"/>
      <c r="M192" s="361"/>
      <c r="N192" s="361"/>
      <c r="O192" s="361"/>
      <c r="P192" s="438"/>
      <c r="Q192" s="438"/>
      <c r="R192" s="438"/>
      <c r="S192" s="438"/>
      <c r="T192" s="438"/>
      <c r="U192" s="438"/>
      <c r="V192" s="438"/>
      <c r="Z192" s="439"/>
      <c r="AA192" s="439" t="str">
        <f>IF(AND(F194=G194,H194=I194,F194="A"),"2016 - kwh","")</f>
        <v/>
      </c>
      <c r="AB192" s="439" t="str">
        <f>IF(OR(B192="2017 - kwh",B192="2018 - kwh"),"2016 - kwh","")</f>
        <v/>
      </c>
      <c r="AC192" s="439"/>
      <c r="AD192" s="439"/>
      <c r="AE192" s="439"/>
    </row>
    <row r="193" spans="1:31" hidden="1" x14ac:dyDescent="0.25">
      <c r="A193" s="438" t="str">
        <f>IF(AND(F194=G194,H194=I194,J194=K194,F194="A"),"2016 - kw",IF(AND(F194=G194,H194=I194,J194&lt;&gt;K194,F194="A"),"2017 - kw",IF(AND(F194=G194,H194&lt;&gt;I194,F194="A"),"2018 - kw","N/A")))</f>
        <v>N/A</v>
      </c>
      <c r="B193" s="438" t="str">
        <f>IF(F194&lt;&gt;G194,"2018 - kw",IF(H194&lt;&gt;I194,"2017 - kw",IF(J194&lt;&gt;K194,"2016 - kw","N/A")))</f>
        <v>N/A</v>
      </c>
      <c r="C193" s="446"/>
      <c r="D193" s="447" t="str">
        <f>D192 &amp; "kW"</f>
        <v>kW</v>
      </c>
      <c r="E193" s="448" t="s">
        <v>170</v>
      </c>
      <c r="F193" s="361"/>
      <c r="G193" s="361"/>
      <c r="H193" s="361"/>
      <c r="I193" s="361"/>
      <c r="J193" s="361"/>
      <c r="K193" s="361"/>
      <c r="L193" s="361"/>
      <c r="M193" s="361"/>
      <c r="N193" s="361"/>
      <c r="O193" s="361"/>
      <c r="P193" s="438"/>
      <c r="Q193" s="438"/>
      <c r="R193" s="438"/>
      <c r="S193" s="438"/>
      <c r="T193" s="438"/>
      <c r="U193" s="438"/>
      <c r="V193" s="438"/>
      <c r="Z193" s="439"/>
      <c r="AA193" s="439" t="str">
        <f>IF(AND(F194=G194,H194=I194,F194="A"),"2016 - kw","")</f>
        <v/>
      </c>
      <c r="AB193" s="439" t="str">
        <f>IF(OR(B193="2017 - kw",B193="2018 - kw"),"2016 - kw","")</f>
        <v/>
      </c>
      <c r="AC193" s="439"/>
      <c r="AD193" s="439"/>
      <c r="AE193" s="439"/>
    </row>
    <row r="194" spans="1:31" hidden="1" x14ac:dyDescent="0.25">
      <c r="A194" s="438"/>
      <c r="B194" s="438"/>
      <c r="C194" s="449"/>
      <c r="D194" s="424"/>
      <c r="E194" s="450" t="s">
        <v>210</v>
      </c>
      <c r="F194" s="437"/>
      <c r="G194" s="437"/>
      <c r="H194" s="437"/>
      <c r="I194" s="437"/>
      <c r="J194" s="437"/>
      <c r="K194" s="437"/>
      <c r="L194" s="437"/>
      <c r="M194" s="437"/>
      <c r="N194" s="437"/>
      <c r="O194" s="437"/>
      <c r="P194" s="438"/>
      <c r="Q194" s="438"/>
      <c r="R194" s="438"/>
      <c r="S194" s="438"/>
      <c r="T194" s="438"/>
      <c r="U194" s="438"/>
      <c r="V194" s="438"/>
      <c r="Z194" s="439"/>
      <c r="AA194" s="439"/>
      <c r="AB194" s="439"/>
      <c r="AC194" s="439"/>
      <c r="AD194" s="439"/>
      <c r="AE194" s="439"/>
    </row>
    <row r="195" spans="1:31" hidden="1" x14ac:dyDescent="0.25">
      <c r="A195" s="438" t="str">
        <f>IF(AND(F197=G197,H197=I197,J197=K197,F197="A"),"2016 - kwh",IF(AND(F197=G197,H197=I197,J197&lt;&gt;K197,F197="A"),"2017 - kwh",IF(AND(F197=G197,H197&lt;&gt;I197,F197="A"),"2018 - kwh","N/A")))</f>
        <v>N/A</v>
      </c>
      <c r="B195" s="438" t="str">
        <f>IF(F197&lt;&gt;G197,"2018 - kwh",IF(H197&lt;&gt;I197,"2017 - kwh",IF(J197&lt;&gt;K197,"2016 - kwh","N/A")))</f>
        <v>N/A</v>
      </c>
      <c r="C195" s="443" t="s">
        <v>264</v>
      </c>
      <c r="D195" s="444"/>
      <c r="E195" s="445" t="s">
        <v>139</v>
      </c>
      <c r="F195" s="361"/>
      <c r="G195" s="361"/>
      <c r="H195" s="361"/>
      <c r="I195" s="361"/>
      <c r="J195" s="361"/>
      <c r="K195" s="361"/>
      <c r="L195" s="361"/>
      <c r="M195" s="361"/>
      <c r="N195" s="361"/>
      <c r="O195" s="361"/>
      <c r="P195" s="438"/>
      <c r="Q195" s="438"/>
      <c r="R195" s="438"/>
      <c r="S195" s="438"/>
      <c r="T195" s="438"/>
      <c r="U195" s="438"/>
      <c r="V195" s="438"/>
      <c r="Z195" s="439"/>
      <c r="AA195" s="439" t="str">
        <f>IF(AND(F197=G197,H197=I197,F197="A"),"2016 - kwh","")</f>
        <v/>
      </c>
      <c r="AB195" s="439" t="str">
        <f>IF(OR(B195="2017 - kwh",B195="2018 - kwh"),"2016 - kwh","")</f>
        <v/>
      </c>
      <c r="AC195" s="439"/>
      <c r="AD195" s="439"/>
      <c r="AE195" s="439"/>
    </row>
    <row r="196" spans="1:31" hidden="1" x14ac:dyDescent="0.25">
      <c r="A196" s="438" t="str">
        <f>IF(AND(F197=G197,H197=I197,J197=K197,F197="A"),"2016 - kw",IF(AND(F197=G197,H197=I197,J197&lt;&gt;K197,F197="A"),"2017 - kw",IF(AND(F197=G197,H197&lt;&gt;I197,F197="A"),"2018 - kw","N/A")))</f>
        <v>N/A</v>
      </c>
      <c r="B196" s="438" t="str">
        <f>IF(F197&lt;&gt;G197,"2018 - kw",IF(H197&lt;&gt;I197,"2017 - kw",IF(J197&lt;&gt;K197,"2016 - kw","N/A")))</f>
        <v>N/A</v>
      </c>
      <c r="C196" s="446"/>
      <c r="D196" s="447" t="str">
        <f>D195 &amp; "kW"</f>
        <v>kW</v>
      </c>
      <c r="E196" s="448" t="s">
        <v>170</v>
      </c>
      <c r="F196" s="361"/>
      <c r="G196" s="361"/>
      <c r="H196" s="361"/>
      <c r="I196" s="361"/>
      <c r="J196" s="361"/>
      <c r="K196" s="361"/>
      <c r="L196" s="361"/>
      <c r="M196" s="361"/>
      <c r="N196" s="361"/>
      <c r="O196" s="361"/>
      <c r="P196" s="438"/>
      <c r="Q196" s="438"/>
      <c r="R196" s="438"/>
      <c r="S196" s="438"/>
      <c r="T196" s="438"/>
      <c r="U196" s="438"/>
      <c r="V196" s="438"/>
      <c r="Z196" s="439"/>
      <c r="AA196" s="439" t="str">
        <f>IF(AND(F197=G197,H197=I197,F197="A"),"2016 - kw","")</f>
        <v/>
      </c>
      <c r="AB196" s="439" t="str">
        <f>IF(OR(B196="2017 - kw",B196="2018 - kw"),"2016 - kw","")</f>
        <v/>
      </c>
      <c r="AC196" s="439"/>
      <c r="AD196" s="439"/>
      <c r="AE196" s="439"/>
    </row>
    <row r="197" spans="1:31" hidden="1" x14ac:dyDescent="0.25">
      <c r="A197" s="438"/>
      <c r="B197" s="438"/>
      <c r="C197" s="449"/>
      <c r="D197" s="424"/>
      <c r="E197" s="450" t="s">
        <v>210</v>
      </c>
      <c r="F197" s="437"/>
      <c r="G197" s="437"/>
      <c r="H197" s="437"/>
      <c r="I197" s="437"/>
      <c r="J197" s="437"/>
      <c r="K197" s="437"/>
      <c r="L197" s="437"/>
      <c r="M197" s="437"/>
      <c r="N197" s="437"/>
      <c r="O197" s="437"/>
      <c r="P197" s="438"/>
      <c r="Q197" s="438"/>
      <c r="R197" s="438"/>
      <c r="S197" s="438"/>
      <c r="T197" s="438"/>
      <c r="U197" s="438"/>
      <c r="V197" s="438"/>
      <c r="Z197" s="439"/>
      <c r="AA197" s="439"/>
      <c r="AB197" s="439"/>
      <c r="AC197" s="439"/>
      <c r="AD197" s="439"/>
      <c r="AE197" s="439"/>
    </row>
    <row r="198" spans="1:31" hidden="1" x14ac:dyDescent="0.25">
      <c r="A198" s="438" t="str">
        <f>IF(AND(F200=G200,H200=I200,J200=K200,F200="A"),"2016 - kwh",IF(AND(F200=G200,H200=I200,J200&lt;&gt;K200,F200="A"),"2017 - kwh",IF(AND(F200=G200,H200&lt;&gt;I200,F200="A"),"2018 - kwh","N/A")))</f>
        <v>N/A</v>
      </c>
      <c r="B198" s="438" t="str">
        <f>IF(F200&lt;&gt;G200,"2018 - kwh",IF(H200&lt;&gt;I200,"2017 - kwh",IF(J200&lt;&gt;K200,"2016 - kwh","N/A")))</f>
        <v>N/A</v>
      </c>
      <c r="C198" s="443" t="s">
        <v>265</v>
      </c>
      <c r="D198" s="444"/>
      <c r="E198" s="445" t="s">
        <v>139</v>
      </c>
      <c r="F198" s="361"/>
      <c r="G198" s="361"/>
      <c r="H198" s="361"/>
      <c r="I198" s="361"/>
      <c r="J198" s="361"/>
      <c r="K198" s="361"/>
      <c r="L198" s="361"/>
      <c r="M198" s="361"/>
      <c r="N198" s="361"/>
      <c r="O198" s="361"/>
      <c r="P198" s="438"/>
      <c r="Q198" s="438"/>
      <c r="R198" s="438"/>
      <c r="S198" s="438"/>
      <c r="T198" s="438"/>
      <c r="U198" s="438"/>
      <c r="V198" s="438"/>
      <c r="Z198" s="439"/>
      <c r="AA198" s="439" t="str">
        <f>IF(AND(F200=G200,H200=I200,F200="A"),"2016 - kwh","")</f>
        <v/>
      </c>
      <c r="AB198" s="439" t="str">
        <f>IF(OR(B198="2017 - kwh",B198="2018 - kwh"),"2016 - kwh","")</f>
        <v/>
      </c>
      <c r="AC198" s="439"/>
      <c r="AD198" s="439"/>
      <c r="AE198" s="439"/>
    </row>
    <row r="199" spans="1:31" hidden="1" x14ac:dyDescent="0.25">
      <c r="A199" s="438" t="str">
        <f>IF(AND(F200=G200,H200=I200,J200=K200,F200="A"),"2016 - kw",IF(AND(F200=G200,H200=I200,J200&lt;&gt;K200,F200="A"),"2017 - kw",IF(AND(F200=G200,H200&lt;&gt;I200,F200="A"),"2018 - kw","N/A")))</f>
        <v>N/A</v>
      </c>
      <c r="B199" s="438" t="str">
        <f>IF(F200&lt;&gt;G200,"2018 - kw",IF(H200&lt;&gt;I200,"2017 - kw",IF(J200&lt;&gt;K200,"2016 - kw","N/A")))</f>
        <v>N/A</v>
      </c>
      <c r="C199" s="446"/>
      <c r="D199" s="447" t="str">
        <f>D198 &amp; "kW"</f>
        <v>kW</v>
      </c>
      <c r="E199" s="448" t="s">
        <v>170</v>
      </c>
      <c r="F199" s="361"/>
      <c r="G199" s="361"/>
      <c r="H199" s="361"/>
      <c r="I199" s="361"/>
      <c r="J199" s="361"/>
      <c r="K199" s="361"/>
      <c r="L199" s="361"/>
      <c r="M199" s="361"/>
      <c r="N199" s="361"/>
      <c r="O199" s="361"/>
      <c r="P199" s="438"/>
      <c r="Q199" s="438"/>
      <c r="R199" s="438"/>
      <c r="S199" s="438"/>
      <c r="T199" s="438"/>
      <c r="U199" s="438"/>
      <c r="V199" s="438"/>
      <c r="Z199" s="439"/>
      <c r="AA199" s="439" t="str">
        <f>IF(AND(F200=G200,H200=I200,F200="A"),"2016 - kw","")</f>
        <v/>
      </c>
      <c r="AB199" s="439" t="str">
        <f>IF(OR(B199="2017 - kw",B199="2018 - kw"),"2016 - kw","")</f>
        <v/>
      </c>
      <c r="AC199" s="439"/>
      <c r="AD199" s="439"/>
      <c r="AE199" s="439"/>
    </row>
    <row r="200" spans="1:31" hidden="1" x14ac:dyDescent="0.25">
      <c r="A200" s="438"/>
      <c r="B200" s="438"/>
      <c r="C200" s="449"/>
      <c r="D200" s="424"/>
      <c r="E200" s="450" t="s">
        <v>210</v>
      </c>
      <c r="F200" s="437"/>
      <c r="G200" s="437"/>
      <c r="H200" s="437"/>
      <c r="I200" s="437"/>
      <c r="J200" s="437"/>
      <c r="K200" s="437"/>
      <c r="L200" s="437"/>
      <c r="M200" s="437"/>
      <c r="N200" s="437"/>
      <c r="O200" s="437"/>
      <c r="P200" s="438"/>
      <c r="Q200" s="438"/>
      <c r="R200" s="438"/>
      <c r="S200" s="438"/>
      <c r="T200" s="438"/>
      <c r="U200" s="438"/>
      <c r="V200" s="438"/>
      <c r="Z200" s="439"/>
      <c r="AA200" s="439"/>
      <c r="AB200" s="439"/>
      <c r="AC200" s="439"/>
      <c r="AD200" s="439"/>
      <c r="AE200" s="439"/>
    </row>
    <row r="201" spans="1:31" hidden="1" x14ac:dyDescent="0.25">
      <c r="A201" s="438" t="str">
        <f>IF(AND(F203=G203,H203=I203,J203=K203,F203="A"),"2016 - kwh",IF(AND(F203=G203,H203=I203,J203&lt;&gt;K203,F203="A"),"2017 - kwh",IF(AND(F203=G203,H203&lt;&gt;I203,F203="A"),"2018 - kwh","N/A")))</f>
        <v>N/A</v>
      </c>
      <c r="B201" s="438" t="str">
        <f>IF(F203&lt;&gt;G203,"2018 - kwh",IF(H203&lt;&gt;I203,"2017 - kwh",IF(J203&lt;&gt;K203,"2016 - kwh","N/A")))</f>
        <v>N/A</v>
      </c>
      <c r="C201" s="443" t="s">
        <v>266</v>
      </c>
      <c r="D201" s="444"/>
      <c r="E201" s="445" t="s">
        <v>139</v>
      </c>
      <c r="F201" s="361"/>
      <c r="G201" s="361"/>
      <c r="H201" s="361"/>
      <c r="I201" s="361"/>
      <c r="J201" s="361"/>
      <c r="K201" s="361"/>
      <c r="L201" s="361"/>
      <c r="M201" s="361"/>
      <c r="N201" s="361"/>
      <c r="O201" s="361"/>
      <c r="P201" s="438"/>
      <c r="Q201" s="438"/>
      <c r="R201" s="438"/>
      <c r="S201" s="438"/>
      <c r="T201" s="438"/>
      <c r="U201" s="438"/>
      <c r="V201" s="438"/>
      <c r="Z201" s="439"/>
      <c r="AA201" s="439" t="str">
        <f>IF(AND(F203=G203,H203=I203,F203="A"),"2016 - kwh","")</f>
        <v/>
      </c>
      <c r="AB201" s="439" t="str">
        <f>IF(OR(B201="2017 - kwh",B201="2018 - kwh"),"2016 - kwh","")</f>
        <v/>
      </c>
      <c r="AC201" s="439"/>
      <c r="AD201" s="439"/>
      <c r="AE201" s="439"/>
    </row>
    <row r="202" spans="1:31" hidden="1" x14ac:dyDescent="0.25">
      <c r="A202" s="438" t="str">
        <f>IF(AND(F203=G203,H203=I203,J203=K203,F203="A"),"2016 - kw",IF(AND(F203=G203,H203=I203,J203&lt;&gt;K203,F203="A"),"2017 - kw",IF(AND(F203=G203,H203&lt;&gt;I203,F203="A"),"2018 - kw","N/A")))</f>
        <v>N/A</v>
      </c>
      <c r="B202" s="438" t="str">
        <f>IF(F203&lt;&gt;G203,"2018 - kw",IF(H203&lt;&gt;I203,"2017 - kw",IF(J203&lt;&gt;K203,"2016 - kw","N/A")))</f>
        <v>N/A</v>
      </c>
      <c r="C202" s="446"/>
      <c r="D202" s="447" t="str">
        <f>D201 &amp; "kW"</f>
        <v>kW</v>
      </c>
      <c r="E202" s="448" t="s">
        <v>170</v>
      </c>
      <c r="F202" s="361"/>
      <c r="G202" s="361"/>
      <c r="H202" s="361"/>
      <c r="I202" s="361"/>
      <c r="J202" s="361"/>
      <c r="K202" s="361"/>
      <c r="L202" s="361"/>
      <c r="M202" s="361"/>
      <c r="N202" s="361"/>
      <c r="O202" s="361"/>
      <c r="P202" s="438"/>
      <c r="Q202" s="438"/>
      <c r="R202" s="438"/>
      <c r="S202" s="438"/>
      <c r="T202" s="438"/>
      <c r="U202" s="438"/>
      <c r="V202" s="438"/>
      <c r="Z202" s="439"/>
      <c r="AA202" s="439" t="str">
        <f>IF(AND(F203=G203,H203=I203,F203="A"),"2016 - kw","")</f>
        <v/>
      </c>
      <c r="AB202" s="439" t="str">
        <f>IF(OR(B202="2017 - kw",B202="2018 - kw"),"2016 - kw","")</f>
        <v/>
      </c>
      <c r="AC202" s="439"/>
      <c r="AD202" s="439"/>
      <c r="AE202" s="439"/>
    </row>
    <row r="203" spans="1:31" hidden="1" x14ac:dyDescent="0.25">
      <c r="A203" s="438"/>
      <c r="B203" s="438"/>
      <c r="C203" s="449"/>
      <c r="D203" s="424"/>
      <c r="E203" s="450" t="s">
        <v>210</v>
      </c>
      <c r="F203" s="437"/>
      <c r="G203" s="437"/>
      <c r="H203" s="437"/>
      <c r="I203" s="437"/>
      <c r="J203" s="437"/>
      <c r="K203" s="437"/>
      <c r="L203" s="437"/>
      <c r="M203" s="437"/>
      <c r="N203" s="437"/>
      <c r="O203" s="437"/>
      <c r="P203" s="438"/>
      <c r="Q203" s="438"/>
      <c r="R203" s="438"/>
      <c r="S203" s="438"/>
      <c r="T203" s="438"/>
      <c r="U203" s="438"/>
      <c r="V203" s="438"/>
      <c r="Z203" s="439"/>
      <c r="AA203" s="439"/>
      <c r="AB203" s="439"/>
      <c r="AC203" s="439"/>
      <c r="AD203" s="439"/>
      <c r="AE203" s="439"/>
    </row>
    <row r="204" spans="1:31" hidden="1" x14ac:dyDescent="0.25">
      <c r="A204" s="438" t="str">
        <f>IF(AND(F206=G206,H206=I206,J206=K206,F206="A"),"2016 - kwh",IF(AND(F206=G206,H206=I206,J206&lt;&gt;K206,F206="A"),"2017 - kwh",IF(AND(F206=G206,H206&lt;&gt;I206,F206="A"),"2018 - kwh","N/A")))</f>
        <v>N/A</v>
      </c>
      <c r="B204" s="438" t="str">
        <f>IF(F206&lt;&gt;G206,"2018 - kwh",IF(H206&lt;&gt;I206,"2017 - kwh",IF(J206&lt;&gt;K206,"2016 - kwh","N/A")))</f>
        <v>N/A</v>
      </c>
      <c r="C204" s="443" t="s">
        <v>267</v>
      </c>
      <c r="D204" s="444"/>
      <c r="E204" s="445" t="s">
        <v>139</v>
      </c>
      <c r="F204" s="361"/>
      <c r="G204" s="361"/>
      <c r="H204" s="361"/>
      <c r="I204" s="361"/>
      <c r="J204" s="361"/>
      <c r="K204" s="361"/>
      <c r="L204" s="361"/>
      <c r="M204" s="361"/>
      <c r="N204" s="361"/>
      <c r="O204" s="361"/>
      <c r="P204" s="438"/>
      <c r="Q204" s="438"/>
      <c r="R204" s="438"/>
      <c r="S204" s="438"/>
      <c r="T204" s="438"/>
      <c r="U204" s="438"/>
      <c r="V204" s="438"/>
      <c r="Z204" s="439"/>
      <c r="AA204" s="439" t="str">
        <f>IF(AND(F206=G206,H206=I206,F206="A"),"2016 - kwh","")</f>
        <v/>
      </c>
      <c r="AB204" s="439" t="str">
        <f>IF(OR(B204="2017 - kwh",B204="2018 - kwh"),"2016 - kwh","")</f>
        <v/>
      </c>
      <c r="AC204" s="439"/>
      <c r="AD204" s="439"/>
      <c r="AE204" s="439"/>
    </row>
    <row r="205" spans="1:31" hidden="1" x14ac:dyDescent="0.25">
      <c r="A205" s="438" t="str">
        <f>IF(AND(F206=G206,H206=I206,J206=K206,F206="A"),"2016 - kw",IF(AND(F206=G206,H206=I206,J206&lt;&gt;K206,F206="A"),"2017 - kw",IF(AND(F206=G206,H206&lt;&gt;I206,F206="A"),"2018 - kw","N/A")))</f>
        <v>N/A</v>
      </c>
      <c r="B205" s="438" t="str">
        <f>IF(F206&lt;&gt;G206,"2018 - kw",IF(H206&lt;&gt;I206,"2017 - kw",IF(J206&lt;&gt;K206,"2016 - kw","N/A")))</f>
        <v>N/A</v>
      </c>
      <c r="C205" s="446"/>
      <c r="D205" s="447" t="str">
        <f>D204 &amp; "kW"</f>
        <v>kW</v>
      </c>
      <c r="E205" s="448" t="s">
        <v>170</v>
      </c>
      <c r="F205" s="361"/>
      <c r="G205" s="361"/>
      <c r="H205" s="361"/>
      <c r="I205" s="361"/>
      <c r="J205" s="361"/>
      <c r="K205" s="361"/>
      <c r="L205" s="361"/>
      <c r="M205" s="361"/>
      <c r="N205" s="361"/>
      <c r="O205" s="361"/>
      <c r="P205" s="438"/>
      <c r="Q205" s="438"/>
      <c r="R205" s="438"/>
      <c r="S205" s="438"/>
      <c r="T205" s="438"/>
      <c r="U205" s="438"/>
      <c r="V205" s="438"/>
      <c r="Z205" s="439"/>
      <c r="AA205" s="439" t="str">
        <f>IF(AND(F206=G206,H206=I206,F206="A"),"2016 - kw","")</f>
        <v/>
      </c>
      <c r="AB205" s="439" t="str">
        <f>IF(OR(B205="2017 - kw",B205="2018 - kw"),"2016 - kw","")</f>
        <v/>
      </c>
      <c r="AC205" s="439"/>
      <c r="AD205" s="439"/>
      <c r="AE205" s="439"/>
    </row>
    <row r="206" spans="1:31" hidden="1" x14ac:dyDescent="0.25">
      <c r="A206" s="438"/>
      <c r="B206" s="438"/>
      <c r="C206" s="449"/>
      <c r="D206" s="424"/>
      <c r="E206" s="450" t="s">
        <v>210</v>
      </c>
      <c r="F206" s="437"/>
      <c r="G206" s="437"/>
      <c r="H206" s="437"/>
      <c r="I206" s="437"/>
      <c r="J206" s="437"/>
      <c r="K206" s="437"/>
      <c r="L206" s="437"/>
      <c r="M206" s="437"/>
      <c r="N206" s="437"/>
      <c r="O206" s="437"/>
      <c r="P206" s="438"/>
      <c r="Q206" s="438"/>
      <c r="R206" s="438"/>
      <c r="S206" s="438"/>
      <c r="T206" s="438"/>
      <c r="U206" s="438"/>
      <c r="V206" s="438"/>
      <c r="Z206" s="439"/>
      <c r="AA206" s="439"/>
      <c r="AB206" s="439"/>
      <c r="AC206" s="439"/>
      <c r="AD206" s="439"/>
      <c r="AE206" s="439"/>
    </row>
    <row r="207" spans="1:31" hidden="1" x14ac:dyDescent="0.25">
      <c r="A207" s="438" t="str">
        <f>IF(AND(F209=G209,H209=I209,J209=K209,F209="A"),"2016 - kwh",IF(AND(F209=G209,H209=I209,J209&lt;&gt;K209,F209="A"),"2017 - kwh",IF(AND(F209=G209,H209&lt;&gt;I209,F209="A"),"2018 - kwh","N/A")))</f>
        <v>N/A</v>
      </c>
      <c r="B207" s="438" t="str">
        <f>IF(F209&lt;&gt;G209,"2018 - kwh",IF(H209&lt;&gt;I209,"2017 - kwh",IF(J209&lt;&gt;K209,"2016 - kwh","N/A")))</f>
        <v>N/A</v>
      </c>
      <c r="C207" s="443" t="s">
        <v>268</v>
      </c>
      <c r="D207" s="444"/>
      <c r="E207" s="445" t="s">
        <v>139</v>
      </c>
      <c r="F207" s="361"/>
      <c r="G207" s="361"/>
      <c r="H207" s="361"/>
      <c r="I207" s="361"/>
      <c r="J207" s="361"/>
      <c r="K207" s="361"/>
      <c r="L207" s="361"/>
      <c r="M207" s="361"/>
      <c r="N207" s="361"/>
      <c r="O207" s="361"/>
      <c r="P207" s="438"/>
      <c r="Q207" s="438"/>
      <c r="R207" s="438"/>
      <c r="S207" s="438"/>
      <c r="T207" s="438"/>
      <c r="U207" s="438"/>
      <c r="V207" s="438"/>
      <c r="Z207" s="439"/>
      <c r="AA207" s="439" t="str">
        <f>IF(AND(F209=G209,H209=I209,F209="A"),"2016 - kwh","")</f>
        <v/>
      </c>
      <c r="AB207" s="439" t="str">
        <f>IF(OR(B207="2017 - kwh",B207="2018 - kwh"),"2016 - kwh","")</f>
        <v/>
      </c>
      <c r="AC207" s="439"/>
      <c r="AD207" s="439"/>
      <c r="AE207" s="439"/>
    </row>
    <row r="208" spans="1:31" hidden="1" x14ac:dyDescent="0.25">
      <c r="A208" s="438" t="str">
        <f>IF(AND(F209=G209,H209=I209,J209=K209,F209="A"),"2016 - kw",IF(AND(F209=G209,H209=I209,J209&lt;&gt;K209,F209="A"),"2017 - kw",IF(AND(F209=G209,H209&lt;&gt;I209,F209="A"),"2018 - kw","N/A")))</f>
        <v>N/A</v>
      </c>
      <c r="B208" s="438" t="str">
        <f>IF(F209&lt;&gt;G209,"2018 - kw",IF(H209&lt;&gt;I209,"2017 - kw",IF(J209&lt;&gt;K209,"2016 - kw","N/A")))</f>
        <v>N/A</v>
      </c>
      <c r="C208" s="446"/>
      <c r="D208" s="447" t="str">
        <f>D207 &amp; "kW"</f>
        <v>kW</v>
      </c>
      <c r="E208" s="448" t="s">
        <v>170</v>
      </c>
      <c r="F208" s="361"/>
      <c r="G208" s="361"/>
      <c r="H208" s="361"/>
      <c r="I208" s="361"/>
      <c r="J208" s="361"/>
      <c r="K208" s="361"/>
      <c r="L208" s="361"/>
      <c r="M208" s="361"/>
      <c r="N208" s="361"/>
      <c r="O208" s="361"/>
      <c r="P208" s="438"/>
      <c r="Q208" s="438"/>
      <c r="R208" s="438"/>
      <c r="S208" s="438"/>
      <c r="T208" s="438"/>
      <c r="U208" s="438"/>
      <c r="V208" s="438"/>
      <c r="Z208" s="439"/>
      <c r="AA208" s="439" t="str">
        <f>IF(AND(F209=G209,H209=I209,F209="A"),"2016 - kw","")</f>
        <v/>
      </c>
      <c r="AB208" s="439" t="str">
        <f>IF(OR(B208="2017 - kw",B208="2018 - kw"),"2016 - kw","")</f>
        <v/>
      </c>
      <c r="AC208" s="439"/>
      <c r="AD208" s="439"/>
      <c r="AE208" s="439"/>
    </row>
    <row r="209" spans="1:31" hidden="1" x14ac:dyDescent="0.25">
      <c r="A209" s="438"/>
      <c r="B209" s="438"/>
      <c r="C209" s="449"/>
      <c r="D209" s="424"/>
      <c r="E209" s="450" t="s">
        <v>210</v>
      </c>
      <c r="F209" s="437"/>
      <c r="G209" s="437"/>
      <c r="H209" s="437"/>
      <c r="I209" s="437"/>
      <c r="J209" s="437"/>
      <c r="K209" s="437"/>
      <c r="L209" s="437"/>
      <c r="M209" s="437"/>
      <c r="N209" s="437"/>
      <c r="O209" s="437"/>
      <c r="P209" s="438"/>
      <c r="Q209" s="438"/>
      <c r="R209" s="438"/>
      <c r="S209" s="438"/>
      <c r="T209" s="438"/>
      <c r="U209" s="438"/>
      <c r="V209" s="438"/>
      <c r="Z209" s="439"/>
      <c r="AA209" s="439"/>
      <c r="AB209" s="439"/>
      <c r="AC209" s="439"/>
      <c r="AD209" s="439"/>
      <c r="AE209" s="439"/>
    </row>
    <row r="210" spans="1:31" hidden="1" x14ac:dyDescent="0.25">
      <c r="A210" s="438" t="str">
        <f>IF(AND(F212=G212,H212=I212,J212=K212,F212="A"),"2016 - kwh",IF(AND(F212=G212,H212=I212,J212&lt;&gt;K212,F212="A"),"2017 - kwh",IF(AND(F212=G212,H212&lt;&gt;I212,F212="A"),"2018 - kwh","N/A")))</f>
        <v>N/A</v>
      </c>
      <c r="B210" s="438" t="str">
        <f>IF(F212&lt;&gt;G212,"2018 - kwh",IF(H212&lt;&gt;I212,"2017 - kwh",IF(J212&lt;&gt;K212,"2016 - kwh","N/A")))</f>
        <v>N/A</v>
      </c>
      <c r="C210" s="443" t="s">
        <v>269</v>
      </c>
      <c r="D210" s="444"/>
      <c r="E210" s="445" t="s">
        <v>139</v>
      </c>
      <c r="F210" s="361"/>
      <c r="G210" s="361"/>
      <c r="H210" s="361"/>
      <c r="I210" s="361"/>
      <c r="J210" s="361"/>
      <c r="K210" s="361"/>
      <c r="L210" s="361"/>
      <c r="M210" s="361"/>
      <c r="N210" s="361"/>
      <c r="O210" s="361"/>
      <c r="P210" s="438"/>
      <c r="Q210" s="438"/>
      <c r="R210" s="438"/>
      <c r="S210" s="438"/>
      <c r="T210" s="438"/>
      <c r="U210" s="438"/>
      <c r="V210" s="438"/>
      <c r="Z210" s="439"/>
      <c r="AA210" s="439" t="str">
        <f>IF(AND(F212=G212,H212=I212,F212="A"),"2016 - kwh","")</f>
        <v/>
      </c>
      <c r="AB210" s="439" t="str">
        <f>IF(OR(B210="2017 - kwh",B210="2018 - kwh"),"2016 - kwh","")</f>
        <v/>
      </c>
      <c r="AC210" s="439"/>
      <c r="AD210" s="439"/>
      <c r="AE210" s="439"/>
    </row>
    <row r="211" spans="1:31" hidden="1" x14ac:dyDescent="0.25">
      <c r="A211" s="438" t="str">
        <f>IF(AND(F212=G212,H212=I212,J212=K212,F212="A"),"2016 - kw",IF(AND(F212=G212,H212=I212,J212&lt;&gt;K212,F212="A"),"2017 - kw",IF(AND(F212=G212,H212&lt;&gt;I212,F212="A"),"2018 - kw","N/A")))</f>
        <v>N/A</v>
      </c>
      <c r="B211" s="438" t="str">
        <f>IF(F212&lt;&gt;G212,"2018 - kw",IF(H212&lt;&gt;I212,"2017 - kw",IF(J212&lt;&gt;K212,"2016 - kw","N/A")))</f>
        <v>N/A</v>
      </c>
      <c r="C211" s="446"/>
      <c r="D211" s="447" t="str">
        <f>D210 &amp; "kW"</f>
        <v>kW</v>
      </c>
      <c r="E211" s="448" t="s">
        <v>170</v>
      </c>
      <c r="F211" s="361"/>
      <c r="G211" s="361"/>
      <c r="H211" s="361"/>
      <c r="I211" s="361"/>
      <c r="J211" s="361"/>
      <c r="K211" s="361"/>
      <c r="L211" s="361"/>
      <c r="M211" s="361"/>
      <c r="N211" s="361"/>
      <c r="O211" s="361"/>
      <c r="P211" s="438"/>
      <c r="Q211" s="438"/>
      <c r="R211" s="438"/>
      <c r="S211" s="438"/>
      <c r="T211" s="438"/>
      <c r="U211" s="438"/>
      <c r="V211" s="438"/>
      <c r="Z211" s="439"/>
      <c r="AA211" s="439" t="str">
        <f>IF(AND(F212=G212,H212=I212,F212="A"),"2016 - kw","")</f>
        <v/>
      </c>
      <c r="AB211" s="439" t="str">
        <f>IF(OR(B211="2017 - kw",B211="2018 - kw"),"2016 - kw","")</f>
        <v/>
      </c>
      <c r="AC211" s="439"/>
      <c r="AD211" s="439"/>
      <c r="AE211" s="439"/>
    </row>
    <row r="212" spans="1:31" hidden="1" x14ac:dyDescent="0.25">
      <c r="A212" s="438"/>
      <c r="B212" s="438"/>
      <c r="C212" s="449"/>
      <c r="D212" s="424"/>
      <c r="E212" s="450" t="s">
        <v>210</v>
      </c>
      <c r="F212" s="437"/>
      <c r="G212" s="437"/>
      <c r="H212" s="437"/>
      <c r="I212" s="437"/>
      <c r="J212" s="437"/>
      <c r="K212" s="437"/>
      <c r="L212" s="437"/>
      <c r="M212" s="437"/>
      <c r="N212" s="437"/>
      <c r="O212" s="437"/>
      <c r="P212" s="438"/>
      <c r="Q212" s="438"/>
      <c r="R212" s="438"/>
      <c r="S212" s="438"/>
      <c r="T212" s="438"/>
      <c r="U212" s="438"/>
      <c r="V212" s="438"/>
      <c r="Z212" s="439"/>
      <c r="AA212" s="439"/>
      <c r="AB212" s="439"/>
      <c r="AC212" s="439"/>
      <c r="AD212" s="439"/>
      <c r="AE212" s="439"/>
    </row>
    <row r="213" spans="1:31" hidden="1" x14ac:dyDescent="0.25">
      <c r="A213" s="438" t="str">
        <f>IF(AND(F215=G215,H215=I215,J215=K215,F215="A"),"2016 - kwh",IF(AND(F215=G215,H215=I215,J215&lt;&gt;K215,F215="A"),"2017 - kwh",IF(AND(F215=G215,H215&lt;&gt;I215,F215="A"),"2018 - kwh","N/A")))</f>
        <v>N/A</v>
      </c>
      <c r="B213" s="438" t="str">
        <f>IF(F215&lt;&gt;G215,"2018 - kwh",IF(H215&lt;&gt;I215,"2017 - kwh",IF(J215&lt;&gt;K215,"2016 - kwh","N/A")))</f>
        <v>N/A</v>
      </c>
      <c r="C213" s="443" t="s">
        <v>270</v>
      </c>
      <c r="D213" s="444"/>
      <c r="E213" s="445" t="s">
        <v>139</v>
      </c>
      <c r="F213" s="361"/>
      <c r="G213" s="361"/>
      <c r="H213" s="361"/>
      <c r="I213" s="361"/>
      <c r="J213" s="361"/>
      <c r="K213" s="361"/>
      <c r="L213" s="361"/>
      <c r="M213" s="361"/>
      <c r="N213" s="361"/>
      <c r="O213" s="361"/>
      <c r="P213" s="438"/>
      <c r="Q213" s="438"/>
      <c r="R213" s="438"/>
      <c r="S213" s="438"/>
      <c r="T213" s="438"/>
      <c r="U213" s="438"/>
      <c r="V213" s="438"/>
      <c r="Z213" s="439"/>
      <c r="AA213" s="439" t="str">
        <f>IF(AND(F215=G215,H215=I215,F215="A"),"2016 - kwh","")</f>
        <v/>
      </c>
      <c r="AB213" s="439" t="str">
        <f>IF(OR(B213="2017 - kwh",B213="2018 - kwh"),"2016 - kwh","")</f>
        <v/>
      </c>
      <c r="AC213" s="439"/>
      <c r="AD213" s="439"/>
      <c r="AE213" s="439"/>
    </row>
    <row r="214" spans="1:31" hidden="1" x14ac:dyDescent="0.25">
      <c r="A214" s="438" t="str">
        <f>IF(AND(F215=G215,H215=I215,J215=K215,F215="A"),"2016 - kw",IF(AND(F215=G215,H215=I215,J215&lt;&gt;K215,F215="A"),"2017 - kw",IF(AND(F215=G215,H215&lt;&gt;I215,F215="A"),"2018 - kw","N/A")))</f>
        <v>N/A</v>
      </c>
      <c r="B214" s="438" t="str">
        <f>IF(F215&lt;&gt;G215,"2018 - kw",IF(H215&lt;&gt;I215,"2017 - kw",IF(J215&lt;&gt;K215,"2016 - kw","N/A")))</f>
        <v>N/A</v>
      </c>
      <c r="C214" s="446"/>
      <c r="D214" s="447" t="str">
        <f>D213 &amp; "kW"</f>
        <v>kW</v>
      </c>
      <c r="E214" s="448" t="s">
        <v>170</v>
      </c>
      <c r="F214" s="361"/>
      <c r="G214" s="361"/>
      <c r="H214" s="361"/>
      <c r="I214" s="361"/>
      <c r="J214" s="361"/>
      <c r="K214" s="361"/>
      <c r="L214" s="361"/>
      <c r="M214" s="361"/>
      <c r="N214" s="361"/>
      <c r="O214" s="361"/>
      <c r="P214" s="438"/>
      <c r="Q214" s="438"/>
      <c r="R214" s="438"/>
      <c r="S214" s="438"/>
      <c r="T214" s="438"/>
      <c r="U214" s="438"/>
      <c r="V214" s="438"/>
      <c r="Z214" s="439"/>
      <c r="AA214" s="439" t="str">
        <f>IF(AND(F215=G215,H215=I215,F215="A"),"2016 - kw","")</f>
        <v/>
      </c>
      <c r="AB214" s="439" t="str">
        <f>IF(OR(B214="2017 - kw",B214="2018 - kw"),"2016 - kw","")</f>
        <v/>
      </c>
      <c r="AC214" s="439"/>
      <c r="AD214" s="439"/>
      <c r="AE214" s="439"/>
    </row>
    <row r="215" spans="1:31" hidden="1" x14ac:dyDescent="0.25">
      <c r="A215" s="438"/>
      <c r="B215" s="438"/>
      <c r="C215" s="449"/>
      <c r="D215" s="424"/>
      <c r="E215" s="450" t="s">
        <v>210</v>
      </c>
      <c r="F215" s="437"/>
      <c r="G215" s="437"/>
      <c r="H215" s="437"/>
      <c r="I215" s="437"/>
      <c r="J215" s="437"/>
      <c r="K215" s="437"/>
      <c r="L215" s="437"/>
      <c r="M215" s="437"/>
      <c r="N215" s="437"/>
      <c r="O215" s="437"/>
      <c r="P215" s="438"/>
      <c r="Q215" s="438"/>
      <c r="R215" s="438"/>
      <c r="S215" s="438"/>
      <c r="T215" s="438"/>
      <c r="U215" s="438"/>
      <c r="V215" s="438"/>
      <c r="Z215" s="439"/>
      <c r="AA215" s="439"/>
      <c r="AB215" s="439"/>
      <c r="AC215" s="439"/>
      <c r="AD215" s="439"/>
      <c r="AE215" s="439"/>
    </row>
    <row r="216" spans="1:31" hidden="1" x14ac:dyDescent="0.25">
      <c r="A216" s="438" t="str">
        <f>IF(AND(F218=G218,H218=I218,J218=K218,F218="A"),"2016 - kwh",IF(AND(F218=G218,H218=I218,J218&lt;&gt;K218,F218="A"),"2017 - kwh",IF(AND(F218=G218,H218&lt;&gt;I218,F218="A"),"2018 - kwh","N/A")))</f>
        <v>N/A</v>
      </c>
      <c r="B216" s="438" t="str">
        <f>IF(F218&lt;&gt;G218,"2018 - kwh",IF(H218&lt;&gt;I218,"2017 - kwh",IF(J218&lt;&gt;K218,"2016 - kwh","N/A")))</f>
        <v>N/A</v>
      </c>
      <c r="C216" s="443" t="s">
        <v>271</v>
      </c>
      <c r="D216" s="444"/>
      <c r="E216" s="445" t="s">
        <v>139</v>
      </c>
      <c r="F216" s="361"/>
      <c r="G216" s="361"/>
      <c r="H216" s="361"/>
      <c r="I216" s="361"/>
      <c r="J216" s="361"/>
      <c r="K216" s="361"/>
      <c r="L216" s="361"/>
      <c r="M216" s="361"/>
      <c r="N216" s="361"/>
      <c r="O216" s="361"/>
      <c r="P216" s="438"/>
      <c r="Q216" s="438"/>
      <c r="R216" s="438"/>
      <c r="S216" s="438"/>
      <c r="T216" s="438"/>
      <c r="U216" s="438"/>
      <c r="V216" s="438"/>
      <c r="Z216" s="439"/>
      <c r="AA216" s="439" t="str">
        <f>IF(AND(F218=G218,H218=I218,F218="A"),"2016 - kwh","")</f>
        <v/>
      </c>
      <c r="AB216" s="439" t="str">
        <f>IF(OR(B216="2017 - kwh",B216="2018 - kwh"),"2016 - kwh","")</f>
        <v/>
      </c>
      <c r="AC216" s="439"/>
      <c r="AD216" s="439"/>
      <c r="AE216" s="439"/>
    </row>
    <row r="217" spans="1:31" hidden="1" x14ac:dyDescent="0.25">
      <c r="A217" s="438" t="str">
        <f>IF(AND(F218=G218,H218=I218,J218=K218,F218="A"),"2016 - kw",IF(AND(F218=G218,H218=I218,J218&lt;&gt;K218,F218="A"),"2017 - kw",IF(AND(F218=G218,H218&lt;&gt;I218,F218="A"),"2018 - kw","N/A")))</f>
        <v>N/A</v>
      </c>
      <c r="B217" s="438" t="str">
        <f>IF(F218&lt;&gt;G218,"2018 - kw",IF(H218&lt;&gt;I218,"2017 - kw",IF(J218&lt;&gt;K218,"2016 - kw","N/A")))</f>
        <v>N/A</v>
      </c>
      <c r="C217" s="446"/>
      <c r="D217" s="447" t="str">
        <f>D216 &amp; "kW"</f>
        <v>kW</v>
      </c>
      <c r="E217" s="448" t="s">
        <v>170</v>
      </c>
      <c r="F217" s="361"/>
      <c r="G217" s="361"/>
      <c r="H217" s="361"/>
      <c r="I217" s="361"/>
      <c r="J217" s="361"/>
      <c r="K217" s="361"/>
      <c r="L217" s="361"/>
      <c r="M217" s="361"/>
      <c r="N217" s="361"/>
      <c r="O217" s="361"/>
      <c r="P217" s="438"/>
      <c r="Q217" s="438"/>
      <c r="R217" s="438"/>
      <c r="S217" s="438"/>
      <c r="T217" s="438"/>
      <c r="U217" s="438"/>
      <c r="V217" s="438"/>
      <c r="Z217" s="439"/>
      <c r="AA217" s="439" t="str">
        <f>IF(AND(F218=G218,H218=I218,F218="A"),"2016 - kw","")</f>
        <v/>
      </c>
      <c r="AB217" s="439" t="str">
        <f>IF(OR(B217="2017 - kw",B217="2018 - kw"),"2016 - kw","")</f>
        <v/>
      </c>
      <c r="AC217" s="439"/>
      <c r="AD217" s="439"/>
      <c r="AE217" s="439"/>
    </row>
    <row r="218" spans="1:31" hidden="1" x14ac:dyDescent="0.25">
      <c r="A218" s="438"/>
      <c r="B218" s="438"/>
      <c r="C218" s="449"/>
      <c r="D218" s="424"/>
      <c r="E218" s="450" t="s">
        <v>210</v>
      </c>
      <c r="F218" s="437"/>
      <c r="G218" s="437"/>
      <c r="H218" s="437"/>
      <c r="I218" s="437"/>
      <c r="J218" s="437"/>
      <c r="K218" s="437"/>
      <c r="L218" s="437"/>
      <c r="M218" s="437"/>
      <c r="N218" s="437"/>
      <c r="O218" s="437"/>
      <c r="P218" s="438"/>
      <c r="Q218" s="438"/>
      <c r="R218" s="438"/>
      <c r="S218" s="438"/>
      <c r="T218" s="438"/>
      <c r="U218" s="438"/>
      <c r="V218" s="438"/>
      <c r="Z218" s="439"/>
      <c r="AA218" s="439"/>
      <c r="AB218" s="439"/>
      <c r="AC218" s="439"/>
      <c r="AD218" s="439"/>
      <c r="AE218" s="439"/>
    </row>
    <row r="219" spans="1:31" hidden="1" x14ac:dyDescent="0.25">
      <c r="A219" s="438" t="str">
        <f>IF(AND(F221=G221,H221=I221,J221=K221,F221="A"),"2016 - kwh",IF(AND(F221=G221,H221=I221,J221&lt;&gt;K221,F221="A"),"2017 - kwh",IF(AND(F221=G221,H221&lt;&gt;I221,F221="A"),"2018 - kwh","N/A")))</f>
        <v>N/A</v>
      </c>
      <c r="B219" s="438" t="str">
        <f>IF(F221&lt;&gt;G221,"2018 - kwh",IF(H221&lt;&gt;I221,"2017 - kwh",IF(J221&lt;&gt;K221,"2016 - kwh","N/A")))</f>
        <v>N/A</v>
      </c>
      <c r="C219" s="443" t="s">
        <v>272</v>
      </c>
      <c r="D219" s="444"/>
      <c r="E219" s="445" t="s">
        <v>139</v>
      </c>
      <c r="F219" s="361"/>
      <c r="G219" s="361"/>
      <c r="H219" s="361"/>
      <c r="I219" s="361"/>
      <c r="J219" s="361"/>
      <c r="K219" s="361"/>
      <c r="L219" s="361"/>
      <c r="M219" s="361"/>
      <c r="N219" s="361"/>
      <c r="O219" s="361"/>
      <c r="P219" s="438"/>
      <c r="Q219" s="438"/>
      <c r="R219" s="438"/>
      <c r="S219" s="438"/>
      <c r="T219" s="438"/>
      <c r="U219" s="438"/>
      <c r="V219" s="438"/>
      <c r="Z219" s="439"/>
      <c r="AA219" s="439" t="str">
        <f>IF(AND(F221=G221,H221=I221,F221="A"),"2016 - kwh","")</f>
        <v/>
      </c>
      <c r="AB219" s="439" t="str">
        <f>IF(OR(B219="2017 - kwh",B219="2018 - kwh"),"2016 - kwh","")</f>
        <v/>
      </c>
      <c r="AC219" s="439"/>
      <c r="AD219" s="439"/>
      <c r="AE219" s="439"/>
    </row>
    <row r="220" spans="1:31" hidden="1" x14ac:dyDescent="0.25">
      <c r="A220" s="438" t="str">
        <f>IF(AND(F221=G221,H221=I221,J221=K221,F221="A"),"2016 - kw",IF(AND(F221=G221,H221=I221,J221&lt;&gt;K221,F221="A"),"2017 - kw",IF(AND(F221=G221,H221&lt;&gt;I221,F221="A"),"2018 - kw","N/A")))</f>
        <v>N/A</v>
      </c>
      <c r="B220" s="438" t="str">
        <f>IF(F221&lt;&gt;G221,"2018 - kw",IF(H221&lt;&gt;I221,"2017 - kw",IF(J221&lt;&gt;K221,"2016 - kw","N/A")))</f>
        <v>N/A</v>
      </c>
      <c r="C220" s="446"/>
      <c r="D220" s="447" t="str">
        <f>D219 &amp; "kW"</f>
        <v>kW</v>
      </c>
      <c r="E220" s="448" t="s">
        <v>170</v>
      </c>
      <c r="F220" s="361"/>
      <c r="G220" s="361"/>
      <c r="H220" s="361"/>
      <c r="I220" s="361"/>
      <c r="J220" s="361"/>
      <c r="K220" s="361"/>
      <c r="L220" s="361"/>
      <c r="M220" s="361"/>
      <c r="N220" s="361"/>
      <c r="O220" s="361"/>
      <c r="P220" s="438"/>
      <c r="Q220" s="438"/>
      <c r="R220" s="438"/>
      <c r="S220" s="438"/>
      <c r="T220" s="438"/>
      <c r="U220" s="438"/>
      <c r="V220" s="438"/>
      <c r="Z220" s="439"/>
      <c r="AA220" s="439" t="str">
        <f>IF(AND(F221=G221,H221=I221,F221="A"),"2016 - kw","")</f>
        <v/>
      </c>
      <c r="AB220" s="439" t="str">
        <f>IF(OR(B220="2017 - kw",B220="2018 - kw"),"2016 - kw","")</f>
        <v/>
      </c>
      <c r="AC220" s="439"/>
      <c r="AD220" s="439"/>
      <c r="AE220" s="439"/>
    </row>
    <row r="221" spans="1:31" hidden="1" x14ac:dyDescent="0.25">
      <c r="A221" s="438"/>
      <c r="B221" s="438"/>
      <c r="C221" s="449"/>
      <c r="D221" s="424"/>
      <c r="E221" s="450" t="s">
        <v>210</v>
      </c>
      <c r="F221" s="437"/>
      <c r="G221" s="437"/>
      <c r="H221" s="437"/>
      <c r="I221" s="437"/>
      <c r="J221" s="437"/>
      <c r="K221" s="437"/>
      <c r="L221" s="437"/>
      <c r="M221" s="437"/>
      <c r="N221" s="437"/>
      <c r="O221" s="437"/>
      <c r="P221" s="438"/>
      <c r="Q221" s="438"/>
      <c r="R221" s="438"/>
      <c r="S221" s="438"/>
      <c r="T221" s="438"/>
      <c r="U221" s="438"/>
      <c r="V221" s="438"/>
      <c r="Z221" s="439"/>
      <c r="AA221" s="439"/>
      <c r="AB221" s="439"/>
      <c r="AC221" s="439"/>
      <c r="AD221" s="439"/>
      <c r="AE221" s="439"/>
    </row>
    <row r="222" spans="1:31" hidden="1" x14ac:dyDescent="0.25">
      <c r="A222" s="438" t="str">
        <f>IF(AND(F224=G224,H224=I224,J224=K224,F224="A"),"2016 - kwh",IF(AND(F224=G224,H224=I224,J224&lt;&gt;K224,F224="A"),"2017 - kwh",IF(AND(F224=G224,H224&lt;&gt;I224,F224="A"),"2018 - kwh","N/A")))</f>
        <v>N/A</v>
      </c>
      <c r="B222" s="438" t="str">
        <f>IF(F224&lt;&gt;G224,"2018 - kwh",IF(H224&lt;&gt;I224,"2017 - kwh",IF(J224&lt;&gt;K224,"2016 - kwh","N/A")))</f>
        <v>N/A</v>
      </c>
      <c r="C222" s="443" t="s">
        <v>273</v>
      </c>
      <c r="D222" s="444"/>
      <c r="E222" s="445" t="s">
        <v>139</v>
      </c>
      <c r="F222" s="361"/>
      <c r="G222" s="361"/>
      <c r="H222" s="361"/>
      <c r="I222" s="361"/>
      <c r="J222" s="361"/>
      <c r="K222" s="361"/>
      <c r="L222" s="361"/>
      <c r="M222" s="361"/>
      <c r="N222" s="361"/>
      <c r="O222" s="361"/>
      <c r="P222" s="438"/>
      <c r="Q222" s="438"/>
      <c r="R222" s="438"/>
      <c r="S222" s="438"/>
      <c r="T222" s="438"/>
      <c r="U222" s="438"/>
      <c r="V222" s="438"/>
      <c r="Z222" s="439"/>
      <c r="AA222" s="439" t="str">
        <f>IF(AND(F224=G224,H224=I224,F224="A"),"2016 - kwh","")</f>
        <v/>
      </c>
      <c r="AB222" s="439" t="str">
        <f>IF(OR(B222="2017 - kwh",B222="2018 - kwh"),"2016 - kwh","")</f>
        <v/>
      </c>
      <c r="AC222" s="439"/>
      <c r="AD222" s="439"/>
      <c r="AE222" s="439"/>
    </row>
    <row r="223" spans="1:31" hidden="1" x14ac:dyDescent="0.25">
      <c r="A223" s="438" t="str">
        <f>IF(AND(F224=G224,H224=I224,J224=K224,F224="A"),"2016 - kw",IF(AND(F224=G224,H224=I224,J224&lt;&gt;K224,F224="A"),"2017 - kw",IF(AND(F224=G224,H224&lt;&gt;I224,F224="A"),"2018 - kw","N/A")))</f>
        <v>N/A</v>
      </c>
      <c r="B223" s="438" t="str">
        <f>IF(F224&lt;&gt;G224,"2018 - kw",IF(H224&lt;&gt;I224,"2017 - kw",IF(J224&lt;&gt;K224,"2016 - kw","N/A")))</f>
        <v>N/A</v>
      </c>
      <c r="C223" s="446"/>
      <c r="D223" s="447" t="str">
        <f>D222 &amp; "kW"</f>
        <v>kW</v>
      </c>
      <c r="E223" s="448" t="s">
        <v>170</v>
      </c>
      <c r="F223" s="361"/>
      <c r="G223" s="361"/>
      <c r="H223" s="361"/>
      <c r="I223" s="361"/>
      <c r="J223" s="361"/>
      <c r="K223" s="361"/>
      <c r="L223" s="361"/>
      <c r="M223" s="361"/>
      <c r="N223" s="361"/>
      <c r="O223" s="361"/>
      <c r="P223" s="438"/>
      <c r="Q223" s="438"/>
      <c r="R223" s="438"/>
      <c r="S223" s="438"/>
      <c r="T223" s="438"/>
      <c r="U223" s="438"/>
      <c r="V223" s="438"/>
      <c r="Z223" s="439"/>
      <c r="AA223" s="439" t="str">
        <f>IF(AND(F224=G224,H224=I224,F224="A"),"2016 - kw","")</f>
        <v/>
      </c>
      <c r="AB223" s="439" t="str">
        <f>IF(OR(B223="2017 - kw",B223="2018 - kw"),"2016 - kw","")</f>
        <v/>
      </c>
      <c r="AC223" s="439"/>
      <c r="AD223" s="439"/>
      <c r="AE223" s="439"/>
    </row>
    <row r="224" spans="1:31" hidden="1" x14ac:dyDescent="0.25">
      <c r="A224" s="438"/>
      <c r="B224" s="438"/>
      <c r="C224" s="449"/>
      <c r="D224" s="424"/>
      <c r="E224" s="450" t="s">
        <v>210</v>
      </c>
      <c r="F224" s="437"/>
      <c r="G224" s="437"/>
      <c r="H224" s="437"/>
      <c r="I224" s="437"/>
      <c r="J224" s="437"/>
      <c r="K224" s="437"/>
      <c r="L224" s="437"/>
      <c r="M224" s="437"/>
      <c r="N224" s="437"/>
      <c r="O224" s="437"/>
      <c r="P224" s="438"/>
      <c r="Q224" s="438"/>
      <c r="R224" s="438"/>
      <c r="S224" s="438"/>
      <c r="T224" s="438"/>
      <c r="U224" s="438"/>
      <c r="V224" s="438"/>
      <c r="Z224" s="439"/>
      <c r="AA224" s="439"/>
      <c r="AB224" s="439"/>
      <c r="AC224" s="439"/>
      <c r="AD224" s="439"/>
      <c r="AE224" s="439"/>
    </row>
    <row r="225" spans="1:31" hidden="1" x14ac:dyDescent="0.25">
      <c r="A225" s="438" t="str">
        <f>IF(AND(F227=G227,H227=I227,J227=K227,F227="A"),"2016 - kwh",IF(AND(F227=G227,H227=I227,J227&lt;&gt;K227,F227="A"),"2017 - kwh",IF(AND(F227=G227,H227&lt;&gt;I227,F227="A"),"2018 - kwh","N/A")))</f>
        <v>N/A</v>
      </c>
      <c r="B225" s="438" t="str">
        <f>IF(F227&lt;&gt;G227,"2018 - kwh",IF(H227&lt;&gt;I227,"2017 - kwh",IF(J227&lt;&gt;K227,"2016 - kwh","N/A")))</f>
        <v>N/A</v>
      </c>
      <c r="C225" s="443" t="s">
        <v>274</v>
      </c>
      <c r="D225" s="444"/>
      <c r="E225" s="445" t="s">
        <v>139</v>
      </c>
      <c r="F225" s="361"/>
      <c r="G225" s="361"/>
      <c r="H225" s="361"/>
      <c r="I225" s="361"/>
      <c r="J225" s="361"/>
      <c r="K225" s="361"/>
      <c r="L225" s="361"/>
      <c r="M225" s="361"/>
      <c r="N225" s="361"/>
      <c r="O225" s="361"/>
      <c r="P225" s="438"/>
      <c r="Q225" s="438"/>
      <c r="R225" s="438"/>
      <c r="S225" s="438"/>
      <c r="T225" s="438"/>
      <c r="U225" s="438"/>
      <c r="V225" s="438"/>
      <c r="Z225" s="439"/>
      <c r="AA225" s="439" t="str">
        <f>IF(AND(F227=G227,H227=I227,F227="A"),"2016 - kwh","")</f>
        <v/>
      </c>
      <c r="AB225" s="439" t="str">
        <f>IF(OR(B225="2017 - kwh",B225="2018 - kwh"),"2016 - kwh","")</f>
        <v/>
      </c>
      <c r="AC225" s="439"/>
      <c r="AD225" s="439"/>
      <c r="AE225" s="439"/>
    </row>
    <row r="226" spans="1:31" hidden="1" x14ac:dyDescent="0.25">
      <c r="A226" s="438" t="str">
        <f>IF(AND(F227=G227,H227=I227,J227=K227,F227="A"),"2016 - kw",IF(AND(F227=G227,H227=I227,J227&lt;&gt;K227,F227="A"),"2017 - kw",IF(AND(F227=G227,H227&lt;&gt;I227,F227="A"),"2018 - kw","N/A")))</f>
        <v>N/A</v>
      </c>
      <c r="B226" s="438" t="str">
        <f>IF(F227&lt;&gt;G227,"2018 - kw",IF(H227&lt;&gt;I227,"2017 - kw",IF(J227&lt;&gt;K227,"2016 - kw","N/A")))</f>
        <v>N/A</v>
      </c>
      <c r="C226" s="446"/>
      <c r="D226" s="447" t="str">
        <f>D225 &amp; "kW"</f>
        <v>kW</v>
      </c>
      <c r="E226" s="448" t="s">
        <v>170</v>
      </c>
      <c r="F226" s="361"/>
      <c r="G226" s="361"/>
      <c r="H226" s="361"/>
      <c r="I226" s="361"/>
      <c r="J226" s="361"/>
      <c r="K226" s="361"/>
      <c r="L226" s="361"/>
      <c r="M226" s="361"/>
      <c r="N226" s="361"/>
      <c r="O226" s="361"/>
      <c r="P226" s="438"/>
      <c r="Q226" s="438"/>
      <c r="R226" s="438"/>
      <c r="S226" s="438"/>
      <c r="T226" s="438"/>
      <c r="U226" s="438"/>
      <c r="V226" s="438"/>
      <c r="Z226" s="439"/>
      <c r="AA226" s="439" t="str">
        <f>IF(AND(F227=G227,H227=I227,F227="A"),"2016 - kw","")</f>
        <v/>
      </c>
      <c r="AB226" s="439" t="str">
        <f>IF(OR(B226="2017 - kw",B226="2018 - kw"),"2016 - kw","")</f>
        <v/>
      </c>
      <c r="AC226" s="439"/>
      <c r="AD226" s="439"/>
      <c r="AE226" s="439"/>
    </row>
    <row r="227" spans="1:31" hidden="1" x14ac:dyDescent="0.25">
      <c r="A227" s="438"/>
      <c r="B227" s="438"/>
      <c r="C227" s="449"/>
      <c r="D227" s="424"/>
      <c r="E227" s="450" t="s">
        <v>210</v>
      </c>
      <c r="F227" s="437"/>
      <c r="G227" s="437"/>
      <c r="H227" s="437"/>
      <c r="I227" s="437"/>
      <c r="J227" s="437"/>
      <c r="K227" s="437"/>
      <c r="L227" s="437"/>
      <c r="M227" s="437"/>
      <c r="N227" s="437"/>
      <c r="O227" s="437"/>
      <c r="P227" s="438"/>
      <c r="Q227" s="438"/>
      <c r="R227" s="438"/>
      <c r="S227" s="438"/>
      <c r="T227" s="438"/>
      <c r="U227" s="438"/>
      <c r="V227" s="438"/>
      <c r="Z227" s="439"/>
      <c r="AA227" s="439"/>
      <c r="AB227" s="439"/>
      <c r="AC227" s="439"/>
      <c r="AD227" s="439"/>
      <c r="AE227" s="439"/>
    </row>
    <row r="228" spans="1:31" hidden="1" x14ac:dyDescent="0.25">
      <c r="A228" s="438" t="str">
        <f>IF(AND(F230=G230,H230=I230,J230=K230,F230="A"),"2016 - kwh",IF(AND(F230=G230,H230=I230,J230&lt;&gt;K230,F230="A"),"2017 - kwh",IF(AND(F230=G230,H230&lt;&gt;I230,F230="A"),"2018 - kwh","N/A")))</f>
        <v>N/A</v>
      </c>
      <c r="B228" s="438" t="str">
        <f>IF(F230&lt;&gt;G230,"2018 - kwh",IF(H230&lt;&gt;I230,"2017 - kwh",IF(J230&lt;&gt;K230,"2016 - kwh","N/A")))</f>
        <v>N/A</v>
      </c>
      <c r="C228" s="443" t="s">
        <v>275</v>
      </c>
      <c r="D228" s="444"/>
      <c r="E228" s="445" t="s">
        <v>139</v>
      </c>
      <c r="F228" s="361"/>
      <c r="G228" s="361"/>
      <c r="H228" s="361"/>
      <c r="I228" s="361"/>
      <c r="J228" s="361"/>
      <c r="K228" s="361"/>
      <c r="L228" s="361"/>
      <c r="M228" s="361"/>
      <c r="N228" s="361"/>
      <c r="O228" s="361"/>
      <c r="P228" s="438"/>
      <c r="Q228" s="438"/>
      <c r="R228" s="438"/>
      <c r="S228" s="438"/>
      <c r="T228" s="438"/>
      <c r="U228" s="438"/>
      <c r="V228" s="438"/>
      <c r="Z228" s="439"/>
      <c r="AA228" s="439" t="str">
        <f>IF(AND(F230=G230,H230=I230,F230="A"),"2016 - kwh","")</f>
        <v/>
      </c>
      <c r="AB228" s="439" t="str">
        <f>IF(OR(B228="2017 - kwh",B228="2018 - kwh"),"2016 - kwh","")</f>
        <v/>
      </c>
      <c r="AC228" s="439"/>
      <c r="AD228" s="439"/>
      <c r="AE228" s="439"/>
    </row>
    <row r="229" spans="1:31" hidden="1" x14ac:dyDescent="0.25">
      <c r="A229" s="438" t="str">
        <f>IF(AND(F230=G230,H230=I230,J230=K230,F230="A"),"2016 - kw",IF(AND(F230=G230,H230=I230,J230&lt;&gt;K230,F230="A"),"2017 - kw",IF(AND(F230=G230,H230&lt;&gt;I230,F230="A"),"2018 - kw","N/A")))</f>
        <v>N/A</v>
      </c>
      <c r="B229" s="438" t="str">
        <f>IF(F230&lt;&gt;G230,"2018 - kw",IF(H230&lt;&gt;I230,"2017 - kw",IF(J230&lt;&gt;K230,"2016 - kw","N/A")))</f>
        <v>N/A</v>
      </c>
      <c r="C229" s="446"/>
      <c r="D229" s="447" t="str">
        <f>D228 &amp; "kW"</f>
        <v>kW</v>
      </c>
      <c r="E229" s="448" t="s">
        <v>170</v>
      </c>
      <c r="F229" s="361"/>
      <c r="G229" s="361"/>
      <c r="H229" s="361"/>
      <c r="I229" s="361"/>
      <c r="J229" s="361"/>
      <c r="K229" s="361"/>
      <c r="L229" s="361"/>
      <c r="M229" s="361"/>
      <c r="N229" s="361"/>
      <c r="O229" s="361"/>
      <c r="P229" s="438"/>
      <c r="Q229" s="438"/>
      <c r="R229" s="438"/>
      <c r="S229" s="438"/>
      <c r="T229" s="438"/>
      <c r="U229" s="438"/>
      <c r="V229" s="438"/>
      <c r="Z229" s="439"/>
      <c r="AA229" s="439" t="str">
        <f>IF(AND(F230=G230,H230=I230,F230="A"),"2016 - kw","")</f>
        <v/>
      </c>
      <c r="AB229" s="439" t="str">
        <f>IF(OR(B229="2017 - kw",B229="2018 - kw"),"2016 - kw","")</f>
        <v/>
      </c>
      <c r="AC229" s="439"/>
      <c r="AD229" s="439"/>
      <c r="AE229" s="439"/>
    </row>
    <row r="230" spans="1:31" hidden="1" x14ac:dyDescent="0.25">
      <c r="A230" s="438"/>
      <c r="B230" s="438"/>
      <c r="C230" s="449"/>
      <c r="D230" s="424"/>
      <c r="E230" s="450" t="s">
        <v>210</v>
      </c>
      <c r="F230" s="437"/>
      <c r="G230" s="437"/>
      <c r="H230" s="437"/>
      <c r="I230" s="437"/>
      <c r="J230" s="437"/>
      <c r="K230" s="437"/>
      <c r="L230" s="437"/>
      <c r="M230" s="437"/>
      <c r="N230" s="437"/>
      <c r="O230" s="437"/>
      <c r="P230" s="438"/>
      <c r="Q230" s="438"/>
      <c r="R230" s="438"/>
      <c r="S230" s="438"/>
      <c r="T230" s="438"/>
      <c r="U230" s="438"/>
      <c r="V230" s="438"/>
      <c r="Z230" s="439"/>
      <c r="AA230" s="439"/>
      <c r="AB230" s="439"/>
      <c r="AC230" s="439"/>
      <c r="AD230" s="439"/>
      <c r="AE230" s="439"/>
    </row>
    <row r="231" spans="1:31" hidden="1" x14ac:dyDescent="0.25">
      <c r="A231" s="438" t="str">
        <f>IF(AND(F233=G233,H233=I233,J233=K233,F233="A"),"2016 - kwh",IF(AND(F233=G233,H233=I233,J233&lt;&gt;K233,F233="A"),"2017 - kwh",IF(AND(F233=G233,H233&lt;&gt;I233,F233="A"),"2018 - kwh","N/A")))</f>
        <v>N/A</v>
      </c>
      <c r="B231" s="438" t="str">
        <f>IF(F233&lt;&gt;G233,"2018 - kwh",IF(H233&lt;&gt;I233,"2017 - kwh",IF(J233&lt;&gt;K233,"2016 - kwh","N/A")))</f>
        <v>N/A</v>
      </c>
      <c r="C231" s="443" t="s">
        <v>276</v>
      </c>
      <c r="D231" s="444"/>
      <c r="E231" s="445" t="s">
        <v>139</v>
      </c>
      <c r="F231" s="361"/>
      <c r="G231" s="361"/>
      <c r="H231" s="361"/>
      <c r="I231" s="361"/>
      <c r="J231" s="361"/>
      <c r="K231" s="361"/>
      <c r="L231" s="361"/>
      <c r="M231" s="361"/>
      <c r="N231" s="361"/>
      <c r="O231" s="361"/>
      <c r="P231" s="438"/>
      <c r="Q231" s="438"/>
      <c r="R231" s="438"/>
      <c r="S231" s="438"/>
      <c r="T231" s="438"/>
      <c r="U231" s="438"/>
      <c r="V231" s="438"/>
      <c r="Z231" s="439"/>
      <c r="AA231" s="439" t="str">
        <f>IF(AND(F233=G233,H233=I233,F233="A"),"2016 - kwh","")</f>
        <v/>
      </c>
      <c r="AB231" s="439" t="str">
        <f>IF(OR(B231="2017 - kwh",B231="2018 - kwh"),"2016 - kwh","")</f>
        <v/>
      </c>
      <c r="AC231" s="439"/>
      <c r="AD231" s="439"/>
      <c r="AE231" s="439"/>
    </row>
    <row r="232" spans="1:31" hidden="1" x14ac:dyDescent="0.25">
      <c r="A232" s="438" t="str">
        <f>IF(AND(F233=G233,H233=I233,J233=K233,F233="A"),"2016 - kw",IF(AND(F233=G233,H233=I233,J233&lt;&gt;K233,F233="A"),"2017 - kw",IF(AND(F233=G233,H233&lt;&gt;I233,F233="A"),"2018 - kw","N/A")))</f>
        <v>N/A</v>
      </c>
      <c r="B232" s="438" t="str">
        <f>IF(F233&lt;&gt;G233,"2018 - kw",IF(H233&lt;&gt;I233,"2017 - kw",IF(J233&lt;&gt;K233,"2016 - kw","N/A")))</f>
        <v>N/A</v>
      </c>
      <c r="C232" s="446"/>
      <c r="D232" s="447" t="str">
        <f>D231 &amp; "kW"</f>
        <v>kW</v>
      </c>
      <c r="E232" s="448" t="s">
        <v>170</v>
      </c>
      <c r="F232" s="361"/>
      <c r="G232" s="361"/>
      <c r="H232" s="361"/>
      <c r="I232" s="361"/>
      <c r="J232" s="361"/>
      <c r="K232" s="361"/>
      <c r="L232" s="361"/>
      <c r="M232" s="361"/>
      <c r="N232" s="361"/>
      <c r="O232" s="361"/>
      <c r="P232" s="438"/>
      <c r="Q232" s="438"/>
      <c r="R232" s="438"/>
      <c r="S232" s="438"/>
      <c r="T232" s="438"/>
      <c r="U232" s="438"/>
      <c r="V232" s="438"/>
      <c r="Z232" s="439"/>
      <c r="AA232" s="439" t="str">
        <f>IF(AND(F233=G233,H233=I233,F233="A"),"2016 - kw","")</f>
        <v/>
      </c>
      <c r="AB232" s="439" t="str">
        <f>IF(OR(B232="2017 - kw",B232="2018 - kw"),"2016 - kw","")</f>
        <v/>
      </c>
      <c r="AC232" s="439"/>
      <c r="AD232" s="439"/>
      <c r="AE232" s="439"/>
    </row>
    <row r="233" spans="1:31" hidden="1" x14ac:dyDescent="0.25">
      <c r="A233" s="438"/>
      <c r="B233" s="438"/>
      <c r="C233" s="449"/>
      <c r="D233" s="424"/>
      <c r="E233" s="450" t="s">
        <v>210</v>
      </c>
      <c r="F233" s="437"/>
      <c r="G233" s="437"/>
      <c r="H233" s="437"/>
      <c r="I233" s="437"/>
      <c r="J233" s="437"/>
      <c r="K233" s="437"/>
      <c r="L233" s="437"/>
      <c r="M233" s="437"/>
      <c r="N233" s="437"/>
      <c r="O233" s="437"/>
      <c r="P233" s="438"/>
      <c r="Q233" s="438"/>
      <c r="R233" s="438"/>
      <c r="S233" s="438"/>
      <c r="T233" s="438"/>
      <c r="U233" s="438"/>
      <c r="V233" s="438"/>
      <c r="Z233" s="439"/>
      <c r="AA233" s="439"/>
      <c r="AB233" s="439"/>
      <c r="AC233" s="439"/>
      <c r="AD233" s="439"/>
      <c r="AE233" s="439"/>
    </row>
    <row r="234" spans="1:31" hidden="1" x14ac:dyDescent="0.25">
      <c r="A234" s="438" t="str">
        <f>IF(AND(F236=G236,H236=I236,J236=K236,F236="A"),"2016 - kwh",IF(AND(F236=G236,H236=I236,J236&lt;&gt;K236,F236="A"),"2017 - kwh",IF(AND(F236=G236,H236&lt;&gt;I236,F236="A"),"2018 - kwh","N/A")))</f>
        <v>N/A</v>
      </c>
      <c r="B234" s="438" t="str">
        <f>IF(F236&lt;&gt;G236,"2018 - kwh",IF(H236&lt;&gt;I236,"2017 - kwh",IF(J236&lt;&gt;K236,"2016 - kwh","N/A")))</f>
        <v>N/A</v>
      </c>
      <c r="C234" s="443" t="s">
        <v>277</v>
      </c>
      <c r="D234" s="444"/>
      <c r="E234" s="445" t="s">
        <v>139</v>
      </c>
      <c r="F234" s="361"/>
      <c r="G234" s="361"/>
      <c r="H234" s="361"/>
      <c r="I234" s="361"/>
      <c r="J234" s="361"/>
      <c r="K234" s="361"/>
      <c r="L234" s="361"/>
      <c r="M234" s="361"/>
      <c r="N234" s="361"/>
      <c r="O234" s="361"/>
      <c r="P234" s="438"/>
      <c r="Q234" s="438"/>
      <c r="R234" s="438"/>
      <c r="S234" s="438"/>
      <c r="T234" s="438"/>
      <c r="U234" s="438"/>
      <c r="V234" s="438"/>
      <c r="Z234" s="439"/>
      <c r="AA234" s="439" t="str">
        <f>IF(AND(F236=G236,H236=I236,F236="A"),"2016 - kwh","")</f>
        <v/>
      </c>
      <c r="AB234" s="439" t="str">
        <f>IF(OR(B234="2017 - kwh",B234="2018 - kwh"),"2016 - kwh","")</f>
        <v/>
      </c>
      <c r="AC234" s="439"/>
      <c r="AD234" s="439"/>
      <c r="AE234" s="439"/>
    </row>
    <row r="235" spans="1:31" hidden="1" x14ac:dyDescent="0.25">
      <c r="A235" s="438" t="str">
        <f>IF(AND(F236=G236,H236=I236,J236=K236,F236="A"),"2016 - kw",IF(AND(F236=G236,H236=I236,J236&lt;&gt;K236,F236="A"),"2017 - kw",IF(AND(F236=G236,H236&lt;&gt;I236,F236="A"),"2018 - kw","N/A")))</f>
        <v>N/A</v>
      </c>
      <c r="B235" s="438" t="str">
        <f>IF(F236&lt;&gt;G236,"2018 - kw",IF(H236&lt;&gt;I236,"2017 - kw",IF(J236&lt;&gt;K236,"2016 - kw","N/A")))</f>
        <v>N/A</v>
      </c>
      <c r="C235" s="446"/>
      <c r="D235" s="447" t="str">
        <f>D234 &amp; "kW"</f>
        <v>kW</v>
      </c>
      <c r="E235" s="448" t="s">
        <v>170</v>
      </c>
      <c r="F235" s="361"/>
      <c r="G235" s="361"/>
      <c r="H235" s="361"/>
      <c r="I235" s="361"/>
      <c r="J235" s="361"/>
      <c r="K235" s="361"/>
      <c r="L235" s="361"/>
      <c r="M235" s="361"/>
      <c r="N235" s="361"/>
      <c r="O235" s="361"/>
      <c r="P235" s="438"/>
      <c r="Q235" s="438"/>
      <c r="R235" s="438"/>
      <c r="S235" s="438"/>
      <c r="T235" s="438"/>
      <c r="U235" s="438"/>
      <c r="V235" s="438"/>
      <c r="Z235" s="439"/>
      <c r="AA235" s="439" t="str">
        <f>IF(AND(F236=G236,H236=I236,F236="A"),"2016 - kw","")</f>
        <v/>
      </c>
      <c r="AB235" s="439" t="str">
        <f>IF(OR(B235="2017 - kw",B235="2018 - kw"),"2016 - kw","")</f>
        <v/>
      </c>
      <c r="AC235" s="439"/>
      <c r="AD235" s="439"/>
      <c r="AE235" s="439"/>
    </row>
    <row r="236" spans="1:31" hidden="1" x14ac:dyDescent="0.25">
      <c r="A236" s="438"/>
      <c r="B236" s="438"/>
      <c r="C236" s="449"/>
      <c r="D236" s="424"/>
      <c r="E236" s="450" t="s">
        <v>210</v>
      </c>
      <c r="F236" s="437"/>
      <c r="G236" s="437"/>
      <c r="H236" s="437"/>
      <c r="I236" s="437"/>
      <c r="J236" s="437"/>
      <c r="K236" s="437"/>
      <c r="L236" s="437"/>
      <c r="M236" s="437"/>
      <c r="N236" s="437"/>
      <c r="O236" s="437"/>
      <c r="P236" s="438"/>
      <c r="Q236" s="438"/>
      <c r="R236" s="438"/>
      <c r="S236" s="438"/>
      <c r="T236" s="438"/>
      <c r="U236" s="438"/>
      <c r="V236" s="438"/>
      <c r="Z236" s="439"/>
      <c r="AA236" s="439"/>
      <c r="AB236" s="439"/>
      <c r="AC236" s="439"/>
      <c r="AD236" s="439"/>
      <c r="AE236" s="439"/>
    </row>
    <row r="237" spans="1:31" hidden="1" x14ac:dyDescent="0.25">
      <c r="A237" s="438" t="str">
        <f>IF(AND(F239=G239,H239=I239,J239=K239,F239="A"),"2016 - kwh",IF(AND(F239=G239,H239=I239,J239&lt;&gt;K239,F239="A"),"2017 - kwh",IF(AND(F239=G239,H239&lt;&gt;I239,F239="A"),"2018 - kwh","N/A")))</f>
        <v>N/A</v>
      </c>
      <c r="B237" s="438" t="str">
        <f>IF(F239&lt;&gt;G239,"2018 - kwh",IF(H239&lt;&gt;I239,"2017 - kwh",IF(J239&lt;&gt;K239,"2016 - kwh","N/A")))</f>
        <v>N/A</v>
      </c>
      <c r="C237" s="443" t="s">
        <v>278</v>
      </c>
      <c r="D237" s="444"/>
      <c r="E237" s="445" t="s">
        <v>139</v>
      </c>
      <c r="F237" s="361"/>
      <c r="G237" s="361"/>
      <c r="H237" s="361"/>
      <c r="I237" s="361"/>
      <c r="J237" s="361"/>
      <c r="K237" s="361"/>
      <c r="L237" s="361"/>
      <c r="M237" s="361"/>
      <c r="N237" s="361"/>
      <c r="O237" s="361"/>
      <c r="P237" s="438"/>
      <c r="Q237" s="438"/>
      <c r="R237" s="438"/>
      <c r="S237" s="438"/>
      <c r="T237" s="438"/>
      <c r="U237" s="438"/>
      <c r="V237" s="438"/>
      <c r="Z237" s="439"/>
      <c r="AA237" s="439" t="str">
        <f>IF(AND(F239=G239,H239=I239,F239="A"),"2016 - kwh","")</f>
        <v/>
      </c>
      <c r="AB237" s="439" t="str">
        <f>IF(OR(B237="2017 - kwh",B237="2018 - kwh"),"2016 - kwh","")</f>
        <v/>
      </c>
      <c r="AC237" s="439"/>
      <c r="AD237" s="439"/>
      <c r="AE237" s="439"/>
    </row>
    <row r="238" spans="1:31" hidden="1" x14ac:dyDescent="0.25">
      <c r="A238" s="438" t="str">
        <f>IF(AND(F239=G239,H239=I239,J239=K239,F239="A"),"2016 - kw",IF(AND(F239=G239,H239=I239,J239&lt;&gt;K239,F239="A"),"2017 - kw",IF(AND(F239=G239,H239&lt;&gt;I239,F239="A"),"2018 - kw","N/A")))</f>
        <v>N/A</v>
      </c>
      <c r="B238" s="438" t="str">
        <f>IF(F239&lt;&gt;G239,"2018 - kw",IF(H239&lt;&gt;I239,"2017 - kw",IF(J239&lt;&gt;K239,"2016 - kw","N/A")))</f>
        <v>N/A</v>
      </c>
      <c r="C238" s="446"/>
      <c r="D238" s="447" t="str">
        <f>D237 &amp; "kW"</f>
        <v>kW</v>
      </c>
      <c r="E238" s="448" t="s">
        <v>170</v>
      </c>
      <c r="F238" s="361"/>
      <c r="G238" s="361"/>
      <c r="H238" s="361"/>
      <c r="I238" s="361"/>
      <c r="J238" s="361"/>
      <c r="K238" s="361"/>
      <c r="L238" s="361"/>
      <c r="M238" s="361"/>
      <c r="N238" s="361"/>
      <c r="O238" s="361"/>
      <c r="P238" s="438"/>
      <c r="Q238" s="438"/>
      <c r="R238" s="438"/>
      <c r="S238" s="438"/>
      <c r="T238" s="438"/>
      <c r="U238" s="438"/>
      <c r="V238" s="438"/>
      <c r="Z238" s="439"/>
      <c r="AA238" s="439" t="str">
        <f>IF(AND(F239=G239,H239=I239,F239="A"),"2016 - kw","")</f>
        <v/>
      </c>
      <c r="AB238" s="439" t="str">
        <f>IF(OR(B238="2017 - kw",B238="2018 - kw"),"2016 - kw","")</f>
        <v/>
      </c>
      <c r="AC238" s="439"/>
      <c r="AD238" s="439"/>
      <c r="AE238" s="439"/>
    </row>
    <row r="239" spans="1:31" hidden="1" x14ac:dyDescent="0.25">
      <c r="A239" s="438"/>
      <c r="B239" s="438"/>
      <c r="C239" s="449"/>
      <c r="D239" s="424"/>
      <c r="E239" s="450" t="s">
        <v>210</v>
      </c>
      <c r="F239" s="437"/>
      <c r="G239" s="437"/>
      <c r="H239" s="437"/>
      <c r="I239" s="437"/>
      <c r="J239" s="437"/>
      <c r="K239" s="437"/>
      <c r="L239" s="437"/>
      <c r="M239" s="437"/>
      <c r="N239" s="437"/>
      <c r="O239" s="437"/>
      <c r="P239" s="438"/>
      <c r="Q239" s="438"/>
      <c r="R239" s="438"/>
      <c r="S239" s="438"/>
      <c r="T239" s="438"/>
      <c r="U239" s="438"/>
      <c r="V239" s="438"/>
      <c r="Z239" s="439"/>
      <c r="AA239" s="439"/>
      <c r="AB239" s="439"/>
      <c r="AC239" s="439"/>
      <c r="AD239" s="439"/>
      <c r="AE239" s="439"/>
    </row>
    <row r="240" spans="1:31" hidden="1" x14ac:dyDescent="0.25">
      <c r="A240" s="438" t="str">
        <f>IF(AND(F242=G242,H242=I242,J242=K242,F242="A"),"2016 - kwh",IF(AND(F242=G242,H242=I242,J242&lt;&gt;K242,F242="A"),"2017 - kwh",IF(AND(F242=G242,H242&lt;&gt;I242,F242="A"),"2018 - kwh","N/A")))</f>
        <v>N/A</v>
      </c>
      <c r="B240" s="438" t="str">
        <f>IF(F242&lt;&gt;G242,"2018 - kwh",IF(H242&lt;&gt;I242,"2017 - kwh",IF(J242&lt;&gt;K242,"2016 - kwh","N/A")))</f>
        <v>N/A</v>
      </c>
      <c r="C240" s="443" t="s">
        <v>279</v>
      </c>
      <c r="D240" s="444"/>
      <c r="E240" s="445" t="s">
        <v>139</v>
      </c>
      <c r="F240" s="361"/>
      <c r="G240" s="361"/>
      <c r="H240" s="361"/>
      <c r="I240" s="361"/>
      <c r="J240" s="361"/>
      <c r="K240" s="361"/>
      <c r="L240" s="361"/>
      <c r="M240" s="361"/>
      <c r="N240" s="361"/>
      <c r="O240" s="361"/>
      <c r="P240" s="438"/>
      <c r="Q240" s="438"/>
      <c r="R240" s="438"/>
      <c r="S240" s="438"/>
      <c r="T240" s="438"/>
      <c r="U240" s="438"/>
      <c r="V240" s="438"/>
      <c r="Z240" s="439"/>
      <c r="AA240" s="439" t="str">
        <f>IF(AND(F242=G242,H242=I242,F242="A"),"2016 - kwh","")</f>
        <v/>
      </c>
      <c r="AB240" s="439" t="str">
        <f>IF(OR(B240="2017 - kwh",B240="2018 - kwh"),"2016 - kwh","")</f>
        <v/>
      </c>
      <c r="AC240" s="439"/>
      <c r="AD240" s="439"/>
      <c r="AE240" s="439"/>
    </row>
    <row r="241" spans="1:31" hidden="1" x14ac:dyDescent="0.25">
      <c r="A241" s="438" t="str">
        <f>IF(AND(F242=G242,H242=I242,J242=K242,F242="A"),"2016 - kw",IF(AND(F242=G242,H242=I242,J242&lt;&gt;K242,F242="A"),"2017 - kw",IF(AND(F242=G242,H242&lt;&gt;I242,F242="A"),"2018 - kw","N/A")))</f>
        <v>N/A</v>
      </c>
      <c r="B241" s="438" t="str">
        <f>IF(F242&lt;&gt;G242,"2018 - kw",IF(H242&lt;&gt;I242,"2017 - kw",IF(J242&lt;&gt;K242,"2016 - kw","N/A")))</f>
        <v>N/A</v>
      </c>
      <c r="C241" s="446"/>
      <c r="D241" s="447" t="str">
        <f>D240 &amp; "kW"</f>
        <v>kW</v>
      </c>
      <c r="E241" s="448" t="s">
        <v>170</v>
      </c>
      <c r="F241" s="361"/>
      <c r="G241" s="361"/>
      <c r="H241" s="361"/>
      <c r="I241" s="361"/>
      <c r="J241" s="361"/>
      <c r="K241" s="361"/>
      <c r="L241" s="361"/>
      <c r="M241" s="361"/>
      <c r="N241" s="361"/>
      <c r="O241" s="361"/>
      <c r="P241" s="438"/>
      <c r="Q241" s="438"/>
      <c r="R241" s="438"/>
      <c r="S241" s="438"/>
      <c r="T241" s="438"/>
      <c r="U241" s="438"/>
      <c r="V241" s="438"/>
      <c r="Z241" s="439"/>
      <c r="AA241" s="439" t="str">
        <f>IF(AND(F242=G242,H242=I242,F242="A"),"2016 - kw","")</f>
        <v/>
      </c>
      <c r="AB241" s="439" t="str">
        <f>IF(OR(B241="2017 - kw",B241="2018 - kw"),"2016 - kw","")</f>
        <v/>
      </c>
      <c r="AC241" s="439"/>
      <c r="AD241" s="439"/>
      <c r="AE241" s="439"/>
    </row>
    <row r="242" spans="1:31" hidden="1" x14ac:dyDescent="0.25">
      <c r="A242" s="438"/>
      <c r="B242" s="438"/>
      <c r="C242" s="449"/>
      <c r="D242" s="424"/>
      <c r="E242" s="450" t="s">
        <v>210</v>
      </c>
      <c r="F242" s="437"/>
      <c r="G242" s="437"/>
      <c r="H242" s="437"/>
      <c r="I242" s="437"/>
      <c r="J242" s="437"/>
      <c r="K242" s="437"/>
      <c r="L242" s="437"/>
      <c r="M242" s="437"/>
      <c r="N242" s="437"/>
      <c r="O242" s="437"/>
      <c r="P242" s="438"/>
      <c r="Q242" s="438"/>
      <c r="R242" s="438"/>
      <c r="S242" s="438"/>
      <c r="T242" s="438"/>
      <c r="U242" s="438"/>
      <c r="V242" s="438"/>
      <c r="Z242" s="439"/>
      <c r="AA242" s="439"/>
      <c r="AB242" s="439"/>
      <c r="AC242" s="439"/>
      <c r="AD242" s="439"/>
      <c r="AE242" s="439"/>
    </row>
    <row r="243" spans="1:31" hidden="1" x14ac:dyDescent="0.25">
      <c r="A243" s="438" t="str">
        <f>IF(AND(F245=G245,H245=I245,J245=K245,F245="A"),"2016 - kwh",IF(AND(F245=G245,H245=I245,J245&lt;&gt;K245,F245="A"),"2017 - kwh",IF(AND(F245=G245,H245&lt;&gt;I245,F245="A"),"2018 - kwh","N/A")))</f>
        <v>N/A</v>
      </c>
      <c r="B243" s="438" t="str">
        <f>IF(F245&lt;&gt;G245,"2018 - kwh",IF(H245&lt;&gt;I245,"2017 - kwh",IF(J245&lt;&gt;K245,"2016 - kwh","N/A")))</f>
        <v>N/A</v>
      </c>
      <c r="C243" s="443" t="s">
        <v>280</v>
      </c>
      <c r="D243" s="444"/>
      <c r="E243" s="445" t="s">
        <v>139</v>
      </c>
      <c r="F243" s="361"/>
      <c r="G243" s="361"/>
      <c r="H243" s="361"/>
      <c r="I243" s="361"/>
      <c r="J243" s="361"/>
      <c r="K243" s="361"/>
      <c r="L243" s="361"/>
      <c r="M243" s="361"/>
      <c r="N243" s="361"/>
      <c r="O243" s="361"/>
      <c r="P243" s="438"/>
      <c r="Q243" s="438"/>
      <c r="R243" s="438"/>
      <c r="S243" s="438"/>
      <c r="T243" s="438"/>
      <c r="U243" s="438"/>
      <c r="V243" s="438"/>
      <c r="Z243" s="439"/>
      <c r="AA243" s="439" t="str">
        <f>IF(AND(F245=G245,H245=I245,F245="A"),"2016 - kwh","")</f>
        <v/>
      </c>
      <c r="AB243" s="439" t="str">
        <f>IF(OR(B243="2017 - kwh",B243="2018 - kwh"),"2016 - kwh","")</f>
        <v/>
      </c>
      <c r="AC243" s="439"/>
      <c r="AD243" s="439"/>
      <c r="AE243" s="439"/>
    </row>
    <row r="244" spans="1:31" hidden="1" x14ac:dyDescent="0.25">
      <c r="A244" s="438" t="str">
        <f>IF(AND(F245=G245,H245=I245,J245=K245,F245="A"),"2016 - kw",IF(AND(F245=G245,H245=I245,J245&lt;&gt;K245,F245="A"),"2017 - kw",IF(AND(F245=G245,H245&lt;&gt;I245,F245="A"),"2018 - kw","N/A")))</f>
        <v>N/A</v>
      </c>
      <c r="B244" s="438" t="str">
        <f>IF(F245&lt;&gt;G245,"2018 - kw",IF(H245&lt;&gt;I245,"2017 - kw",IF(J245&lt;&gt;K245,"2016 - kw","N/A")))</f>
        <v>N/A</v>
      </c>
      <c r="C244" s="446"/>
      <c r="D244" s="447" t="str">
        <f>D243 &amp; "kW"</f>
        <v>kW</v>
      </c>
      <c r="E244" s="448" t="s">
        <v>170</v>
      </c>
      <c r="F244" s="361"/>
      <c r="G244" s="361"/>
      <c r="H244" s="361"/>
      <c r="I244" s="361"/>
      <c r="J244" s="361"/>
      <c r="K244" s="361"/>
      <c r="L244" s="361"/>
      <c r="M244" s="361"/>
      <c r="N244" s="361"/>
      <c r="O244" s="361"/>
      <c r="P244" s="438"/>
      <c r="Q244" s="438"/>
      <c r="R244" s="438"/>
      <c r="S244" s="438"/>
      <c r="T244" s="438"/>
      <c r="U244" s="438"/>
      <c r="V244" s="438"/>
      <c r="Z244" s="439"/>
      <c r="AA244" s="439" t="str">
        <f>IF(AND(F245=G245,H245=I245,F245="A"),"2016 - kw","")</f>
        <v/>
      </c>
      <c r="AB244" s="439" t="str">
        <f>IF(OR(B244="2017 - kw",B244="2018 - kw"),"2016 - kw","")</f>
        <v/>
      </c>
      <c r="AC244" s="439"/>
      <c r="AD244" s="439"/>
      <c r="AE244" s="439"/>
    </row>
    <row r="245" spans="1:31" hidden="1" x14ac:dyDescent="0.25">
      <c r="A245" s="438"/>
      <c r="B245" s="438"/>
      <c r="C245" s="449"/>
      <c r="D245" s="424"/>
      <c r="E245" s="450" t="s">
        <v>210</v>
      </c>
      <c r="F245" s="437"/>
      <c r="G245" s="437"/>
      <c r="H245" s="437"/>
      <c r="I245" s="437"/>
      <c r="J245" s="437"/>
      <c r="K245" s="437"/>
      <c r="L245" s="437"/>
      <c r="M245" s="437"/>
      <c r="N245" s="437"/>
      <c r="O245" s="437"/>
      <c r="P245" s="438"/>
      <c r="Q245" s="438"/>
      <c r="R245" s="438"/>
      <c r="S245" s="438"/>
      <c r="T245" s="438"/>
      <c r="U245" s="438"/>
      <c r="V245" s="438"/>
      <c r="Z245" s="439"/>
      <c r="AA245" s="439"/>
      <c r="AB245" s="439"/>
      <c r="AC245" s="439"/>
      <c r="AD245" s="439"/>
      <c r="AE245" s="439"/>
    </row>
    <row r="246" spans="1:31" hidden="1" x14ac:dyDescent="0.25">
      <c r="A246" s="438" t="str">
        <f>IF(AND(F248=G248,H248=I248,J248=K248,F248="A"),"2016 - kwh",IF(AND(F248=G248,H248=I248,J248&lt;&gt;K248,F248="A"),"2017 - kwh",IF(AND(F248=G248,H248&lt;&gt;I248,F248="A"),"2018 - kwh","N/A")))</f>
        <v>N/A</v>
      </c>
      <c r="B246" s="438" t="str">
        <f>IF(F248&lt;&gt;G248,"2018 - kwh",IF(H248&lt;&gt;I248,"2017 - kwh",IF(J248&lt;&gt;K248,"2016 - kwh","N/A")))</f>
        <v>N/A</v>
      </c>
      <c r="C246" s="443" t="s">
        <v>281</v>
      </c>
      <c r="D246" s="444"/>
      <c r="E246" s="445" t="s">
        <v>139</v>
      </c>
      <c r="F246" s="361"/>
      <c r="G246" s="361"/>
      <c r="H246" s="361"/>
      <c r="I246" s="361"/>
      <c r="J246" s="361"/>
      <c r="K246" s="361"/>
      <c r="L246" s="361"/>
      <c r="M246" s="361"/>
      <c r="N246" s="361"/>
      <c r="O246" s="361"/>
      <c r="P246" s="438"/>
      <c r="Q246" s="438"/>
      <c r="R246" s="438"/>
      <c r="S246" s="438"/>
      <c r="T246" s="438"/>
      <c r="U246" s="438"/>
      <c r="V246" s="438"/>
      <c r="Z246" s="439"/>
      <c r="AA246" s="439" t="str">
        <f>IF(AND(F248=G248,H248=I248,F248="A"),"2016 - kwh","")</f>
        <v/>
      </c>
      <c r="AB246" s="439" t="str">
        <f>IF(OR(B246="2017 - kwh",B246="2018 - kwh"),"2016 - kwh","")</f>
        <v/>
      </c>
      <c r="AC246" s="439"/>
      <c r="AD246" s="439"/>
      <c r="AE246" s="439"/>
    </row>
    <row r="247" spans="1:31" hidden="1" x14ac:dyDescent="0.25">
      <c r="A247" s="438" t="str">
        <f>IF(AND(F248=G248,H248=I248,J248=K248,F248="A"),"2016 - kw",IF(AND(F248=G248,H248=I248,J248&lt;&gt;K248,F248="A"),"2017 - kw",IF(AND(F248=G248,H248&lt;&gt;I248,F248="A"),"2018 - kw","N/A")))</f>
        <v>N/A</v>
      </c>
      <c r="B247" s="438" t="str">
        <f>IF(F248&lt;&gt;G248,"2018 - kw",IF(H248&lt;&gt;I248,"2017 - kw",IF(J248&lt;&gt;K248,"2016 - kw","N/A")))</f>
        <v>N/A</v>
      </c>
      <c r="C247" s="446"/>
      <c r="D247" s="447" t="str">
        <f>D246 &amp; "kW"</f>
        <v>kW</v>
      </c>
      <c r="E247" s="448" t="s">
        <v>170</v>
      </c>
      <c r="F247" s="361"/>
      <c r="G247" s="361"/>
      <c r="H247" s="361"/>
      <c r="I247" s="361"/>
      <c r="J247" s="361"/>
      <c r="K247" s="361"/>
      <c r="L247" s="361"/>
      <c r="M247" s="361"/>
      <c r="N247" s="361"/>
      <c r="O247" s="361"/>
      <c r="P247" s="438"/>
      <c r="Q247" s="438"/>
      <c r="R247" s="438"/>
      <c r="S247" s="438"/>
      <c r="T247" s="438"/>
      <c r="U247" s="438"/>
      <c r="V247" s="438"/>
      <c r="Z247" s="439"/>
      <c r="AA247" s="439" t="str">
        <f>IF(AND(F248=G248,H248=I248,F248="A"),"2016 - kw","")</f>
        <v/>
      </c>
      <c r="AB247" s="439" t="str">
        <f>IF(OR(B247="2017 - kw",B247="2018 - kw"),"2016 - kw","")</f>
        <v/>
      </c>
      <c r="AC247" s="439"/>
      <c r="AD247" s="439"/>
      <c r="AE247" s="439"/>
    </row>
    <row r="248" spans="1:31" hidden="1" x14ac:dyDescent="0.25">
      <c r="A248" s="438"/>
      <c r="B248" s="438"/>
      <c r="C248" s="449"/>
      <c r="D248" s="424"/>
      <c r="E248" s="450" t="s">
        <v>210</v>
      </c>
      <c r="F248" s="437"/>
      <c r="G248" s="437"/>
      <c r="H248" s="437"/>
      <c r="I248" s="437"/>
      <c r="J248" s="437"/>
      <c r="K248" s="437"/>
      <c r="L248" s="437"/>
      <c r="M248" s="437"/>
      <c r="N248" s="437"/>
      <c r="O248" s="437"/>
      <c r="P248" s="438"/>
      <c r="Q248" s="438"/>
      <c r="R248" s="438"/>
      <c r="S248" s="438"/>
      <c r="T248" s="438"/>
      <c r="U248" s="438"/>
      <c r="V248" s="438"/>
      <c r="Z248" s="439"/>
      <c r="AA248" s="439"/>
      <c r="AB248" s="439"/>
      <c r="AC248" s="439"/>
      <c r="AD248" s="439"/>
      <c r="AE248" s="439"/>
    </row>
    <row r="249" spans="1:31" hidden="1" x14ac:dyDescent="0.25">
      <c r="A249" s="438" t="str">
        <f>IF(AND(F251=G251,H251=I251,J251=K251,F251="A"),"2016 - kwh",IF(AND(F251=G251,H251=I251,J251&lt;&gt;K251,F251="A"),"2017 - kwh",IF(AND(F251=G251,H251&lt;&gt;I251,F251="A"),"2018 - kwh","N/A")))</f>
        <v>N/A</v>
      </c>
      <c r="B249" s="438" t="str">
        <f>IF(F251&lt;&gt;G251,"2018 - kwh",IF(H251&lt;&gt;I251,"2017 - kwh",IF(J251&lt;&gt;K251,"2016 - kwh","N/A")))</f>
        <v>N/A</v>
      </c>
      <c r="C249" s="443" t="s">
        <v>282</v>
      </c>
      <c r="D249" s="444"/>
      <c r="E249" s="445" t="s">
        <v>139</v>
      </c>
      <c r="F249" s="361"/>
      <c r="G249" s="361"/>
      <c r="H249" s="361"/>
      <c r="I249" s="361"/>
      <c r="J249" s="361"/>
      <c r="K249" s="361"/>
      <c r="L249" s="361"/>
      <c r="M249" s="361"/>
      <c r="N249" s="361"/>
      <c r="O249" s="361"/>
      <c r="P249" s="438"/>
      <c r="Q249" s="438"/>
      <c r="R249" s="438"/>
      <c r="S249" s="438"/>
      <c r="T249" s="438"/>
      <c r="U249" s="438"/>
      <c r="V249" s="438"/>
      <c r="Z249" s="439"/>
      <c r="AA249" s="439" t="str">
        <f>IF(AND(F251=G251,H251=I251,F251="A"),"2016 - kwh","")</f>
        <v/>
      </c>
      <c r="AB249" s="439" t="str">
        <f>IF(OR(B249="2017 - kwh",B249="2018 - kwh"),"2016 - kwh","")</f>
        <v/>
      </c>
      <c r="AC249" s="439"/>
      <c r="AD249" s="439"/>
      <c r="AE249" s="439"/>
    </row>
    <row r="250" spans="1:31" hidden="1" x14ac:dyDescent="0.25">
      <c r="A250" s="438" t="str">
        <f>IF(AND(F251=G251,H251=I251,J251=K251,F251="A"),"2016 - kw",IF(AND(F251=G251,H251=I251,J251&lt;&gt;K251,F251="A"),"2017 - kw",IF(AND(F251=G251,H251&lt;&gt;I251,F251="A"),"2018 - kw","N/A")))</f>
        <v>N/A</v>
      </c>
      <c r="B250" s="438" t="str">
        <f>IF(F251&lt;&gt;G251,"2018 - kw",IF(H251&lt;&gt;I251,"2017 - kw",IF(J251&lt;&gt;K251,"2016 - kw","N/A")))</f>
        <v>N/A</v>
      </c>
      <c r="C250" s="446"/>
      <c r="D250" s="447" t="str">
        <f>D249 &amp; "kW"</f>
        <v>kW</v>
      </c>
      <c r="E250" s="448" t="s">
        <v>170</v>
      </c>
      <c r="F250" s="361"/>
      <c r="G250" s="361"/>
      <c r="H250" s="361"/>
      <c r="I250" s="361"/>
      <c r="J250" s="361"/>
      <c r="K250" s="361"/>
      <c r="L250" s="361"/>
      <c r="M250" s="361"/>
      <c r="N250" s="361"/>
      <c r="O250" s="361"/>
      <c r="P250" s="438"/>
      <c r="Q250" s="438"/>
      <c r="R250" s="438"/>
      <c r="S250" s="438"/>
      <c r="T250" s="438"/>
      <c r="U250" s="438"/>
      <c r="V250" s="438"/>
      <c r="Z250" s="439"/>
      <c r="AA250" s="439" t="str">
        <f>IF(AND(F251=G251,H251=I251,F251="A"),"2016 - kw","")</f>
        <v/>
      </c>
      <c r="AB250" s="439" t="str">
        <f>IF(OR(B250="2017 - kw",B250="2018 - kw"),"2016 - kw","")</f>
        <v/>
      </c>
      <c r="AC250" s="439"/>
      <c r="AD250" s="439"/>
      <c r="AE250" s="439"/>
    </row>
    <row r="251" spans="1:31" hidden="1" x14ac:dyDescent="0.25">
      <c r="A251" s="438"/>
      <c r="B251" s="438"/>
      <c r="C251" s="449"/>
      <c r="D251" s="424"/>
      <c r="E251" s="450" t="s">
        <v>210</v>
      </c>
      <c r="F251" s="437"/>
      <c r="G251" s="437"/>
      <c r="H251" s="437"/>
      <c r="I251" s="437"/>
      <c r="J251" s="437"/>
      <c r="K251" s="437"/>
      <c r="L251" s="437"/>
      <c r="M251" s="437"/>
      <c r="N251" s="437"/>
      <c r="O251" s="437"/>
      <c r="P251" s="438"/>
      <c r="Q251" s="438"/>
      <c r="R251" s="438"/>
      <c r="S251" s="438"/>
      <c r="T251" s="438"/>
      <c r="U251" s="438"/>
      <c r="V251" s="438"/>
      <c r="Z251" s="439"/>
      <c r="AA251" s="439"/>
      <c r="AB251" s="439"/>
      <c r="AC251" s="439"/>
      <c r="AD251" s="439"/>
      <c r="AE251" s="439"/>
    </row>
    <row r="252" spans="1:31" hidden="1" x14ac:dyDescent="0.25">
      <c r="A252" s="438" t="str">
        <f>IF(AND(F254=G254,H254=I254,J254=K254,F254="A"),"2016 - kwh",IF(AND(F254=G254,H254=I254,J254&lt;&gt;K254,F254="A"),"2017 - kwh",IF(AND(F254=G254,H254&lt;&gt;I254,F254="A"),"2018 - kwh","N/A")))</f>
        <v>N/A</v>
      </c>
      <c r="B252" s="438" t="str">
        <f>IF(F254&lt;&gt;G254,"2018 - kwh",IF(H254&lt;&gt;I254,"2017 - kwh",IF(J254&lt;&gt;K254,"2016 - kwh","N/A")))</f>
        <v>N/A</v>
      </c>
      <c r="C252" s="443" t="s">
        <v>283</v>
      </c>
      <c r="D252" s="444"/>
      <c r="E252" s="445" t="s">
        <v>139</v>
      </c>
      <c r="F252" s="361"/>
      <c r="G252" s="361"/>
      <c r="H252" s="361"/>
      <c r="I252" s="361"/>
      <c r="J252" s="361"/>
      <c r="K252" s="361"/>
      <c r="L252" s="361"/>
      <c r="M252" s="361"/>
      <c r="N252" s="361"/>
      <c r="O252" s="361"/>
      <c r="P252" s="438"/>
      <c r="Q252" s="438"/>
      <c r="R252" s="438"/>
      <c r="S252" s="438"/>
      <c r="T252" s="438"/>
      <c r="U252" s="438"/>
      <c r="V252" s="438"/>
      <c r="Z252" s="439"/>
      <c r="AA252" s="439" t="str">
        <f>IF(AND(F254=G254,H254=I254,F254="A"),"2016 - kwh","")</f>
        <v/>
      </c>
      <c r="AB252" s="439" t="str">
        <f>IF(OR(B252="2017 - kwh",B252="2018 - kwh"),"2016 - kwh","")</f>
        <v/>
      </c>
      <c r="AC252" s="439"/>
      <c r="AD252" s="439"/>
      <c r="AE252" s="439"/>
    </row>
    <row r="253" spans="1:31" hidden="1" x14ac:dyDescent="0.25">
      <c r="A253" s="438" t="str">
        <f>IF(AND(F254=G254,H254=I254,J254=K254,F254="A"),"2016 - kw",IF(AND(F254=G254,H254=I254,J254&lt;&gt;K254,F254="A"),"2017 - kw",IF(AND(F254=G254,H254&lt;&gt;I254,F254="A"),"2018 - kw","N/A")))</f>
        <v>N/A</v>
      </c>
      <c r="B253" s="438" t="str">
        <f>IF(F254&lt;&gt;G254,"2018 - kw",IF(H254&lt;&gt;I254,"2017 - kw",IF(J254&lt;&gt;K254,"2016 - kw","N/A")))</f>
        <v>N/A</v>
      </c>
      <c r="C253" s="446"/>
      <c r="D253" s="447" t="str">
        <f>D252 &amp; "kW"</f>
        <v>kW</v>
      </c>
      <c r="E253" s="448" t="s">
        <v>170</v>
      </c>
      <c r="F253" s="361"/>
      <c r="G253" s="361"/>
      <c r="H253" s="361"/>
      <c r="I253" s="361"/>
      <c r="J253" s="361"/>
      <c r="K253" s="361"/>
      <c r="L253" s="361"/>
      <c r="M253" s="361"/>
      <c r="N253" s="361"/>
      <c r="O253" s="361"/>
      <c r="P253" s="438"/>
      <c r="Q253" s="438"/>
      <c r="R253" s="438"/>
      <c r="S253" s="438"/>
      <c r="T253" s="438"/>
      <c r="U253" s="438"/>
      <c r="V253" s="438"/>
      <c r="Z253" s="439"/>
      <c r="AA253" s="439" t="str">
        <f>IF(AND(F254=G254,H254=I254,F254="A"),"2016 - kw","")</f>
        <v/>
      </c>
      <c r="AB253" s="439" t="str">
        <f>IF(OR(B253="2017 - kw",B253="2018 - kw"),"2016 - kw","")</f>
        <v/>
      </c>
      <c r="AC253" s="439"/>
      <c r="AD253" s="439"/>
      <c r="AE253" s="439"/>
    </row>
    <row r="254" spans="1:31" hidden="1" x14ac:dyDescent="0.25">
      <c r="A254" s="438"/>
      <c r="B254" s="438"/>
      <c r="C254" s="449"/>
      <c r="D254" s="424"/>
      <c r="E254" s="450" t="s">
        <v>210</v>
      </c>
      <c r="F254" s="437"/>
      <c r="G254" s="437"/>
      <c r="H254" s="437"/>
      <c r="I254" s="437"/>
      <c r="J254" s="437"/>
      <c r="K254" s="437"/>
      <c r="L254" s="437"/>
      <c r="M254" s="437"/>
      <c r="N254" s="437"/>
      <c r="O254" s="437"/>
      <c r="P254" s="438"/>
      <c r="Q254" s="438"/>
      <c r="R254" s="438"/>
      <c r="S254" s="438"/>
      <c r="T254" s="438"/>
      <c r="U254" s="438"/>
      <c r="V254" s="438"/>
      <c r="Z254" s="439"/>
      <c r="AA254" s="439"/>
      <c r="AB254" s="439"/>
      <c r="AC254" s="439"/>
      <c r="AD254" s="439"/>
      <c r="AE254" s="439"/>
    </row>
    <row r="255" spans="1:31" hidden="1" x14ac:dyDescent="0.25">
      <c r="A255" s="438" t="str">
        <f>IF(AND(F257=G257,H257=I257,J257=K257,F257="A"),"2016 - kwh",IF(AND(F257=G257,H257=I257,J257&lt;&gt;K257,F257="A"),"2017 - kwh",IF(AND(F257=G257,H257&lt;&gt;I257,F257="A"),"2018 - kwh","N/A")))</f>
        <v>N/A</v>
      </c>
      <c r="B255" s="438" t="str">
        <f>IF(F257&lt;&gt;G257,"2018 - kwh",IF(H257&lt;&gt;I257,"2017 - kwh",IF(J257&lt;&gt;K257,"2016 - kwh","N/A")))</f>
        <v>N/A</v>
      </c>
      <c r="C255" s="443" t="s">
        <v>284</v>
      </c>
      <c r="D255" s="444"/>
      <c r="E255" s="445" t="s">
        <v>139</v>
      </c>
      <c r="F255" s="361"/>
      <c r="G255" s="361"/>
      <c r="H255" s="361"/>
      <c r="I255" s="361"/>
      <c r="J255" s="361"/>
      <c r="K255" s="361"/>
      <c r="L255" s="361"/>
      <c r="M255" s="361"/>
      <c r="N255" s="361"/>
      <c r="O255" s="361"/>
      <c r="P255" s="438"/>
      <c r="Q255" s="438"/>
      <c r="R255" s="438"/>
      <c r="S255" s="438"/>
      <c r="T255" s="438"/>
      <c r="U255" s="438"/>
      <c r="V255" s="438"/>
      <c r="Z255" s="439"/>
      <c r="AA255" s="439" t="str">
        <f>IF(AND(F257=G257,H257=I257,F257="A"),"2016 - kwh","")</f>
        <v/>
      </c>
      <c r="AB255" s="439" t="str">
        <f>IF(OR(B255="2017 - kwh",B255="2018 - kwh"),"2016 - kwh","")</f>
        <v/>
      </c>
      <c r="AC255" s="439"/>
      <c r="AD255" s="439"/>
      <c r="AE255" s="439"/>
    </row>
    <row r="256" spans="1:31" hidden="1" x14ac:dyDescent="0.25">
      <c r="A256" s="438" t="str">
        <f>IF(AND(F257=G257,H257=I257,J257=K257,F257="A"),"2016 - kw",IF(AND(F257=G257,H257=I257,J257&lt;&gt;K257,F257="A"),"2017 - kw",IF(AND(F257=G257,H257&lt;&gt;I257,F257="A"),"2018 - kw","N/A")))</f>
        <v>N/A</v>
      </c>
      <c r="B256" s="438" t="str">
        <f>IF(F257&lt;&gt;G257,"2018 - kw",IF(H257&lt;&gt;I257,"2017 - kw",IF(J257&lt;&gt;K257,"2016 - kw","N/A")))</f>
        <v>N/A</v>
      </c>
      <c r="C256" s="446"/>
      <c r="D256" s="447" t="str">
        <f>D255 &amp; "kW"</f>
        <v>kW</v>
      </c>
      <c r="E256" s="448" t="s">
        <v>170</v>
      </c>
      <c r="F256" s="361"/>
      <c r="G256" s="361"/>
      <c r="H256" s="361"/>
      <c r="I256" s="361"/>
      <c r="J256" s="361"/>
      <c r="K256" s="361"/>
      <c r="L256" s="361"/>
      <c r="M256" s="361"/>
      <c r="N256" s="361"/>
      <c r="O256" s="361"/>
      <c r="P256" s="438"/>
      <c r="Q256" s="438"/>
      <c r="R256" s="438"/>
      <c r="S256" s="438"/>
      <c r="T256" s="438"/>
      <c r="U256" s="438"/>
      <c r="V256" s="438"/>
      <c r="Z256" s="439"/>
      <c r="AA256" s="439" t="str">
        <f>IF(AND(F257=G257,H257=I257,F257="A"),"2016 - kw","")</f>
        <v/>
      </c>
      <c r="AB256" s="439" t="str">
        <f>IF(OR(B256="2017 - kw",B256="2018 - kw"),"2016 - kw","")</f>
        <v/>
      </c>
      <c r="AC256" s="439"/>
      <c r="AD256" s="439"/>
      <c r="AE256" s="439"/>
    </row>
    <row r="257" spans="1:31" hidden="1" x14ac:dyDescent="0.25">
      <c r="A257" s="438"/>
      <c r="B257" s="438"/>
      <c r="C257" s="449"/>
      <c r="D257" s="424"/>
      <c r="E257" s="450" t="s">
        <v>210</v>
      </c>
      <c r="F257" s="437"/>
      <c r="G257" s="437"/>
      <c r="H257" s="437"/>
      <c r="I257" s="437"/>
      <c r="J257" s="437"/>
      <c r="K257" s="437"/>
      <c r="L257" s="437"/>
      <c r="M257" s="437"/>
      <c r="N257" s="437"/>
      <c r="O257" s="437"/>
      <c r="P257" s="438"/>
      <c r="Q257" s="438"/>
      <c r="R257" s="438"/>
      <c r="S257" s="438"/>
      <c r="T257" s="438"/>
      <c r="U257" s="438"/>
      <c r="V257" s="438"/>
      <c r="Z257" s="439"/>
      <c r="AA257" s="439"/>
      <c r="AB257" s="439"/>
      <c r="AC257" s="439"/>
      <c r="AD257" s="439"/>
      <c r="AE257" s="439"/>
    </row>
    <row r="258" spans="1:31" hidden="1" x14ac:dyDescent="0.25">
      <c r="A258" s="438" t="str">
        <f>IF(AND(F260=G260,H260=I260,J260=K260,F260="A"),"2016 - kwh",IF(AND(F260=G260,H260=I260,J260&lt;&gt;K260,F260="A"),"2017 - kwh",IF(AND(F260=G260,H260&lt;&gt;I260,F260="A"),"2018 - kwh","N/A")))</f>
        <v>N/A</v>
      </c>
      <c r="B258" s="438" t="str">
        <f>IF(F260&lt;&gt;G260,"2018 - kwh",IF(H260&lt;&gt;I260,"2017 - kwh",IF(J260&lt;&gt;K260,"2016 - kwh","N/A")))</f>
        <v>N/A</v>
      </c>
      <c r="C258" s="443" t="s">
        <v>285</v>
      </c>
      <c r="D258" s="444"/>
      <c r="E258" s="445" t="s">
        <v>139</v>
      </c>
      <c r="F258" s="361"/>
      <c r="G258" s="361"/>
      <c r="H258" s="361"/>
      <c r="I258" s="361"/>
      <c r="J258" s="361"/>
      <c r="K258" s="361"/>
      <c r="L258" s="361"/>
      <c r="M258" s="361"/>
      <c r="N258" s="361"/>
      <c r="O258" s="361"/>
      <c r="P258" s="438"/>
      <c r="Q258" s="438"/>
      <c r="R258" s="438"/>
      <c r="S258" s="438"/>
      <c r="T258" s="438"/>
      <c r="U258" s="438"/>
      <c r="V258" s="438"/>
      <c r="Z258" s="439"/>
      <c r="AA258" s="439" t="str">
        <f>IF(AND(F260=G260,H260=I260,F260="A"),"2016 - kwh","")</f>
        <v/>
      </c>
      <c r="AB258" s="439" t="str">
        <f>IF(OR(B258="2017 - kwh",B258="2018 - kwh"),"2016 - kwh","")</f>
        <v/>
      </c>
      <c r="AC258" s="439"/>
      <c r="AD258" s="439"/>
      <c r="AE258" s="439"/>
    </row>
    <row r="259" spans="1:31" hidden="1" x14ac:dyDescent="0.25">
      <c r="A259" s="438" t="str">
        <f>IF(AND(F260=G260,H260=I260,J260=K260,F260="A"),"2016 - kw",IF(AND(F260=G260,H260=I260,J260&lt;&gt;K260,F260="A"),"2017 - kw",IF(AND(F260=G260,H260&lt;&gt;I260,F260="A"),"2018 - kw","N/A")))</f>
        <v>N/A</v>
      </c>
      <c r="B259" s="438" t="str">
        <f>IF(F260&lt;&gt;G260,"2018 - kw",IF(H260&lt;&gt;I260,"2017 - kw",IF(J260&lt;&gt;K260,"2016 - kw","N/A")))</f>
        <v>N/A</v>
      </c>
      <c r="C259" s="446"/>
      <c r="D259" s="447" t="str">
        <f>D258 &amp; "kW"</f>
        <v>kW</v>
      </c>
      <c r="E259" s="448" t="s">
        <v>170</v>
      </c>
      <c r="F259" s="361"/>
      <c r="G259" s="361"/>
      <c r="H259" s="361"/>
      <c r="I259" s="361"/>
      <c r="J259" s="361"/>
      <c r="K259" s="361"/>
      <c r="L259" s="361"/>
      <c r="M259" s="361"/>
      <c r="N259" s="361"/>
      <c r="O259" s="361"/>
      <c r="P259" s="438"/>
      <c r="Q259" s="438"/>
      <c r="R259" s="438"/>
      <c r="S259" s="438"/>
      <c r="T259" s="438"/>
      <c r="U259" s="438"/>
      <c r="V259" s="438"/>
      <c r="Z259" s="439"/>
      <c r="AA259" s="439" t="str">
        <f>IF(AND(F260=G260,H260=I260,F260="A"),"2016 - kw","")</f>
        <v/>
      </c>
      <c r="AB259" s="439" t="str">
        <f>IF(OR(B259="2017 - kw",B259="2018 - kw"),"2016 - kw","")</f>
        <v/>
      </c>
      <c r="AC259" s="439"/>
      <c r="AD259" s="439"/>
      <c r="AE259" s="439"/>
    </row>
    <row r="260" spans="1:31" hidden="1" x14ac:dyDescent="0.25">
      <c r="A260" s="438"/>
      <c r="B260" s="438"/>
      <c r="C260" s="449"/>
      <c r="D260" s="424"/>
      <c r="E260" s="450" t="s">
        <v>210</v>
      </c>
      <c r="F260" s="437"/>
      <c r="G260" s="437"/>
      <c r="H260" s="437"/>
      <c r="I260" s="437"/>
      <c r="J260" s="437"/>
      <c r="K260" s="437"/>
      <c r="L260" s="437"/>
      <c r="M260" s="437"/>
      <c r="N260" s="437"/>
      <c r="O260" s="437"/>
      <c r="P260" s="438"/>
      <c r="Q260" s="438"/>
      <c r="R260" s="438"/>
      <c r="S260" s="438"/>
      <c r="T260" s="438"/>
      <c r="U260" s="438"/>
      <c r="V260" s="438"/>
      <c r="Z260" s="439"/>
      <c r="AA260" s="439"/>
      <c r="AB260" s="439"/>
      <c r="AC260" s="439"/>
      <c r="AD260" s="439"/>
      <c r="AE260" s="439"/>
    </row>
    <row r="261" spans="1:31" hidden="1" x14ac:dyDescent="0.25">
      <c r="A261" s="438" t="str">
        <f>IF(AND(F263=G263,H263=I263,J263=K263,F263="A"),"2016 - kwh",IF(AND(F263=G263,H263=I263,J263&lt;&gt;K263,F263="A"),"2017 - kwh",IF(AND(F263=G263,H263&lt;&gt;I263,F263="A"),"2018 - kwh","N/A")))</f>
        <v>N/A</v>
      </c>
      <c r="B261" s="438" t="str">
        <f>IF(F263&lt;&gt;G263,"2018 - kwh",IF(H263&lt;&gt;I263,"2017 - kwh",IF(J263&lt;&gt;K263,"2016 - kwh","N/A")))</f>
        <v>N/A</v>
      </c>
      <c r="C261" s="443" t="s">
        <v>286</v>
      </c>
      <c r="D261" s="444"/>
      <c r="E261" s="445" t="s">
        <v>139</v>
      </c>
      <c r="F261" s="361"/>
      <c r="G261" s="361"/>
      <c r="H261" s="361"/>
      <c r="I261" s="361"/>
      <c r="J261" s="361"/>
      <c r="K261" s="361"/>
      <c r="L261" s="361"/>
      <c r="M261" s="361"/>
      <c r="N261" s="361"/>
      <c r="O261" s="361"/>
      <c r="P261" s="438"/>
      <c r="Q261" s="438"/>
      <c r="R261" s="438"/>
      <c r="S261" s="438"/>
      <c r="T261" s="438"/>
      <c r="U261" s="438"/>
      <c r="V261" s="438"/>
      <c r="Z261" s="439"/>
      <c r="AA261" s="439" t="str">
        <f>IF(AND(F263=G263,H263=I263,F263="A"),"2016 - kwh","")</f>
        <v/>
      </c>
      <c r="AB261" s="439" t="str">
        <f>IF(OR(B261="2017 - kwh",B261="2018 - kwh"),"2016 - kwh","")</f>
        <v/>
      </c>
      <c r="AC261" s="439"/>
      <c r="AD261" s="439"/>
      <c r="AE261" s="439"/>
    </row>
    <row r="262" spans="1:31" hidden="1" x14ac:dyDescent="0.25">
      <c r="A262" s="438" t="str">
        <f>IF(AND(F263=G263,H263=I263,J263=K263,F263="A"),"2016 - kw",IF(AND(F263=G263,H263=I263,J263&lt;&gt;K263,F263="A"),"2017 - kw",IF(AND(F263=G263,H263&lt;&gt;I263,F263="A"),"2018 - kw","N/A")))</f>
        <v>N/A</v>
      </c>
      <c r="B262" s="438" t="str">
        <f>IF(F263&lt;&gt;G263,"2018 - kw",IF(H263&lt;&gt;I263,"2017 - kw",IF(J263&lt;&gt;K263,"2016 - kw","N/A")))</f>
        <v>N/A</v>
      </c>
      <c r="C262" s="446"/>
      <c r="D262" s="447" t="str">
        <f>D261 &amp; "kW"</f>
        <v>kW</v>
      </c>
      <c r="E262" s="448" t="s">
        <v>170</v>
      </c>
      <c r="F262" s="361"/>
      <c r="G262" s="361"/>
      <c r="H262" s="361"/>
      <c r="I262" s="361"/>
      <c r="J262" s="361"/>
      <c r="K262" s="361"/>
      <c r="L262" s="361"/>
      <c r="M262" s="361"/>
      <c r="N262" s="361"/>
      <c r="O262" s="361"/>
      <c r="P262" s="438"/>
      <c r="Q262" s="438"/>
      <c r="R262" s="438"/>
      <c r="S262" s="438"/>
      <c r="T262" s="438"/>
      <c r="U262" s="438"/>
      <c r="V262" s="438"/>
      <c r="Z262" s="439"/>
      <c r="AA262" s="439" t="str">
        <f>IF(AND(F263=G263,H263=I263,F263="A"),"2016 - kw","")</f>
        <v/>
      </c>
      <c r="AB262" s="439" t="str">
        <f>IF(OR(B262="2017 - kw",B262="2018 - kw"),"2016 - kw","")</f>
        <v/>
      </c>
      <c r="AC262" s="439"/>
      <c r="AD262" s="439"/>
      <c r="AE262" s="439"/>
    </row>
    <row r="263" spans="1:31" hidden="1" x14ac:dyDescent="0.25">
      <c r="A263" s="438"/>
      <c r="B263" s="438"/>
      <c r="C263" s="449"/>
      <c r="D263" s="424"/>
      <c r="E263" s="450" t="s">
        <v>210</v>
      </c>
      <c r="F263" s="437"/>
      <c r="G263" s="437"/>
      <c r="H263" s="437"/>
      <c r="I263" s="437"/>
      <c r="J263" s="437"/>
      <c r="K263" s="437"/>
      <c r="L263" s="437"/>
      <c r="M263" s="437"/>
      <c r="N263" s="437"/>
      <c r="O263" s="437"/>
      <c r="P263" s="438"/>
      <c r="Q263" s="438"/>
      <c r="R263" s="438"/>
      <c r="S263" s="438"/>
      <c r="T263" s="438"/>
      <c r="U263" s="438"/>
      <c r="V263" s="438"/>
      <c r="Z263" s="439"/>
      <c r="AA263" s="439"/>
      <c r="AB263" s="439"/>
      <c r="AC263" s="439"/>
      <c r="AD263" s="439"/>
      <c r="AE263" s="439"/>
    </row>
    <row r="264" spans="1:31" hidden="1" x14ac:dyDescent="0.25">
      <c r="A264" s="438" t="str">
        <f>IF(AND(F266=G266,H266=I266,J266=K266,F266="A"),"2016 - kwh",IF(AND(F266=G266,H266=I266,J266&lt;&gt;K266,F266="A"),"2017 - kwh",IF(AND(F266=G266,H266&lt;&gt;I266,F266="A"),"2018 - kwh","N/A")))</f>
        <v>N/A</v>
      </c>
      <c r="B264" s="438" t="str">
        <f>IF(F266&lt;&gt;G266,"2018 - kwh",IF(H266&lt;&gt;I266,"2017 - kwh",IF(J266&lt;&gt;K266,"2016 - kwh","N/A")))</f>
        <v>N/A</v>
      </c>
      <c r="C264" s="443" t="s">
        <v>287</v>
      </c>
      <c r="D264" s="444"/>
      <c r="E264" s="445" t="s">
        <v>139</v>
      </c>
      <c r="F264" s="361"/>
      <c r="G264" s="361"/>
      <c r="H264" s="361"/>
      <c r="I264" s="361"/>
      <c r="J264" s="361"/>
      <c r="K264" s="361"/>
      <c r="L264" s="361"/>
      <c r="M264" s="361"/>
      <c r="N264" s="361"/>
      <c r="O264" s="361"/>
      <c r="P264" s="438"/>
      <c r="Q264" s="438"/>
      <c r="R264" s="438"/>
      <c r="S264" s="438"/>
      <c r="T264" s="438"/>
      <c r="U264" s="438"/>
      <c r="V264" s="438"/>
      <c r="Z264" s="439"/>
      <c r="AA264" s="439" t="str">
        <f>IF(AND(F266=G266,H266=I266,F266="A"),"2016 - kwh","")</f>
        <v/>
      </c>
      <c r="AB264" s="439" t="str">
        <f>IF(OR(B264="2017 - kwh",B264="2018 - kwh"),"2016 - kwh","")</f>
        <v/>
      </c>
      <c r="AC264" s="439"/>
      <c r="AD264" s="439"/>
      <c r="AE264" s="439"/>
    </row>
    <row r="265" spans="1:31" hidden="1" x14ac:dyDescent="0.25">
      <c r="A265" s="438" t="str">
        <f>IF(AND(F266=G266,H266=I266,J266=K266,F266="A"),"2016 - kw",IF(AND(F266=G266,H266=I266,J266&lt;&gt;K266,F266="A"),"2017 - kw",IF(AND(F266=G266,H266&lt;&gt;I266,F266="A"),"2018 - kw","N/A")))</f>
        <v>N/A</v>
      </c>
      <c r="B265" s="438" t="str">
        <f>IF(F266&lt;&gt;G266,"2018 - kw",IF(H266&lt;&gt;I266,"2017 - kw",IF(J266&lt;&gt;K266,"2016 - kw","N/A")))</f>
        <v>N/A</v>
      </c>
      <c r="C265" s="446"/>
      <c r="D265" s="447" t="str">
        <f>D264 &amp; "kW"</f>
        <v>kW</v>
      </c>
      <c r="E265" s="448" t="s">
        <v>170</v>
      </c>
      <c r="F265" s="361"/>
      <c r="G265" s="361"/>
      <c r="H265" s="361"/>
      <c r="I265" s="361"/>
      <c r="J265" s="361"/>
      <c r="K265" s="361"/>
      <c r="L265" s="361"/>
      <c r="M265" s="361"/>
      <c r="N265" s="361"/>
      <c r="O265" s="361"/>
      <c r="P265" s="438"/>
      <c r="Q265" s="438"/>
      <c r="R265" s="438"/>
      <c r="S265" s="438"/>
      <c r="T265" s="438"/>
      <c r="U265" s="438"/>
      <c r="V265" s="438"/>
      <c r="Z265" s="439"/>
      <c r="AA265" s="439" t="str">
        <f>IF(AND(F266=G266,H266=I266,F266="A"),"2016 - kw","")</f>
        <v/>
      </c>
      <c r="AB265" s="439" t="str">
        <f>IF(OR(B265="2017 - kw",B265="2018 - kw"),"2016 - kw","")</f>
        <v/>
      </c>
      <c r="AC265" s="439"/>
      <c r="AD265" s="439"/>
      <c r="AE265" s="439"/>
    </row>
    <row r="266" spans="1:31" hidden="1" x14ac:dyDescent="0.25">
      <c r="A266" s="438"/>
      <c r="B266" s="438"/>
      <c r="C266" s="449"/>
      <c r="D266" s="424"/>
      <c r="E266" s="450" t="s">
        <v>210</v>
      </c>
      <c r="F266" s="437"/>
      <c r="G266" s="437"/>
      <c r="H266" s="437"/>
      <c r="I266" s="437"/>
      <c r="J266" s="437"/>
      <c r="K266" s="437"/>
      <c r="L266" s="437"/>
      <c r="M266" s="437"/>
      <c r="N266" s="437"/>
      <c r="O266" s="437"/>
      <c r="P266" s="438"/>
      <c r="Q266" s="438"/>
      <c r="R266" s="438"/>
      <c r="S266" s="438"/>
      <c r="T266" s="438"/>
      <c r="U266" s="438"/>
      <c r="V266" s="438"/>
      <c r="Z266" s="439"/>
      <c r="AA266" s="439"/>
      <c r="AB266" s="439"/>
      <c r="AC266" s="439"/>
      <c r="AD266" s="439"/>
      <c r="AE266" s="439"/>
    </row>
    <row r="267" spans="1:31" hidden="1" x14ac:dyDescent="0.25">
      <c r="A267" s="438" t="str">
        <f>IF(AND(F269=G269,H269=I269,J269=K269,F269="A"),"2016 - kwh",IF(AND(F269=G269,H269=I269,J269&lt;&gt;K269,F269="A"),"2017 - kwh",IF(AND(F269=G269,H269&lt;&gt;I269,F269="A"),"2018 - kwh","N/A")))</f>
        <v>N/A</v>
      </c>
      <c r="B267" s="438" t="str">
        <f>IF(F269&lt;&gt;G269,"2018 - kwh",IF(H269&lt;&gt;I269,"2017 - kwh",IF(J269&lt;&gt;K269,"2016 - kwh","N/A")))</f>
        <v>N/A</v>
      </c>
      <c r="C267" s="443" t="s">
        <v>288</v>
      </c>
      <c r="D267" s="444"/>
      <c r="E267" s="445" t="s">
        <v>139</v>
      </c>
      <c r="F267" s="361"/>
      <c r="G267" s="361"/>
      <c r="H267" s="361"/>
      <c r="I267" s="361"/>
      <c r="J267" s="361"/>
      <c r="K267" s="361"/>
      <c r="L267" s="361"/>
      <c r="M267" s="361"/>
      <c r="N267" s="361"/>
      <c r="O267" s="361"/>
      <c r="P267" s="438"/>
      <c r="Q267" s="438"/>
      <c r="R267" s="438"/>
      <c r="S267" s="438"/>
      <c r="T267" s="438"/>
      <c r="U267" s="438"/>
      <c r="V267" s="438"/>
      <c r="Z267" s="439"/>
      <c r="AA267" s="439" t="str">
        <f>IF(AND(F269=G269,H269=I269,F269="A"),"2016 - kwh","")</f>
        <v/>
      </c>
      <c r="AB267" s="439" t="str">
        <f>IF(OR(B267="2017 - kwh",B267="2018 - kwh"),"2016 - kwh","")</f>
        <v/>
      </c>
      <c r="AC267" s="439"/>
      <c r="AD267" s="439"/>
      <c r="AE267" s="439"/>
    </row>
    <row r="268" spans="1:31" hidden="1" x14ac:dyDescent="0.25">
      <c r="A268" s="438" t="str">
        <f>IF(AND(F269=G269,H269=I269,J269=K269,F269="A"),"2016 - kw",IF(AND(F269=G269,H269=I269,J269&lt;&gt;K269,F269="A"),"2017 - kw",IF(AND(F269=G269,H269&lt;&gt;I269,F269="A"),"2018 - kw","N/A")))</f>
        <v>N/A</v>
      </c>
      <c r="B268" s="438" t="str">
        <f>IF(F269&lt;&gt;G269,"2018 - kw",IF(H269&lt;&gt;I269,"2017 - kw",IF(J269&lt;&gt;K269,"2016 - kw","N/A")))</f>
        <v>N/A</v>
      </c>
      <c r="C268" s="446"/>
      <c r="D268" s="447" t="str">
        <f>D267 &amp; "kW"</f>
        <v>kW</v>
      </c>
      <c r="E268" s="448" t="s">
        <v>170</v>
      </c>
      <c r="F268" s="361"/>
      <c r="G268" s="361"/>
      <c r="H268" s="361"/>
      <c r="I268" s="361"/>
      <c r="J268" s="361"/>
      <c r="K268" s="361"/>
      <c r="L268" s="361"/>
      <c r="M268" s="361"/>
      <c r="N268" s="361"/>
      <c r="O268" s="361"/>
      <c r="P268" s="438"/>
      <c r="Q268" s="438"/>
      <c r="R268" s="438"/>
      <c r="S268" s="438"/>
      <c r="T268" s="438"/>
      <c r="U268" s="438"/>
      <c r="V268" s="438"/>
      <c r="Z268" s="439"/>
      <c r="AA268" s="439" t="str">
        <f>IF(AND(F269=G269,H269=I269,F269="A"),"2016 - kw","")</f>
        <v/>
      </c>
      <c r="AB268" s="439" t="str">
        <f>IF(OR(B268="2017 - kw",B268="2018 - kw"),"2016 - kw","")</f>
        <v/>
      </c>
      <c r="AC268" s="439"/>
      <c r="AD268" s="439"/>
      <c r="AE268" s="439"/>
    </row>
    <row r="269" spans="1:31" hidden="1" x14ac:dyDescent="0.25">
      <c r="A269" s="438"/>
      <c r="B269" s="438"/>
      <c r="C269" s="449"/>
      <c r="D269" s="424"/>
      <c r="E269" s="450" t="s">
        <v>210</v>
      </c>
      <c r="F269" s="437"/>
      <c r="G269" s="437"/>
      <c r="H269" s="437"/>
      <c r="I269" s="437"/>
      <c r="J269" s="437"/>
      <c r="K269" s="437"/>
      <c r="L269" s="437"/>
      <c r="M269" s="437"/>
      <c r="N269" s="437"/>
      <c r="O269" s="437"/>
      <c r="P269" s="438"/>
      <c r="Q269" s="438"/>
      <c r="R269" s="438"/>
      <c r="S269" s="438"/>
      <c r="T269" s="438"/>
      <c r="U269" s="438"/>
      <c r="V269" s="438"/>
      <c r="Z269" s="439"/>
      <c r="AA269" s="439"/>
      <c r="AB269" s="439"/>
      <c r="AC269" s="439"/>
      <c r="AD269" s="439"/>
      <c r="AE269" s="439"/>
    </row>
    <row r="270" spans="1:31" hidden="1" x14ac:dyDescent="0.25">
      <c r="A270" s="438" t="str">
        <f>IF(AND(F272=G272,H272=I272,J272=K272,F272="A"),"2016 - kwh",IF(AND(F272=G272,H272=I272,J272&lt;&gt;K272,F272="A"),"2017 - kwh",IF(AND(F272=G272,H272&lt;&gt;I272,F272="A"),"2018 - kwh","N/A")))</f>
        <v>N/A</v>
      </c>
      <c r="B270" s="438" t="str">
        <f>IF(F272&lt;&gt;G272,"2018 - kwh",IF(H272&lt;&gt;I272,"2017 - kwh",IF(J272&lt;&gt;K272,"2016 - kwh","N/A")))</f>
        <v>N/A</v>
      </c>
      <c r="C270" s="443" t="s">
        <v>289</v>
      </c>
      <c r="D270" s="444"/>
      <c r="E270" s="445" t="s">
        <v>139</v>
      </c>
      <c r="F270" s="361"/>
      <c r="G270" s="361"/>
      <c r="H270" s="361"/>
      <c r="I270" s="361"/>
      <c r="J270" s="361"/>
      <c r="K270" s="361"/>
      <c r="L270" s="361"/>
      <c r="M270" s="361"/>
      <c r="N270" s="361"/>
      <c r="O270" s="361"/>
      <c r="P270" s="438"/>
      <c r="Q270" s="438"/>
      <c r="R270" s="438"/>
      <c r="S270" s="438"/>
      <c r="T270" s="438"/>
      <c r="U270" s="438"/>
      <c r="V270" s="438"/>
      <c r="Z270" s="439"/>
      <c r="AA270" s="439" t="str">
        <f>IF(AND(F272=G272,H272=I272,F272="A"),"2016 - kwh","")</f>
        <v/>
      </c>
      <c r="AB270" s="439" t="str">
        <f>IF(OR(B270="2017 - kwh",B270="2018 - kwh"),"2016 - kwh","")</f>
        <v/>
      </c>
      <c r="AC270" s="439"/>
      <c r="AD270" s="439"/>
      <c r="AE270" s="439"/>
    </row>
    <row r="271" spans="1:31" hidden="1" x14ac:dyDescent="0.25">
      <c r="A271" s="438" t="str">
        <f>IF(AND(F272=G272,H272=I272,J272=K272,F272="A"),"2016 - kw",IF(AND(F272=G272,H272=I272,J272&lt;&gt;K272,F272="A"),"2017 - kw",IF(AND(F272=G272,H272&lt;&gt;I272,F272="A"),"2018 - kw","N/A")))</f>
        <v>N/A</v>
      </c>
      <c r="B271" s="438" t="str">
        <f>IF(F272&lt;&gt;G272,"2018 - kw",IF(H272&lt;&gt;I272,"2017 - kw",IF(J272&lt;&gt;K272,"2016 - kw","N/A")))</f>
        <v>N/A</v>
      </c>
      <c r="C271" s="446"/>
      <c r="D271" s="447" t="str">
        <f>D270 &amp; "kW"</f>
        <v>kW</v>
      </c>
      <c r="E271" s="448" t="s">
        <v>170</v>
      </c>
      <c r="F271" s="361"/>
      <c r="G271" s="361"/>
      <c r="H271" s="361"/>
      <c r="I271" s="361"/>
      <c r="J271" s="361"/>
      <c r="K271" s="361"/>
      <c r="L271" s="361"/>
      <c r="M271" s="361"/>
      <c r="N271" s="361"/>
      <c r="O271" s="361"/>
      <c r="P271" s="438"/>
      <c r="Q271" s="438"/>
      <c r="R271" s="438"/>
      <c r="S271" s="438"/>
      <c r="T271" s="438"/>
      <c r="U271" s="438"/>
      <c r="V271" s="438"/>
      <c r="Z271" s="439"/>
      <c r="AA271" s="439" t="str">
        <f>IF(AND(F272=G272,H272=I272,F272="A"),"2016 - kw","")</f>
        <v/>
      </c>
      <c r="AB271" s="439" t="str">
        <f>IF(OR(B271="2017 - kw",B271="2018 - kw"),"2016 - kw","")</f>
        <v/>
      </c>
      <c r="AC271" s="439"/>
      <c r="AD271" s="439"/>
      <c r="AE271" s="439"/>
    </row>
    <row r="272" spans="1:31" hidden="1" x14ac:dyDescent="0.25">
      <c r="A272" s="438"/>
      <c r="B272" s="438"/>
      <c r="C272" s="449"/>
      <c r="D272" s="424"/>
      <c r="E272" s="450" t="s">
        <v>210</v>
      </c>
      <c r="F272" s="437"/>
      <c r="G272" s="437"/>
      <c r="H272" s="437"/>
      <c r="I272" s="437"/>
      <c r="J272" s="437"/>
      <c r="K272" s="437"/>
      <c r="L272" s="437"/>
      <c r="M272" s="437"/>
      <c r="N272" s="437"/>
      <c r="O272" s="437"/>
      <c r="P272" s="438"/>
      <c r="Q272" s="438"/>
      <c r="R272" s="438"/>
      <c r="S272" s="438"/>
      <c r="T272" s="438"/>
      <c r="U272" s="438"/>
      <c r="V272" s="438"/>
      <c r="Z272" s="439"/>
      <c r="AA272" s="439"/>
      <c r="AB272" s="439"/>
      <c r="AC272" s="439"/>
      <c r="AD272" s="439"/>
      <c r="AE272" s="439"/>
    </row>
    <row r="273" spans="1:31" hidden="1" x14ac:dyDescent="0.25">
      <c r="A273" s="438" t="str">
        <f>IF(AND(F275=G275,H275=I275,J275=K275,F275="A"),"2016 - kwh",IF(AND(F275=G275,H275=I275,J275&lt;&gt;K275,F275="A"),"2017 - kwh",IF(AND(F275=G275,H275&lt;&gt;I275,F275="A"),"2018 - kwh","N/A")))</f>
        <v>N/A</v>
      </c>
      <c r="B273" s="438" t="str">
        <f>IF(F275&lt;&gt;G275,"2018 - kwh",IF(H275&lt;&gt;I275,"2017 - kwh",IF(J275&lt;&gt;K275,"2016 - kwh","N/A")))</f>
        <v>N/A</v>
      </c>
      <c r="C273" s="443" t="s">
        <v>290</v>
      </c>
      <c r="D273" s="444"/>
      <c r="E273" s="445" t="s">
        <v>139</v>
      </c>
      <c r="F273" s="361"/>
      <c r="G273" s="361"/>
      <c r="H273" s="361"/>
      <c r="I273" s="361"/>
      <c r="J273" s="361"/>
      <c r="K273" s="361"/>
      <c r="L273" s="361"/>
      <c r="M273" s="361"/>
      <c r="N273" s="361"/>
      <c r="O273" s="361"/>
      <c r="P273" s="438"/>
      <c r="Q273" s="438"/>
      <c r="R273" s="438"/>
      <c r="S273" s="438"/>
      <c r="T273" s="438"/>
      <c r="U273" s="438"/>
      <c r="V273" s="438"/>
      <c r="Z273" s="439"/>
      <c r="AA273" s="439" t="str">
        <f>IF(AND(F275=G275,H275=I275,F275="A"),"2016 - kwh","")</f>
        <v/>
      </c>
      <c r="AB273" s="439" t="str">
        <f>IF(OR(B273="2017 - kwh",B273="2018 - kwh"),"2016 - kwh","")</f>
        <v/>
      </c>
      <c r="AC273" s="439"/>
      <c r="AD273" s="439"/>
      <c r="AE273" s="439"/>
    </row>
    <row r="274" spans="1:31" hidden="1" x14ac:dyDescent="0.25">
      <c r="A274" s="438" t="str">
        <f>IF(AND(F275=G275,H275=I275,J275=K275,F275="A"),"2016 - kw",IF(AND(F275=G275,H275=I275,J275&lt;&gt;K275,F275="A"),"2017 - kw",IF(AND(F275=G275,H275&lt;&gt;I275,F275="A"),"2018 - kw","N/A")))</f>
        <v>N/A</v>
      </c>
      <c r="B274" s="438" t="str">
        <f>IF(F275&lt;&gt;G275,"2018 - kw",IF(H275&lt;&gt;I275,"2017 - kw",IF(J275&lt;&gt;K275,"2016 - kw","N/A")))</f>
        <v>N/A</v>
      </c>
      <c r="C274" s="446"/>
      <c r="D274" s="447" t="str">
        <f>D273 &amp; "kW"</f>
        <v>kW</v>
      </c>
      <c r="E274" s="448" t="s">
        <v>170</v>
      </c>
      <c r="F274" s="361"/>
      <c r="G274" s="361"/>
      <c r="H274" s="361"/>
      <c r="I274" s="361"/>
      <c r="J274" s="361"/>
      <c r="K274" s="361"/>
      <c r="L274" s="361"/>
      <c r="M274" s="361"/>
      <c r="N274" s="361"/>
      <c r="O274" s="361"/>
      <c r="P274" s="438"/>
      <c r="Q274" s="438"/>
      <c r="R274" s="438"/>
      <c r="S274" s="438"/>
      <c r="T274" s="438"/>
      <c r="U274" s="438"/>
      <c r="V274" s="438"/>
      <c r="Z274" s="439"/>
      <c r="AA274" s="439" t="str">
        <f>IF(AND(F275=G275,H275=I275,F275="A"),"2016 - kw","")</f>
        <v/>
      </c>
      <c r="AB274" s="439" t="str">
        <f>IF(OR(B274="2017 - kw",B274="2018 - kw"),"2016 - kw","")</f>
        <v/>
      </c>
      <c r="AC274" s="439"/>
      <c r="AD274" s="439"/>
      <c r="AE274" s="439"/>
    </row>
    <row r="275" spans="1:31" hidden="1" x14ac:dyDescent="0.25">
      <c r="A275" s="438"/>
      <c r="B275" s="438"/>
      <c r="C275" s="449"/>
      <c r="D275" s="424"/>
      <c r="E275" s="450" t="s">
        <v>210</v>
      </c>
      <c r="F275" s="437"/>
      <c r="G275" s="437"/>
      <c r="H275" s="437"/>
      <c r="I275" s="437"/>
      <c r="J275" s="437"/>
      <c r="K275" s="437"/>
      <c r="L275" s="437"/>
      <c r="M275" s="437"/>
      <c r="N275" s="437"/>
      <c r="O275" s="437"/>
      <c r="P275" s="438"/>
      <c r="Q275" s="438"/>
      <c r="R275" s="438"/>
      <c r="S275" s="438"/>
      <c r="T275" s="438"/>
      <c r="U275" s="438"/>
      <c r="V275" s="438"/>
      <c r="Z275" s="439"/>
      <c r="AA275" s="439"/>
      <c r="AB275" s="439"/>
      <c r="AC275" s="439"/>
      <c r="AD275" s="439"/>
      <c r="AE275" s="439"/>
    </row>
    <row r="276" spans="1:31" hidden="1" x14ac:dyDescent="0.25">
      <c r="A276" s="438" t="str">
        <f>IF(AND(F278=G278,H278=I278,J278=K278,F278="A"),"2016 - kwh",IF(AND(F278=G278,H278=I278,J278&lt;&gt;K278,F278="A"),"2017 - kwh",IF(AND(F278=G278,H278&lt;&gt;I278,F278="A"),"2018 - kwh","N/A")))</f>
        <v>N/A</v>
      </c>
      <c r="B276" s="438" t="str">
        <f>IF(F278&lt;&gt;G278,"2018 - kwh",IF(H278&lt;&gt;I278,"2017 - kwh",IF(J278&lt;&gt;K278,"2016 - kwh","N/A")))</f>
        <v>N/A</v>
      </c>
      <c r="C276" s="443" t="s">
        <v>291</v>
      </c>
      <c r="D276" s="444"/>
      <c r="E276" s="445" t="s">
        <v>139</v>
      </c>
      <c r="F276" s="361"/>
      <c r="G276" s="361"/>
      <c r="H276" s="361"/>
      <c r="I276" s="361"/>
      <c r="J276" s="361"/>
      <c r="K276" s="361"/>
      <c r="L276" s="361"/>
      <c r="M276" s="361"/>
      <c r="N276" s="361"/>
      <c r="O276" s="361"/>
      <c r="P276" s="438"/>
      <c r="Q276" s="438"/>
      <c r="R276" s="438"/>
      <c r="S276" s="438"/>
      <c r="T276" s="438"/>
      <c r="U276" s="438"/>
      <c r="V276" s="438"/>
      <c r="Z276" s="439"/>
      <c r="AA276" s="439" t="str">
        <f>IF(AND(F278=G278,H278=I278,F278="A"),"2016 - kwh","")</f>
        <v/>
      </c>
      <c r="AB276" s="439" t="str">
        <f>IF(OR(B276="2017 - kwh",B276="2018 - kwh"),"2016 - kwh","")</f>
        <v/>
      </c>
      <c r="AC276" s="439"/>
      <c r="AD276" s="439"/>
      <c r="AE276" s="439"/>
    </row>
    <row r="277" spans="1:31" hidden="1" x14ac:dyDescent="0.25">
      <c r="A277" s="438" t="str">
        <f>IF(AND(F278=G278,H278=I278,J278=K278,F278="A"),"2016 - kw",IF(AND(F278=G278,H278=I278,J278&lt;&gt;K278,F278="A"),"2017 - kw",IF(AND(F278=G278,H278&lt;&gt;I278,F278="A"),"2018 - kw","N/A")))</f>
        <v>N/A</v>
      </c>
      <c r="B277" s="438" t="str">
        <f>IF(F278&lt;&gt;G278,"2018 - kw",IF(H278&lt;&gt;I278,"2017 - kw",IF(J278&lt;&gt;K278,"2016 - kw","N/A")))</f>
        <v>N/A</v>
      </c>
      <c r="C277" s="446"/>
      <c r="D277" s="447" t="str">
        <f>D276 &amp; "kW"</f>
        <v>kW</v>
      </c>
      <c r="E277" s="448" t="s">
        <v>170</v>
      </c>
      <c r="F277" s="361"/>
      <c r="G277" s="361"/>
      <c r="H277" s="361"/>
      <c r="I277" s="361"/>
      <c r="J277" s="361"/>
      <c r="K277" s="361"/>
      <c r="L277" s="361"/>
      <c r="M277" s="361"/>
      <c r="N277" s="361"/>
      <c r="O277" s="361"/>
      <c r="P277" s="438"/>
      <c r="Q277" s="438"/>
      <c r="R277" s="438"/>
      <c r="S277" s="438"/>
      <c r="T277" s="438"/>
      <c r="U277" s="438"/>
      <c r="V277" s="438"/>
      <c r="Z277" s="439"/>
      <c r="AA277" s="439" t="str">
        <f>IF(AND(F278=G278,H278=I278,F278="A"),"2016 - kw","")</f>
        <v/>
      </c>
      <c r="AB277" s="439" t="str">
        <f>IF(OR(B277="2017 - kw",B277="2018 - kw"),"2016 - kw","")</f>
        <v/>
      </c>
      <c r="AC277" s="439"/>
      <c r="AD277" s="439"/>
      <c r="AE277" s="439"/>
    </row>
    <row r="278" spans="1:31" hidden="1" x14ac:dyDescent="0.25">
      <c r="A278" s="438"/>
      <c r="B278" s="438"/>
      <c r="C278" s="449"/>
      <c r="D278" s="424"/>
      <c r="E278" s="450" t="s">
        <v>210</v>
      </c>
      <c r="F278" s="437"/>
      <c r="G278" s="437"/>
      <c r="H278" s="437"/>
      <c r="I278" s="437"/>
      <c r="J278" s="437"/>
      <c r="K278" s="437"/>
      <c r="L278" s="437"/>
      <c r="M278" s="437"/>
      <c r="N278" s="437"/>
      <c r="O278" s="437"/>
      <c r="P278" s="438"/>
      <c r="Q278" s="438"/>
      <c r="R278" s="438"/>
      <c r="S278" s="438"/>
      <c r="T278" s="438"/>
      <c r="U278" s="438"/>
      <c r="V278" s="438"/>
      <c r="Z278" s="439"/>
      <c r="AA278" s="439"/>
      <c r="AB278" s="439"/>
      <c r="AC278" s="439"/>
      <c r="AD278" s="439"/>
      <c r="AE278" s="439"/>
    </row>
    <row r="279" spans="1:31" hidden="1" x14ac:dyDescent="0.25">
      <c r="A279" s="438" t="str">
        <f>IF(AND(F281=G281,H281=I281,J281=K281,F281="A"),"2016 - kwh",IF(AND(F281=G281,H281=I281,J281&lt;&gt;K281,F281="A"),"2017 - kwh",IF(AND(F281=G281,H281&lt;&gt;I281,F281="A"),"2018 - kwh","N/A")))</f>
        <v>N/A</v>
      </c>
      <c r="B279" s="438" t="str">
        <f>IF(F281&lt;&gt;G281,"2018 - kwh",IF(H281&lt;&gt;I281,"2017 - kwh",IF(J281&lt;&gt;K281,"2016 - kwh","N/A")))</f>
        <v>N/A</v>
      </c>
      <c r="C279" s="443" t="s">
        <v>292</v>
      </c>
      <c r="D279" s="444"/>
      <c r="E279" s="445" t="s">
        <v>139</v>
      </c>
      <c r="F279" s="361"/>
      <c r="G279" s="361"/>
      <c r="H279" s="361"/>
      <c r="I279" s="361"/>
      <c r="J279" s="361"/>
      <c r="K279" s="361"/>
      <c r="L279" s="361"/>
      <c r="M279" s="361"/>
      <c r="N279" s="361"/>
      <c r="O279" s="361"/>
      <c r="P279" s="438"/>
      <c r="Q279" s="438"/>
      <c r="R279" s="438"/>
      <c r="S279" s="438"/>
      <c r="T279" s="438"/>
      <c r="U279" s="438"/>
      <c r="V279" s="438"/>
      <c r="Z279" s="439"/>
      <c r="AA279" s="439" t="str">
        <f>IF(AND(F281=G281,H281=I281,F281="A"),"2016 - kwh","")</f>
        <v/>
      </c>
      <c r="AB279" s="439" t="str">
        <f>IF(OR(B279="2017 - kwh",B279="2018 - kwh"),"2016 - kwh","")</f>
        <v/>
      </c>
      <c r="AC279" s="439"/>
      <c r="AD279" s="439"/>
      <c r="AE279" s="439"/>
    </row>
    <row r="280" spans="1:31" hidden="1" x14ac:dyDescent="0.25">
      <c r="A280" s="438" t="str">
        <f>IF(AND(F281=G281,H281=I281,J281=K281,F281="A"),"2016 - kw",IF(AND(F281=G281,H281=I281,J281&lt;&gt;K281,F281="A"),"2017 - kw",IF(AND(F281=G281,H281&lt;&gt;I281,F281="A"),"2018 - kw","N/A")))</f>
        <v>N/A</v>
      </c>
      <c r="B280" s="438" t="str">
        <f>IF(F281&lt;&gt;G281,"2018 - kw",IF(H281&lt;&gt;I281,"2017 - kw",IF(J281&lt;&gt;K281,"2016 - kw","N/A")))</f>
        <v>N/A</v>
      </c>
      <c r="C280" s="446"/>
      <c r="D280" s="447" t="str">
        <f>D279 &amp; "kW"</f>
        <v>kW</v>
      </c>
      <c r="E280" s="448" t="s">
        <v>170</v>
      </c>
      <c r="F280" s="361"/>
      <c r="G280" s="361"/>
      <c r="H280" s="361"/>
      <c r="I280" s="361"/>
      <c r="J280" s="361"/>
      <c r="K280" s="361"/>
      <c r="L280" s="361"/>
      <c r="M280" s="361"/>
      <c r="N280" s="361"/>
      <c r="O280" s="361"/>
      <c r="P280" s="438"/>
      <c r="Q280" s="438"/>
      <c r="R280" s="438"/>
      <c r="S280" s="438"/>
      <c r="T280" s="438"/>
      <c r="U280" s="438"/>
      <c r="V280" s="438"/>
      <c r="Z280" s="439"/>
      <c r="AA280" s="439" t="str">
        <f>IF(AND(F281=G281,H281=I281,F281="A"),"2016 - kw","")</f>
        <v/>
      </c>
      <c r="AB280" s="439" t="str">
        <f>IF(OR(B280="2017 - kw",B280="2018 - kw"),"2016 - kw","")</f>
        <v/>
      </c>
      <c r="AC280" s="439"/>
      <c r="AD280" s="439"/>
      <c r="AE280" s="439"/>
    </row>
    <row r="281" spans="1:31" hidden="1" x14ac:dyDescent="0.25">
      <c r="A281" s="438"/>
      <c r="B281" s="438"/>
      <c r="C281" s="449"/>
      <c r="D281" s="424"/>
      <c r="E281" s="450" t="s">
        <v>210</v>
      </c>
      <c r="F281" s="437"/>
      <c r="G281" s="437"/>
      <c r="H281" s="437"/>
      <c r="I281" s="437"/>
      <c r="J281" s="437"/>
      <c r="K281" s="437"/>
      <c r="L281" s="437"/>
      <c r="M281" s="437"/>
      <c r="N281" s="437"/>
      <c r="O281" s="437"/>
      <c r="P281" s="438"/>
      <c r="Q281" s="438"/>
      <c r="R281" s="438"/>
      <c r="S281" s="438"/>
      <c r="T281" s="438"/>
      <c r="U281" s="438"/>
      <c r="V281" s="438"/>
      <c r="Z281" s="439"/>
      <c r="AA281" s="439"/>
      <c r="AB281" s="439"/>
      <c r="AC281" s="439"/>
      <c r="AD281" s="439"/>
      <c r="AE281" s="439"/>
    </row>
    <row r="282" spans="1:31" hidden="1" x14ac:dyDescent="0.25">
      <c r="A282" s="438" t="str">
        <f>IF(AND(F284=G284,H284=I284,J284=K284,F284="A"),"2016 - kwh",IF(AND(F284=G284,H284=I284,J284&lt;&gt;K284,F284="A"),"2017 - kwh",IF(AND(F284=G284,H284&lt;&gt;I284,F284="A"),"2018 - kwh","N/A")))</f>
        <v>N/A</v>
      </c>
      <c r="B282" s="438" t="str">
        <f>IF(F284&lt;&gt;G284,"2018 - kwh",IF(H284&lt;&gt;I284,"2017 - kwh",IF(J284&lt;&gt;K284,"2016 - kwh","N/A")))</f>
        <v>N/A</v>
      </c>
      <c r="C282" s="443" t="s">
        <v>293</v>
      </c>
      <c r="D282" s="444"/>
      <c r="E282" s="445" t="s">
        <v>139</v>
      </c>
      <c r="F282" s="361"/>
      <c r="G282" s="361"/>
      <c r="H282" s="361"/>
      <c r="I282" s="361"/>
      <c r="J282" s="361"/>
      <c r="K282" s="361"/>
      <c r="L282" s="361"/>
      <c r="M282" s="361"/>
      <c r="N282" s="361"/>
      <c r="O282" s="361"/>
      <c r="P282" s="438"/>
      <c r="Q282" s="438"/>
      <c r="R282" s="438"/>
      <c r="S282" s="438"/>
      <c r="T282" s="438"/>
      <c r="U282" s="438"/>
      <c r="V282" s="438"/>
      <c r="Z282" s="439"/>
      <c r="AA282" s="439" t="str">
        <f>IF(AND(F284=G284,H284=I284,F284="A"),"2016 - kwh","")</f>
        <v/>
      </c>
      <c r="AB282" s="439" t="str">
        <f>IF(OR(B282="2017 - kwh",B282="2018 - kwh"),"2016 - kwh","")</f>
        <v/>
      </c>
      <c r="AC282" s="439"/>
      <c r="AD282" s="439"/>
      <c r="AE282" s="439"/>
    </row>
    <row r="283" spans="1:31" hidden="1" x14ac:dyDescent="0.25">
      <c r="A283" s="438" t="str">
        <f>IF(AND(F284=G284,H284=I284,J284=K284,F284="A"),"2016 - kw",IF(AND(F284=G284,H284=I284,J284&lt;&gt;K284,F284="A"),"2017 - kw",IF(AND(F284=G284,H284&lt;&gt;I284,F284="A"),"2018 - kw","N/A")))</f>
        <v>N/A</v>
      </c>
      <c r="B283" s="438" t="str">
        <f>IF(F284&lt;&gt;G284,"2018 - kw",IF(H284&lt;&gt;I284,"2017 - kw",IF(J284&lt;&gt;K284,"2016 - kw","N/A")))</f>
        <v>N/A</v>
      </c>
      <c r="C283" s="446"/>
      <c r="D283" s="447" t="str">
        <f>D282 &amp; "kW"</f>
        <v>kW</v>
      </c>
      <c r="E283" s="448" t="s">
        <v>170</v>
      </c>
      <c r="F283" s="361"/>
      <c r="G283" s="361"/>
      <c r="H283" s="361"/>
      <c r="I283" s="361"/>
      <c r="J283" s="361"/>
      <c r="K283" s="361"/>
      <c r="L283" s="361"/>
      <c r="M283" s="361"/>
      <c r="N283" s="361"/>
      <c r="O283" s="361"/>
      <c r="P283" s="438"/>
      <c r="Q283" s="438"/>
      <c r="R283" s="438"/>
      <c r="S283" s="438"/>
      <c r="T283" s="438"/>
      <c r="U283" s="438"/>
      <c r="V283" s="438"/>
      <c r="Z283" s="439"/>
      <c r="AA283" s="439" t="str">
        <f>IF(AND(F284=G284,H284=I284,F284="A"),"2016 - kw","")</f>
        <v/>
      </c>
      <c r="AB283" s="439" t="str">
        <f>IF(OR(B283="2017 - kw",B283="2018 - kw"),"2016 - kw","")</f>
        <v/>
      </c>
      <c r="AC283" s="439"/>
      <c r="AD283" s="439"/>
      <c r="AE283" s="439"/>
    </row>
    <row r="284" spans="1:31" hidden="1" x14ac:dyDescent="0.25">
      <c r="A284" s="438"/>
      <c r="B284" s="438"/>
      <c r="C284" s="449"/>
      <c r="D284" s="424"/>
      <c r="E284" s="450" t="s">
        <v>210</v>
      </c>
      <c r="F284" s="437"/>
      <c r="G284" s="437"/>
      <c r="H284" s="437"/>
      <c r="I284" s="437"/>
      <c r="J284" s="437"/>
      <c r="K284" s="437"/>
      <c r="L284" s="437"/>
      <c r="M284" s="437"/>
      <c r="N284" s="437"/>
      <c r="O284" s="437"/>
      <c r="P284" s="438"/>
      <c r="Q284" s="438"/>
      <c r="R284" s="438"/>
      <c r="S284" s="438"/>
      <c r="T284" s="438"/>
      <c r="U284" s="438"/>
      <c r="V284" s="438"/>
      <c r="Z284" s="439"/>
      <c r="AA284" s="439"/>
      <c r="AB284" s="439"/>
      <c r="AC284" s="439"/>
      <c r="AD284" s="439"/>
      <c r="AE284" s="439"/>
    </row>
    <row r="285" spans="1:31" hidden="1" x14ac:dyDescent="0.25">
      <c r="A285" s="438" t="str">
        <f>IF(AND(F287=G287,H287=I287,J287=K287,F287="A"),"2016 - kwh",IF(AND(F287=G287,H287=I287,J287&lt;&gt;K287,F287="A"),"2017 - kwh",IF(AND(F287=G287,H287&lt;&gt;I287,F287="A"),"2018 - kwh","N/A")))</f>
        <v>N/A</v>
      </c>
      <c r="B285" s="438" t="str">
        <f>IF(F287&lt;&gt;G287,"2018 - kwh",IF(H287&lt;&gt;I287,"2017 - kwh",IF(J287&lt;&gt;K287,"2016 - kwh","N/A")))</f>
        <v>N/A</v>
      </c>
      <c r="C285" s="443" t="s">
        <v>294</v>
      </c>
      <c r="D285" s="444"/>
      <c r="E285" s="445" t="s">
        <v>139</v>
      </c>
      <c r="F285" s="361"/>
      <c r="G285" s="361"/>
      <c r="H285" s="361"/>
      <c r="I285" s="361"/>
      <c r="J285" s="361"/>
      <c r="K285" s="361"/>
      <c r="L285" s="361"/>
      <c r="M285" s="361"/>
      <c r="N285" s="361"/>
      <c r="O285" s="361"/>
      <c r="P285" s="438"/>
      <c r="Q285" s="438"/>
      <c r="R285" s="438"/>
      <c r="S285" s="438"/>
      <c r="T285" s="438"/>
      <c r="U285" s="438"/>
      <c r="V285" s="438"/>
      <c r="Z285" s="439"/>
      <c r="AA285" s="439" t="str">
        <f>IF(AND(F287=G287,H287=I287,F287="A"),"2016 - kwh","")</f>
        <v/>
      </c>
      <c r="AB285" s="439" t="str">
        <f>IF(OR(B285="2017 - kwh",B285="2018 - kwh"),"2016 - kwh","")</f>
        <v/>
      </c>
      <c r="AC285" s="439"/>
      <c r="AD285" s="439"/>
      <c r="AE285" s="439"/>
    </row>
    <row r="286" spans="1:31" hidden="1" x14ac:dyDescent="0.25">
      <c r="A286" s="438" t="str">
        <f>IF(AND(F287=G287,H287=I287,J287=K287,F287="A"),"2016 - kw",IF(AND(F287=G287,H287=I287,J287&lt;&gt;K287,F287="A"),"2017 - kw",IF(AND(F287=G287,H287&lt;&gt;I287,F287="A"),"2018 - kw","N/A")))</f>
        <v>N/A</v>
      </c>
      <c r="B286" s="438" t="str">
        <f>IF(F287&lt;&gt;G287,"2018 - kw",IF(H287&lt;&gt;I287,"2017 - kw",IF(J287&lt;&gt;K287,"2016 - kw","N/A")))</f>
        <v>N/A</v>
      </c>
      <c r="C286" s="446"/>
      <c r="D286" s="447" t="str">
        <f>D285 &amp; "kW"</f>
        <v>kW</v>
      </c>
      <c r="E286" s="448" t="s">
        <v>170</v>
      </c>
      <c r="F286" s="361"/>
      <c r="G286" s="361"/>
      <c r="H286" s="361"/>
      <c r="I286" s="361"/>
      <c r="J286" s="361"/>
      <c r="K286" s="361"/>
      <c r="L286" s="361"/>
      <c r="M286" s="361"/>
      <c r="N286" s="361"/>
      <c r="O286" s="361"/>
      <c r="P286" s="438"/>
      <c r="Q286" s="438"/>
      <c r="R286" s="438"/>
      <c r="S286" s="438"/>
      <c r="T286" s="438"/>
      <c r="U286" s="438"/>
      <c r="V286" s="438"/>
      <c r="Z286" s="439"/>
      <c r="AA286" s="439" t="str">
        <f>IF(AND(F287=G287,H287=I287,F287="A"),"2016 - kw","")</f>
        <v/>
      </c>
      <c r="AB286" s="439" t="str">
        <f>IF(OR(B286="2017 - kw",B286="2018 - kw"),"2016 - kw","")</f>
        <v/>
      </c>
      <c r="AC286" s="439"/>
      <c r="AD286" s="439"/>
      <c r="AE286" s="439"/>
    </row>
    <row r="287" spans="1:31" hidden="1" x14ac:dyDescent="0.25">
      <c r="A287" s="438"/>
      <c r="B287" s="438"/>
      <c r="C287" s="449"/>
      <c r="D287" s="424"/>
      <c r="E287" s="450" t="s">
        <v>210</v>
      </c>
      <c r="F287" s="437"/>
      <c r="G287" s="437"/>
      <c r="H287" s="437"/>
      <c r="I287" s="437"/>
      <c r="J287" s="437"/>
      <c r="K287" s="437"/>
      <c r="L287" s="437"/>
      <c r="M287" s="437"/>
      <c r="N287" s="437"/>
      <c r="O287" s="437"/>
      <c r="P287" s="438"/>
      <c r="Q287" s="438"/>
      <c r="R287" s="438"/>
      <c r="S287" s="438"/>
      <c r="T287" s="438"/>
      <c r="U287" s="438"/>
      <c r="V287" s="438"/>
      <c r="Z287" s="439"/>
      <c r="AA287" s="439"/>
      <c r="AB287" s="439"/>
      <c r="AC287" s="439"/>
      <c r="AD287" s="439"/>
      <c r="AE287" s="439"/>
    </row>
    <row r="288" spans="1:31" hidden="1" x14ac:dyDescent="0.25">
      <c r="A288" s="438" t="str">
        <f>IF(AND(F290=G290,H290=I290,J290=K290,F290="A"),"2016 - kwh",IF(AND(F290=G290,H290=I290,J290&lt;&gt;K290,F290="A"),"2017 - kwh",IF(AND(F290=G290,H290&lt;&gt;I290,F290="A"),"2018 - kwh","N/A")))</f>
        <v>N/A</v>
      </c>
      <c r="B288" s="438" t="str">
        <f>IF(F290&lt;&gt;G290,"2018 - kwh",IF(H290&lt;&gt;I290,"2017 - kwh",IF(J290&lt;&gt;K290,"2016 - kwh","N/A")))</f>
        <v>N/A</v>
      </c>
      <c r="C288" s="443" t="s">
        <v>295</v>
      </c>
      <c r="D288" s="444"/>
      <c r="E288" s="445" t="s">
        <v>139</v>
      </c>
      <c r="F288" s="361"/>
      <c r="G288" s="361"/>
      <c r="H288" s="361"/>
      <c r="I288" s="361"/>
      <c r="J288" s="361"/>
      <c r="K288" s="361"/>
      <c r="L288" s="361"/>
      <c r="M288" s="361"/>
      <c r="N288" s="361"/>
      <c r="O288" s="361"/>
      <c r="P288" s="438"/>
      <c r="Q288" s="438"/>
      <c r="R288" s="438"/>
      <c r="S288" s="438"/>
      <c r="T288" s="438"/>
      <c r="U288" s="438"/>
      <c r="V288" s="438"/>
      <c r="Z288" s="439"/>
      <c r="AA288" s="439" t="str">
        <f>IF(AND(F290=G290,H290=I290,F290="A"),"2016 - kwh","")</f>
        <v/>
      </c>
      <c r="AB288" s="439" t="str">
        <f>IF(OR(B288="2017 - kwh",B288="2018 - kwh"),"2016 - kwh","")</f>
        <v/>
      </c>
      <c r="AC288" s="439"/>
      <c r="AD288" s="439"/>
      <c r="AE288" s="439"/>
    </row>
    <row r="289" spans="1:31" hidden="1" x14ac:dyDescent="0.25">
      <c r="A289" s="438" t="str">
        <f>IF(AND(F290=G290,H290=I290,J290=K290,F290="A"),"2016 - kw",IF(AND(F290=G290,H290=I290,J290&lt;&gt;K290,F290="A"),"2017 - kw",IF(AND(F290=G290,H290&lt;&gt;I290,F290="A"),"2018 - kw","N/A")))</f>
        <v>N/A</v>
      </c>
      <c r="B289" s="438" t="str">
        <f>IF(F290&lt;&gt;G290,"2018 - kw",IF(H290&lt;&gt;I290,"2017 - kw",IF(J290&lt;&gt;K290,"2016 - kw","N/A")))</f>
        <v>N/A</v>
      </c>
      <c r="C289" s="446"/>
      <c r="D289" s="447" t="str">
        <f>D288 &amp; "kW"</f>
        <v>kW</v>
      </c>
      <c r="E289" s="448" t="s">
        <v>170</v>
      </c>
      <c r="F289" s="361"/>
      <c r="G289" s="361"/>
      <c r="H289" s="361"/>
      <c r="I289" s="361"/>
      <c r="J289" s="361"/>
      <c r="K289" s="361"/>
      <c r="L289" s="361"/>
      <c r="M289" s="361"/>
      <c r="N289" s="361"/>
      <c r="O289" s="361"/>
      <c r="P289" s="438"/>
      <c r="Q289" s="438"/>
      <c r="R289" s="438"/>
      <c r="S289" s="438"/>
      <c r="T289" s="438"/>
      <c r="U289" s="438"/>
      <c r="V289" s="438"/>
      <c r="Z289" s="439"/>
      <c r="AA289" s="439" t="str">
        <f>IF(AND(F290=G290,H290=I290,F290="A"),"2016 - kw","")</f>
        <v/>
      </c>
      <c r="AB289" s="439" t="str">
        <f>IF(OR(B289="2017 - kw",B289="2018 - kw"),"2016 - kw","")</f>
        <v/>
      </c>
      <c r="AC289" s="439"/>
      <c r="AD289" s="439"/>
      <c r="AE289" s="439"/>
    </row>
    <row r="290" spans="1:31" hidden="1" x14ac:dyDescent="0.25">
      <c r="A290" s="438"/>
      <c r="B290" s="438"/>
      <c r="C290" s="449"/>
      <c r="D290" s="424"/>
      <c r="E290" s="450" t="s">
        <v>210</v>
      </c>
      <c r="F290" s="437"/>
      <c r="G290" s="437"/>
      <c r="H290" s="437"/>
      <c r="I290" s="437"/>
      <c r="J290" s="437"/>
      <c r="K290" s="437"/>
      <c r="L290" s="437"/>
      <c r="M290" s="437"/>
      <c r="N290" s="437"/>
      <c r="O290" s="437"/>
      <c r="P290" s="438"/>
      <c r="Q290" s="438"/>
      <c r="R290" s="438"/>
      <c r="S290" s="438"/>
      <c r="T290" s="438"/>
      <c r="U290" s="438"/>
      <c r="V290" s="438"/>
      <c r="Z290" s="439"/>
      <c r="AA290" s="439"/>
      <c r="AB290" s="439"/>
      <c r="AC290" s="439"/>
      <c r="AD290" s="439"/>
      <c r="AE290" s="439"/>
    </row>
    <row r="291" spans="1:31" hidden="1" x14ac:dyDescent="0.25">
      <c r="A291" s="438" t="str">
        <f>IF(AND(F293=G293,H293=I293,J293=K293,F293="A"),"2016 - kwh",IF(AND(F293=G293,H293=I293,J293&lt;&gt;K293,F293="A"),"2017 - kwh",IF(AND(F293=G293,H293&lt;&gt;I293,F293="A"),"2018 - kwh","N/A")))</f>
        <v>N/A</v>
      </c>
      <c r="B291" s="438" t="str">
        <f>IF(F293&lt;&gt;G293,"2018 - kwh",IF(H293&lt;&gt;I293,"2017 - kwh",IF(J293&lt;&gt;K293,"2016 - kwh","N/A")))</f>
        <v>N/A</v>
      </c>
      <c r="C291" s="443" t="s">
        <v>296</v>
      </c>
      <c r="D291" s="444"/>
      <c r="E291" s="445" t="s">
        <v>139</v>
      </c>
      <c r="F291" s="361"/>
      <c r="G291" s="361"/>
      <c r="H291" s="361"/>
      <c r="I291" s="361"/>
      <c r="J291" s="361"/>
      <c r="K291" s="361"/>
      <c r="L291" s="361"/>
      <c r="M291" s="361"/>
      <c r="N291" s="361"/>
      <c r="O291" s="361"/>
      <c r="P291" s="438"/>
      <c r="Q291" s="438"/>
      <c r="R291" s="438"/>
      <c r="S291" s="438"/>
      <c r="T291" s="438"/>
      <c r="U291" s="438"/>
      <c r="V291" s="438"/>
      <c r="Z291" s="439"/>
      <c r="AA291" s="439" t="str">
        <f>IF(AND(F293=G293,H293=I293,F293="A"),"2016 - kwh","")</f>
        <v/>
      </c>
      <c r="AB291" s="439" t="str">
        <f>IF(OR(B291="2017 - kwh",B291="2018 - kwh"),"2016 - kwh","")</f>
        <v/>
      </c>
      <c r="AC291" s="439"/>
      <c r="AD291" s="439"/>
      <c r="AE291" s="439"/>
    </row>
    <row r="292" spans="1:31" hidden="1" x14ac:dyDescent="0.25">
      <c r="A292" s="438" t="str">
        <f>IF(AND(F293=G293,H293=I293,J293=K293,F293="A"),"2016 - kw",IF(AND(F293=G293,H293=I293,J293&lt;&gt;K293,F293="A"),"2017 - kw",IF(AND(F293=G293,H293&lt;&gt;I293,F293="A"),"2018 - kw","N/A")))</f>
        <v>N/A</v>
      </c>
      <c r="B292" s="438" t="str">
        <f>IF(F293&lt;&gt;G293,"2018 - kw",IF(H293&lt;&gt;I293,"2017 - kw",IF(J293&lt;&gt;K293,"2016 - kw","N/A")))</f>
        <v>N/A</v>
      </c>
      <c r="C292" s="446"/>
      <c r="D292" s="447" t="str">
        <f>D291 &amp; "kW"</f>
        <v>kW</v>
      </c>
      <c r="E292" s="448" t="s">
        <v>170</v>
      </c>
      <c r="F292" s="361"/>
      <c r="G292" s="361"/>
      <c r="H292" s="361"/>
      <c r="I292" s="361"/>
      <c r="J292" s="361"/>
      <c r="K292" s="361"/>
      <c r="L292" s="361"/>
      <c r="M292" s="361"/>
      <c r="N292" s="361"/>
      <c r="O292" s="361"/>
      <c r="P292" s="438"/>
      <c r="Q292" s="438"/>
      <c r="R292" s="438"/>
      <c r="S292" s="438"/>
      <c r="T292" s="438"/>
      <c r="U292" s="438"/>
      <c r="V292" s="438"/>
      <c r="Z292" s="439"/>
      <c r="AA292" s="439" t="str">
        <f>IF(AND(F293=G293,H293=I293,F293="A"),"2016 - kw","")</f>
        <v/>
      </c>
      <c r="AB292" s="439" t="str">
        <f>IF(OR(B292="2017 - kw",B292="2018 - kw"),"2016 - kw","")</f>
        <v/>
      </c>
      <c r="AC292" s="439"/>
      <c r="AD292" s="439"/>
      <c r="AE292" s="439"/>
    </row>
    <row r="293" spans="1:31" hidden="1" x14ac:dyDescent="0.25">
      <c r="A293" s="438"/>
      <c r="B293" s="438"/>
      <c r="C293" s="449"/>
      <c r="D293" s="424"/>
      <c r="E293" s="450" t="s">
        <v>210</v>
      </c>
      <c r="F293" s="437"/>
      <c r="G293" s="437"/>
      <c r="H293" s="437"/>
      <c r="I293" s="437"/>
      <c r="J293" s="437"/>
      <c r="K293" s="437"/>
      <c r="L293" s="437"/>
      <c r="M293" s="437"/>
      <c r="N293" s="437"/>
      <c r="O293" s="437"/>
      <c r="P293" s="438"/>
      <c r="Q293" s="438"/>
      <c r="R293" s="438"/>
      <c r="S293" s="438"/>
      <c r="T293" s="438"/>
      <c r="U293" s="438"/>
      <c r="V293" s="438"/>
      <c r="Z293" s="439"/>
      <c r="AA293" s="439"/>
      <c r="AB293" s="439"/>
      <c r="AC293" s="439"/>
      <c r="AD293" s="439"/>
      <c r="AE293" s="439"/>
    </row>
    <row r="294" spans="1:31" hidden="1" x14ac:dyDescent="0.25">
      <c r="A294" s="438" t="str">
        <f>IF(AND(F296=G296,H296=I296,J296=K296,F296="A"),"2016 - kwh",IF(AND(F296=G296,H296=I296,J296&lt;&gt;K296,F296="A"),"2017 - kwh",IF(AND(F296=G296,H296&lt;&gt;I296,F296="A"),"2018 - kwh","N/A")))</f>
        <v>N/A</v>
      </c>
      <c r="B294" s="438" t="str">
        <f>IF(F296&lt;&gt;G296,"2018 - kwh",IF(H296&lt;&gt;I296,"2017 - kwh",IF(J296&lt;&gt;K296,"2016 - kwh","N/A")))</f>
        <v>N/A</v>
      </c>
      <c r="C294" s="443" t="s">
        <v>297</v>
      </c>
      <c r="D294" s="444"/>
      <c r="E294" s="445" t="s">
        <v>139</v>
      </c>
      <c r="F294" s="361"/>
      <c r="G294" s="361"/>
      <c r="H294" s="361"/>
      <c r="I294" s="361"/>
      <c r="J294" s="361"/>
      <c r="K294" s="361"/>
      <c r="L294" s="361"/>
      <c r="M294" s="361"/>
      <c r="N294" s="361"/>
      <c r="O294" s="361"/>
      <c r="P294" s="438"/>
      <c r="Q294" s="438"/>
      <c r="R294" s="438"/>
      <c r="S294" s="438"/>
      <c r="T294" s="438"/>
      <c r="U294" s="438"/>
      <c r="V294" s="438"/>
      <c r="Z294" s="439"/>
      <c r="AA294" s="439" t="str">
        <f>IF(AND(F296=G296,H296=I296,F296="A"),"2016 - kwh","")</f>
        <v/>
      </c>
      <c r="AB294" s="439" t="str">
        <f>IF(OR(B294="2017 - kwh",B294="2018 - kwh"),"2016 - kwh","")</f>
        <v/>
      </c>
      <c r="AC294" s="439"/>
      <c r="AD294" s="439"/>
      <c r="AE294" s="439"/>
    </row>
    <row r="295" spans="1:31" hidden="1" x14ac:dyDescent="0.25">
      <c r="A295" s="438" t="str">
        <f>IF(AND(F296=G296,H296=I296,J296=K296,F296="A"),"2016 - kw",IF(AND(F296=G296,H296=I296,J296&lt;&gt;K296,F296="A"),"2017 - kw",IF(AND(F296=G296,H296&lt;&gt;I296,F296="A"),"2018 - kw","N/A")))</f>
        <v>N/A</v>
      </c>
      <c r="B295" s="438" t="str">
        <f>IF(F296&lt;&gt;G296,"2018 - kw",IF(H296&lt;&gt;I296,"2017 - kw",IF(J296&lt;&gt;K296,"2016 - kw","N/A")))</f>
        <v>N/A</v>
      </c>
      <c r="C295" s="446"/>
      <c r="D295" s="447" t="str">
        <f>D294 &amp; "kW"</f>
        <v>kW</v>
      </c>
      <c r="E295" s="448" t="s">
        <v>170</v>
      </c>
      <c r="F295" s="361"/>
      <c r="G295" s="361"/>
      <c r="H295" s="361"/>
      <c r="I295" s="361"/>
      <c r="J295" s="361"/>
      <c r="K295" s="361"/>
      <c r="L295" s="361"/>
      <c r="M295" s="361"/>
      <c r="N295" s="361"/>
      <c r="O295" s="361"/>
      <c r="P295" s="438"/>
      <c r="Q295" s="438"/>
      <c r="R295" s="438"/>
      <c r="S295" s="438"/>
      <c r="T295" s="438"/>
      <c r="U295" s="438"/>
      <c r="V295" s="438"/>
      <c r="Z295" s="439"/>
      <c r="AA295" s="439" t="str">
        <f>IF(AND(F296=G296,H296=I296,F296="A"),"2016 - kw","")</f>
        <v/>
      </c>
      <c r="AB295" s="439" t="str">
        <f>IF(OR(B295="2017 - kw",B295="2018 - kw"),"2016 - kw","")</f>
        <v/>
      </c>
      <c r="AC295" s="439"/>
      <c r="AD295" s="439"/>
      <c r="AE295" s="439"/>
    </row>
    <row r="296" spans="1:31" hidden="1" x14ac:dyDescent="0.25">
      <c r="A296" s="438"/>
      <c r="B296" s="438"/>
      <c r="C296" s="449"/>
      <c r="D296" s="424"/>
      <c r="E296" s="450" t="s">
        <v>210</v>
      </c>
      <c r="F296" s="437"/>
      <c r="G296" s="437"/>
      <c r="H296" s="437"/>
      <c r="I296" s="437"/>
      <c r="J296" s="437"/>
      <c r="K296" s="437"/>
      <c r="L296" s="437"/>
      <c r="M296" s="437"/>
      <c r="N296" s="437"/>
      <c r="O296" s="437"/>
      <c r="P296" s="438"/>
      <c r="Q296" s="438"/>
      <c r="R296" s="438"/>
      <c r="S296" s="438"/>
      <c r="T296" s="438"/>
      <c r="U296" s="438"/>
      <c r="V296" s="438"/>
      <c r="Z296" s="439"/>
      <c r="AA296" s="439"/>
      <c r="AB296" s="439"/>
      <c r="AC296" s="439"/>
      <c r="AD296" s="439"/>
      <c r="AE296" s="439"/>
    </row>
    <row r="297" spans="1:31" hidden="1" x14ac:dyDescent="0.25">
      <c r="A297" s="438" t="str">
        <f>IF(AND(F299=G299,H299=I299,J299=K299,F299="A"),"2016 - kwh",IF(AND(F299=G299,H299=I299,J299&lt;&gt;K299,F299="A"),"2017 - kwh",IF(AND(F299=G299,H299&lt;&gt;I299,F299="A"),"2018 - kwh","N/A")))</f>
        <v>N/A</v>
      </c>
      <c r="B297" s="438" t="str">
        <f>IF(F299&lt;&gt;G299,"2018 - kwh",IF(H299&lt;&gt;I299,"2017 - kwh",IF(J299&lt;&gt;K299,"2016 - kwh","N/A")))</f>
        <v>N/A</v>
      </c>
      <c r="C297" s="443" t="s">
        <v>298</v>
      </c>
      <c r="D297" s="444"/>
      <c r="E297" s="445" t="s">
        <v>139</v>
      </c>
      <c r="F297" s="361"/>
      <c r="G297" s="361"/>
      <c r="H297" s="361"/>
      <c r="I297" s="361"/>
      <c r="J297" s="361"/>
      <c r="K297" s="361"/>
      <c r="L297" s="361"/>
      <c r="M297" s="361"/>
      <c r="N297" s="361"/>
      <c r="O297" s="361"/>
      <c r="P297" s="438"/>
      <c r="Q297" s="438"/>
      <c r="R297" s="438"/>
      <c r="S297" s="438"/>
      <c r="T297" s="438"/>
      <c r="U297" s="438"/>
      <c r="V297" s="438"/>
      <c r="Z297" s="439"/>
      <c r="AA297" s="439" t="str">
        <f>IF(AND(F299=G299,H299=I299,F299="A"),"2016 - kwh","")</f>
        <v/>
      </c>
      <c r="AB297" s="439" t="str">
        <f>IF(OR(B297="2017 - kwh",B297="2018 - kwh"),"2016 - kwh","")</f>
        <v/>
      </c>
      <c r="AC297" s="439"/>
      <c r="AD297" s="439"/>
      <c r="AE297" s="439"/>
    </row>
    <row r="298" spans="1:31" hidden="1" x14ac:dyDescent="0.25">
      <c r="A298" s="438" t="str">
        <f>IF(AND(F299=G299,H299=I299,J299=K299,F299="A"),"2016 - kw",IF(AND(F299=G299,H299=I299,J299&lt;&gt;K299,F299="A"),"2017 - kw",IF(AND(F299=G299,H299&lt;&gt;I299,F299="A"),"2018 - kw","N/A")))</f>
        <v>N/A</v>
      </c>
      <c r="B298" s="438" t="str">
        <f>IF(F299&lt;&gt;G299,"2018 - kw",IF(H299&lt;&gt;I299,"2017 - kw",IF(J299&lt;&gt;K299,"2016 - kw","N/A")))</f>
        <v>N/A</v>
      </c>
      <c r="C298" s="446"/>
      <c r="D298" s="447" t="str">
        <f>D297 &amp; "kW"</f>
        <v>kW</v>
      </c>
      <c r="E298" s="448" t="s">
        <v>170</v>
      </c>
      <c r="F298" s="361"/>
      <c r="G298" s="361"/>
      <c r="H298" s="361"/>
      <c r="I298" s="361"/>
      <c r="J298" s="361"/>
      <c r="K298" s="361"/>
      <c r="L298" s="361"/>
      <c r="M298" s="361"/>
      <c r="N298" s="361"/>
      <c r="O298" s="361"/>
      <c r="P298" s="438"/>
      <c r="Q298" s="438"/>
      <c r="R298" s="438"/>
      <c r="S298" s="438"/>
      <c r="T298" s="438"/>
      <c r="U298" s="438"/>
      <c r="V298" s="438"/>
      <c r="Z298" s="439"/>
      <c r="AA298" s="439" t="str">
        <f>IF(AND(F299=G299,H299=I299,F299="A"),"2016 - kw","")</f>
        <v/>
      </c>
      <c r="AB298" s="439" t="str">
        <f>IF(OR(B298="2017 - kw",B298="2018 - kw"),"2016 - kw","")</f>
        <v/>
      </c>
      <c r="AC298" s="439"/>
      <c r="AD298" s="439"/>
      <c r="AE298" s="439"/>
    </row>
    <row r="299" spans="1:31" hidden="1" x14ac:dyDescent="0.25">
      <c r="A299" s="438"/>
      <c r="B299" s="438"/>
      <c r="C299" s="449"/>
      <c r="D299" s="424"/>
      <c r="E299" s="450" t="s">
        <v>210</v>
      </c>
      <c r="F299" s="437"/>
      <c r="G299" s="437"/>
      <c r="H299" s="437"/>
      <c r="I299" s="437"/>
      <c r="J299" s="437"/>
      <c r="K299" s="437"/>
      <c r="L299" s="437"/>
      <c r="M299" s="437"/>
      <c r="N299" s="437"/>
      <c r="O299" s="437"/>
      <c r="P299" s="438"/>
      <c r="Q299" s="438"/>
      <c r="R299" s="438"/>
      <c r="S299" s="438"/>
      <c r="T299" s="438"/>
      <c r="U299" s="438"/>
      <c r="V299" s="438"/>
      <c r="Z299" s="439"/>
      <c r="AA299" s="439"/>
      <c r="AB299" s="439"/>
      <c r="AC299" s="439"/>
      <c r="AD299" s="439"/>
      <c r="AE299" s="439"/>
    </row>
    <row r="300" spans="1:31" hidden="1" x14ac:dyDescent="0.25">
      <c r="A300" s="438" t="str">
        <f>IF(AND(F302=G302,H302=I302,J302=K302,F302="A"),"2016 - kwh",IF(AND(F302=G302,H302=I302,J302&lt;&gt;K302,F302="A"),"2017 - kwh",IF(AND(F302=G302,H302&lt;&gt;I302,F302="A"),"2018 - kwh","N/A")))</f>
        <v>N/A</v>
      </c>
      <c r="B300" s="438" t="str">
        <f>IF(F302&lt;&gt;G302,"2018 - kwh",IF(H302&lt;&gt;I302,"2017 - kwh",IF(J302&lt;&gt;K302,"2016 - kwh","N/A")))</f>
        <v>N/A</v>
      </c>
      <c r="C300" s="443" t="s">
        <v>299</v>
      </c>
      <c r="D300" s="444"/>
      <c r="E300" s="445" t="s">
        <v>139</v>
      </c>
      <c r="F300" s="361"/>
      <c r="G300" s="361"/>
      <c r="H300" s="361"/>
      <c r="I300" s="361"/>
      <c r="J300" s="361"/>
      <c r="K300" s="361"/>
      <c r="L300" s="361"/>
      <c r="M300" s="361"/>
      <c r="N300" s="361"/>
      <c r="O300" s="361"/>
      <c r="P300" s="438"/>
      <c r="Q300" s="438"/>
      <c r="R300" s="438"/>
      <c r="S300" s="438"/>
      <c r="T300" s="438"/>
      <c r="U300" s="438"/>
      <c r="V300" s="438"/>
      <c r="Z300" s="439"/>
      <c r="AA300" s="439" t="str">
        <f>IF(AND(F302=G302,H302=I302,F302="A"),"2016 - kwh","")</f>
        <v/>
      </c>
      <c r="AB300" s="439" t="str">
        <f>IF(OR(B300="2017 - kwh",B300="2018 - kwh"),"2016 - kwh","")</f>
        <v/>
      </c>
      <c r="AC300" s="439"/>
      <c r="AD300" s="439"/>
      <c r="AE300" s="439"/>
    </row>
    <row r="301" spans="1:31" hidden="1" x14ac:dyDescent="0.25">
      <c r="A301" s="438" t="str">
        <f>IF(AND(F302=G302,H302=I302,J302=K302,F302="A"),"2016 - kw",IF(AND(F302=G302,H302=I302,J302&lt;&gt;K302,F302="A"),"2017 - kw",IF(AND(F302=G302,H302&lt;&gt;I302,F302="A"),"2018 - kw","N/A")))</f>
        <v>N/A</v>
      </c>
      <c r="B301" s="438" t="str">
        <f>IF(F302&lt;&gt;G302,"2018 - kw",IF(H302&lt;&gt;I302,"2017 - kw",IF(J302&lt;&gt;K302,"2016 - kw","N/A")))</f>
        <v>N/A</v>
      </c>
      <c r="C301" s="446"/>
      <c r="D301" s="447" t="str">
        <f>D300 &amp; "kW"</f>
        <v>kW</v>
      </c>
      <c r="E301" s="448" t="s">
        <v>170</v>
      </c>
      <c r="F301" s="361"/>
      <c r="G301" s="361"/>
      <c r="H301" s="361"/>
      <c r="I301" s="361"/>
      <c r="J301" s="361"/>
      <c r="K301" s="361"/>
      <c r="L301" s="361"/>
      <c r="M301" s="361"/>
      <c r="N301" s="361"/>
      <c r="O301" s="361"/>
      <c r="P301" s="438"/>
      <c r="Q301" s="438"/>
      <c r="R301" s="438"/>
      <c r="S301" s="438"/>
      <c r="T301" s="438"/>
      <c r="U301" s="438"/>
      <c r="V301" s="438"/>
      <c r="Z301" s="439"/>
      <c r="AA301" s="439" t="str">
        <f>IF(AND(F302=G302,H302=I302,F302="A"),"2016 - kw","")</f>
        <v/>
      </c>
      <c r="AB301" s="439" t="str">
        <f>IF(OR(B301="2017 - kw",B301="2018 - kw"),"2016 - kw","")</f>
        <v/>
      </c>
      <c r="AC301" s="439"/>
      <c r="AD301" s="439"/>
      <c r="AE301" s="439"/>
    </row>
    <row r="302" spans="1:31" hidden="1" x14ac:dyDescent="0.25">
      <c r="A302" s="438"/>
      <c r="B302" s="438"/>
      <c r="C302" s="449"/>
      <c r="D302" s="424"/>
      <c r="E302" s="450" t="s">
        <v>210</v>
      </c>
      <c r="F302" s="437"/>
      <c r="G302" s="437"/>
      <c r="H302" s="437"/>
      <c r="I302" s="437"/>
      <c r="J302" s="437"/>
      <c r="K302" s="437"/>
      <c r="L302" s="437"/>
      <c r="M302" s="437"/>
      <c r="N302" s="437"/>
      <c r="O302" s="437"/>
      <c r="P302" s="438"/>
      <c r="Q302" s="438"/>
      <c r="R302" s="438"/>
      <c r="S302" s="438"/>
      <c r="T302" s="438"/>
      <c r="U302" s="438"/>
      <c r="V302" s="438"/>
      <c r="Z302" s="439"/>
      <c r="AA302" s="439"/>
      <c r="AB302" s="439"/>
      <c r="AC302" s="439"/>
      <c r="AD302" s="439"/>
      <c r="AE302" s="439"/>
    </row>
    <row r="303" spans="1:31" hidden="1" x14ac:dyDescent="0.25">
      <c r="A303" s="438" t="str">
        <f>IF(AND(F305=G305,H305=I305,J305=K305,F305="A"),"2016 - kwh",IF(AND(F305=G305,H305=I305,J305&lt;&gt;K305,F305="A"),"2017 - kwh",IF(AND(F305=G305,H305&lt;&gt;I305,F305="A"),"2018 - kwh","N/A")))</f>
        <v>N/A</v>
      </c>
      <c r="B303" s="438" t="str">
        <f>IF(F305&lt;&gt;G305,"2018 - kwh",IF(H305&lt;&gt;I305,"2017 - kwh",IF(J305&lt;&gt;K305,"2016 - kwh","N/A")))</f>
        <v>N/A</v>
      </c>
      <c r="C303" s="443" t="s">
        <v>300</v>
      </c>
      <c r="D303" s="444"/>
      <c r="E303" s="445" t="s">
        <v>139</v>
      </c>
      <c r="F303" s="361"/>
      <c r="G303" s="361"/>
      <c r="H303" s="361"/>
      <c r="I303" s="361"/>
      <c r="J303" s="361"/>
      <c r="K303" s="361"/>
      <c r="L303" s="361"/>
      <c r="M303" s="361"/>
      <c r="N303" s="361"/>
      <c r="O303" s="361"/>
      <c r="P303" s="438"/>
      <c r="Q303" s="438"/>
      <c r="R303" s="438"/>
      <c r="S303" s="438"/>
      <c r="T303" s="438"/>
      <c r="U303" s="438"/>
      <c r="V303" s="438"/>
      <c r="Z303" s="439"/>
      <c r="AA303" s="439" t="str">
        <f>IF(AND(F305=G305,H305=I305,F305="A"),"2016 - kwh","")</f>
        <v/>
      </c>
      <c r="AB303" s="439" t="str">
        <f>IF(OR(B303="2017 - kwh",B303="2018 - kwh"),"2016 - kwh","")</f>
        <v/>
      </c>
      <c r="AC303" s="439"/>
      <c r="AD303" s="439"/>
      <c r="AE303" s="439"/>
    </row>
    <row r="304" spans="1:31" hidden="1" x14ac:dyDescent="0.25">
      <c r="A304" s="438" t="str">
        <f>IF(AND(F305=G305,H305=I305,J305=K305,F305="A"),"2016 - kw",IF(AND(F305=G305,H305=I305,J305&lt;&gt;K305,F305="A"),"2017 - kw",IF(AND(F305=G305,H305&lt;&gt;I305,F305="A"),"2018 - kw","N/A")))</f>
        <v>N/A</v>
      </c>
      <c r="B304" s="438" t="str">
        <f>IF(F305&lt;&gt;G305,"2018 - kw",IF(H305&lt;&gt;I305,"2017 - kw",IF(J305&lt;&gt;K305,"2016 - kw","N/A")))</f>
        <v>N/A</v>
      </c>
      <c r="C304" s="446"/>
      <c r="D304" s="447" t="str">
        <f>D303 &amp; "kW"</f>
        <v>kW</v>
      </c>
      <c r="E304" s="448" t="s">
        <v>170</v>
      </c>
      <c r="F304" s="361"/>
      <c r="G304" s="361"/>
      <c r="H304" s="361"/>
      <c r="I304" s="361"/>
      <c r="J304" s="361"/>
      <c r="K304" s="361"/>
      <c r="L304" s="361"/>
      <c r="M304" s="361"/>
      <c r="N304" s="361"/>
      <c r="O304" s="361"/>
      <c r="P304" s="438"/>
      <c r="Q304" s="438"/>
      <c r="R304" s="438"/>
      <c r="S304" s="438"/>
      <c r="T304" s="438"/>
      <c r="U304" s="438"/>
      <c r="V304" s="438"/>
      <c r="Z304" s="439"/>
      <c r="AA304" s="439" t="str">
        <f>IF(AND(F305=G305,H305=I305,F305="A"),"2016 - kw","")</f>
        <v/>
      </c>
      <c r="AB304" s="439" t="str">
        <f>IF(OR(B304="2017 - kw",B304="2018 - kw"),"2016 - kw","")</f>
        <v/>
      </c>
      <c r="AC304" s="439"/>
      <c r="AD304" s="439"/>
      <c r="AE304" s="439"/>
    </row>
    <row r="305" spans="1:31" hidden="1" x14ac:dyDescent="0.25">
      <c r="A305" s="438"/>
      <c r="B305" s="438"/>
      <c r="C305" s="449"/>
      <c r="D305" s="424"/>
      <c r="E305" s="450" t="s">
        <v>210</v>
      </c>
      <c r="F305" s="437"/>
      <c r="G305" s="437"/>
      <c r="H305" s="437"/>
      <c r="I305" s="437"/>
      <c r="J305" s="437"/>
      <c r="K305" s="437"/>
      <c r="L305" s="437"/>
      <c r="M305" s="437"/>
      <c r="N305" s="437"/>
      <c r="O305" s="437"/>
      <c r="P305" s="438"/>
      <c r="Q305" s="438"/>
      <c r="R305" s="438"/>
      <c r="S305" s="438"/>
      <c r="T305" s="438"/>
      <c r="U305" s="438"/>
      <c r="V305" s="438"/>
      <c r="Z305" s="439"/>
      <c r="AA305" s="439"/>
      <c r="AB305" s="439"/>
      <c r="AC305" s="439"/>
      <c r="AD305" s="439"/>
      <c r="AE305" s="439"/>
    </row>
    <row r="306" spans="1:31" hidden="1" x14ac:dyDescent="0.25">
      <c r="A306" s="438" t="str">
        <f>IF(AND(F308=G308,H308=I308,J308=K308,F308="A"),"2016 - kwh",IF(AND(F308=G308,H308=I308,J308&lt;&gt;K308,F308="A"),"2017 - kwh",IF(AND(F308=G308,H308&lt;&gt;I308,F308="A"),"2018 - kwh","N/A")))</f>
        <v>N/A</v>
      </c>
      <c r="B306" s="438" t="str">
        <f>IF(F308&lt;&gt;G308,"2018 - kwh",IF(H308&lt;&gt;I308,"2017 - kwh",IF(J308&lt;&gt;K308,"2016 - kwh","N/A")))</f>
        <v>N/A</v>
      </c>
      <c r="C306" s="443" t="s">
        <v>301</v>
      </c>
      <c r="D306" s="444"/>
      <c r="E306" s="445" t="s">
        <v>139</v>
      </c>
      <c r="F306" s="361"/>
      <c r="G306" s="361"/>
      <c r="H306" s="361"/>
      <c r="I306" s="361"/>
      <c r="J306" s="361"/>
      <c r="K306" s="361"/>
      <c r="L306" s="361"/>
      <c r="M306" s="361"/>
      <c r="N306" s="361"/>
      <c r="O306" s="361"/>
      <c r="P306" s="438"/>
      <c r="Q306" s="438"/>
      <c r="R306" s="438"/>
      <c r="S306" s="438"/>
      <c r="T306" s="438"/>
      <c r="U306" s="438"/>
      <c r="V306" s="438"/>
      <c r="Z306" s="439"/>
      <c r="AA306" s="439" t="str">
        <f>IF(AND(F308=G308,H308=I308,F308="A"),"2016 - kwh","")</f>
        <v/>
      </c>
      <c r="AB306" s="439" t="str">
        <f>IF(OR(B306="2017 - kwh",B306="2018 - kwh"),"2016 - kwh","")</f>
        <v/>
      </c>
      <c r="AC306" s="439"/>
      <c r="AD306" s="439"/>
      <c r="AE306" s="439"/>
    </row>
    <row r="307" spans="1:31" hidden="1" x14ac:dyDescent="0.25">
      <c r="A307" s="438" t="str">
        <f>IF(AND(F308=G308,H308=I308,J308=K308,F308="A"),"2016 - kw",IF(AND(F308=G308,H308=I308,J308&lt;&gt;K308,F308="A"),"2017 - kw",IF(AND(F308=G308,H308&lt;&gt;I308,F308="A"),"2018 - kw","N/A")))</f>
        <v>N/A</v>
      </c>
      <c r="B307" s="438" t="str">
        <f>IF(F308&lt;&gt;G308,"2018 - kw",IF(H308&lt;&gt;I308,"2017 - kw",IF(J308&lt;&gt;K308,"2016 - kw","N/A")))</f>
        <v>N/A</v>
      </c>
      <c r="C307" s="446"/>
      <c r="D307" s="447" t="str">
        <f>D306 &amp; "kW"</f>
        <v>kW</v>
      </c>
      <c r="E307" s="448" t="s">
        <v>170</v>
      </c>
      <c r="F307" s="361"/>
      <c r="G307" s="361"/>
      <c r="H307" s="361"/>
      <c r="I307" s="361"/>
      <c r="J307" s="361"/>
      <c r="K307" s="361"/>
      <c r="L307" s="361"/>
      <c r="M307" s="361"/>
      <c r="N307" s="361"/>
      <c r="O307" s="361"/>
      <c r="P307" s="438"/>
      <c r="Q307" s="438"/>
      <c r="R307" s="438"/>
      <c r="S307" s="438"/>
      <c r="T307" s="438"/>
      <c r="U307" s="438"/>
      <c r="V307" s="438"/>
      <c r="Z307" s="439"/>
      <c r="AA307" s="439" t="str">
        <f>IF(AND(F308=G308,H308=I308,F308="A"),"2016 - kw","")</f>
        <v/>
      </c>
      <c r="AB307" s="439" t="str">
        <f>IF(OR(B307="2017 - kw",B307="2018 - kw"),"2016 - kw","")</f>
        <v/>
      </c>
      <c r="AC307" s="439"/>
      <c r="AD307" s="439"/>
      <c r="AE307" s="439"/>
    </row>
    <row r="308" spans="1:31" hidden="1" x14ac:dyDescent="0.25">
      <c r="A308" s="438"/>
      <c r="B308" s="438"/>
      <c r="C308" s="449"/>
      <c r="D308" s="424"/>
      <c r="E308" s="450" t="s">
        <v>210</v>
      </c>
      <c r="F308" s="437"/>
      <c r="G308" s="437"/>
      <c r="H308" s="437"/>
      <c r="I308" s="437"/>
      <c r="J308" s="437"/>
      <c r="K308" s="437"/>
      <c r="L308" s="437"/>
      <c r="M308" s="437"/>
      <c r="N308" s="437"/>
      <c r="O308" s="437"/>
      <c r="P308" s="438"/>
      <c r="Q308" s="438"/>
      <c r="R308" s="438"/>
      <c r="S308" s="438"/>
      <c r="T308" s="438"/>
      <c r="U308" s="438"/>
      <c r="V308" s="438"/>
      <c r="Z308" s="439"/>
      <c r="AA308" s="439"/>
      <c r="AB308" s="439"/>
      <c r="AC308" s="439"/>
      <c r="AD308" s="439"/>
      <c r="AE308" s="439"/>
    </row>
    <row r="309" spans="1:31" hidden="1" x14ac:dyDescent="0.25">
      <c r="A309" s="438" t="str">
        <f>IF(AND(F311=G311,H311=I311,J311=K311,F311="A"),"2016 - kwh",IF(AND(F311=G311,H311=I311,J311&lt;&gt;K311,F311="A"),"2017 - kwh",IF(AND(F311=G311,H311&lt;&gt;I311,F311="A"),"2018 - kwh","N/A")))</f>
        <v>N/A</v>
      </c>
      <c r="B309" s="438" t="str">
        <f>IF(F311&lt;&gt;G311,"2018 - kwh",IF(H311&lt;&gt;I311,"2017 - kwh",IF(J311&lt;&gt;K311,"2016 - kwh","N/A")))</f>
        <v>N/A</v>
      </c>
      <c r="C309" s="443" t="s">
        <v>302</v>
      </c>
      <c r="D309" s="444"/>
      <c r="E309" s="445" t="s">
        <v>139</v>
      </c>
      <c r="F309" s="361"/>
      <c r="G309" s="361"/>
      <c r="H309" s="361"/>
      <c r="I309" s="361"/>
      <c r="J309" s="361"/>
      <c r="K309" s="361"/>
      <c r="L309" s="361"/>
      <c r="M309" s="361"/>
      <c r="N309" s="361"/>
      <c r="O309" s="361"/>
      <c r="P309" s="438"/>
      <c r="Q309" s="438"/>
      <c r="R309" s="438"/>
      <c r="S309" s="438"/>
      <c r="T309" s="438"/>
      <c r="U309" s="438"/>
      <c r="V309" s="438"/>
      <c r="Z309" s="439"/>
      <c r="AA309" s="439" t="str">
        <f>IF(AND(F311=G311,H311=I311,F311="A"),"2016 - kwh","")</f>
        <v/>
      </c>
      <c r="AB309" s="439" t="str">
        <f>IF(OR(B309="2017 - kwh",B309="2018 - kwh"),"2016 - kwh","")</f>
        <v/>
      </c>
      <c r="AC309" s="439"/>
      <c r="AD309" s="439"/>
      <c r="AE309" s="439"/>
    </row>
    <row r="310" spans="1:31" hidden="1" x14ac:dyDescent="0.25">
      <c r="A310" s="438" t="str">
        <f>IF(AND(F311=G311,H311=I311,J311=K311,F311="A"),"2016 - kw",IF(AND(F311=G311,H311=I311,J311&lt;&gt;K311,F311="A"),"2017 - kw",IF(AND(F311=G311,H311&lt;&gt;I311,F311="A"),"2018 - kw","N/A")))</f>
        <v>N/A</v>
      </c>
      <c r="B310" s="438" t="str">
        <f>IF(F311&lt;&gt;G311,"2018 - kw",IF(H311&lt;&gt;I311,"2017 - kw",IF(J311&lt;&gt;K311,"2016 - kw","N/A")))</f>
        <v>N/A</v>
      </c>
      <c r="C310" s="446"/>
      <c r="D310" s="447" t="str">
        <f>D309 &amp; "kW"</f>
        <v>kW</v>
      </c>
      <c r="E310" s="448" t="s">
        <v>170</v>
      </c>
      <c r="F310" s="361"/>
      <c r="G310" s="361"/>
      <c r="H310" s="361"/>
      <c r="I310" s="361"/>
      <c r="J310" s="361"/>
      <c r="K310" s="361"/>
      <c r="L310" s="361"/>
      <c r="M310" s="361"/>
      <c r="N310" s="361"/>
      <c r="O310" s="361"/>
      <c r="P310" s="438"/>
      <c r="Q310" s="438"/>
      <c r="R310" s="438"/>
      <c r="S310" s="438"/>
      <c r="T310" s="438"/>
      <c r="U310" s="438"/>
      <c r="V310" s="438"/>
      <c r="Z310" s="439"/>
      <c r="AA310" s="439" t="str">
        <f>IF(AND(F311=G311,H311=I311,F311="A"),"2016 - kw","")</f>
        <v/>
      </c>
      <c r="AB310" s="439" t="str">
        <f>IF(OR(B310="2017 - kw",B310="2018 - kw"),"2016 - kw","")</f>
        <v/>
      </c>
      <c r="AC310" s="439"/>
      <c r="AD310" s="439"/>
      <c r="AE310" s="439"/>
    </row>
    <row r="311" spans="1:31" hidden="1" x14ac:dyDescent="0.25">
      <c r="A311" s="438"/>
      <c r="B311" s="438"/>
      <c r="C311" s="449"/>
      <c r="D311" s="424"/>
      <c r="E311" s="450" t="s">
        <v>210</v>
      </c>
      <c r="F311" s="437"/>
      <c r="G311" s="437"/>
      <c r="H311" s="437"/>
      <c r="I311" s="437"/>
      <c r="J311" s="437"/>
      <c r="K311" s="437"/>
      <c r="L311" s="437"/>
      <c r="M311" s="437"/>
      <c r="N311" s="437"/>
      <c r="O311" s="437"/>
      <c r="P311" s="438"/>
      <c r="Q311" s="438"/>
      <c r="R311" s="438"/>
      <c r="S311" s="438"/>
      <c r="T311" s="438"/>
      <c r="U311" s="438"/>
      <c r="V311" s="438"/>
      <c r="Z311" s="439"/>
      <c r="AA311" s="439"/>
      <c r="AB311" s="439"/>
      <c r="AC311" s="439"/>
      <c r="AD311" s="439"/>
      <c r="AE311" s="439"/>
    </row>
    <row r="312" spans="1:31" hidden="1" x14ac:dyDescent="0.25">
      <c r="A312" s="438" t="str">
        <f>IF(AND(F314=G314,H314=I314,J314=K314,F314="A"),"2016 - kwh",IF(AND(F314=G314,H314=I314,J314&lt;&gt;K314,F314="A"),"2017 - kwh",IF(AND(F314=G314,H314&lt;&gt;I314,F314="A"),"2018 - kwh","N/A")))</f>
        <v>N/A</v>
      </c>
      <c r="B312" s="438" t="str">
        <f>IF(F314&lt;&gt;G314,"2018 - kwh",IF(H314&lt;&gt;I314,"2017 - kwh",IF(J314&lt;&gt;K314,"2016 - kwh","N/A")))</f>
        <v>N/A</v>
      </c>
      <c r="C312" s="443" t="s">
        <v>303</v>
      </c>
      <c r="D312" s="444"/>
      <c r="E312" s="445" t="s">
        <v>139</v>
      </c>
      <c r="F312" s="361"/>
      <c r="G312" s="361"/>
      <c r="H312" s="361"/>
      <c r="I312" s="361"/>
      <c r="J312" s="361"/>
      <c r="K312" s="361"/>
      <c r="L312" s="361"/>
      <c r="M312" s="361"/>
      <c r="N312" s="361"/>
      <c r="O312" s="361"/>
      <c r="P312" s="438"/>
      <c r="Q312" s="438"/>
      <c r="R312" s="438"/>
      <c r="S312" s="438"/>
      <c r="T312" s="438"/>
      <c r="U312" s="438"/>
      <c r="V312" s="438"/>
      <c r="Z312" s="439"/>
      <c r="AA312" s="439" t="str">
        <f>IF(AND(F314=G314,H314=I314,F314="A"),"2016 - kwh","")</f>
        <v/>
      </c>
      <c r="AB312" s="439" t="str">
        <f>IF(OR(B312="2017 - kwh",B312="2018 - kwh"),"2016 - kwh","")</f>
        <v/>
      </c>
      <c r="AC312" s="439"/>
      <c r="AD312" s="439"/>
      <c r="AE312" s="439"/>
    </row>
    <row r="313" spans="1:31" hidden="1" x14ac:dyDescent="0.25">
      <c r="A313" s="438" t="str">
        <f>IF(AND(F314=G314,H314=I314,J314=K314,F314="A"),"2016 - kw",IF(AND(F314=G314,H314=I314,J314&lt;&gt;K314,F314="A"),"2017 - kw",IF(AND(F314=G314,H314&lt;&gt;I314,F314="A"),"2018 - kw","N/A")))</f>
        <v>N/A</v>
      </c>
      <c r="B313" s="438" t="str">
        <f>IF(F314&lt;&gt;G314,"2018 - kw",IF(H314&lt;&gt;I314,"2017 - kw",IF(J314&lt;&gt;K314,"2016 - kw","N/A")))</f>
        <v>N/A</v>
      </c>
      <c r="C313" s="446"/>
      <c r="D313" s="447" t="str">
        <f>D312 &amp; "kW"</f>
        <v>kW</v>
      </c>
      <c r="E313" s="448" t="s">
        <v>170</v>
      </c>
      <c r="F313" s="361"/>
      <c r="G313" s="361"/>
      <c r="H313" s="361"/>
      <c r="I313" s="361"/>
      <c r="J313" s="361"/>
      <c r="K313" s="361"/>
      <c r="L313" s="361"/>
      <c r="M313" s="361"/>
      <c r="N313" s="361"/>
      <c r="O313" s="361"/>
      <c r="P313" s="438"/>
      <c r="Q313" s="438"/>
      <c r="R313" s="438"/>
      <c r="S313" s="438"/>
      <c r="T313" s="438"/>
      <c r="U313" s="438"/>
      <c r="V313" s="438"/>
      <c r="Z313" s="439"/>
      <c r="AA313" s="439" t="str">
        <f>IF(AND(F314=G314,H314=I314,F314="A"),"2016 - kw","")</f>
        <v/>
      </c>
      <c r="AB313" s="439" t="str">
        <f>IF(OR(B313="2017 - kw",B313="2018 - kw"),"2016 - kw","")</f>
        <v/>
      </c>
      <c r="AC313" s="439"/>
      <c r="AD313" s="439"/>
      <c r="AE313" s="439"/>
    </row>
    <row r="314" spans="1:31" hidden="1" x14ac:dyDescent="0.25">
      <c r="A314" s="438"/>
      <c r="B314" s="438"/>
      <c r="C314" s="449"/>
      <c r="D314" s="424"/>
      <c r="E314" s="450" t="s">
        <v>210</v>
      </c>
      <c r="F314" s="437"/>
      <c r="G314" s="437"/>
      <c r="H314" s="437"/>
      <c r="I314" s="437"/>
      <c r="J314" s="437"/>
      <c r="K314" s="437"/>
      <c r="L314" s="437"/>
      <c r="M314" s="437"/>
      <c r="N314" s="437"/>
      <c r="O314" s="437"/>
      <c r="P314" s="438"/>
      <c r="Q314" s="438"/>
      <c r="R314" s="438"/>
      <c r="S314" s="438"/>
      <c r="T314" s="438"/>
      <c r="U314" s="438"/>
      <c r="V314" s="438"/>
      <c r="Z314" s="439"/>
      <c r="AA314" s="439"/>
      <c r="AB314" s="439"/>
      <c r="AC314" s="439"/>
      <c r="AD314" s="439"/>
      <c r="AE314" s="439"/>
    </row>
    <row r="315" spans="1:31" hidden="1" x14ac:dyDescent="0.25">
      <c r="A315" s="438" t="str">
        <f>IF(AND(F317=G317,H317=I317,J317=K317,F317="A"),"2016 - kwh",IF(AND(F317=G317,H317=I317,J317&lt;&gt;K317,F317="A"),"2017 - kwh",IF(AND(F317=G317,H317&lt;&gt;I317,F317="A"),"2018 - kwh","N/A")))</f>
        <v>N/A</v>
      </c>
      <c r="B315" s="438" t="str">
        <f>IF(F317&lt;&gt;G317,"2018 - kwh",IF(H317&lt;&gt;I317,"2017 - kwh",IF(J317&lt;&gt;K317,"2016 - kwh","N/A")))</f>
        <v>N/A</v>
      </c>
      <c r="C315" s="443" t="s">
        <v>304</v>
      </c>
      <c r="D315" s="444"/>
      <c r="E315" s="445" t="s">
        <v>139</v>
      </c>
      <c r="F315" s="361"/>
      <c r="G315" s="361"/>
      <c r="H315" s="361"/>
      <c r="I315" s="361"/>
      <c r="J315" s="361"/>
      <c r="K315" s="361"/>
      <c r="L315" s="361"/>
      <c r="M315" s="361"/>
      <c r="N315" s="361"/>
      <c r="O315" s="361"/>
      <c r="P315" s="438"/>
      <c r="Q315" s="438"/>
      <c r="R315" s="438"/>
      <c r="S315" s="438"/>
      <c r="T315" s="438"/>
      <c r="U315" s="438"/>
      <c r="V315" s="438"/>
      <c r="Z315" s="439"/>
      <c r="AA315" s="439" t="str">
        <f>IF(AND(F317=G317,H317=I317,F317="A"),"2016 - kwh","")</f>
        <v/>
      </c>
      <c r="AB315" s="439" t="str">
        <f>IF(OR(B315="2017 - kwh",B315="2018 - kwh"),"2016 - kwh","")</f>
        <v/>
      </c>
      <c r="AC315" s="439"/>
      <c r="AD315" s="439"/>
      <c r="AE315" s="439"/>
    </row>
    <row r="316" spans="1:31" hidden="1" x14ac:dyDescent="0.25">
      <c r="A316" s="438" t="str">
        <f>IF(AND(F317=G317,H317=I317,J317=K317,F317="A"),"2016 - kw",IF(AND(F317=G317,H317=I317,J317&lt;&gt;K317,F317="A"),"2017 - kw",IF(AND(F317=G317,H317&lt;&gt;I317,F317="A"),"2018 - kw","N/A")))</f>
        <v>N/A</v>
      </c>
      <c r="B316" s="438" t="str">
        <f>IF(F317&lt;&gt;G317,"2018 - kw",IF(H317&lt;&gt;I317,"2017 - kw",IF(J317&lt;&gt;K317,"2016 - kw","N/A")))</f>
        <v>N/A</v>
      </c>
      <c r="C316" s="446"/>
      <c r="D316" s="447" t="str">
        <f>D315 &amp; "kW"</f>
        <v>kW</v>
      </c>
      <c r="E316" s="448" t="s">
        <v>170</v>
      </c>
      <c r="F316" s="361"/>
      <c r="G316" s="361"/>
      <c r="H316" s="361"/>
      <c r="I316" s="361"/>
      <c r="J316" s="361"/>
      <c r="K316" s="361"/>
      <c r="L316" s="361"/>
      <c r="M316" s="361"/>
      <c r="N316" s="361"/>
      <c r="O316" s="361"/>
      <c r="P316" s="438"/>
      <c r="Q316" s="438"/>
      <c r="R316" s="438"/>
      <c r="S316" s="438"/>
      <c r="T316" s="438"/>
      <c r="U316" s="438"/>
      <c r="V316" s="438"/>
      <c r="Z316" s="439"/>
      <c r="AA316" s="439" t="str">
        <f>IF(AND(F317=G317,H317=I317,F317="A"),"2016 - kw","")</f>
        <v/>
      </c>
      <c r="AB316" s="439" t="str">
        <f>IF(OR(B316="2017 - kw",B316="2018 - kw"),"2016 - kw","")</f>
        <v/>
      </c>
      <c r="AC316" s="439"/>
      <c r="AD316" s="439"/>
      <c r="AE316" s="439"/>
    </row>
    <row r="317" spans="1:31" hidden="1" x14ac:dyDescent="0.25">
      <c r="A317" s="438"/>
      <c r="B317" s="438"/>
      <c r="C317" s="449"/>
      <c r="D317" s="424"/>
      <c r="E317" s="450" t="s">
        <v>210</v>
      </c>
      <c r="F317" s="437"/>
      <c r="G317" s="437"/>
      <c r="H317" s="437"/>
      <c r="I317" s="437"/>
      <c r="J317" s="437"/>
      <c r="K317" s="437"/>
      <c r="L317" s="437"/>
      <c r="M317" s="437"/>
      <c r="N317" s="437"/>
      <c r="O317" s="437"/>
      <c r="P317" s="438"/>
      <c r="Q317" s="438"/>
      <c r="R317" s="438"/>
      <c r="S317" s="438"/>
      <c r="T317" s="438"/>
      <c r="U317" s="438"/>
      <c r="V317" s="438"/>
      <c r="Z317" s="439"/>
      <c r="AA317" s="439"/>
      <c r="AB317" s="439"/>
      <c r="AC317" s="439"/>
      <c r="AD317" s="439"/>
      <c r="AE317" s="439"/>
    </row>
    <row r="318" spans="1:31" hidden="1" x14ac:dyDescent="0.25">
      <c r="A318" s="438" t="str">
        <f>IF(AND(F320=G320,H320=I320,J320=K320,F320="A"),"2016 - kwh",IF(AND(F320=G320,H320=I320,J320&lt;&gt;K320,F320="A"),"2017 - kwh",IF(AND(F320=G320,H320&lt;&gt;I320,F320="A"),"2018 - kwh","N/A")))</f>
        <v>N/A</v>
      </c>
      <c r="B318" s="438" t="str">
        <f>IF(F320&lt;&gt;G320,"2018 - kwh",IF(H320&lt;&gt;I320,"2017 - kwh",IF(J320&lt;&gt;K320,"2016 - kwh","N/A")))</f>
        <v>N/A</v>
      </c>
      <c r="C318" s="443" t="s">
        <v>305</v>
      </c>
      <c r="D318" s="444"/>
      <c r="E318" s="445" t="s">
        <v>139</v>
      </c>
      <c r="F318" s="361"/>
      <c r="G318" s="361"/>
      <c r="H318" s="361"/>
      <c r="I318" s="361"/>
      <c r="J318" s="361"/>
      <c r="K318" s="361"/>
      <c r="L318" s="361"/>
      <c r="M318" s="361"/>
      <c r="N318" s="361"/>
      <c r="O318" s="361"/>
      <c r="P318" s="438"/>
      <c r="Q318" s="438"/>
      <c r="R318" s="438"/>
      <c r="S318" s="438"/>
      <c r="T318" s="438"/>
      <c r="U318" s="438"/>
      <c r="V318" s="438"/>
      <c r="Z318" s="439"/>
      <c r="AA318" s="439" t="str">
        <f>IF(AND(F320=G320,H320=I320,F320="A"),"2016 - kwh","")</f>
        <v/>
      </c>
      <c r="AB318" s="439" t="str">
        <f>IF(OR(B318="2017 - kwh",B318="2018 - kwh"),"2016 - kwh","")</f>
        <v/>
      </c>
      <c r="AC318" s="439"/>
      <c r="AD318" s="439"/>
      <c r="AE318" s="439"/>
    </row>
    <row r="319" spans="1:31" hidden="1" x14ac:dyDescent="0.25">
      <c r="A319" s="438" t="str">
        <f>IF(AND(F320=G320,H320=I320,J320=K320,F320="A"),"2016 - kw",IF(AND(F320=G320,H320=I320,J320&lt;&gt;K320,F320="A"),"2017 - kw",IF(AND(F320=G320,H320&lt;&gt;I320,F320="A"),"2018 - kw","N/A")))</f>
        <v>N/A</v>
      </c>
      <c r="B319" s="438" t="str">
        <f>IF(F320&lt;&gt;G320,"2018 - kw",IF(H320&lt;&gt;I320,"2017 - kw",IF(J320&lt;&gt;K320,"2016 - kw","N/A")))</f>
        <v>N/A</v>
      </c>
      <c r="C319" s="446"/>
      <c r="D319" s="447" t="str">
        <f>D318 &amp; "kW"</f>
        <v>kW</v>
      </c>
      <c r="E319" s="448" t="s">
        <v>170</v>
      </c>
      <c r="F319" s="361"/>
      <c r="G319" s="361"/>
      <c r="H319" s="361"/>
      <c r="I319" s="361"/>
      <c r="J319" s="361"/>
      <c r="K319" s="361"/>
      <c r="L319" s="361"/>
      <c r="M319" s="361"/>
      <c r="N319" s="361"/>
      <c r="O319" s="361"/>
      <c r="P319" s="438"/>
      <c r="Q319" s="438"/>
      <c r="R319" s="438"/>
      <c r="S319" s="438"/>
      <c r="T319" s="438"/>
      <c r="U319" s="438"/>
      <c r="V319" s="438"/>
      <c r="Z319" s="439"/>
      <c r="AA319" s="439" t="str">
        <f>IF(AND(F320=G320,H320=I320,F320="A"),"2016 - kw","")</f>
        <v/>
      </c>
      <c r="AB319" s="439" t="str">
        <f>IF(OR(B319="2017 - kw",B319="2018 - kw"),"2016 - kw","")</f>
        <v/>
      </c>
      <c r="AC319" s="439"/>
      <c r="AD319" s="439"/>
      <c r="AE319" s="439"/>
    </row>
    <row r="320" spans="1:31" hidden="1" x14ac:dyDescent="0.25">
      <c r="A320" s="438"/>
      <c r="B320" s="438"/>
      <c r="C320" s="449"/>
      <c r="D320" s="424"/>
      <c r="E320" s="450" t="s">
        <v>210</v>
      </c>
      <c r="F320" s="437"/>
      <c r="G320" s="437"/>
      <c r="H320" s="437"/>
      <c r="I320" s="437"/>
      <c r="J320" s="437"/>
      <c r="K320" s="437"/>
      <c r="L320" s="437"/>
      <c r="M320" s="437"/>
      <c r="N320" s="437"/>
      <c r="O320" s="437"/>
      <c r="P320" s="438"/>
      <c r="Q320" s="438"/>
      <c r="R320" s="438"/>
      <c r="S320" s="438"/>
      <c r="T320" s="438"/>
      <c r="U320" s="438"/>
      <c r="V320" s="438"/>
      <c r="Z320" s="439"/>
      <c r="AA320" s="439"/>
      <c r="AB320" s="439"/>
      <c r="AC320" s="439"/>
      <c r="AD320" s="439"/>
      <c r="AE320" s="439"/>
    </row>
    <row r="321" spans="1:31" hidden="1" x14ac:dyDescent="0.25">
      <c r="A321" s="438" t="str">
        <f>IF(AND(F323=G323,H323=I323,J323=K323,F323="A"),"2016 - kwh",IF(AND(F323=G323,H323=I323,J323&lt;&gt;K323,F323="A"),"2017 - kwh",IF(AND(F323=G323,H323&lt;&gt;I323,F323="A"),"2018 - kwh","N/A")))</f>
        <v>N/A</v>
      </c>
      <c r="B321" s="438" t="str">
        <f>IF(F323&lt;&gt;G323,"2018 - kwh",IF(H323&lt;&gt;I323,"2017 - kwh",IF(J323&lt;&gt;K323,"2016 - kwh","N/A")))</f>
        <v>N/A</v>
      </c>
      <c r="C321" s="443" t="s">
        <v>306</v>
      </c>
      <c r="D321" s="444"/>
      <c r="E321" s="445" t="s">
        <v>139</v>
      </c>
      <c r="F321" s="361"/>
      <c r="G321" s="361"/>
      <c r="H321" s="361"/>
      <c r="I321" s="361"/>
      <c r="J321" s="361"/>
      <c r="K321" s="361"/>
      <c r="L321" s="361"/>
      <c r="M321" s="361"/>
      <c r="N321" s="361"/>
      <c r="O321" s="361"/>
      <c r="P321" s="438"/>
      <c r="Q321" s="438"/>
      <c r="R321" s="438"/>
      <c r="S321" s="438"/>
      <c r="T321" s="438"/>
      <c r="U321" s="438"/>
      <c r="V321" s="438"/>
      <c r="Z321" s="439"/>
      <c r="AA321" s="439" t="str">
        <f>IF(AND(F323=G323,H323=I323,F323="A"),"2016 - kwh","")</f>
        <v/>
      </c>
      <c r="AB321" s="439" t="str">
        <f>IF(OR(B321="2017 - kwh",B321="2018 - kwh"),"2016 - kwh","")</f>
        <v/>
      </c>
      <c r="AC321" s="439"/>
      <c r="AD321" s="439"/>
      <c r="AE321" s="439"/>
    </row>
    <row r="322" spans="1:31" hidden="1" x14ac:dyDescent="0.25">
      <c r="A322" s="438" t="str">
        <f>IF(AND(F323=G323,H323=I323,J323=K323,F323="A"),"2016 - kw",IF(AND(F323=G323,H323=I323,J323&lt;&gt;K323,F323="A"),"2017 - kw",IF(AND(F323=G323,H323&lt;&gt;I323,F323="A"),"2018 - kw","N/A")))</f>
        <v>N/A</v>
      </c>
      <c r="B322" s="438" t="str">
        <f>IF(F323&lt;&gt;G323,"2018 - kw",IF(H323&lt;&gt;I323,"2017 - kw",IF(J323&lt;&gt;K323,"2016 - kw","N/A")))</f>
        <v>N/A</v>
      </c>
      <c r="C322" s="446"/>
      <c r="D322" s="447" t="str">
        <f>D321 &amp; "kW"</f>
        <v>kW</v>
      </c>
      <c r="E322" s="448" t="s">
        <v>170</v>
      </c>
      <c r="F322" s="361"/>
      <c r="G322" s="361"/>
      <c r="H322" s="361"/>
      <c r="I322" s="361"/>
      <c r="J322" s="361"/>
      <c r="K322" s="361"/>
      <c r="L322" s="361"/>
      <c r="M322" s="361"/>
      <c r="N322" s="361"/>
      <c r="O322" s="361"/>
      <c r="P322" s="438"/>
      <c r="Q322" s="438"/>
      <c r="R322" s="438"/>
      <c r="S322" s="438"/>
      <c r="T322" s="438"/>
      <c r="U322" s="438"/>
      <c r="V322" s="438"/>
      <c r="Z322" s="439"/>
      <c r="AA322" s="439" t="str">
        <f>IF(AND(F323=G323,H323=I323,F323="A"),"2016 - kw","")</f>
        <v/>
      </c>
      <c r="AB322" s="439" t="str">
        <f>IF(OR(B322="2017 - kw",B322="2018 - kw"),"2016 - kw","")</f>
        <v/>
      </c>
      <c r="AC322" s="439"/>
      <c r="AD322" s="439"/>
      <c r="AE322" s="439"/>
    </row>
    <row r="323" spans="1:31" hidden="1" x14ac:dyDescent="0.25">
      <c r="A323" s="438"/>
      <c r="B323" s="438"/>
      <c r="C323" s="449"/>
      <c r="D323" s="424"/>
      <c r="E323" s="450" t="s">
        <v>210</v>
      </c>
      <c r="F323" s="437"/>
      <c r="G323" s="437"/>
      <c r="H323" s="437"/>
      <c r="I323" s="437"/>
      <c r="J323" s="437"/>
      <c r="K323" s="437"/>
      <c r="L323" s="437"/>
      <c r="M323" s="437"/>
      <c r="N323" s="437"/>
      <c r="O323" s="437"/>
      <c r="P323" s="438"/>
      <c r="Q323" s="438"/>
      <c r="R323" s="438"/>
      <c r="S323" s="438"/>
      <c r="T323" s="438"/>
      <c r="U323" s="438"/>
      <c r="V323" s="438"/>
      <c r="Z323" s="439"/>
      <c r="AA323" s="439"/>
      <c r="AB323" s="439"/>
      <c r="AC323" s="439"/>
      <c r="AD323" s="439"/>
      <c r="AE323" s="439"/>
    </row>
    <row r="324" spans="1:31" hidden="1" x14ac:dyDescent="0.25">
      <c r="A324" s="438" t="str">
        <f>IF(AND(F326=G326,H326=I326,J326=K326,F326="A"),"2016 - kwh",IF(AND(F326=G326,H326=I326,J326&lt;&gt;K326,F326="A"),"2017 - kwh",IF(AND(F326=G326,H326&lt;&gt;I326,F326="A"),"2018 - kwh","N/A")))</f>
        <v>N/A</v>
      </c>
      <c r="B324" s="438" t="str">
        <f>IF(F326&lt;&gt;G326,"2018 - kwh",IF(H326&lt;&gt;I326,"2017 - kwh",IF(J326&lt;&gt;K326,"2016 - kwh","N/A")))</f>
        <v>N/A</v>
      </c>
      <c r="C324" s="443" t="s">
        <v>307</v>
      </c>
      <c r="D324" s="444"/>
      <c r="E324" s="445" t="s">
        <v>139</v>
      </c>
      <c r="F324" s="361"/>
      <c r="G324" s="361"/>
      <c r="H324" s="361"/>
      <c r="I324" s="361"/>
      <c r="J324" s="361"/>
      <c r="K324" s="361"/>
      <c r="L324" s="361"/>
      <c r="M324" s="361"/>
      <c r="N324" s="361"/>
      <c r="O324" s="361"/>
      <c r="P324" s="438"/>
      <c r="Q324" s="438"/>
      <c r="R324" s="438"/>
      <c r="S324" s="438"/>
      <c r="T324" s="438"/>
      <c r="U324" s="438"/>
      <c r="V324" s="438"/>
      <c r="Z324" s="439"/>
      <c r="AA324" s="439" t="str">
        <f>IF(AND(F326=G326,H326=I326,F326="A"),"2016 - kwh","")</f>
        <v/>
      </c>
      <c r="AB324" s="439" t="str">
        <f>IF(OR(B324="2017 - kwh",B324="2018 - kwh"),"2016 - kwh","")</f>
        <v/>
      </c>
      <c r="AC324" s="439"/>
      <c r="AD324" s="439"/>
      <c r="AE324" s="439"/>
    </row>
    <row r="325" spans="1:31" hidden="1" x14ac:dyDescent="0.25">
      <c r="A325" s="438" t="str">
        <f>IF(AND(F326=G326,H326=I326,J326=K326,F326="A"),"2016 - kw",IF(AND(F326=G326,H326=I326,J326&lt;&gt;K326,F326="A"),"2017 - kw",IF(AND(F326=G326,H326&lt;&gt;I326,F326="A"),"2018 - kw","N/A")))</f>
        <v>N/A</v>
      </c>
      <c r="B325" s="438" t="str">
        <f>IF(F326&lt;&gt;G326,"2018 - kw",IF(H326&lt;&gt;I326,"2017 - kw",IF(J326&lt;&gt;K326,"2016 - kw","N/A")))</f>
        <v>N/A</v>
      </c>
      <c r="C325" s="446"/>
      <c r="D325" s="447" t="str">
        <f>D324 &amp; "kW"</f>
        <v>kW</v>
      </c>
      <c r="E325" s="448" t="s">
        <v>170</v>
      </c>
      <c r="F325" s="361"/>
      <c r="G325" s="361"/>
      <c r="H325" s="361"/>
      <c r="I325" s="361"/>
      <c r="J325" s="361"/>
      <c r="K325" s="361"/>
      <c r="L325" s="361"/>
      <c r="M325" s="361"/>
      <c r="N325" s="361"/>
      <c r="O325" s="361"/>
      <c r="P325" s="438"/>
      <c r="Q325" s="438"/>
      <c r="R325" s="438"/>
      <c r="S325" s="438"/>
      <c r="T325" s="438"/>
      <c r="U325" s="438"/>
      <c r="V325" s="438"/>
      <c r="Z325" s="439"/>
      <c r="AA325" s="439" t="str">
        <f>IF(AND(F326=G326,H326=I326,F326="A"),"2016 - kw","")</f>
        <v/>
      </c>
      <c r="AB325" s="439" t="str">
        <f>IF(OR(B325="2017 - kw",B325="2018 - kw"),"2016 - kw","")</f>
        <v/>
      </c>
      <c r="AC325" s="439"/>
      <c r="AD325" s="439"/>
      <c r="AE325" s="439"/>
    </row>
    <row r="326" spans="1:31" hidden="1" x14ac:dyDescent="0.25">
      <c r="A326" s="438"/>
      <c r="B326" s="438"/>
      <c r="C326" s="449"/>
      <c r="D326" s="424"/>
      <c r="E326" s="450" t="s">
        <v>210</v>
      </c>
      <c r="F326" s="437"/>
      <c r="G326" s="437"/>
      <c r="H326" s="437"/>
      <c r="I326" s="437"/>
      <c r="J326" s="437"/>
      <c r="K326" s="437"/>
      <c r="L326" s="437"/>
      <c r="M326" s="437"/>
      <c r="N326" s="437"/>
      <c r="O326" s="437"/>
      <c r="P326" s="438"/>
      <c r="Q326" s="438"/>
      <c r="R326" s="438"/>
      <c r="S326" s="438"/>
      <c r="T326" s="438"/>
      <c r="U326" s="438"/>
      <c r="V326" s="438"/>
      <c r="Z326" s="439"/>
      <c r="AA326" s="439"/>
      <c r="AB326" s="439"/>
      <c r="AC326" s="439"/>
      <c r="AD326" s="439"/>
      <c r="AE326" s="439"/>
    </row>
    <row r="327" spans="1:31" hidden="1" x14ac:dyDescent="0.25">
      <c r="A327" s="438" t="str">
        <f>IF(AND(F329=G329,H329=I329,J329=K329,F329="A"),"2016 - kwh",IF(AND(F329=G329,H329=I329,J329&lt;&gt;K329,F329="A"),"2017 - kwh",IF(AND(F329=G329,H329&lt;&gt;I329,F329="A"),"2018 - kwh","N/A")))</f>
        <v>N/A</v>
      </c>
      <c r="B327" s="438" t="str">
        <f>IF(F329&lt;&gt;G329,"2018 - kwh",IF(H329&lt;&gt;I329,"2017 - kwh",IF(J329&lt;&gt;K329,"2016 - kwh","N/A")))</f>
        <v>N/A</v>
      </c>
      <c r="C327" s="443" t="s">
        <v>308</v>
      </c>
      <c r="D327" s="444"/>
      <c r="E327" s="445" t="s">
        <v>139</v>
      </c>
      <c r="F327" s="361"/>
      <c r="G327" s="361"/>
      <c r="H327" s="361"/>
      <c r="I327" s="361"/>
      <c r="J327" s="361"/>
      <c r="K327" s="361"/>
      <c r="L327" s="361"/>
      <c r="M327" s="361"/>
      <c r="N327" s="361"/>
      <c r="O327" s="361"/>
      <c r="P327" s="438"/>
      <c r="Q327" s="438"/>
      <c r="R327" s="438"/>
      <c r="S327" s="438"/>
      <c r="T327" s="438"/>
      <c r="U327" s="438"/>
      <c r="V327" s="438"/>
      <c r="Z327" s="439"/>
      <c r="AA327" s="439" t="str">
        <f>IF(AND(F329=G329,H329=I329,F329="A"),"2016 - kwh","")</f>
        <v/>
      </c>
      <c r="AB327" s="439" t="str">
        <f>IF(OR(B327="2017 - kwh",B327="2018 - kwh"),"2016 - kwh","")</f>
        <v/>
      </c>
      <c r="AC327" s="439"/>
      <c r="AD327" s="439"/>
      <c r="AE327" s="439"/>
    </row>
    <row r="328" spans="1:31" hidden="1" x14ac:dyDescent="0.25">
      <c r="A328" s="438" t="str">
        <f>IF(AND(F329=G329,H329=I329,J329=K329,F329="A"),"2016 - kw",IF(AND(F329=G329,H329=I329,J329&lt;&gt;K329,F329="A"),"2017 - kw",IF(AND(F329=G329,H329&lt;&gt;I329,F329="A"),"2018 - kw","N/A")))</f>
        <v>N/A</v>
      </c>
      <c r="B328" s="438" t="str">
        <f>IF(F329&lt;&gt;G329,"2018 - kw",IF(H329&lt;&gt;I329,"2017 - kw",IF(J329&lt;&gt;K329,"2016 - kw","N/A")))</f>
        <v>N/A</v>
      </c>
      <c r="C328" s="446"/>
      <c r="D328" s="447" t="str">
        <f>D327 &amp; "kW"</f>
        <v>kW</v>
      </c>
      <c r="E328" s="448" t="s">
        <v>170</v>
      </c>
      <c r="F328" s="361"/>
      <c r="G328" s="361"/>
      <c r="H328" s="361"/>
      <c r="I328" s="361"/>
      <c r="J328" s="361"/>
      <c r="K328" s="361"/>
      <c r="L328" s="361"/>
      <c r="M328" s="361"/>
      <c r="N328" s="361"/>
      <c r="O328" s="361"/>
      <c r="P328" s="438"/>
      <c r="Q328" s="438"/>
      <c r="R328" s="438"/>
      <c r="S328" s="438"/>
      <c r="T328" s="438"/>
      <c r="U328" s="438"/>
      <c r="V328" s="438"/>
      <c r="Z328" s="439"/>
      <c r="AA328" s="439" t="str">
        <f>IF(AND(F329=G329,H329=I329,F329="A"),"2016 - kw","")</f>
        <v/>
      </c>
      <c r="AB328" s="439" t="str">
        <f>IF(OR(B328="2017 - kw",B328="2018 - kw"),"2016 - kw","")</f>
        <v/>
      </c>
      <c r="AC328" s="439"/>
      <c r="AD328" s="439"/>
      <c r="AE328" s="439"/>
    </row>
    <row r="329" spans="1:31" hidden="1" x14ac:dyDescent="0.25">
      <c r="A329" s="438"/>
      <c r="B329" s="438"/>
      <c r="C329" s="449"/>
      <c r="D329" s="424"/>
      <c r="E329" s="450" t="s">
        <v>210</v>
      </c>
      <c r="F329" s="437"/>
      <c r="G329" s="437"/>
      <c r="H329" s="437"/>
      <c r="I329" s="437"/>
      <c r="J329" s="437"/>
      <c r="K329" s="437"/>
      <c r="L329" s="437"/>
      <c r="M329" s="437"/>
      <c r="N329" s="437"/>
      <c r="O329" s="437"/>
      <c r="P329" s="438"/>
      <c r="Q329" s="438"/>
      <c r="R329" s="438"/>
      <c r="S329" s="438"/>
      <c r="T329" s="438"/>
      <c r="U329" s="438"/>
      <c r="V329" s="438"/>
      <c r="Z329" s="439"/>
      <c r="AA329" s="439"/>
      <c r="AB329" s="439"/>
      <c r="AC329" s="439"/>
      <c r="AD329" s="439"/>
      <c r="AE329" s="439"/>
    </row>
    <row r="330" spans="1:31" hidden="1" x14ac:dyDescent="0.25">
      <c r="A330" s="438" t="str">
        <f>IF(AND(F332=G332,H332=I332,J332=K332,F332="A"),"2016 - kwh",IF(AND(F332=G332,H332=I332,J332&lt;&gt;K332,F332="A"),"2017 - kwh",IF(AND(F332=G332,H332&lt;&gt;I332,F332="A"),"2018 - kwh","N/A")))</f>
        <v>N/A</v>
      </c>
      <c r="B330" s="438" t="str">
        <f>IF(F332&lt;&gt;G332,"2018 - kwh",IF(H332&lt;&gt;I332,"2017 - kwh",IF(J332&lt;&gt;K332,"2016 - kwh","N/A")))</f>
        <v>N/A</v>
      </c>
      <c r="C330" s="443" t="s">
        <v>309</v>
      </c>
      <c r="D330" s="444"/>
      <c r="E330" s="445" t="s">
        <v>139</v>
      </c>
      <c r="F330" s="361"/>
      <c r="G330" s="361"/>
      <c r="H330" s="361"/>
      <c r="I330" s="361"/>
      <c r="J330" s="361"/>
      <c r="K330" s="361"/>
      <c r="L330" s="361"/>
      <c r="M330" s="361"/>
      <c r="N330" s="361"/>
      <c r="O330" s="361"/>
      <c r="P330" s="438"/>
      <c r="Q330" s="438"/>
      <c r="R330" s="438"/>
      <c r="S330" s="438"/>
      <c r="T330" s="438"/>
      <c r="U330" s="438"/>
      <c r="V330" s="438"/>
      <c r="Z330" s="439"/>
      <c r="AA330" s="439" t="str">
        <f>IF(AND(F332=G332,H332=I332,F332="A"),"2016 - kwh","")</f>
        <v/>
      </c>
      <c r="AB330" s="439" t="str">
        <f>IF(OR(B330="2017 - kwh",B330="2018 - kwh"),"2016 - kwh","")</f>
        <v/>
      </c>
      <c r="AC330" s="439"/>
      <c r="AD330" s="439"/>
      <c r="AE330" s="439"/>
    </row>
    <row r="331" spans="1:31" hidden="1" x14ac:dyDescent="0.25">
      <c r="A331" s="438" t="str">
        <f>IF(AND(F332=G332,H332=I332,J332=K332,F332="A"),"2016 - kw",IF(AND(F332=G332,H332=I332,J332&lt;&gt;K332,F332="A"),"2017 - kw",IF(AND(F332=G332,H332&lt;&gt;I332,F332="A"),"2018 - kw","N/A")))</f>
        <v>N/A</v>
      </c>
      <c r="B331" s="438" t="str">
        <f>IF(F332&lt;&gt;G332,"2018 - kw",IF(H332&lt;&gt;I332,"2017 - kw",IF(J332&lt;&gt;K332,"2016 - kw","N/A")))</f>
        <v>N/A</v>
      </c>
      <c r="C331" s="446"/>
      <c r="D331" s="447" t="str">
        <f>D330 &amp; "kW"</f>
        <v>kW</v>
      </c>
      <c r="E331" s="448" t="s">
        <v>170</v>
      </c>
      <c r="F331" s="361"/>
      <c r="G331" s="361"/>
      <c r="H331" s="361"/>
      <c r="I331" s="361"/>
      <c r="J331" s="361"/>
      <c r="K331" s="361"/>
      <c r="L331" s="361"/>
      <c r="M331" s="361"/>
      <c r="N331" s="361"/>
      <c r="O331" s="361"/>
      <c r="P331" s="438"/>
      <c r="Q331" s="438"/>
      <c r="R331" s="438"/>
      <c r="S331" s="438"/>
      <c r="T331" s="438"/>
      <c r="U331" s="438"/>
      <c r="V331" s="438"/>
      <c r="Z331" s="439"/>
      <c r="AA331" s="439" t="str">
        <f>IF(AND(F332=G332,H332=I332,F332="A"),"2016 - kw","")</f>
        <v/>
      </c>
      <c r="AB331" s="439" t="str">
        <f>IF(OR(B331="2017 - kw",B331="2018 - kw"),"2016 - kw","")</f>
        <v/>
      </c>
      <c r="AC331" s="439"/>
      <c r="AD331" s="439"/>
      <c r="AE331" s="439"/>
    </row>
    <row r="332" spans="1:31" hidden="1" x14ac:dyDescent="0.25">
      <c r="A332" s="438"/>
      <c r="B332" s="438"/>
      <c r="C332" s="449"/>
      <c r="D332" s="424"/>
      <c r="E332" s="450" t="s">
        <v>210</v>
      </c>
      <c r="F332" s="437"/>
      <c r="G332" s="437"/>
      <c r="H332" s="437"/>
      <c r="I332" s="437"/>
      <c r="J332" s="437"/>
      <c r="K332" s="437"/>
      <c r="L332" s="437"/>
      <c r="M332" s="437"/>
      <c r="N332" s="437"/>
      <c r="O332" s="437"/>
      <c r="P332" s="438"/>
      <c r="Q332" s="438"/>
      <c r="R332" s="438"/>
      <c r="S332" s="438"/>
      <c r="T332" s="438"/>
      <c r="U332" s="438"/>
      <c r="V332" s="438"/>
      <c r="Z332" s="439"/>
      <c r="AA332" s="439"/>
      <c r="AB332" s="439"/>
      <c r="AC332" s="439"/>
      <c r="AD332" s="439"/>
      <c r="AE332" s="439"/>
    </row>
    <row r="333" spans="1:31" hidden="1" x14ac:dyDescent="0.25">
      <c r="A333" s="438" t="str">
        <f>IF(AND(F335=G335,H335=I335,J335=K335,F335="A"),"2016 - kwh",IF(AND(F335=G335,H335=I335,J335&lt;&gt;K335,F335="A"),"2017 - kwh",IF(AND(F335=G335,H335&lt;&gt;I335,F335="A"),"2018 - kwh","N/A")))</f>
        <v>N/A</v>
      </c>
      <c r="B333" s="438" t="str">
        <f>IF(F335&lt;&gt;G335,"2018 - kwh",IF(H335&lt;&gt;I335,"2017 - kwh",IF(J335&lt;&gt;K335,"2016 - kwh","N/A")))</f>
        <v>N/A</v>
      </c>
      <c r="C333" s="443" t="s">
        <v>310</v>
      </c>
      <c r="D333" s="444"/>
      <c r="E333" s="445" t="s">
        <v>139</v>
      </c>
      <c r="F333" s="361"/>
      <c r="G333" s="361"/>
      <c r="H333" s="361"/>
      <c r="I333" s="361"/>
      <c r="J333" s="361"/>
      <c r="K333" s="361"/>
      <c r="L333" s="361"/>
      <c r="M333" s="361"/>
      <c r="N333" s="361"/>
      <c r="O333" s="361"/>
      <c r="P333" s="438"/>
      <c r="Q333" s="438"/>
      <c r="R333" s="438"/>
      <c r="S333" s="438"/>
      <c r="T333" s="438"/>
      <c r="U333" s="438"/>
      <c r="V333" s="438"/>
      <c r="Z333" s="439"/>
      <c r="AA333" s="439" t="str">
        <f>IF(AND(F335=G335,H335=I335,F335="A"),"2016 - kwh","")</f>
        <v/>
      </c>
      <c r="AB333" s="439" t="str">
        <f>IF(OR(B333="2017 - kwh",B333="2018 - kwh"),"2016 - kwh","")</f>
        <v/>
      </c>
      <c r="AC333" s="439"/>
      <c r="AD333" s="439"/>
      <c r="AE333" s="439"/>
    </row>
    <row r="334" spans="1:31" hidden="1" x14ac:dyDescent="0.25">
      <c r="A334" s="438" t="str">
        <f>IF(AND(F335=G335,H335=I335,J335=K335,F335="A"),"2016 - kw",IF(AND(F335=G335,H335=I335,J335&lt;&gt;K335,F335="A"),"2017 - kw",IF(AND(F335=G335,H335&lt;&gt;I335,F335="A"),"2018 - kw","N/A")))</f>
        <v>N/A</v>
      </c>
      <c r="B334" s="438" t="str">
        <f>IF(F335&lt;&gt;G335,"2018 - kw",IF(H335&lt;&gt;I335,"2017 - kw",IF(J335&lt;&gt;K335,"2016 - kw","N/A")))</f>
        <v>N/A</v>
      </c>
      <c r="C334" s="446"/>
      <c r="D334" s="447" t="str">
        <f>D333 &amp; "kW"</f>
        <v>kW</v>
      </c>
      <c r="E334" s="448" t="s">
        <v>170</v>
      </c>
      <c r="F334" s="361"/>
      <c r="G334" s="361"/>
      <c r="H334" s="361"/>
      <c r="I334" s="361"/>
      <c r="J334" s="361"/>
      <c r="K334" s="361"/>
      <c r="L334" s="361"/>
      <c r="M334" s="361"/>
      <c r="N334" s="361"/>
      <c r="O334" s="361"/>
      <c r="P334" s="438"/>
      <c r="Q334" s="438"/>
      <c r="R334" s="438"/>
      <c r="S334" s="438"/>
      <c r="T334" s="438"/>
      <c r="U334" s="438"/>
      <c r="V334" s="438"/>
      <c r="Z334" s="439"/>
      <c r="AA334" s="439" t="str">
        <f>IF(AND(F335=G335,H335=I335,F335="A"),"2016 - kw","")</f>
        <v/>
      </c>
      <c r="AB334" s="439" t="str">
        <f>IF(OR(B334="2017 - kw",B334="2018 - kw"),"2016 - kw","")</f>
        <v/>
      </c>
      <c r="AC334" s="439"/>
      <c r="AD334" s="439"/>
      <c r="AE334" s="439"/>
    </row>
    <row r="335" spans="1:31" hidden="1" x14ac:dyDescent="0.25">
      <c r="A335" s="438"/>
      <c r="B335" s="438"/>
      <c r="C335" s="449"/>
      <c r="D335" s="424"/>
      <c r="E335" s="450" t="s">
        <v>210</v>
      </c>
      <c r="F335" s="437"/>
      <c r="G335" s="437"/>
      <c r="H335" s="437"/>
      <c r="I335" s="437"/>
      <c r="J335" s="437"/>
      <c r="K335" s="437"/>
      <c r="L335" s="437"/>
      <c r="M335" s="437"/>
      <c r="N335" s="437"/>
      <c r="O335" s="437"/>
      <c r="P335" s="438"/>
      <c r="Q335" s="438"/>
      <c r="R335" s="438"/>
      <c r="S335" s="438"/>
      <c r="T335" s="438"/>
      <c r="U335" s="438"/>
      <c r="V335" s="438"/>
      <c r="Z335" s="439"/>
      <c r="AA335" s="439"/>
      <c r="AB335" s="439"/>
      <c r="AC335" s="439"/>
      <c r="AD335" s="439"/>
      <c r="AE335" s="439"/>
    </row>
    <row r="336" spans="1:31" hidden="1" x14ac:dyDescent="0.25">
      <c r="A336" s="438" t="str">
        <f>IF(AND(F338=G338,H338=I338,J338=K338,F338="A"),"2016 - kwh",IF(AND(F338=G338,H338=I338,J338&lt;&gt;K338,F338="A"),"2017 - kwh",IF(AND(F338=G338,H338&lt;&gt;I338,F338="A"),"2018 - kwh","N/A")))</f>
        <v>N/A</v>
      </c>
      <c r="B336" s="438" t="str">
        <f>IF(F338&lt;&gt;G338,"2018 - kwh",IF(H338&lt;&gt;I338,"2017 - kwh",IF(J338&lt;&gt;K338,"2016 - kwh","N/A")))</f>
        <v>N/A</v>
      </c>
      <c r="C336" s="443" t="s">
        <v>311</v>
      </c>
      <c r="D336" s="444"/>
      <c r="E336" s="445" t="s">
        <v>139</v>
      </c>
      <c r="F336" s="361"/>
      <c r="G336" s="361"/>
      <c r="H336" s="361"/>
      <c r="I336" s="361"/>
      <c r="J336" s="361"/>
      <c r="K336" s="361"/>
      <c r="L336" s="361"/>
      <c r="M336" s="361"/>
      <c r="N336" s="361"/>
      <c r="O336" s="361"/>
      <c r="P336" s="438"/>
      <c r="Q336" s="438"/>
      <c r="R336" s="438"/>
      <c r="S336" s="438"/>
      <c r="T336" s="438"/>
      <c r="U336" s="438"/>
      <c r="V336" s="438"/>
      <c r="Z336" s="439"/>
      <c r="AA336" s="439" t="str">
        <f>IF(AND(F338=G338,H338=I338,F338="A"),"2016 - kwh","")</f>
        <v/>
      </c>
      <c r="AB336" s="439" t="str">
        <f>IF(OR(B336="2017 - kwh",B336="2018 - kwh"),"2016 - kwh","")</f>
        <v/>
      </c>
      <c r="AC336" s="439"/>
      <c r="AD336" s="439"/>
      <c r="AE336" s="439"/>
    </row>
    <row r="337" spans="1:31" hidden="1" x14ac:dyDescent="0.25">
      <c r="A337" s="438" t="str">
        <f>IF(AND(F338=G338,H338=I338,J338=K338,F338="A"),"2016 - kw",IF(AND(F338=G338,H338=I338,J338&lt;&gt;K338,F338="A"),"2017 - kw",IF(AND(F338=G338,H338&lt;&gt;I338,F338="A"),"2018 - kw","N/A")))</f>
        <v>N/A</v>
      </c>
      <c r="B337" s="438" t="str">
        <f>IF(F338&lt;&gt;G338,"2018 - kw",IF(H338&lt;&gt;I338,"2017 - kw",IF(J338&lt;&gt;K338,"2016 - kw","N/A")))</f>
        <v>N/A</v>
      </c>
      <c r="C337" s="446"/>
      <c r="D337" s="447" t="str">
        <f>D336 &amp; "kW"</f>
        <v>kW</v>
      </c>
      <c r="E337" s="448" t="s">
        <v>170</v>
      </c>
      <c r="F337" s="361"/>
      <c r="G337" s="361"/>
      <c r="H337" s="361"/>
      <c r="I337" s="361"/>
      <c r="J337" s="361"/>
      <c r="K337" s="361"/>
      <c r="L337" s="361"/>
      <c r="M337" s="361"/>
      <c r="N337" s="361"/>
      <c r="O337" s="361"/>
      <c r="P337" s="438"/>
      <c r="Q337" s="438"/>
      <c r="R337" s="438"/>
      <c r="S337" s="438"/>
      <c r="T337" s="438"/>
      <c r="U337" s="438"/>
      <c r="V337" s="438"/>
      <c r="Z337" s="439"/>
      <c r="AA337" s="439" t="str">
        <f>IF(AND(F338=G338,H338=I338,F338="A"),"2016 - kw","")</f>
        <v/>
      </c>
      <c r="AB337" s="439" t="str">
        <f>IF(OR(B337="2017 - kw",B337="2018 - kw"),"2016 - kw","")</f>
        <v/>
      </c>
      <c r="AC337" s="439"/>
      <c r="AD337" s="439"/>
      <c r="AE337" s="439"/>
    </row>
    <row r="338" spans="1:31" hidden="1" x14ac:dyDescent="0.25">
      <c r="A338" s="438"/>
      <c r="B338" s="438"/>
      <c r="C338" s="449"/>
      <c r="D338" s="424"/>
      <c r="E338" s="450" t="s">
        <v>210</v>
      </c>
      <c r="F338" s="437"/>
      <c r="G338" s="437"/>
      <c r="H338" s="437"/>
      <c r="I338" s="437"/>
      <c r="J338" s="437"/>
      <c r="K338" s="437"/>
      <c r="L338" s="437"/>
      <c r="M338" s="437"/>
      <c r="N338" s="437"/>
      <c r="O338" s="437"/>
      <c r="P338" s="438"/>
      <c r="Q338" s="438"/>
      <c r="R338" s="438"/>
      <c r="S338" s="438"/>
      <c r="T338" s="438"/>
      <c r="U338" s="438"/>
      <c r="V338" s="438"/>
      <c r="Z338" s="439"/>
      <c r="AA338" s="439"/>
      <c r="AB338" s="439"/>
      <c r="AC338" s="439"/>
      <c r="AD338" s="439"/>
      <c r="AE338" s="439"/>
    </row>
    <row r="339" spans="1:31" hidden="1" x14ac:dyDescent="0.25">
      <c r="A339" s="438" t="str">
        <f>IF(AND(F341=G341,H341=I341,J341=K341,F341="A"),"2016 - kwh",IF(AND(F341=G341,H341=I341,J341&lt;&gt;K341,F341="A"),"2017 - kwh",IF(AND(F341=G341,H341&lt;&gt;I341,F341="A"),"2018 - kwh","N/A")))</f>
        <v>N/A</v>
      </c>
      <c r="B339" s="438" t="str">
        <f>IF(F341&lt;&gt;G341,"2018 - kwh",IF(H341&lt;&gt;I341,"2017 - kwh",IF(J341&lt;&gt;K341,"2016 - kwh","N/A")))</f>
        <v>N/A</v>
      </c>
      <c r="C339" s="443" t="s">
        <v>312</v>
      </c>
      <c r="D339" s="444"/>
      <c r="E339" s="445" t="s">
        <v>139</v>
      </c>
      <c r="F339" s="361"/>
      <c r="G339" s="361"/>
      <c r="H339" s="361"/>
      <c r="I339" s="361"/>
      <c r="J339" s="361"/>
      <c r="K339" s="361"/>
      <c r="L339" s="361"/>
      <c r="M339" s="361"/>
      <c r="N339" s="361"/>
      <c r="O339" s="361"/>
      <c r="P339" s="438"/>
      <c r="Q339" s="438"/>
      <c r="R339" s="438"/>
      <c r="S339" s="438"/>
      <c r="T339" s="438"/>
      <c r="U339" s="438"/>
      <c r="V339" s="438"/>
      <c r="Z339" s="439"/>
      <c r="AA339" s="439" t="str">
        <f>IF(AND(F341=G341,H341=I341,F341="A"),"2016 - kwh","")</f>
        <v/>
      </c>
      <c r="AB339" s="439" t="str">
        <f>IF(OR(B339="2017 - kwh",B339="2018 - kwh"),"2016 - kwh","")</f>
        <v/>
      </c>
      <c r="AC339" s="439"/>
      <c r="AD339" s="439"/>
      <c r="AE339" s="439"/>
    </row>
    <row r="340" spans="1:31" hidden="1" x14ac:dyDescent="0.25">
      <c r="A340" s="438" t="str">
        <f>IF(AND(F341=G341,H341=I341,J341=K341,F341="A"),"2016 - kw",IF(AND(F341=G341,H341=I341,J341&lt;&gt;K341,F341="A"),"2017 - kw",IF(AND(F341=G341,H341&lt;&gt;I341,F341="A"),"2018 - kw","N/A")))</f>
        <v>N/A</v>
      </c>
      <c r="B340" s="438" t="str">
        <f>IF(F341&lt;&gt;G341,"2018 - kw",IF(H341&lt;&gt;I341,"2017 - kw",IF(J341&lt;&gt;K341,"2016 - kw","N/A")))</f>
        <v>N/A</v>
      </c>
      <c r="C340" s="446"/>
      <c r="D340" s="447" t="str">
        <f>D339 &amp; "kW"</f>
        <v>kW</v>
      </c>
      <c r="E340" s="448" t="s">
        <v>170</v>
      </c>
      <c r="F340" s="361"/>
      <c r="G340" s="361"/>
      <c r="H340" s="361"/>
      <c r="I340" s="361"/>
      <c r="J340" s="361"/>
      <c r="K340" s="361"/>
      <c r="L340" s="361"/>
      <c r="M340" s="361"/>
      <c r="N340" s="361"/>
      <c r="O340" s="361"/>
      <c r="P340" s="438"/>
      <c r="Q340" s="438"/>
      <c r="R340" s="438"/>
      <c r="S340" s="438"/>
      <c r="T340" s="438"/>
      <c r="U340" s="438"/>
      <c r="V340" s="438"/>
      <c r="Z340" s="439"/>
      <c r="AA340" s="439" t="str">
        <f>IF(AND(F341=G341,H341=I341,F341="A"),"2016 - kw","")</f>
        <v/>
      </c>
      <c r="AB340" s="439" t="str">
        <f>IF(OR(B340="2017 - kw",B340="2018 - kw"),"2016 - kw","")</f>
        <v/>
      </c>
      <c r="AC340" s="439"/>
      <c r="AD340" s="439"/>
      <c r="AE340" s="439"/>
    </row>
    <row r="341" spans="1:31" hidden="1" x14ac:dyDescent="0.25">
      <c r="A341" s="438"/>
      <c r="B341" s="438"/>
      <c r="C341" s="449"/>
      <c r="D341" s="424"/>
      <c r="E341" s="450" t="s">
        <v>210</v>
      </c>
      <c r="F341" s="437"/>
      <c r="G341" s="437"/>
      <c r="H341" s="437"/>
      <c r="I341" s="437"/>
      <c r="J341" s="437"/>
      <c r="K341" s="437"/>
      <c r="L341" s="437"/>
      <c r="M341" s="437"/>
      <c r="N341" s="437"/>
      <c r="O341" s="437"/>
      <c r="P341" s="438"/>
      <c r="Q341" s="438"/>
      <c r="R341" s="438"/>
      <c r="S341" s="438"/>
      <c r="T341" s="438"/>
      <c r="U341" s="438"/>
      <c r="V341" s="438"/>
      <c r="Z341" s="439"/>
      <c r="AA341" s="439"/>
      <c r="AB341" s="439"/>
      <c r="AC341" s="439"/>
      <c r="AD341" s="439"/>
      <c r="AE341" s="439"/>
    </row>
    <row r="342" spans="1:31" hidden="1" x14ac:dyDescent="0.25">
      <c r="A342" s="438" t="str">
        <f>IF(AND(F344=G344,H344=I344,J344=K344,F344="A"),"2016 - kwh",IF(AND(F344=G344,H344=I344,J344&lt;&gt;K344,F344="A"),"2017 - kwh",IF(AND(F344=G344,H344&lt;&gt;I344,F344="A"),"2018 - kwh","N/A")))</f>
        <v>N/A</v>
      </c>
      <c r="B342" s="438" t="str">
        <f>IF(F344&lt;&gt;G344,"2018 - kwh",IF(H344&lt;&gt;I344,"2017 - kwh",IF(J344&lt;&gt;K344,"2016 - kwh","N/A")))</f>
        <v>N/A</v>
      </c>
      <c r="C342" s="443" t="s">
        <v>313</v>
      </c>
      <c r="D342" s="444"/>
      <c r="E342" s="445" t="s">
        <v>139</v>
      </c>
      <c r="F342" s="361"/>
      <c r="G342" s="361"/>
      <c r="H342" s="361"/>
      <c r="I342" s="361"/>
      <c r="J342" s="361"/>
      <c r="K342" s="361"/>
      <c r="L342" s="361"/>
      <c r="M342" s="361"/>
      <c r="N342" s="361"/>
      <c r="O342" s="361"/>
      <c r="P342" s="438"/>
      <c r="Q342" s="438"/>
      <c r="R342" s="438"/>
      <c r="S342" s="438"/>
      <c r="T342" s="438"/>
      <c r="U342" s="438"/>
      <c r="V342" s="438"/>
      <c r="Z342" s="439"/>
      <c r="AA342" s="439" t="str">
        <f>IF(AND(F344=G344,H344=I344,F344="A"),"2016 - kwh","")</f>
        <v/>
      </c>
      <c r="AB342" s="439" t="str">
        <f>IF(OR(B342="2017 - kwh",B342="2018 - kwh"),"2016 - kwh","")</f>
        <v/>
      </c>
      <c r="AC342" s="439"/>
      <c r="AD342" s="439"/>
      <c r="AE342" s="439"/>
    </row>
    <row r="343" spans="1:31" hidden="1" x14ac:dyDescent="0.25">
      <c r="A343" s="438" t="str">
        <f>IF(AND(F344=G344,H344=I344,J344=K344,F344="A"),"2016 - kw",IF(AND(F344=G344,H344=I344,J344&lt;&gt;K344,F344="A"),"2017 - kw",IF(AND(F344=G344,H344&lt;&gt;I344,F344="A"),"2018 - kw","N/A")))</f>
        <v>N/A</v>
      </c>
      <c r="B343" s="438" t="str">
        <f>IF(F344&lt;&gt;G344,"2018 - kw",IF(H344&lt;&gt;I344,"2017 - kw",IF(J344&lt;&gt;K344,"2016 - kw","N/A")))</f>
        <v>N/A</v>
      </c>
      <c r="C343" s="446"/>
      <c r="D343" s="447" t="str">
        <f>D342 &amp; "kW"</f>
        <v>kW</v>
      </c>
      <c r="E343" s="448" t="s">
        <v>170</v>
      </c>
      <c r="F343" s="361"/>
      <c r="G343" s="361"/>
      <c r="H343" s="361"/>
      <c r="I343" s="361"/>
      <c r="J343" s="361"/>
      <c r="K343" s="361"/>
      <c r="L343" s="361"/>
      <c r="M343" s="361"/>
      <c r="N343" s="361"/>
      <c r="O343" s="361"/>
      <c r="P343" s="438"/>
      <c r="Q343" s="438"/>
      <c r="R343" s="438"/>
      <c r="S343" s="438"/>
      <c r="T343" s="438"/>
      <c r="U343" s="438"/>
      <c r="V343" s="438"/>
      <c r="Z343" s="439"/>
      <c r="AA343" s="439" t="str">
        <f>IF(AND(F344=G344,H344=I344,F344="A"),"2016 - kw","")</f>
        <v/>
      </c>
      <c r="AB343" s="439" t="str">
        <f>IF(OR(B343="2017 - kw",B343="2018 - kw"),"2016 - kw","")</f>
        <v/>
      </c>
      <c r="AC343" s="439"/>
      <c r="AD343" s="439"/>
      <c r="AE343" s="439"/>
    </row>
    <row r="344" spans="1:31" hidden="1" x14ac:dyDescent="0.25">
      <c r="A344" s="438"/>
      <c r="B344" s="438"/>
      <c r="C344" s="449"/>
      <c r="D344" s="424"/>
      <c r="E344" s="450" t="s">
        <v>210</v>
      </c>
      <c r="F344" s="437"/>
      <c r="G344" s="437"/>
      <c r="H344" s="437"/>
      <c r="I344" s="437"/>
      <c r="J344" s="437"/>
      <c r="K344" s="437"/>
      <c r="L344" s="437"/>
      <c r="M344" s="437"/>
      <c r="N344" s="437"/>
      <c r="O344" s="437"/>
      <c r="P344" s="438"/>
      <c r="Q344" s="438"/>
      <c r="R344" s="438"/>
      <c r="S344" s="438"/>
      <c r="T344" s="438"/>
      <c r="U344" s="438"/>
      <c r="V344" s="438"/>
      <c r="Z344" s="439"/>
      <c r="AA344" s="439"/>
      <c r="AB344" s="439"/>
      <c r="AC344" s="439"/>
      <c r="AD344" s="439"/>
      <c r="AE344" s="439"/>
    </row>
    <row r="345" spans="1:31" hidden="1" x14ac:dyDescent="0.25">
      <c r="A345" s="438" t="str">
        <f>IF(AND(F347=G347,H347=I347,J347=K347,F347="A"),"2016 - kwh",IF(AND(F347=G347,H347=I347,J347&lt;&gt;K347,F347="A"),"2017 - kwh",IF(AND(F347=G347,H347&lt;&gt;I347,F347="A"),"2018 - kwh","N/A")))</f>
        <v>N/A</v>
      </c>
      <c r="B345" s="438" t="str">
        <f>IF(F347&lt;&gt;G347,"2018 - kwh",IF(H347&lt;&gt;I347,"2017 - kwh",IF(J347&lt;&gt;K347,"2016 - kwh","N/A")))</f>
        <v>N/A</v>
      </c>
      <c r="C345" s="443" t="s">
        <v>314</v>
      </c>
      <c r="D345" s="444"/>
      <c r="E345" s="445" t="s">
        <v>139</v>
      </c>
      <c r="F345" s="361"/>
      <c r="G345" s="361"/>
      <c r="H345" s="361"/>
      <c r="I345" s="361"/>
      <c r="J345" s="361"/>
      <c r="K345" s="361"/>
      <c r="L345" s="361"/>
      <c r="M345" s="361"/>
      <c r="N345" s="361"/>
      <c r="O345" s="361"/>
      <c r="P345" s="438"/>
      <c r="Q345" s="438"/>
      <c r="R345" s="438"/>
      <c r="S345" s="438"/>
      <c r="T345" s="438"/>
      <c r="U345" s="438"/>
      <c r="V345" s="438"/>
      <c r="Z345" s="439"/>
      <c r="AA345" s="439" t="str">
        <f>IF(AND(F347=G347,H347=I347,F347="A"),"2016 - kwh","")</f>
        <v/>
      </c>
      <c r="AB345" s="439" t="str">
        <f>IF(OR(B345="2017 - kwh",B345="2018 - kwh"),"2016 - kwh","")</f>
        <v/>
      </c>
      <c r="AC345" s="439"/>
      <c r="AD345" s="439"/>
      <c r="AE345" s="439"/>
    </row>
    <row r="346" spans="1:31" hidden="1" x14ac:dyDescent="0.25">
      <c r="A346" s="438" t="str">
        <f>IF(AND(F347=G347,H347=I347,J347=K347,F347="A"),"2016 - kw",IF(AND(F347=G347,H347=I347,J347&lt;&gt;K347,F347="A"),"2017 - kw",IF(AND(F347=G347,H347&lt;&gt;I347,F347="A"),"2018 - kw","N/A")))</f>
        <v>N/A</v>
      </c>
      <c r="B346" s="438" t="str">
        <f>IF(F347&lt;&gt;G347,"2018 - kw",IF(H347&lt;&gt;I347,"2017 - kw",IF(J347&lt;&gt;K347,"2016 - kw","N/A")))</f>
        <v>N/A</v>
      </c>
      <c r="C346" s="446"/>
      <c r="D346" s="447" t="str">
        <f>D345 &amp; "kW"</f>
        <v>kW</v>
      </c>
      <c r="E346" s="448" t="s">
        <v>170</v>
      </c>
      <c r="F346" s="361"/>
      <c r="G346" s="361"/>
      <c r="H346" s="361"/>
      <c r="I346" s="361"/>
      <c r="J346" s="361"/>
      <c r="K346" s="361"/>
      <c r="L346" s="361"/>
      <c r="M346" s="361"/>
      <c r="N346" s="361"/>
      <c r="O346" s="361"/>
      <c r="P346" s="438"/>
      <c r="Q346" s="438"/>
      <c r="R346" s="438"/>
      <c r="S346" s="438"/>
      <c r="T346" s="438"/>
      <c r="U346" s="438"/>
      <c r="V346" s="438"/>
      <c r="Z346" s="439"/>
      <c r="AA346" s="439" t="str">
        <f>IF(AND(F347=G347,H347=I347,F347="A"),"2016 - kw","")</f>
        <v/>
      </c>
      <c r="AB346" s="439" t="str">
        <f>IF(OR(B346="2017 - kw",B346="2018 - kw"),"2016 - kw","")</f>
        <v/>
      </c>
      <c r="AC346" s="439"/>
      <c r="AD346" s="439"/>
      <c r="AE346" s="439"/>
    </row>
    <row r="347" spans="1:31" hidden="1" x14ac:dyDescent="0.25">
      <c r="A347" s="438"/>
      <c r="B347" s="438"/>
      <c r="C347" s="449"/>
      <c r="D347" s="424"/>
      <c r="E347" s="450" t="s">
        <v>210</v>
      </c>
      <c r="F347" s="437"/>
      <c r="G347" s="437"/>
      <c r="H347" s="437"/>
      <c r="I347" s="437"/>
      <c r="J347" s="437"/>
      <c r="K347" s="437"/>
      <c r="L347" s="437"/>
      <c r="M347" s="437"/>
      <c r="N347" s="437"/>
      <c r="O347" s="437"/>
      <c r="P347" s="438"/>
      <c r="Q347" s="438"/>
      <c r="R347" s="438"/>
      <c r="S347" s="438"/>
      <c r="T347" s="438"/>
      <c r="U347" s="438"/>
      <c r="V347" s="438"/>
      <c r="Z347" s="439"/>
      <c r="AA347" s="439"/>
      <c r="AB347" s="439"/>
      <c r="AC347" s="439"/>
      <c r="AD347" s="439"/>
      <c r="AE347" s="439"/>
    </row>
    <row r="348" spans="1:31" hidden="1" x14ac:dyDescent="0.25">
      <c r="A348" s="438" t="str">
        <f>IF(AND(F350=G350,H350=I350,J350=K350,F350="A"),"2016 - kwh",IF(AND(F350=G350,H350=I350,J350&lt;&gt;K350,F350="A"),"2017 - kwh",IF(AND(F350=G350,H350&lt;&gt;I350,F350="A"),"2018 - kwh","N/A")))</f>
        <v>N/A</v>
      </c>
      <c r="B348" s="438" t="str">
        <f>IF(F350&lt;&gt;G350,"2018 - kwh",IF(H350&lt;&gt;I350,"2017 - kwh",IF(J350&lt;&gt;K350,"2016 - kwh","N/A")))</f>
        <v>N/A</v>
      </c>
      <c r="C348" s="443" t="s">
        <v>315</v>
      </c>
      <c r="D348" s="444"/>
      <c r="E348" s="445" t="s">
        <v>139</v>
      </c>
      <c r="F348" s="361"/>
      <c r="G348" s="361"/>
      <c r="H348" s="361"/>
      <c r="I348" s="361"/>
      <c r="J348" s="361"/>
      <c r="K348" s="361"/>
      <c r="L348" s="361"/>
      <c r="M348" s="361"/>
      <c r="N348" s="361"/>
      <c r="O348" s="361"/>
      <c r="P348" s="438"/>
      <c r="Q348" s="438"/>
      <c r="R348" s="438"/>
      <c r="S348" s="438"/>
      <c r="T348" s="438"/>
      <c r="U348" s="438"/>
      <c r="V348" s="438"/>
      <c r="Z348" s="439"/>
      <c r="AA348" s="439" t="str">
        <f>IF(AND(F350=G350,H350=I350,F350="A"),"2016 - kwh","")</f>
        <v/>
      </c>
      <c r="AB348" s="439" t="str">
        <f>IF(OR(B348="2017 - kwh",B348="2018 - kwh"),"2016 - kwh","")</f>
        <v/>
      </c>
      <c r="AC348" s="439"/>
      <c r="AD348" s="439"/>
      <c r="AE348" s="439"/>
    </row>
    <row r="349" spans="1:31" hidden="1" x14ac:dyDescent="0.25">
      <c r="A349" s="438" t="str">
        <f>IF(AND(F350=G350,H350=I350,J350=K350,F350="A"),"2016 - kw",IF(AND(F350=G350,H350=I350,J350&lt;&gt;K350,F350="A"),"2017 - kw",IF(AND(F350=G350,H350&lt;&gt;I350,F350="A"),"2018 - kw","N/A")))</f>
        <v>N/A</v>
      </c>
      <c r="B349" s="438" t="str">
        <f>IF(F350&lt;&gt;G350,"2018 - kw",IF(H350&lt;&gt;I350,"2017 - kw",IF(J350&lt;&gt;K350,"2016 - kw","N/A")))</f>
        <v>N/A</v>
      </c>
      <c r="C349" s="446"/>
      <c r="D349" s="447" t="str">
        <f>D348 &amp; "kW"</f>
        <v>kW</v>
      </c>
      <c r="E349" s="448" t="s">
        <v>170</v>
      </c>
      <c r="F349" s="361"/>
      <c r="G349" s="361"/>
      <c r="H349" s="361"/>
      <c r="I349" s="361"/>
      <c r="J349" s="361"/>
      <c r="K349" s="361"/>
      <c r="L349" s="361"/>
      <c r="M349" s="361"/>
      <c r="N349" s="361"/>
      <c r="O349" s="361"/>
      <c r="P349" s="438"/>
      <c r="Q349" s="438"/>
      <c r="R349" s="438"/>
      <c r="S349" s="438"/>
      <c r="T349" s="438"/>
      <c r="U349" s="438"/>
      <c r="V349" s="438"/>
      <c r="Z349" s="439"/>
      <c r="AA349" s="439" t="str">
        <f>IF(AND(F350=G350,H350=I350,F350="A"),"2016 - kw","")</f>
        <v/>
      </c>
      <c r="AB349" s="439" t="str">
        <f>IF(OR(B349="2017 - kw",B349="2018 - kw"),"2016 - kw","")</f>
        <v/>
      </c>
      <c r="AC349" s="439"/>
      <c r="AD349" s="439"/>
      <c r="AE349" s="439"/>
    </row>
    <row r="350" spans="1:31" hidden="1" x14ac:dyDescent="0.25">
      <c r="A350" s="438"/>
      <c r="B350" s="438"/>
      <c r="C350" s="449"/>
      <c r="D350" s="424"/>
      <c r="E350" s="450" t="s">
        <v>210</v>
      </c>
      <c r="F350" s="437"/>
      <c r="G350" s="437"/>
      <c r="H350" s="437"/>
      <c r="I350" s="437"/>
      <c r="J350" s="437"/>
      <c r="K350" s="437"/>
      <c r="L350" s="437"/>
      <c r="M350" s="437"/>
      <c r="N350" s="437"/>
      <c r="O350" s="437"/>
      <c r="P350" s="438"/>
      <c r="Q350" s="438"/>
      <c r="R350" s="438"/>
      <c r="S350" s="438"/>
      <c r="T350" s="438"/>
      <c r="U350" s="438"/>
      <c r="V350" s="438"/>
      <c r="Z350" s="439"/>
      <c r="AA350" s="439"/>
      <c r="AB350" s="439"/>
      <c r="AC350" s="439"/>
      <c r="AD350" s="439"/>
      <c r="AE350" s="439"/>
    </row>
    <row r="351" spans="1:31" hidden="1" x14ac:dyDescent="0.25">
      <c r="A351" s="438" t="str">
        <f>IF(AND(F353=G353,H353=I353,J353=K353,F353="A"),"2016 - kwh",IF(AND(F353=G353,H353=I353,J353&lt;&gt;K353,F353="A"),"2017 - kwh",IF(AND(F353=G353,H353&lt;&gt;I353,F353="A"),"2018 - kwh","N/A")))</f>
        <v>N/A</v>
      </c>
      <c r="B351" s="438" t="str">
        <f>IF(F353&lt;&gt;G353,"2018 - kwh",IF(H353&lt;&gt;I353,"2017 - kwh",IF(J353&lt;&gt;K353,"2016 - kwh","N/A")))</f>
        <v>N/A</v>
      </c>
      <c r="C351" s="443" t="s">
        <v>316</v>
      </c>
      <c r="D351" s="444"/>
      <c r="E351" s="445" t="s">
        <v>139</v>
      </c>
      <c r="F351" s="361"/>
      <c r="G351" s="361"/>
      <c r="H351" s="361"/>
      <c r="I351" s="361"/>
      <c r="J351" s="361"/>
      <c r="K351" s="361"/>
      <c r="L351" s="361"/>
      <c r="M351" s="361"/>
      <c r="N351" s="361"/>
      <c r="O351" s="361"/>
      <c r="P351" s="438"/>
      <c r="Q351" s="438"/>
      <c r="R351" s="438"/>
      <c r="S351" s="438"/>
      <c r="T351" s="438"/>
      <c r="U351" s="438"/>
      <c r="V351" s="438"/>
      <c r="Z351" s="439"/>
      <c r="AA351" s="439" t="str">
        <f>IF(AND(F353=G353,H353=I353,F353="A"),"2016 - kwh","")</f>
        <v/>
      </c>
      <c r="AB351" s="439" t="str">
        <f>IF(OR(B351="2017 - kwh",B351="2018 - kwh"),"2016 - kwh","")</f>
        <v/>
      </c>
      <c r="AC351" s="439"/>
      <c r="AD351" s="439"/>
      <c r="AE351" s="439"/>
    </row>
    <row r="352" spans="1:31" hidden="1" x14ac:dyDescent="0.25">
      <c r="A352" s="438" t="str">
        <f>IF(AND(F353=G353,H353=I353,J353=K353,F353="A"),"2016 - kw",IF(AND(F353=G353,H353=I353,J353&lt;&gt;K353,F353="A"),"2017 - kw",IF(AND(F353=G353,H353&lt;&gt;I353,F353="A"),"2018 - kw","N/A")))</f>
        <v>N/A</v>
      </c>
      <c r="B352" s="438" t="str">
        <f>IF(F353&lt;&gt;G353,"2018 - kw",IF(H353&lt;&gt;I353,"2017 - kw",IF(J353&lt;&gt;K353,"2016 - kw","N/A")))</f>
        <v>N/A</v>
      </c>
      <c r="C352" s="446"/>
      <c r="D352" s="447" t="str">
        <f>D351 &amp; "kW"</f>
        <v>kW</v>
      </c>
      <c r="E352" s="448" t="s">
        <v>170</v>
      </c>
      <c r="F352" s="361"/>
      <c r="G352" s="361"/>
      <c r="H352" s="361"/>
      <c r="I352" s="361"/>
      <c r="J352" s="361"/>
      <c r="K352" s="361"/>
      <c r="L352" s="361"/>
      <c r="M352" s="361"/>
      <c r="N352" s="361"/>
      <c r="O352" s="361"/>
      <c r="P352" s="438"/>
      <c r="Q352" s="438"/>
      <c r="R352" s="438"/>
      <c r="S352" s="438"/>
      <c r="T352" s="438"/>
      <c r="U352" s="438"/>
      <c r="V352" s="438"/>
      <c r="Z352" s="439"/>
      <c r="AA352" s="439" t="str">
        <f>IF(AND(F353=G353,H353=I353,F353="A"),"2016 - kw","")</f>
        <v/>
      </c>
      <c r="AB352" s="439" t="str">
        <f>IF(OR(B352="2017 - kw",B352="2018 - kw"),"2016 - kw","")</f>
        <v/>
      </c>
      <c r="AC352" s="439"/>
      <c r="AD352" s="439"/>
      <c r="AE352" s="439"/>
    </row>
    <row r="353" spans="1:31" hidden="1" x14ac:dyDescent="0.25">
      <c r="A353" s="438"/>
      <c r="B353" s="438"/>
      <c r="C353" s="449"/>
      <c r="D353" s="424"/>
      <c r="E353" s="450" t="s">
        <v>210</v>
      </c>
      <c r="F353" s="437"/>
      <c r="G353" s="437"/>
      <c r="H353" s="437"/>
      <c r="I353" s="437"/>
      <c r="J353" s="437"/>
      <c r="K353" s="437"/>
      <c r="L353" s="437"/>
      <c r="M353" s="437"/>
      <c r="N353" s="437"/>
      <c r="O353" s="437"/>
      <c r="P353" s="438"/>
      <c r="Q353" s="438"/>
      <c r="R353" s="438"/>
      <c r="S353" s="438"/>
      <c r="T353" s="438"/>
      <c r="U353" s="438"/>
      <c r="V353" s="438"/>
      <c r="Z353" s="439"/>
      <c r="AA353" s="439"/>
      <c r="AB353" s="439"/>
      <c r="AC353" s="439"/>
      <c r="AD353" s="439"/>
      <c r="AE353" s="439"/>
    </row>
    <row r="354" spans="1:31" hidden="1" x14ac:dyDescent="0.25">
      <c r="A354" s="438" t="str">
        <f>IF(AND(F356=G356,H356=I356,J356=K356,F356="A"),"2016 - kwh",IF(AND(F356=G356,H356=I356,J356&lt;&gt;K356,F356="A"),"2017 - kwh",IF(AND(F356=G356,H356&lt;&gt;I356,F356="A"),"2018 - kwh","N/A")))</f>
        <v>N/A</v>
      </c>
      <c r="B354" s="438" t="str">
        <f>IF(F356&lt;&gt;G356,"2018 - kwh",IF(H356&lt;&gt;I356,"2017 - kwh",IF(J356&lt;&gt;K356,"2016 - kwh","N/A")))</f>
        <v>N/A</v>
      </c>
      <c r="C354" s="443" t="s">
        <v>317</v>
      </c>
      <c r="D354" s="444"/>
      <c r="E354" s="445" t="s">
        <v>139</v>
      </c>
      <c r="F354" s="361"/>
      <c r="G354" s="361"/>
      <c r="H354" s="361"/>
      <c r="I354" s="361"/>
      <c r="J354" s="361"/>
      <c r="K354" s="361"/>
      <c r="L354" s="361"/>
      <c r="M354" s="361"/>
      <c r="N354" s="361"/>
      <c r="O354" s="361"/>
      <c r="P354" s="438"/>
      <c r="Q354" s="438"/>
      <c r="R354" s="438"/>
      <c r="S354" s="438"/>
      <c r="T354" s="438"/>
      <c r="U354" s="438"/>
      <c r="V354" s="438"/>
      <c r="Z354" s="439"/>
      <c r="AA354" s="439" t="str">
        <f>IF(AND(F356=G356,H356=I356,F356="A"),"2016 - kwh","")</f>
        <v/>
      </c>
      <c r="AB354" s="439" t="str">
        <f>IF(OR(B354="2017 - kwh",B354="2018 - kwh"),"2016 - kwh","")</f>
        <v/>
      </c>
      <c r="AC354" s="439"/>
      <c r="AD354" s="439"/>
      <c r="AE354" s="439"/>
    </row>
    <row r="355" spans="1:31" hidden="1" x14ac:dyDescent="0.25">
      <c r="A355" s="438" t="str">
        <f>IF(AND(F356=G356,H356=I356,J356=K356,F356="A"),"2016 - kw",IF(AND(F356=G356,H356=I356,J356&lt;&gt;K356,F356="A"),"2017 - kw",IF(AND(F356=G356,H356&lt;&gt;I356,F356="A"),"2018 - kw","N/A")))</f>
        <v>N/A</v>
      </c>
      <c r="B355" s="438" t="str">
        <f>IF(F356&lt;&gt;G356,"2018 - kw",IF(H356&lt;&gt;I356,"2017 - kw",IF(J356&lt;&gt;K356,"2016 - kw","N/A")))</f>
        <v>N/A</v>
      </c>
      <c r="C355" s="446"/>
      <c r="D355" s="447" t="str">
        <f>D354 &amp; "kW"</f>
        <v>kW</v>
      </c>
      <c r="E355" s="448" t="s">
        <v>170</v>
      </c>
      <c r="F355" s="361"/>
      <c r="G355" s="361"/>
      <c r="H355" s="361"/>
      <c r="I355" s="361"/>
      <c r="J355" s="361"/>
      <c r="K355" s="361"/>
      <c r="L355" s="361"/>
      <c r="M355" s="361"/>
      <c r="N355" s="361"/>
      <c r="O355" s="361"/>
      <c r="P355" s="438"/>
      <c r="Q355" s="438"/>
      <c r="R355" s="438"/>
      <c r="S355" s="438"/>
      <c r="T355" s="438"/>
      <c r="U355" s="438"/>
      <c r="V355" s="438"/>
      <c r="Z355" s="439"/>
      <c r="AA355" s="439" t="str">
        <f>IF(AND(F356=G356,H356=I356,F356="A"),"2016 - kw","")</f>
        <v/>
      </c>
      <c r="AB355" s="439" t="str">
        <f>IF(OR(B355="2017 - kw",B355="2018 - kw"),"2016 - kw","")</f>
        <v/>
      </c>
      <c r="AC355" s="439"/>
      <c r="AD355" s="439"/>
      <c r="AE355" s="439"/>
    </row>
    <row r="356" spans="1:31" hidden="1" x14ac:dyDescent="0.25">
      <c r="A356" s="438"/>
      <c r="B356" s="438"/>
      <c r="C356" s="449"/>
      <c r="D356" s="424"/>
      <c r="E356" s="450" t="s">
        <v>210</v>
      </c>
      <c r="F356" s="437"/>
      <c r="G356" s="437"/>
      <c r="H356" s="437"/>
      <c r="I356" s="437"/>
      <c r="J356" s="437"/>
      <c r="K356" s="437"/>
      <c r="L356" s="437"/>
      <c r="M356" s="437"/>
      <c r="N356" s="437"/>
      <c r="O356" s="437"/>
      <c r="P356" s="438"/>
      <c r="Q356" s="438"/>
      <c r="R356" s="438"/>
      <c r="S356" s="438"/>
      <c r="T356" s="438"/>
      <c r="U356" s="438"/>
      <c r="V356" s="438"/>
      <c r="Z356" s="439"/>
      <c r="AA356" s="439"/>
      <c r="AB356" s="439"/>
      <c r="AC356" s="439"/>
      <c r="AD356" s="439"/>
      <c r="AE356" s="439"/>
    </row>
    <row r="357" spans="1:31" hidden="1" x14ac:dyDescent="0.25">
      <c r="A357" s="438" t="str">
        <f>IF(AND(F359=G359,H359=I359,J359=K359,F359="A"),"2016 - kwh",IF(AND(F359=G359,H359=I359,J359&lt;&gt;K359,F359="A"),"2017 - kwh",IF(AND(F359=G359,H359&lt;&gt;I359,F359="A"),"2018 - kwh","N/A")))</f>
        <v>N/A</v>
      </c>
      <c r="B357" s="438" t="str">
        <f>IF(F359&lt;&gt;G359,"2018 - kwh",IF(H359&lt;&gt;I359,"2017 - kwh",IF(J359&lt;&gt;K359,"2016 - kwh","N/A")))</f>
        <v>N/A</v>
      </c>
      <c r="C357" s="443" t="s">
        <v>318</v>
      </c>
      <c r="D357" s="444"/>
      <c r="E357" s="445" t="s">
        <v>139</v>
      </c>
      <c r="F357" s="361"/>
      <c r="G357" s="361"/>
      <c r="H357" s="361"/>
      <c r="I357" s="361"/>
      <c r="J357" s="361"/>
      <c r="K357" s="361"/>
      <c r="L357" s="361"/>
      <c r="M357" s="361"/>
      <c r="N357" s="361"/>
      <c r="O357" s="361"/>
      <c r="P357" s="438"/>
      <c r="Q357" s="438"/>
      <c r="R357" s="438"/>
      <c r="S357" s="438"/>
      <c r="T357" s="438"/>
      <c r="U357" s="438"/>
      <c r="V357" s="438"/>
      <c r="Z357" s="439"/>
      <c r="AA357" s="439" t="str">
        <f>IF(AND(F359=G359,H359=I359,F359="A"),"2016 - kwh","")</f>
        <v/>
      </c>
      <c r="AB357" s="439" t="str">
        <f>IF(OR(B357="2017 - kwh",B357="2018 - kwh"),"2016 - kwh","")</f>
        <v/>
      </c>
      <c r="AC357" s="439"/>
      <c r="AD357" s="439"/>
      <c r="AE357" s="439"/>
    </row>
    <row r="358" spans="1:31" hidden="1" x14ac:dyDescent="0.25">
      <c r="A358" s="438" t="str">
        <f>IF(AND(F359=G359,H359=I359,J359=K359,F359="A"),"2016 - kw",IF(AND(F359=G359,H359=I359,J359&lt;&gt;K359,F359="A"),"2017 - kw",IF(AND(F359=G359,H359&lt;&gt;I359,F359="A"),"2018 - kw","N/A")))</f>
        <v>N/A</v>
      </c>
      <c r="B358" s="438" t="str">
        <f>IF(F359&lt;&gt;G359,"2018 - kw",IF(H359&lt;&gt;I359,"2017 - kw",IF(J359&lt;&gt;K359,"2016 - kw","N/A")))</f>
        <v>N/A</v>
      </c>
      <c r="C358" s="446"/>
      <c r="D358" s="447" t="str">
        <f>D357 &amp; "kW"</f>
        <v>kW</v>
      </c>
      <c r="E358" s="448" t="s">
        <v>170</v>
      </c>
      <c r="F358" s="361"/>
      <c r="G358" s="361"/>
      <c r="H358" s="361"/>
      <c r="I358" s="361"/>
      <c r="J358" s="361"/>
      <c r="K358" s="361"/>
      <c r="L358" s="361"/>
      <c r="M358" s="361"/>
      <c r="N358" s="361"/>
      <c r="O358" s="361"/>
      <c r="P358" s="438"/>
      <c r="Q358" s="438"/>
      <c r="R358" s="438"/>
      <c r="S358" s="438"/>
      <c r="T358" s="438"/>
      <c r="U358" s="438"/>
      <c r="V358" s="438"/>
      <c r="Z358" s="439"/>
      <c r="AA358" s="439" t="str">
        <f>IF(AND(F359=G359,H359=I359,F359="A"),"2016 - kw","")</f>
        <v/>
      </c>
      <c r="AB358" s="439" t="str">
        <f>IF(OR(B358="2017 - kw",B358="2018 - kw"),"2016 - kw","")</f>
        <v/>
      </c>
      <c r="AC358" s="439"/>
      <c r="AD358" s="439"/>
      <c r="AE358" s="439"/>
    </row>
    <row r="359" spans="1:31" hidden="1" x14ac:dyDescent="0.25">
      <c r="A359" s="438"/>
      <c r="B359" s="438"/>
      <c r="C359" s="449"/>
      <c r="D359" s="424"/>
      <c r="E359" s="450" t="s">
        <v>210</v>
      </c>
      <c r="F359" s="437"/>
      <c r="G359" s="437"/>
      <c r="H359" s="437"/>
      <c r="I359" s="437"/>
      <c r="J359" s="437"/>
      <c r="K359" s="437"/>
      <c r="L359" s="437"/>
      <c r="M359" s="437"/>
      <c r="N359" s="437"/>
      <c r="O359" s="437"/>
      <c r="P359" s="438"/>
      <c r="Q359" s="438"/>
      <c r="R359" s="438"/>
      <c r="S359" s="438"/>
      <c r="T359" s="438"/>
      <c r="U359" s="438"/>
      <c r="V359" s="438"/>
      <c r="Z359" s="439"/>
      <c r="AA359" s="439"/>
      <c r="AB359" s="439"/>
      <c r="AC359" s="439"/>
      <c r="AD359" s="439"/>
      <c r="AE359" s="439"/>
    </row>
    <row r="360" spans="1:31" hidden="1" x14ac:dyDescent="0.25">
      <c r="A360" s="438" t="str">
        <f>IF(AND(F362=G362,H362=I362,J362=K362,F362="A"),"2016 - kwh",IF(AND(F362=G362,H362=I362,J362&lt;&gt;K362,F362="A"),"2017 - kwh",IF(AND(F362=G362,H362&lt;&gt;I362,F362="A"),"2018 - kwh","N/A")))</f>
        <v>N/A</v>
      </c>
      <c r="B360" s="438" t="str">
        <f>IF(F362&lt;&gt;G362,"2018 - kwh",IF(H362&lt;&gt;I362,"2017 - kwh",IF(J362&lt;&gt;K362,"2016 - kwh","N/A")))</f>
        <v>N/A</v>
      </c>
      <c r="C360" s="443" t="s">
        <v>319</v>
      </c>
      <c r="D360" s="444"/>
      <c r="E360" s="445" t="s">
        <v>139</v>
      </c>
      <c r="F360" s="361"/>
      <c r="G360" s="361"/>
      <c r="H360" s="361"/>
      <c r="I360" s="361"/>
      <c r="J360" s="361"/>
      <c r="K360" s="361"/>
      <c r="L360" s="361"/>
      <c r="M360" s="361"/>
      <c r="N360" s="361"/>
      <c r="O360" s="361"/>
      <c r="P360" s="438"/>
      <c r="Q360" s="438"/>
      <c r="R360" s="438"/>
      <c r="S360" s="438"/>
      <c r="T360" s="438"/>
      <c r="U360" s="438"/>
      <c r="V360" s="438"/>
      <c r="Z360" s="439"/>
      <c r="AA360" s="439" t="str">
        <f>IF(AND(F362=G362,H362=I362,F362="A"),"2016 - kwh","")</f>
        <v/>
      </c>
      <c r="AB360" s="439" t="str">
        <f>IF(OR(B360="2017 - kwh",B360="2018 - kwh"),"2016 - kwh","")</f>
        <v/>
      </c>
      <c r="AC360" s="439"/>
      <c r="AD360" s="439"/>
      <c r="AE360" s="439"/>
    </row>
    <row r="361" spans="1:31" hidden="1" x14ac:dyDescent="0.25">
      <c r="A361" s="438" t="str">
        <f>IF(AND(F362=G362,H362=I362,J362=K362,F362="A"),"2016 - kw",IF(AND(F362=G362,H362=I362,J362&lt;&gt;K362,F362="A"),"2017 - kw",IF(AND(F362=G362,H362&lt;&gt;I362,F362="A"),"2018 - kw","N/A")))</f>
        <v>N/A</v>
      </c>
      <c r="B361" s="438" t="str">
        <f>IF(F362&lt;&gt;G362,"2018 - kw",IF(H362&lt;&gt;I362,"2017 - kw",IF(J362&lt;&gt;K362,"2016 - kw","N/A")))</f>
        <v>N/A</v>
      </c>
      <c r="C361" s="446"/>
      <c r="D361" s="447" t="str">
        <f>D360 &amp; "kW"</f>
        <v>kW</v>
      </c>
      <c r="E361" s="448" t="s">
        <v>170</v>
      </c>
      <c r="F361" s="361"/>
      <c r="G361" s="361"/>
      <c r="H361" s="361"/>
      <c r="I361" s="361"/>
      <c r="J361" s="361"/>
      <c r="K361" s="361"/>
      <c r="L361" s="361"/>
      <c r="M361" s="361"/>
      <c r="N361" s="361"/>
      <c r="O361" s="361"/>
      <c r="P361" s="438"/>
      <c r="Q361" s="438"/>
      <c r="R361" s="438"/>
      <c r="S361" s="438"/>
      <c r="T361" s="438"/>
      <c r="U361" s="438"/>
      <c r="V361" s="438"/>
      <c r="Z361" s="439"/>
      <c r="AA361" s="439" t="str">
        <f>IF(AND(F362=G362,H362=I362,F362="A"),"2016 - kw","")</f>
        <v/>
      </c>
      <c r="AB361" s="439" t="str">
        <f>IF(OR(B361="2017 - kw",B361="2018 - kw"),"2016 - kw","")</f>
        <v/>
      </c>
      <c r="AC361" s="439"/>
      <c r="AD361" s="439"/>
      <c r="AE361" s="439"/>
    </row>
    <row r="362" spans="1:31" hidden="1" x14ac:dyDescent="0.25">
      <c r="A362" s="438"/>
      <c r="B362" s="438"/>
      <c r="C362" s="449"/>
      <c r="D362" s="424"/>
      <c r="E362" s="450" t="s">
        <v>210</v>
      </c>
      <c r="F362" s="437"/>
      <c r="G362" s="437"/>
      <c r="H362" s="437"/>
      <c r="I362" s="437"/>
      <c r="J362" s="437"/>
      <c r="K362" s="437"/>
      <c r="L362" s="437"/>
      <c r="M362" s="437"/>
      <c r="N362" s="437"/>
      <c r="O362" s="437"/>
      <c r="P362" s="438"/>
      <c r="Q362" s="438"/>
      <c r="R362" s="438"/>
      <c r="S362" s="438"/>
      <c r="T362" s="438"/>
      <c r="U362" s="438"/>
      <c r="V362" s="438"/>
      <c r="Z362" s="439"/>
      <c r="AA362" s="439"/>
      <c r="AB362" s="439"/>
      <c r="AC362" s="439"/>
      <c r="AD362" s="439"/>
      <c r="AE362" s="439"/>
    </row>
    <row r="363" spans="1:31" hidden="1" x14ac:dyDescent="0.25">
      <c r="A363" s="438" t="str">
        <f>IF(AND(F365=G365,H365=I365,J365=K365,F365="A"),"2016 - kwh",IF(AND(F365=G365,H365=I365,J365&lt;&gt;K365,F365="A"),"2017 - kwh",IF(AND(F365=G365,H365&lt;&gt;I365,F365="A"),"2018 - kwh","N/A")))</f>
        <v>N/A</v>
      </c>
      <c r="B363" s="438" t="str">
        <f>IF(F365&lt;&gt;G365,"2018 - kwh",IF(H365&lt;&gt;I365,"2017 - kwh",IF(J365&lt;&gt;K365,"2016 - kwh","N/A")))</f>
        <v>N/A</v>
      </c>
      <c r="C363" s="443" t="s">
        <v>320</v>
      </c>
      <c r="D363" s="444"/>
      <c r="E363" s="445" t="s">
        <v>139</v>
      </c>
      <c r="F363" s="361"/>
      <c r="G363" s="361"/>
      <c r="H363" s="361"/>
      <c r="I363" s="361"/>
      <c r="J363" s="361"/>
      <c r="K363" s="361"/>
      <c r="L363" s="361"/>
      <c r="M363" s="361"/>
      <c r="N363" s="361"/>
      <c r="O363" s="361"/>
      <c r="P363" s="438"/>
      <c r="Q363" s="438"/>
      <c r="R363" s="438"/>
      <c r="S363" s="438"/>
      <c r="T363" s="438"/>
      <c r="U363" s="438"/>
      <c r="V363" s="438"/>
      <c r="Z363" s="439"/>
      <c r="AA363" s="439" t="str">
        <f>IF(AND(F365=G365,H365=I365,F365="A"),"2016 - kwh","")</f>
        <v/>
      </c>
      <c r="AB363" s="439" t="str">
        <f>IF(OR(B363="2017 - kwh",B363="2018 - kwh"),"2016 - kwh","")</f>
        <v/>
      </c>
      <c r="AC363" s="439"/>
      <c r="AD363" s="439"/>
      <c r="AE363" s="439"/>
    </row>
    <row r="364" spans="1:31" hidden="1" x14ac:dyDescent="0.25">
      <c r="A364" s="438" t="str">
        <f>IF(AND(F365=G365,H365=I365,J365=K365,F365="A"),"2016 - kw",IF(AND(F365=G365,H365=I365,J365&lt;&gt;K365,F365="A"),"2017 - kw",IF(AND(F365=G365,H365&lt;&gt;I365,F365="A"),"2018 - kw","N/A")))</f>
        <v>N/A</v>
      </c>
      <c r="B364" s="438" t="str">
        <f>IF(F365&lt;&gt;G365,"2018 - kw",IF(H365&lt;&gt;I365,"2017 - kw",IF(J365&lt;&gt;K365,"2016 - kw","N/A")))</f>
        <v>N/A</v>
      </c>
      <c r="C364" s="446"/>
      <c r="D364" s="447" t="str">
        <f>D363 &amp; "kW"</f>
        <v>kW</v>
      </c>
      <c r="E364" s="448" t="s">
        <v>170</v>
      </c>
      <c r="F364" s="361"/>
      <c r="G364" s="361"/>
      <c r="H364" s="361"/>
      <c r="I364" s="361"/>
      <c r="J364" s="361"/>
      <c r="K364" s="361"/>
      <c r="L364" s="361"/>
      <c r="M364" s="361"/>
      <c r="N364" s="361"/>
      <c r="O364" s="361"/>
      <c r="P364" s="438"/>
      <c r="Q364" s="438"/>
      <c r="R364" s="438"/>
      <c r="S364" s="438"/>
      <c r="T364" s="438"/>
      <c r="U364" s="438"/>
      <c r="V364" s="438"/>
      <c r="Z364" s="439"/>
      <c r="AA364" s="439" t="str">
        <f>IF(AND(F365=G365,H365=I365,F365="A"),"2016 - kw","")</f>
        <v/>
      </c>
      <c r="AB364" s="439" t="str">
        <f>IF(OR(B364="2017 - kw",B364="2018 - kw"),"2016 - kw","")</f>
        <v/>
      </c>
      <c r="AC364" s="439"/>
      <c r="AD364" s="439"/>
      <c r="AE364" s="439"/>
    </row>
    <row r="365" spans="1:31" hidden="1" x14ac:dyDescent="0.25">
      <c r="A365" s="438"/>
      <c r="B365" s="438"/>
      <c r="C365" s="449"/>
      <c r="D365" s="424"/>
      <c r="E365" s="450" t="s">
        <v>210</v>
      </c>
      <c r="F365" s="437"/>
      <c r="G365" s="437"/>
      <c r="H365" s="437"/>
      <c r="I365" s="437"/>
      <c r="J365" s="437"/>
      <c r="K365" s="437"/>
      <c r="L365" s="437"/>
      <c r="M365" s="437"/>
      <c r="N365" s="437"/>
      <c r="O365" s="437"/>
      <c r="P365" s="438"/>
      <c r="Q365" s="438"/>
      <c r="R365" s="438"/>
      <c r="S365" s="438"/>
      <c r="T365" s="438"/>
      <c r="U365" s="438"/>
      <c r="V365" s="438"/>
      <c r="Z365" s="439"/>
      <c r="AA365" s="439"/>
      <c r="AB365" s="439"/>
      <c r="AC365" s="439"/>
      <c r="AD365" s="439"/>
      <c r="AE365" s="439"/>
    </row>
    <row r="366" spans="1:31" hidden="1" x14ac:dyDescent="0.25">
      <c r="A366" s="438" t="str">
        <f>IF(AND(F368=G368,H368=I368,J368=K368,F368="A"),"2016 - kwh",IF(AND(F368=G368,H368=I368,J368&lt;&gt;K368,F368="A"),"2017 - kwh",IF(AND(F368=G368,H368&lt;&gt;I368,F368="A"),"2018 - kwh","N/A")))</f>
        <v>N/A</v>
      </c>
      <c r="B366" s="438" t="str">
        <f>IF(F368&lt;&gt;G368,"2018 - kwh",IF(H368&lt;&gt;I368,"2017 - kwh",IF(J368&lt;&gt;K368,"2016 - kwh","N/A")))</f>
        <v>N/A</v>
      </c>
      <c r="C366" s="443" t="s">
        <v>321</v>
      </c>
      <c r="D366" s="444"/>
      <c r="E366" s="445" t="s">
        <v>139</v>
      </c>
      <c r="F366" s="361"/>
      <c r="G366" s="361"/>
      <c r="H366" s="361"/>
      <c r="I366" s="361"/>
      <c r="J366" s="361"/>
      <c r="K366" s="361"/>
      <c r="L366" s="361"/>
      <c r="M366" s="361"/>
      <c r="N366" s="361"/>
      <c r="O366" s="361"/>
      <c r="P366" s="438"/>
      <c r="Q366" s="438"/>
      <c r="R366" s="438"/>
      <c r="S366" s="438"/>
      <c r="T366" s="438"/>
      <c r="U366" s="438"/>
      <c r="V366" s="438"/>
      <c r="Z366" s="439"/>
      <c r="AA366" s="439" t="str">
        <f>IF(AND(F368=G368,H368=I368,F368="A"),"2016 - kwh","")</f>
        <v/>
      </c>
      <c r="AB366" s="439" t="str">
        <f>IF(OR(B366="2017 - kwh",B366="2018 - kwh"),"2016 - kwh","")</f>
        <v/>
      </c>
      <c r="AC366" s="439"/>
      <c r="AD366" s="439"/>
      <c r="AE366" s="439"/>
    </row>
    <row r="367" spans="1:31" hidden="1" x14ac:dyDescent="0.25">
      <c r="A367" s="438" t="str">
        <f>IF(AND(F368=G368,H368=I368,J368=K368,F368="A"),"2016 - kw",IF(AND(F368=G368,H368=I368,J368&lt;&gt;K368,F368="A"),"2017 - kw",IF(AND(F368=G368,H368&lt;&gt;I368,F368="A"),"2018 - kw","N/A")))</f>
        <v>N/A</v>
      </c>
      <c r="B367" s="438" t="str">
        <f>IF(F368&lt;&gt;G368,"2018 - kw",IF(H368&lt;&gt;I368,"2017 - kw",IF(J368&lt;&gt;K368,"2016 - kw","N/A")))</f>
        <v>N/A</v>
      </c>
      <c r="C367" s="446"/>
      <c r="D367" s="447" t="str">
        <f>D366 &amp; "kW"</f>
        <v>kW</v>
      </c>
      <c r="E367" s="448" t="s">
        <v>170</v>
      </c>
      <c r="F367" s="361"/>
      <c r="G367" s="361"/>
      <c r="H367" s="361"/>
      <c r="I367" s="361"/>
      <c r="J367" s="361"/>
      <c r="K367" s="361"/>
      <c r="L367" s="361"/>
      <c r="M367" s="361"/>
      <c r="N367" s="361"/>
      <c r="O367" s="361"/>
      <c r="P367" s="438"/>
      <c r="Q367" s="438"/>
      <c r="R367" s="438"/>
      <c r="S367" s="438"/>
      <c r="T367" s="438"/>
      <c r="U367" s="438"/>
      <c r="V367" s="438"/>
      <c r="Z367" s="439"/>
      <c r="AA367" s="439" t="str">
        <f>IF(AND(F368=G368,H368=I368,F368="A"),"2016 - kw","")</f>
        <v/>
      </c>
      <c r="AB367" s="439" t="str">
        <f>IF(OR(B367="2017 - kw",B367="2018 - kw"),"2016 - kw","")</f>
        <v/>
      </c>
      <c r="AC367" s="439"/>
      <c r="AD367" s="439"/>
      <c r="AE367" s="439"/>
    </row>
    <row r="368" spans="1:31" hidden="1" x14ac:dyDescent="0.25">
      <c r="A368" s="438"/>
      <c r="B368" s="438"/>
      <c r="C368" s="449"/>
      <c r="D368" s="424"/>
      <c r="E368" s="450" t="s">
        <v>210</v>
      </c>
      <c r="F368" s="437"/>
      <c r="G368" s="437"/>
      <c r="H368" s="437"/>
      <c r="I368" s="437"/>
      <c r="J368" s="437"/>
      <c r="K368" s="437"/>
      <c r="L368" s="437"/>
      <c r="M368" s="437"/>
      <c r="N368" s="437"/>
      <c r="O368" s="437"/>
      <c r="P368" s="438"/>
      <c r="Q368" s="438"/>
      <c r="R368" s="438"/>
      <c r="S368" s="438"/>
      <c r="T368" s="438"/>
      <c r="U368" s="438"/>
      <c r="V368" s="438"/>
      <c r="Z368" s="439"/>
      <c r="AA368" s="439"/>
      <c r="AB368" s="439"/>
      <c r="AC368" s="439"/>
      <c r="AD368" s="439"/>
      <c r="AE368" s="439"/>
    </row>
    <row r="369" spans="1:31" hidden="1" x14ac:dyDescent="0.25">
      <c r="A369" s="438" t="str">
        <f>IF(AND(F371=G371,H371=I371,J371=K371,F371="A"),"2016 - kwh",IF(AND(F371=G371,H371=I371,J371&lt;&gt;K371,F371="A"),"2017 - kwh",IF(AND(F371=G371,H371&lt;&gt;I371,F371="A"),"2018 - kwh","N/A")))</f>
        <v>N/A</v>
      </c>
      <c r="B369" s="438" t="str">
        <f>IF(F371&lt;&gt;G371,"2018 - kwh",IF(H371&lt;&gt;I371,"2017 - kwh",IF(J371&lt;&gt;K371,"2016 - kwh","N/A")))</f>
        <v>N/A</v>
      </c>
      <c r="C369" s="443" t="s">
        <v>322</v>
      </c>
      <c r="D369" s="444"/>
      <c r="E369" s="445" t="s">
        <v>139</v>
      </c>
      <c r="F369" s="361"/>
      <c r="G369" s="361"/>
      <c r="H369" s="361"/>
      <c r="I369" s="361"/>
      <c r="J369" s="361"/>
      <c r="K369" s="361"/>
      <c r="L369" s="361"/>
      <c r="M369" s="361"/>
      <c r="N369" s="361"/>
      <c r="O369" s="361"/>
      <c r="P369" s="438"/>
      <c r="Q369" s="438"/>
      <c r="R369" s="438"/>
      <c r="S369" s="438"/>
      <c r="T369" s="438"/>
      <c r="U369" s="438"/>
      <c r="V369" s="438"/>
      <c r="Z369" s="439"/>
      <c r="AA369" s="439" t="str">
        <f>IF(AND(F371=G371,H371=I371,F371="A"),"2016 - kwh","")</f>
        <v/>
      </c>
      <c r="AB369" s="439" t="str">
        <f>IF(OR(B369="2017 - kwh",B369="2018 - kwh"),"2016 - kwh","")</f>
        <v/>
      </c>
      <c r="AC369" s="439"/>
      <c r="AD369" s="439"/>
      <c r="AE369" s="439"/>
    </row>
    <row r="370" spans="1:31" hidden="1" x14ac:dyDescent="0.25">
      <c r="A370" s="438" t="str">
        <f>IF(AND(F371=G371,H371=I371,J371=K371,F371="A"),"2016 - kw",IF(AND(F371=G371,H371=I371,J371&lt;&gt;K371,F371="A"),"2017 - kw",IF(AND(F371=G371,H371&lt;&gt;I371,F371="A"),"2018 - kw","N/A")))</f>
        <v>N/A</v>
      </c>
      <c r="B370" s="438" t="str">
        <f>IF(F371&lt;&gt;G371,"2018 - kw",IF(H371&lt;&gt;I371,"2017 - kw",IF(J371&lt;&gt;K371,"2016 - kw","N/A")))</f>
        <v>N/A</v>
      </c>
      <c r="C370" s="446"/>
      <c r="D370" s="447" t="str">
        <f>D369 &amp; "kW"</f>
        <v>kW</v>
      </c>
      <c r="E370" s="448" t="s">
        <v>170</v>
      </c>
      <c r="F370" s="361"/>
      <c r="G370" s="361"/>
      <c r="H370" s="361"/>
      <c r="I370" s="361"/>
      <c r="J370" s="361"/>
      <c r="K370" s="361"/>
      <c r="L370" s="361"/>
      <c r="M370" s="361"/>
      <c r="N370" s="361"/>
      <c r="O370" s="361"/>
      <c r="P370" s="438"/>
      <c r="Q370" s="438"/>
      <c r="R370" s="438"/>
      <c r="S370" s="438"/>
      <c r="T370" s="438"/>
      <c r="U370" s="438"/>
      <c r="V370" s="438"/>
      <c r="Z370" s="439"/>
      <c r="AA370" s="439" t="str">
        <f>IF(AND(F371=G371,H371=I371,F371="A"),"2016 - kw","")</f>
        <v/>
      </c>
      <c r="AB370" s="439" t="str">
        <f>IF(OR(B370="2017 - kw",B370="2018 - kw"),"2016 - kw","")</f>
        <v/>
      </c>
      <c r="AC370" s="439"/>
      <c r="AD370" s="439"/>
      <c r="AE370" s="439"/>
    </row>
    <row r="371" spans="1:31" hidden="1" x14ac:dyDescent="0.25">
      <c r="A371" s="438"/>
      <c r="B371" s="438"/>
      <c r="C371" s="449"/>
      <c r="D371" s="424"/>
      <c r="E371" s="450" t="s">
        <v>210</v>
      </c>
      <c r="F371" s="437"/>
      <c r="G371" s="437"/>
      <c r="H371" s="437"/>
      <c r="I371" s="437"/>
      <c r="J371" s="437"/>
      <c r="K371" s="437"/>
      <c r="L371" s="437"/>
      <c r="M371" s="437"/>
      <c r="N371" s="437"/>
      <c r="O371" s="437"/>
      <c r="P371" s="438"/>
      <c r="Q371" s="438"/>
      <c r="R371" s="438"/>
      <c r="S371" s="438"/>
      <c r="T371" s="438"/>
      <c r="U371" s="438"/>
      <c r="V371" s="438"/>
      <c r="Z371" s="439"/>
      <c r="AA371" s="439"/>
      <c r="AB371" s="439"/>
      <c r="AC371" s="439"/>
      <c r="AD371" s="439"/>
      <c r="AE371" s="439"/>
    </row>
    <row r="372" spans="1:31" hidden="1" x14ac:dyDescent="0.25">
      <c r="A372" s="438" t="str">
        <f>IF(AND(F374=G374,H374=I374,J374=K374,F374="A"),"2016 - kwh",IF(AND(F374=G374,H374=I374,J374&lt;&gt;K374,F374="A"),"2017 - kwh",IF(AND(F374=G374,H374&lt;&gt;I374,F374="A"),"2018 - kwh","N/A")))</f>
        <v>N/A</v>
      </c>
      <c r="B372" s="438" t="str">
        <f>IF(F374&lt;&gt;G374,"2018 - kwh",IF(H374&lt;&gt;I374,"2017 - kwh",IF(J374&lt;&gt;K374,"2016 - kwh","N/A")))</f>
        <v>N/A</v>
      </c>
      <c r="C372" s="443" t="s">
        <v>323</v>
      </c>
      <c r="D372" s="444"/>
      <c r="E372" s="445" t="s">
        <v>139</v>
      </c>
      <c r="F372" s="361"/>
      <c r="G372" s="361"/>
      <c r="H372" s="361"/>
      <c r="I372" s="361"/>
      <c r="J372" s="361"/>
      <c r="K372" s="361"/>
      <c r="L372" s="361"/>
      <c r="M372" s="361"/>
      <c r="N372" s="361"/>
      <c r="O372" s="361"/>
      <c r="P372" s="438"/>
      <c r="Q372" s="438"/>
      <c r="R372" s="438"/>
      <c r="S372" s="438"/>
      <c r="T372" s="438"/>
      <c r="U372" s="438"/>
      <c r="V372" s="438"/>
      <c r="Z372" s="439"/>
      <c r="AA372" s="439" t="str">
        <f>IF(AND(F374=G374,H374=I374,F374="A"),"2016 - kwh","")</f>
        <v/>
      </c>
      <c r="AB372" s="439" t="str">
        <f>IF(OR(B372="2017 - kwh",B372="2018 - kwh"),"2016 - kwh","")</f>
        <v/>
      </c>
      <c r="AC372" s="439"/>
      <c r="AD372" s="439"/>
      <c r="AE372" s="439"/>
    </row>
    <row r="373" spans="1:31" hidden="1" x14ac:dyDescent="0.25">
      <c r="A373" s="438" t="str">
        <f>IF(AND(F374=G374,H374=I374,J374=K374,F374="A"),"2016 - kw",IF(AND(F374=G374,H374=I374,J374&lt;&gt;K374,F374="A"),"2017 - kw",IF(AND(F374=G374,H374&lt;&gt;I374,F374="A"),"2018 - kw","N/A")))</f>
        <v>N/A</v>
      </c>
      <c r="B373" s="438" t="str">
        <f>IF(F374&lt;&gt;G374,"2018 - kw",IF(H374&lt;&gt;I374,"2017 - kw",IF(J374&lt;&gt;K374,"2016 - kw","N/A")))</f>
        <v>N/A</v>
      </c>
      <c r="C373" s="446"/>
      <c r="D373" s="447" t="str">
        <f>D372 &amp; "kW"</f>
        <v>kW</v>
      </c>
      <c r="E373" s="448" t="s">
        <v>170</v>
      </c>
      <c r="F373" s="361"/>
      <c r="G373" s="361"/>
      <c r="H373" s="361"/>
      <c r="I373" s="361"/>
      <c r="J373" s="361"/>
      <c r="K373" s="361"/>
      <c r="L373" s="361"/>
      <c r="M373" s="361"/>
      <c r="N373" s="361"/>
      <c r="O373" s="361"/>
      <c r="P373" s="438"/>
      <c r="Q373" s="438"/>
      <c r="R373" s="438"/>
      <c r="S373" s="438"/>
      <c r="T373" s="438"/>
      <c r="U373" s="438"/>
      <c r="V373" s="438"/>
      <c r="Z373" s="439"/>
      <c r="AA373" s="439" t="str">
        <f>IF(AND(F374=G374,H374=I374,F374="A"),"2016 - kw","")</f>
        <v/>
      </c>
      <c r="AB373" s="439" t="str">
        <f>IF(OR(B373="2017 - kw",B373="2018 - kw"),"2016 - kw","")</f>
        <v/>
      </c>
      <c r="AC373" s="439"/>
      <c r="AD373" s="439"/>
      <c r="AE373" s="439"/>
    </row>
    <row r="374" spans="1:31" hidden="1" x14ac:dyDescent="0.25">
      <c r="A374" s="438"/>
      <c r="B374" s="438"/>
      <c r="C374" s="449"/>
      <c r="D374" s="424"/>
      <c r="E374" s="450" t="s">
        <v>210</v>
      </c>
      <c r="F374" s="437"/>
      <c r="G374" s="437"/>
      <c r="H374" s="437"/>
      <c r="I374" s="437"/>
      <c r="J374" s="437"/>
      <c r="K374" s="437"/>
      <c r="L374" s="437"/>
      <c r="M374" s="437"/>
      <c r="N374" s="437"/>
      <c r="O374" s="437"/>
      <c r="P374" s="438"/>
      <c r="Q374" s="438"/>
      <c r="R374" s="438"/>
      <c r="S374" s="438"/>
      <c r="T374" s="438"/>
      <c r="U374" s="438"/>
      <c r="V374" s="438"/>
      <c r="Z374" s="439"/>
      <c r="AA374" s="439"/>
      <c r="AB374" s="439"/>
      <c r="AC374" s="439"/>
      <c r="AD374" s="439"/>
      <c r="AE374" s="439"/>
    </row>
    <row r="375" spans="1:31" hidden="1" x14ac:dyDescent="0.25">
      <c r="A375" s="438" t="str">
        <f>IF(AND(F377=G377,H377=I377,J377=K377,F377="A"),"2016 - kwh",IF(AND(F377=G377,H377=I377,J377&lt;&gt;K377,F377="A"),"2017 - kwh",IF(AND(F377=G377,H377&lt;&gt;I377,F377="A"),"2018 - kwh","N/A")))</f>
        <v>N/A</v>
      </c>
      <c r="B375" s="438" t="str">
        <f>IF(F377&lt;&gt;G377,"2018 - kwh",IF(H377&lt;&gt;I377,"2017 - kwh",IF(J377&lt;&gt;K377,"2016 - kwh","N/A")))</f>
        <v>N/A</v>
      </c>
      <c r="C375" s="443" t="s">
        <v>324</v>
      </c>
      <c r="D375" s="444"/>
      <c r="E375" s="445" t="s">
        <v>139</v>
      </c>
      <c r="F375" s="361"/>
      <c r="G375" s="361"/>
      <c r="H375" s="361"/>
      <c r="I375" s="361"/>
      <c r="J375" s="361"/>
      <c r="K375" s="361"/>
      <c r="L375" s="361"/>
      <c r="M375" s="361"/>
      <c r="N375" s="361"/>
      <c r="O375" s="361"/>
      <c r="P375" s="438"/>
      <c r="Q375" s="438"/>
      <c r="R375" s="438"/>
      <c r="S375" s="438"/>
      <c r="T375" s="438"/>
      <c r="U375" s="438"/>
      <c r="V375" s="438"/>
      <c r="Z375" s="439"/>
      <c r="AA375" s="439" t="str">
        <f>IF(AND(F377=G377,H377=I377,F377="A"),"2016 - kwh","")</f>
        <v/>
      </c>
      <c r="AB375" s="439" t="str">
        <f>IF(OR(B375="2017 - kwh",B375="2018 - kwh"),"2016 - kwh","")</f>
        <v/>
      </c>
      <c r="AC375" s="439"/>
      <c r="AD375" s="439"/>
      <c r="AE375" s="439"/>
    </row>
    <row r="376" spans="1:31" hidden="1" x14ac:dyDescent="0.25">
      <c r="A376" s="438" t="str">
        <f>IF(AND(F377=G377,H377=I377,J377=K377,F377="A"),"2016 - kw",IF(AND(F377=G377,H377=I377,J377&lt;&gt;K377,F377="A"),"2017 - kw",IF(AND(F377=G377,H377&lt;&gt;I377,F377="A"),"2018 - kw","N/A")))</f>
        <v>N/A</v>
      </c>
      <c r="B376" s="438" t="str">
        <f>IF(F377&lt;&gt;G377,"2018 - kw",IF(H377&lt;&gt;I377,"2017 - kw",IF(J377&lt;&gt;K377,"2016 - kw","N/A")))</f>
        <v>N/A</v>
      </c>
      <c r="C376" s="446"/>
      <c r="D376" s="447" t="str">
        <f>D375 &amp; "kW"</f>
        <v>kW</v>
      </c>
      <c r="E376" s="448" t="s">
        <v>170</v>
      </c>
      <c r="F376" s="361"/>
      <c r="G376" s="361"/>
      <c r="H376" s="361"/>
      <c r="I376" s="361"/>
      <c r="J376" s="361"/>
      <c r="K376" s="361"/>
      <c r="L376" s="361"/>
      <c r="M376" s="361"/>
      <c r="N376" s="361"/>
      <c r="O376" s="361"/>
      <c r="P376" s="438"/>
      <c r="Q376" s="438"/>
      <c r="R376" s="438"/>
      <c r="S376" s="438"/>
      <c r="T376" s="438"/>
      <c r="U376" s="438"/>
      <c r="V376" s="438"/>
      <c r="Z376" s="439"/>
      <c r="AA376" s="439" t="str">
        <f>IF(AND(F377=G377,H377=I377,F377="A"),"2016 - kw","")</f>
        <v/>
      </c>
      <c r="AB376" s="439" t="str">
        <f>IF(OR(B376="2017 - kw",B376="2018 - kw"),"2016 - kw","")</f>
        <v/>
      </c>
      <c r="AC376" s="439"/>
      <c r="AD376" s="439"/>
      <c r="AE376" s="439"/>
    </row>
    <row r="377" spans="1:31" hidden="1" x14ac:dyDescent="0.25">
      <c r="A377" s="438"/>
      <c r="B377" s="438"/>
      <c r="C377" s="449"/>
      <c r="D377" s="424"/>
      <c r="E377" s="450" t="s">
        <v>210</v>
      </c>
      <c r="F377" s="437"/>
      <c r="G377" s="437"/>
      <c r="H377" s="437"/>
      <c r="I377" s="437"/>
      <c r="J377" s="437"/>
      <c r="K377" s="437"/>
      <c r="L377" s="437"/>
      <c r="M377" s="437"/>
      <c r="N377" s="437"/>
      <c r="O377" s="437"/>
      <c r="P377" s="438"/>
      <c r="Q377" s="438"/>
      <c r="R377" s="438"/>
      <c r="S377" s="438"/>
      <c r="T377" s="438"/>
      <c r="U377" s="438"/>
      <c r="V377" s="438"/>
      <c r="Z377" s="439"/>
      <c r="AA377" s="439"/>
      <c r="AB377" s="439"/>
      <c r="AC377" s="439"/>
      <c r="AD377" s="439"/>
      <c r="AE377" s="439"/>
    </row>
    <row r="378" spans="1:31" hidden="1" x14ac:dyDescent="0.25">
      <c r="A378" s="438" t="str">
        <f>IF(AND(F380=G380,H380=I380,J380=K380,F380="A"),"2016 - kwh",IF(AND(F380=G380,H380=I380,J380&lt;&gt;K380,F380="A"),"2017 - kwh",IF(AND(F380=G380,H380&lt;&gt;I380,F380="A"),"2018 - kwh","N/A")))</f>
        <v>N/A</v>
      </c>
      <c r="B378" s="438" t="str">
        <f>IF(F380&lt;&gt;G380,"2018 - kwh",IF(H380&lt;&gt;I380,"2017 - kwh",IF(J380&lt;&gt;K380,"2016 - kwh","N/A")))</f>
        <v>N/A</v>
      </c>
      <c r="C378" s="443" t="s">
        <v>325</v>
      </c>
      <c r="D378" s="444"/>
      <c r="E378" s="445" t="s">
        <v>139</v>
      </c>
      <c r="F378" s="361"/>
      <c r="G378" s="361"/>
      <c r="H378" s="361"/>
      <c r="I378" s="361"/>
      <c r="J378" s="361"/>
      <c r="K378" s="361"/>
      <c r="L378" s="361"/>
      <c r="M378" s="361"/>
      <c r="N378" s="361"/>
      <c r="O378" s="361"/>
      <c r="P378" s="438"/>
      <c r="Q378" s="438"/>
      <c r="R378" s="438"/>
      <c r="S378" s="438"/>
      <c r="T378" s="438"/>
      <c r="U378" s="438"/>
      <c r="V378" s="438"/>
      <c r="Z378" s="439"/>
      <c r="AA378" s="439" t="str">
        <f>IF(AND(F380=G380,H380=I380,F380="A"),"2016 - kwh","")</f>
        <v/>
      </c>
      <c r="AB378" s="439" t="str">
        <f>IF(OR(B378="2017 - kwh",B378="2018 - kwh"),"2016 - kwh","")</f>
        <v/>
      </c>
      <c r="AC378" s="439"/>
      <c r="AD378" s="439"/>
      <c r="AE378" s="439"/>
    </row>
    <row r="379" spans="1:31" hidden="1" x14ac:dyDescent="0.25">
      <c r="A379" s="438" t="str">
        <f>IF(AND(F380=G380,H380=I380,J380=K380,F380="A"),"2016 - kw",IF(AND(F380=G380,H380=I380,J380&lt;&gt;K380,F380="A"),"2017 - kw",IF(AND(F380=G380,H380&lt;&gt;I380,F380="A"),"2018 - kw","N/A")))</f>
        <v>N/A</v>
      </c>
      <c r="B379" s="438" t="str">
        <f>IF(F380&lt;&gt;G380,"2018 - kw",IF(H380&lt;&gt;I380,"2017 - kw",IF(J380&lt;&gt;K380,"2016 - kw","N/A")))</f>
        <v>N/A</v>
      </c>
      <c r="C379" s="446"/>
      <c r="D379" s="447" t="str">
        <f>D378 &amp; "kW"</f>
        <v>kW</v>
      </c>
      <c r="E379" s="448" t="s">
        <v>170</v>
      </c>
      <c r="F379" s="361"/>
      <c r="G379" s="361"/>
      <c r="H379" s="361"/>
      <c r="I379" s="361"/>
      <c r="J379" s="361"/>
      <c r="K379" s="361"/>
      <c r="L379" s="361"/>
      <c r="M379" s="361"/>
      <c r="N379" s="361"/>
      <c r="O379" s="361"/>
      <c r="P379" s="438"/>
      <c r="Q379" s="438"/>
      <c r="R379" s="438"/>
      <c r="S379" s="438"/>
      <c r="T379" s="438"/>
      <c r="U379" s="438"/>
      <c r="V379" s="438"/>
      <c r="Z379" s="439"/>
      <c r="AA379" s="439" t="str">
        <f>IF(AND(F380=G380,H380=I380,F380="A"),"2016 - kw","")</f>
        <v/>
      </c>
      <c r="AB379" s="439" t="str">
        <f>IF(OR(B379="2017 - kw",B379="2018 - kw"),"2016 - kw","")</f>
        <v/>
      </c>
      <c r="AC379" s="439"/>
      <c r="AD379" s="439"/>
      <c r="AE379" s="439"/>
    </row>
    <row r="380" spans="1:31" hidden="1" x14ac:dyDescent="0.25">
      <c r="A380" s="438"/>
      <c r="B380" s="438"/>
      <c r="C380" s="449"/>
      <c r="D380" s="424"/>
      <c r="E380" s="450" t="s">
        <v>210</v>
      </c>
      <c r="F380" s="437"/>
      <c r="G380" s="437"/>
      <c r="H380" s="437"/>
      <c r="I380" s="437"/>
      <c r="J380" s="437"/>
      <c r="K380" s="437"/>
      <c r="L380" s="437"/>
      <c r="M380" s="437"/>
      <c r="N380" s="437"/>
      <c r="O380" s="437"/>
      <c r="P380" s="438"/>
      <c r="Q380" s="438"/>
      <c r="R380" s="438"/>
      <c r="S380" s="438"/>
      <c r="T380" s="438"/>
      <c r="U380" s="438"/>
      <c r="V380" s="438"/>
      <c r="Z380" s="439"/>
      <c r="AA380" s="439"/>
      <c r="AB380" s="439"/>
      <c r="AC380" s="439"/>
      <c r="AD380" s="439"/>
      <c r="AE380" s="439"/>
    </row>
    <row r="381" spans="1:31" hidden="1" x14ac:dyDescent="0.25">
      <c r="A381" s="438" t="str">
        <f>IF(AND(F383=G383,H383=I383,J383=K383,F383="A"),"2016 - kwh",IF(AND(F383=G383,H383=I383,J383&lt;&gt;K383,F383="A"),"2017 - kwh",IF(AND(F383=G383,H383&lt;&gt;I383,F383="A"),"2018 - kwh","N/A")))</f>
        <v>N/A</v>
      </c>
      <c r="B381" s="438" t="str">
        <f>IF(F383&lt;&gt;G383,"2018 - kwh",IF(H383&lt;&gt;I383,"2017 - kwh",IF(J383&lt;&gt;K383,"2016 - kwh","N/A")))</f>
        <v>N/A</v>
      </c>
      <c r="C381" s="443" t="s">
        <v>326</v>
      </c>
      <c r="D381" s="444"/>
      <c r="E381" s="445" t="s">
        <v>139</v>
      </c>
      <c r="F381" s="361"/>
      <c r="G381" s="361"/>
      <c r="H381" s="361"/>
      <c r="I381" s="361"/>
      <c r="J381" s="361"/>
      <c r="K381" s="361"/>
      <c r="L381" s="361"/>
      <c r="M381" s="361"/>
      <c r="N381" s="361"/>
      <c r="O381" s="361"/>
      <c r="P381" s="438"/>
      <c r="Q381" s="438"/>
      <c r="R381" s="438"/>
      <c r="S381" s="438"/>
      <c r="T381" s="438"/>
      <c r="U381" s="438"/>
      <c r="V381" s="438"/>
      <c r="Z381" s="439"/>
      <c r="AA381" s="439" t="str">
        <f>IF(AND(F383=G383,H383=I383,F383="A"),"2016 - kwh","")</f>
        <v/>
      </c>
      <c r="AB381" s="439" t="str">
        <f>IF(OR(B381="2017 - kwh",B381="2018 - kwh"),"2016 - kwh","")</f>
        <v/>
      </c>
      <c r="AC381" s="439"/>
      <c r="AD381" s="439"/>
      <c r="AE381" s="439"/>
    </row>
    <row r="382" spans="1:31" hidden="1" x14ac:dyDescent="0.25">
      <c r="A382" s="438" t="str">
        <f>IF(AND(F383=G383,H383=I383,J383=K383,F383="A"),"2016 - kw",IF(AND(F383=G383,H383=I383,J383&lt;&gt;K383,F383="A"),"2017 - kw",IF(AND(F383=G383,H383&lt;&gt;I383,F383="A"),"2018 - kw","N/A")))</f>
        <v>N/A</v>
      </c>
      <c r="B382" s="438" t="str">
        <f>IF(F383&lt;&gt;G383,"2018 - kw",IF(H383&lt;&gt;I383,"2017 - kw",IF(J383&lt;&gt;K383,"2016 - kw","N/A")))</f>
        <v>N/A</v>
      </c>
      <c r="C382" s="446"/>
      <c r="D382" s="447" t="str">
        <f>D381 &amp; "kW"</f>
        <v>kW</v>
      </c>
      <c r="E382" s="448" t="s">
        <v>170</v>
      </c>
      <c r="F382" s="361"/>
      <c r="G382" s="361"/>
      <c r="H382" s="361"/>
      <c r="I382" s="361"/>
      <c r="J382" s="361"/>
      <c r="K382" s="361"/>
      <c r="L382" s="361"/>
      <c r="M382" s="361"/>
      <c r="N382" s="361"/>
      <c r="O382" s="361"/>
      <c r="P382" s="438"/>
      <c r="Q382" s="438"/>
      <c r="R382" s="438"/>
      <c r="S382" s="438"/>
      <c r="T382" s="438"/>
      <c r="U382" s="438"/>
      <c r="V382" s="438"/>
      <c r="Z382" s="439"/>
      <c r="AA382" s="439" t="str">
        <f>IF(AND(F383=G383,H383=I383,F383="A"),"2016 - kw","")</f>
        <v/>
      </c>
      <c r="AB382" s="439" t="str">
        <f>IF(OR(B382="2017 - kw",B382="2018 - kw"),"2016 - kw","")</f>
        <v/>
      </c>
      <c r="AC382" s="439"/>
      <c r="AD382" s="439"/>
      <c r="AE382" s="439"/>
    </row>
    <row r="383" spans="1:31" hidden="1" x14ac:dyDescent="0.25">
      <c r="A383" s="438"/>
      <c r="B383" s="438"/>
      <c r="C383" s="449"/>
      <c r="D383" s="424"/>
      <c r="E383" s="450" t="s">
        <v>210</v>
      </c>
      <c r="F383" s="437"/>
      <c r="G383" s="437"/>
      <c r="H383" s="437"/>
      <c r="I383" s="437"/>
      <c r="J383" s="437"/>
      <c r="K383" s="437"/>
      <c r="L383" s="437"/>
      <c r="M383" s="437"/>
      <c r="N383" s="437"/>
      <c r="O383" s="437"/>
      <c r="P383" s="438"/>
      <c r="Q383" s="438"/>
      <c r="R383" s="438"/>
      <c r="S383" s="438"/>
      <c r="T383" s="438"/>
      <c r="U383" s="438"/>
      <c r="V383" s="438"/>
      <c r="Z383" s="439"/>
      <c r="AA383" s="439"/>
      <c r="AB383" s="439"/>
      <c r="AC383" s="439"/>
      <c r="AD383" s="439"/>
      <c r="AE383" s="439"/>
    </row>
    <row r="384" spans="1:31" hidden="1" x14ac:dyDescent="0.25">
      <c r="A384" s="438" t="str">
        <f>IF(AND(F386=G386,H386=I386,J386=K386,F386="A"),"2016 - kwh",IF(AND(F386=G386,H386=I386,J386&lt;&gt;K386,F386="A"),"2017 - kwh",IF(AND(F386=G386,H386&lt;&gt;I386,F386="A"),"2018 - kwh","N/A")))</f>
        <v>N/A</v>
      </c>
      <c r="B384" s="438" t="str">
        <f>IF(F386&lt;&gt;G386,"2018 - kwh",IF(H386&lt;&gt;I386,"2017 - kwh",IF(J386&lt;&gt;K386,"2016 - kwh","N/A")))</f>
        <v>N/A</v>
      </c>
      <c r="C384" s="443" t="s">
        <v>327</v>
      </c>
      <c r="D384" s="444"/>
      <c r="E384" s="445" t="s">
        <v>139</v>
      </c>
      <c r="F384" s="361"/>
      <c r="G384" s="361"/>
      <c r="H384" s="361"/>
      <c r="I384" s="361"/>
      <c r="J384" s="361"/>
      <c r="K384" s="361"/>
      <c r="L384" s="361"/>
      <c r="M384" s="361"/>
      <c r="N384" s="361"/>
      <c r="O384" s="361"/>
      <c r="P384" s="438"/>
      <c r="Q384" s="438"/>
      <c r="R384" s="438"/>
      <c r="S384" s="438"/>
      <c r="T384" s="438"/>
      <c r="U384" s="438"/>
      <c r="V384" s="438"/>
      <c r="Z384" s="439"/>
      <c r="AA384" s="439" t="str">
        <f>IF(AND(F386=G386,H386=I386,F386="A"),"2016 - kwh","")</f>
        <v/>
      </c>
      <c r="AB384" s="439" t="str">
        <f>IF(OR(B384="2017 - kwh",B384="2018 - kwh"),"2016 - kwh","")</f>
        <v/>
      </c>
      <c r="AC384" s="439"/>
      <c r="AD384" s="439"/>
      <c r="AE384" s="439"/>
    </row>
    <row r="385" spans="1:31" hidden="1" x14ac:dyDescent="0.25">
      <c r="A385" s="438" t="str">
        <f>IF(AND(F386=G386,H386=I386,J386=K386,F386="A"),"2016 - kw",IF(AND(F386=G386,H386=I386,J386&lt;&gt;K386,F386="A"),"2017 - kw",IF(AND(F386=G386,H386&lt;&gt;I386,F386="A"),"2018 - kw","N/A")))</f>
        <v>N/A</v>
      </c>
      <c r="B385" s="438" t="str">
        <f>IF(F386&lt;&gt;G386,"2018 - kw",IF(H386&lt;&gt;I386,"2017 - kw",IF(J386&lt;&gt;K386,"2016 - kw","N/A")))</f>
        <v>N/A</v>
      </c>
      <c r="C385" s="446"/>
      <c r="D385" s="447" t="str">
        <f>D384 &amp; "kW"</f>
        <v>kW</v>
      </c>
      <c r="E385" s="448" t="s">
        <v>170</v>
      </c>
      <c r="F385" s="361"/>
      <c r="G385" s="361"/>
      <c r="H385" s="361"/>
      <c r="I385" s="361"/>
      <c r="J385" s="361"/>
      <c r="K385" s="361"/>
      <c r="L385" s="361"/>
      <c r="M385" s="361"/>
      <c r="N385" s="361"/>
      <c r="O385" s="361"/>
      <c r="P385" s="438"/>
      <c r="Q385" s="438"/>
      <c r="R385" s="438"/>
      <c r="S385" s="438"/>
      <c r="T385" s="438"/>
      <c r="U385" s="438"/>
      <c r="V385" s="438"/>
      <c r="Z385" s="439"/>
      <c r="AA385" s="439" t="str">
        <f>IF(AND(F386=G386,H386=I386,F386="A"),"2016 - kw","")</f>
        <v/>
      </c>
      <c r="AB385" s="439" t="str">
        <f>IF(OR(B385="2017 - kw",B385="2018 - kw"),"2016 - kw","")</f>
        <v/>
      </c>
      <c r="AC385" s="439"/>
      <c r="AD385" s="439"/>
      <c r="AE385" s="439"/>
    </row>
    <row r="386" spans="1:31" hidden="1" x14ac:dyDescent="0.25">
      <c r="A386" s="438"/>
      <c r="B386" s="438"/>
      <c r="C386" s="449"/>
      <c r="D386" s="424"/>
      <c r="E386" s="450" t="s">
        <v>210</v>
      </c>
      <c r="F386" s="437"/>
      <c r="G386" s="437"/>
      <c r="H386" s="437"/>
      <c r="I386" s="437"/>
      <c r="J386" s="437"/>
      <c r="K386" s="437"/>
      <c r="L386" s="437"/>
      <c r="M386" s="437"/>
      <c r="N386" s="437"/>
      <c r="O386" s="437"/>
      <c r="P386" s="438"/>
      <c r="Q386" s="438"/>
      <c r="R386" s="438"/>
      <c r="S386" s="438"/>
      <c r="T386" s="438"/>
      <c r="U386" s="438"/>
      <c r="V386" s="438"/>
      <c r="Z386" s="439"/>
      <c r="AA386" s="439"/>
      <c r="AB386" s="439"/>
      <c r="AC386" s="439"/>
      <c r="AD386" s="439"/>
      <c r="AE386" s="439"/>
    </row>
    <row r="387" spans="1:31" hidden="1" x14ac:dyDescent="0.25">
      <c r="A387" s="438" t="str">
        <f>IF(AND(F389=G389,H389=I389,J389=K389,F389="A"),"2016 - kwh",IF(AND(F389=G389,H389=I389,J389&lt;&gt;K389,F389="A"),"2017 - kwh",IF(AND(F389=G389,H389&lt;&gt;I389,F389="A"),"2018 - kwh","N/A")))</f>
        <v>N/A</v>
      </c>
      <c r="B387" s="438" t="str">
        <f>IF(F389&lt;&gt;G389,"2018 - kwh",IF(H389&lt;&gt;I389,"2017 - kwh",IF(J389&lt;&gt;K389,"2016 - kwh","N/A")))</f>
        <v>N/A</v>
      </c>
      <c r="C387" s="443" t="s">
        <v>328</v>
      </c>
      <c r="D387" s="444"/>
      <c r="E387" s="445" t="s">
        <v>139</v>
      </c>
      <c r="F387" s="361"/>
      <c r="G387" s="361"/>
      <c r="H387" s="361"/>
      <c r="I387" s="361"/>
      <c r="J387" s="361"/>
      <c r="K387" s="361"/>
      <c r="L387" s="361"/>
      <c r="M387" s="361"/>
      <c r="N387" s="361"/>
      <c r="O387" s="361"/>
      <c r="P387" s="438"/>
      <c r="Q387" s="438"/>
      <c r="R387" s="438"/>
      <c r="S387" s="438"/>
      <c r="T387" s="438"/>
      <c r="U387" s="438"/>
      <c r="V387" s="438"/>
      <c r="Z387" s="439"/>
      <c r="AA387" s="439" t="str">
        <f>IF(AND(F389=G389,H389=I389,F389="A"),"2016 - kwh","")</f>
        <v/>
      </c>
      <c r="AB387" s="439" t="str">
        <f>IF(OR(B387="2017 - kwh",B387="2018 - kwh"),"2016 - kwh","")</f>
        <v/>
      </c>
      <c r="AC387" s="439"/>
      <c r="AD387" s="439"/>
      <c r="AE387" s="439"/>
    </row>
    <row r="388" spans="1:31" hidden="1" x14ac:dyDescent="0.25">
      <c r="A388" s="438" t="str">
        <f>IF(AND(F389=G389,H389=I389,J389=K389,F389="A"),"2016 - kw",IF(AND(F389=G389,H389=I389,J389&lt;&gt;K389,F389="A"),"2017 - kw",IF(AND(F389=G389,H389&lt;&gt;I389,F389="A"),"2018 - kw","N/A")))</f>
        <v>N/A</v>
      </c>
      <c r="B388" s="438" t="str">
        <f>IF(F389&lt;&gt;G389,"2018 - kw",IF(H389&lt;&gt;I389,"2017 - kw",IF(J389&lt;&gt;K389,"2016 - kw","N/A")))</f>
        <v>N/A</v>
      </c>
      <c r="C388" s="446"/>
      <c r="D388" s="447" t="str">
        <f>D387 &amp; "kW"</f>
        <v>kW</v>
      </c>
      <c r="E388" s="448" t="s">
        <v>170</v>
      </c>
      <c r="F388" s="361"/>
      <c r="G388" s="361"/>
      <c r="H388" s="361"/>
      <c r="I388" s="361"/>
      <c r="J388" s="361"/>
      <c r="K388" s="361"/>
      <c r="L388" s="361"/>
      <c r="M388" s="361"/>
      <c r="N388" s="361"/>
      <c r="O388" s="361"/>
      <c r="P388" s="438"/>
      <c r="Q388" s="438"/>
      <c r="R388" s="438"/>
      <c r="S388" s="438"/>
      <c r="T388" s="438"/>
      <c r="U388" s="438"/>
      <c r="V388" s="438"/>
      <c r="Z388" s="439"/>
      <c r="AA388" s="439" t="str">
        <f>IF(AND(F389=G389,H389=I389,F389="A"),"2016 - kw","")</f>
        <v/>
      </c>
      <c r="AB388" s="439" t="str">
        <f>IF(OR(B388="2017 - kw",B388="2018 - kw"),"2016 - kw","")</f>
        <v/>
      </c>
      <c r="AC388" s="439"/>
      <c r="AD388" s="439"/>
      <c r="AE388" s="439"/>
    </row>
    <row r="389" spans="1:31" hidden="1" x14ac:dyDescent="0.25">
      <c r="A389" s="438"/>
      <c r="B389" s="438"/>
      <c r="C389" s="449"/>
      <c r="D389" s="424"/>
      <c r="E389" s="450" t="s">
        <v>210</v>
      </c>
      <c r="F389" s="437"/>
      <c r="G389" s="437"/>
      <c r="H389" s="437"/>
      <c r="I389" s="437"/>
      <c r="J389" s="437"/>
      <c r="K389" s="437"/>
      <c r="L389" s="437"/>
      <c r="M389" s="437"/>
      <c r="N389" s="437"/>
      <c r="O389" s="437"/>
      <c r="P389" s="438"/>
      <c r="Q389" s="438"/>
      <c r="R389" s="438"/>
      <c r="S389" s="438"/>
      <c r="T389" s="438"/>
      <c r="U389" s="438"/>
      <c r="V389" s="438"/>
      <c r="Z389" s="439"/>
      <c r="AA389" s="439"/>
      <c r="AB389" s="439"/>
      <c r="AC389" s="439"/>
      <c r="AD389" s="439"/>
      <c r="AE389" s="439"/>
    </row>
    <row r="390" spans="1:31" hidden="1" x14ac:dyDescent="0.25">
      <c r="A390" s="438" t="str">
        <f>IF(AND(F392=G392,H392=I392,J392=K392,F392="A"),"2016 - kwh",IF(AND(F392=G392,H392=I392,J392&lt;&gt;K392,F392="A"),"2017 - kwh",IF(AND(F392=G392,H392&lt;&gt;I392,F392="A"),"2018 - kwh","N/A")))</f>
        <v>N/A</v>
      </c>
      <c r="B390" s="438" t="str">
        <f>IF(F392&lt;&gt;G392,"2018 - kwh",IF(H392&lt;&gt;I392,"2017 - kwh",IF(J392&lt;&gt;K392,"2016 - kwh","N/A")))</f>
        <v>N/A</v>
      </c>
      <c r="C390" s="443" t="s">
        <v>329</v>
      </c>
      <c r="D390" s="444"/>
      <c r="E390" s="445" t="s">
        <v>139</v>
      </c>
      <c r="F390" s="361"/>
      <c r="G390" s="361"/>
      <c r="H390" s="361"/>
      <c r="I390" s="361"/>
      <c r="J390" s="361"/>
      <c r="K390" s="361"/>
      <c r="L390" s="361"/>
      <c r="M390" s="361"/>
      <c r="N390" s="361"/>
      <c r="O390" s="361"/>
      <c r="P390" s="438"/>
      <c r="Q390" s="438"/>
      <c r="R390" s="438"/>
      <c r="S390" s="438"/>
      <c r="T390" s="438"/>
      <c r="U390" s="438"/>
      <c r="V390" s="438"/>
      <c r="Z390" s="439"/>
      <c r="AA390" s="439" t="str">
        <f>IF(AND(F392=G392,H392=I392,F392="A"),"2016 - kwh","")</f>
        <v/>
      </c>
      <c r="AB390" s="439" t="str">
        <f>IF(OR(B390="2017 - kwh",B390="2018 - kwh"),"2016 - kwh","")</f>
        <v/>
      </c>
      <c r="AC390" s="439"/>
      <c r="AD390" s="439"/>
      <c r="AE390" s="439"/>
    </row>
    <row r="391" spans="1:31" hidden="1" x14ac:dyDescent="0.25">
      <c r="A391" s="438" t="str">
        <f>IF(AND(F392=G392,H392=I392,J392=K392,F392="A"),"2016 - kw",IF(AND(F392=G392,H392=I392,J392&lt;&gt;K392,F392="A"),"2017 - kw",IF(AND(F392=G392,H392&lt;&gt;I392,F392="A"),"2018 - kw","N/A")))</f>
        <v>N/A</v>
      </c>
      <c r="B391" s="438" t="str">
        <f>IF(F392&lt;&gt;G392,"2018 - kw",IF(H392&lt;&gt;I392,"2017 - kw",IF(J392&lt;&gt;K392,"2016 - kw","N/A")))</f>
        <v>N/A</v>
      </c>
      <c r="C391" s="446"/>
      <c r="D391" s="447" t="str">
        <f>D390 &amp; "kW"</f>
        <v>kW</v>
      </c>
      <c r="E391" s="448" t="s">
        <v>170</v>
      </c>
      <c r="F391" s="361"/>
      <c r="G391" s="361"/>
      <c r="H391" s="361"/>
      <c r="I391" s="361"/>
      <c r="J391" s="361"/>
      <c r="K391" s="361"/>
      <c r="L391" s="361"/>
      <c r="M391" s="361"/>
      <c r="N391" s="361"/>
      <c r="O391" s="361"/>
      <c r="P391" s="438"/>
      <c r="Q391" s="438"/>
      <c r="R391" s="438"/>
      <c r="S391" s="438"/>
      <c r="T391" s="438"/>
      <c r="U391" s="438"/>
      <c r="V391" s="438"/>
      <c r="Z391" s="439"/>
      <c r="AA391" s="439" t="str">
        <f>IF(AND(F392=G392,H392=I392,F392="A"),"2016 - kw","")</f>
        <v/>
      </c>
      <c r="AB391" s="439" t="str">
        <f>IF(OR(B391="2017 - kw",B391="2018 - kw"),"2016 - kw","")</f>
        <v/>
      </c>
      <c r="AC391" s="439"/>
      <c r="AD391" s="439"/>
      <c r="AE391" s="439"/>
    </row>
    <row r="392" spans="1:31" hidden="1" x14ac:dyDescent="0.25">
      <c r="A392" s="438"/>
      <c r="B392" s="438"/>
      <c r="C392" s="449"/>
      <c r="D392" s="424"/>
      <c r="E392" s="450" t="s">
        <v>210</v>
      </c>
      <c r="F392" s="437"/>
      <c r="G392" s="437"/>
      <c r="H392" s="437"/>
      <c r="I392" s="437"/>
      <c r="J392" s="437"/>
      <c r="K392" s="437"/>
      <c r="L392" s="437"/>
      <c r="M392" s="437"/>
      <c r="N392" s="437"/>
      <c r="O392" s="437"/>
      <c r="P392" s="438"/>
      <c r="Q392" s="438"/>
      <c r="R392" s="438"/>
      <c r="S392" s="438"/>
      <c r="T392" s="438"/>
      <c r="U392" s="438"/>
      <c r="V392" s="438"/>
      <c r="Z392" s="439"/>
      <c r="AA392" s="439"/>
      <c r="AB392" s="439"/>
      <c r="AC392" s="439"/>
      <c r="AD392" s="439"/>
      <c r="AE392" s="439"/>
    </row>
    <row r="393" spans="1:31" hidden="1" x14ac:dyDescent="0.25">
      <c r="A393" s="438" t="str">
        <f>IF(AND(F395=G395,H395=I395,J395=K395,F395="A"),"2016 - kwh",IF(AND(F395=G395,H395=I395,J395&lt;&gt;K395,F395="A"),"2017 - kwh",IF(AND(F395=G395,H395&lt;&gt;I395,F395="A"),"2018 - kwh","N/A")))</f>
        <v>N/A</v>
      </c>
      <c r="B393" s="438" t="str">
        <f>IF(F395&lt;&gt;G395,"2018 - kwh",IF(H395&lt;&gt;I395,"2017 - kwh",IF(J395&lt;&gt;K395,"2016 - kwh","N/A")))</f>
        <v>N/A</v>
      </c>
      <c r="C393" s="443" t="s">
        <v>330</v>
      </c>
      <c r="D393" s="444"/>
      <c r="E393" s="445" t="s">
        <v>139</v>
      </c>
      <c r="F393" s="361"/>
      <c r="G393" s="361"/>
      <c r="H393" s="361"/>
      <c r="I393" s="361"/>
      <c r="J393" s="361"/>
      <c r="K393" s="361"/>
      <c r="L393" s="361"/>
      <c r="M393" s="361"/>
      <c r="N393" s="361"/>
      <c r="O393" s="361"/>
      <c r="P393" s="438"/>
      <c r="Q393" s="438"/>
      <c r="R393" s="438"/>
      <c r="S393" s="438"/>
      <c r="T393" s="438"/>
      <c r="U393" s="438"/>
      <c r="V393" s="438"/>
      <c r="Z393" s="439"/>
      <c r="AA393" s="439" t="str">
        <f>IF(AND(F395=G395,H395=I395,F395="A"),"2016 - kwh","")</f>
        <v/>
      </c>
      <c r="AB393" s="439" t="str">
        <f>IF(OR(B393="2017 - kwh",B393="2018 - kwh"),"2016 - kwh","")</f>
        <v/>
      </c>
      <c r="AC393" s="439"/>
      <c r="AD393" s="439"/>
      <c r="AE393" s="439"/>
    </row>
    <row r="394" spans="1:31" hidden="1" x14ac:dyDescent="0.25">
      <c r="A394" s="438" t="str">
        <f>IF(AND(F395=G395,H395=I395,J395=K395,F395="A"),"2016 - kw",IF(AND(F395=G395,H395=I395,J395&lt;&gt;K395,F395="A"),"2017 - kw",IF(AND(F395=G395,H395&lt;&gt;I395,F395="A"),"2018 - kw","N/A")))</f>
        <v>N/A</v>
      </c>
      <c r="B394" s="438" t="str">
        <f>IF(F395&lt;&gt;G395,"2018 - kw",IF(H395&lt;&gt;I395,"2017 - kw",IF(J395&lt;&gt;K395,"2016 - kw","N/A")))</f>
        <v>N/A</v>
      </c>
      <c r="C394" s="446"/>
      <c r="D394" s="447" t="str">
        <f>D393 &amp; "kW"</f>
        <v>kW</v>
      </c>
      <c r="E394" s="448" t="s">
        <v>170</v>
      </c>
      <c r="F394" s="361"/>
      <c r="G394" s="361"/>
      <c r="H394" s="361"/>
      <c r="I394" s="361"/>
      <c r="J394" s="361"/>
      <c r="K394" s="361"/>
      <c r="L394" s="361"/>
      <c r="M394" s="361"/>
      <c r="N394" s="361"/>
      <c r="O394" s="361"/>
      <c r="P394" s="438"/>
      <c r="Q394" s="438"/>
      <c r="R394" s="438"/>
      <c r="S394" s="438"/>
      <c r="T394" s="438"/>
      <c r="U394" s="438"/>
      <c r="V394" s="438"/>
      <c r="Z394" s="439"/>
      <c r="AA394" s="439" t="str">
        <f>IF(AND(F395=G395,H395=I395,F395="A"),"2016 - kw","")</f>
        <v/>
      </c>
      <c r="AB394" s="439" t="str">
        <f>IF(OR(B394="2017 - kw",B394="2018 - kw"),"2016 - kw","")</f>
        <v/>
      </c>
      <c r="AC394" s="439"/>
      <c r="AD394" s="439"/>
      <c r="AE394" s="439"/>
    </row>
    <row r="395" spans="1:31" hidden="1" x14ac:dyDescent="0.25">
      <c r="A395" s="438"/>
      <c r="B395" s="438"/>
      <c r="C395" s="449"/>
      <c r="D395" s="424"/>
      <c r="E395" s="450" t="s">
        <v>210</v>
      </c>
      <c r="F395" s="437"/>
      <c r="G395" s="437"/>
      <c r="H395" s="437"/>
      <c r="I395" s="437"/>
      <c r="J395" s="437"/>
      <c r="K395" s="437"/>
      <c r="L395" s="437"/>
      <c r="M395" s="437"/>
      <c r="N395" s="437"/>
      <c r="O395" s="437"/>
      <c r="P395" s="438"/>
      <c r="Q395" s="438"/>
      <c r="R395" s="438"/>
      <c r="S395" s="438"/>
      <c r="T395" s="438"/>
      <c r="U395" s="438"/>
      <c r="V395" s="438"/>
      <c r="Z395" s="439"/>
      <c r="AA395" s="439"/>
      <c r="AB395" s="439"/>
      <c r="AC395" s="439"/>
      <c r="AD395" s="439"/>
      <c r="AE395" s="439"/>
    </row>
    <row r="396" spans="1:31" hidden="1" x14ac:dyDescent="0.25">
      <c r="A396" s="438" t="str">
        <f>IF(AND(F398=G398,H398=I398,J398=K398,F398="A"),"2016 - kwh",IF(AND(F398=G398,H398=I398,J398&lt;&gt;K398,F398="A"),"2017 - kwh",IF(AND(F398=G398,H398&lt;&gt;I398,F398="A"),"2018 - kwh","N/A")))</f>
        <v>N/A</v>
      </c>
      <c r="B396" s="438" t="str">
        <f>IF(F398&lt;&gt;G398,"2018 - kwh",IF(H398&lt;&gt;I398,"2017 - kwh",IF(J398&lt;&gt;K398,"2016 - kwh","N/A")))</f>
        <v>N/A</v>
      </c>
      <c r="C396" s="443" t="s">
        <v>331</v>
      </c>
      <c r="D396" s="444"/>
      <c r="E396" s="445" t="s">
        <v>139</v>
      </c>
      <c r="F396" s="361"/>
      <c r="G396" s="361"/>
      <c r="H396" s="361"/>
      <c r="I396" s="361"/>
      <c r="J396" s="361"/>
      <c r="K396" s="361"/>
      <c r="L396" s="361"/>
      <c r="M396" s="361"/>
      <c r="N396" s="361"/>
      <c r="O396" s="361"/>
      <c r="P396" s="438"/>
      <c r="Q396" s="438"/>
      <c r="R396" s="438"/>
      <c r="S396" s="438"/>
      <c r="T396" s="438"/>
      <c r="U396" s="438"/>
      <c r="V396" s="438"/>
      <c r="Z396" s="439"/>
      <c r="AA396" s="439" t="str">
        <f>IF(AND(F398=G398,H398=I398,F398="A"),"2016 - kwh","")</f>
        <v/>
      </c>
      <c r="AB396" s="439" t="str">
        <f>IF(OR(B396="2017 - kwh",B396="2018 - kwh"),"2016 - kwh","")</f>
        <v/>
      </c>
      <c r="AC396" s="439"/>
      <c r="AD396" s="439"/>
      <c r="AE396" s="439"/>
    </row>
    <row r="397" spans="1:31" hidden="1" x14ac:dyDescent="0.25">
      <c r="A397" s="438" t="str">
        <f>IF(AND(F398=G398,H398=I398,J398=K398,F398="A"),"2016 - kw",IF(AND(F398=G398,H398=I398,J398&lt;&gt;K398,F398="A"),"2017 - kw",IF(AND(F398=G398,H398&lt;&gt;I398,F398="A"),"2018 - kw","N/A")))</f>
        <v>N/A</v>
      </c>
      <c r="B397" s="438" t="str">
        <f>IF(F398&lt;&gt;G398,"2018 - kw",IF(H398&lt;&gt;I398,"2017 - kw",IF(J398&lt;&gt;K398,"2016 - kw","N/A")))</f>
        <v>N/A</v>
      </c>
      <c r="C397" s="446"/>
      <c r="D397" s="447" t="str">
        <f>D396 &amp; "kW"</f>
        <v>kW</v>
      </c>
      <c r="E397" s="448" t="s">
        <v>170</v>
      </c>
      <c r="F397" s="361"/>
      <c r="G397" s="361"/>
      <c r="H397" s="361"/>
      <c r="I397" s="361"/>
      <c r="J397" s="361"/>
      <c r="K397" s="361"/>
      <c r="L397" s="361"/>
      <c r="M397" s="361"/>
      <c r="N397" s="361"/>
      <c r="O397" s="361"/>
      <c r="P397" s="438"/>
      <c r="Q397" s="438"/>
      <c r="R397" s="438"/>
      <c r="S397" s="438"/>
      <c r="T397" s="438"/>
      <c r="U397" s="438"/>
      <c r="V397" s="438"/>
      <c r="Z397" s="439"/>
      <c r="AA397" s="439" t="str">
        <f>IF(AND(F398=G398,H398=I398,F398="A"),"2016 - kw","")</f>
        <v/>
      </c>
      <c r="AB397" s="439" t="str">
        <f>IF(OR(B397="2017 - kw",B397="2018 - kw"),"2016 - kw","")</f>
        <v/>
      </c>
      <c r="AC397" s="439"/>
      <c r="AD397" s="439"/>
      <c r="AE397" s="439"/>
    </row>
    <row r="398" spans="1:31" hidden="1" x14ac:dyDescent="0.25">
      <c r="A398" s="438"/>
      <c r="B398" s="438"/>
      <c r="C398" s="449"/>
      <c r="D398" s="424"/>
      <c r="E398" s="450" t="s">
        <v>210</v>
      </c>
      <c r="F398" s="437"/>
      <c r="G398" s="437"/>
      <c r="H398" s="437"/>
      <c r="I398" s="437"/>
      <c r="J398" s="437"/>
      <c r="K398" s="437"/>
      <c r="L398" s="437"/>
      <c r="M398" s="437"/>
      <c r="N398" s="437"/>
      <c r="O398" s="437"/>
      <c r="P398" s="438"/>
      <c r="Q398" s="438"/>
      <c r="R398" s="438"/>
      <c r="S398" s="438"/>
      <c r="T398" s="438"/>
      <c r="U398" s="438"/>
      <c r="V398" s="438"/>
      <c r="Z398" s="439"/>
      <c r="AA398" s="439"/>
      <c r="AB398" s="439"/>
      <c r="AC398" s="439"/>
      <c r="AD398" s="439"/>
      <c r="AE398" s="439"/>
    </row>
    <row r="399" spans="1:31" hidden="1" x14ac:dyDescent="0.25">
      <c r="A399" s="438" t="str">
        <f>IF(AND(F401=G401,H401=I401,J401=K401,F401="A"),"2016 - kwh",IF(AND(F401=G401,H401=I401,J401&lt;&gt;K401,F401="A"),"2017 - kwh",IF(AND(F401=G401,H401&lt;&gt;I401,F401="A"),"2018 - kwh","N/A")))</f>
        <v>N/A</v>
      </c>
      <c r="B399" s="438" t="str">
        <f>IF(F401&lt;&gt;G401,"2018 - kwh",IF(H401&lt;&gt;I401,"2017 - kwh",IF(J401&lt;&gt;K401,"2016 - kwh","N/A")))</f>
        <v>N/A</v>
      </c>
      <c r="C399" s="443" t="s">
        <v>332</v>
      </c>
      <c r="D399" s="444"/>
      <c r="E399" s="445" t="s">
        <v>139</v>
      </c>
      <c r="F399" s="361"/>
      <c r="G399" s="361"/>
      <c r="H399" s="361"/>
      <c r="I399" s="361"/>
      <c r="J399" s="361"/>
      <c r="K399" s="361"/>
      <c r="L399" s="361"/>
      <c r="M399" s="361"/>
      <c r="N399" s="361"/>
      <c r="O399" s="361"/>
      <c r="P399" s="438"/>
      <c r="Q399" s="438"/>
      <c r="R399" s="438"/>
      <c r="S399" s="438"/>
      <c r="T399" s="438"/>
      <c r="U399" s="438"/>
      <c r="V399" s="438"/>
      <c r="Z399" s="439"/>
      <c r="AA399" s="439" t="str">
        <f>IF(AND(F401=G401,H401=I401,F401="A"),"2016 - kwh","")</f>
        <v/>
      </c>
      <c r="AB399" s="439" t="str">
        <f>IF(OR(B399="2017 - kwh",B399="2018 - kwh"),"2016 - kwh","")</f>
        <v/>
      </c>
      <c r="AC399" s="439"/>
      <c r="AD399" s="439"/>
      <c r="AE399" s="439"/>
    </row>
    <row r="400" spans="1:31" hidden="1" x14ac:dyDescent="0.25">
      <c r="A400" s="438" t="str">
        <f>IF(AND(F401=G401,H401=I401,J401=K401,F401="A"),"2016 - kw",IF(AND(F401=G401,H401=I401,J401&lt;&gt;K401,F401="A"),"2017 - kw",IF(AND(F401=G401,H401&lt;&gt;I401,F401="A"),"2018 - kw","N/A")))</f>
        <v>N/A</v>
      </c>
      <c r="B400" s="438" t="str">
        <f>IF(F401&lt;&gt;G401,"2018 - kw",IF(H401&lt;&gt;I401,"2017 - kw",IF(J401&lt;&gt;K401,"2016 - kw","N/A")))</f>
        <v>N/A</v>
      </c>
      <c r="C400" s="446"/>
      <c r="D400" s="447" t="str">
        <f>D399 &amp; "kW"</f>
        <v>kW</v>
      </c>
      <c r="E400" s="448" t="s">
        <v>170</v>
      </c>
      <c r="F400" s="361"/>
      <c r="G400" s="361"/>
      <c r="H400" s="361"/>
      <c r="I400" s="361"/>
      <c r="J400" s="361"/>
      <c r="K400" s="361"/>
      <c r="L400" s="361"/>
      <c r="M400" s="361"/>
      <c r="N400" s="361"/>
      <c r="O400" s="361"/>
      <c r="P400" s="438"/>
      <c r="Q400" s="438"/>
      <c r="R400" s="438"/>
      <c r="S400" s="438"/>
      <c r="T400" s="438"/>
      <c r="U400" s="438"/>
      <c r="V400" s="438"/>
      <c r="Z400" s="439"/>
      <c r="AA400" s="439" t="str">
        <f>IF(AND(F401=G401,H401=I401,F401="A"),"2016 - kw","")</f>
        <v/>
      </c>
      <c r="AB400" s="439" t="str">
        <f>IF(OR(B400="2017 - kw",B400="2018 - kw"),"2016 - kw","")</f>
        <v/>
      </c>
      <c r="AC400" s="439"/>
      <c r="AD400" s="439"/>
      <c r="AE400" s="439"/>
    </row>
    <row r="401" spans="1:31" hidden="1" x14ac:dyDescent="0.25">
      <c r="A401" s="438"/>
      <c r="B401" s="438"/>
      <c r="C401" s="449"/>
      <c r="D401" s="424"/>
      <c r="E401" s="450" t="s">
        <v>210</v>
      </c>
      <c r="F401" s="437"/>
      <c r="G401" s="437"/>
      <c r="H401" s="437"/>
      <c r="I401" s="437"/>
      <c r="J401" s="437"/>
      <c r="K401" s="437"/>
      <c r="L401" s="437"/>
      <c r="M401" s="437"/>
      <c r="N401" s="437"/>
      <c r="O401" s="437"/>
      <c r="P401" s="438"/>
      <c r="Q401" s="438"/>
      <c r="R401" s="438"/>
      <c r="S401" s="438"/>
      <c r="T401" s="438"/>
      <c r="U401" s="438"/>
      <c r="V401" s="438"/>
      <c r="Z401" s="439"/>
      <c r="AA401" s="439"/>
      <c r="AB401" s="439"/>
      <c r="AC401" s="439"/>
      <c r="AD401" s="439"/>
      <c r="AE401" s="439"/>
    </row>
    <row r="402" spans="1:31" hidden="1" x14ac:dyDescent="0.25">
      <c r="A402" s="438" t="str">
        <f>IF(AND(F404=G404,H404=I404,J404=K404,F404="A"),"2016 - kwh",IF(AND(F404=G404,H404=I404,J404&lt;&gt;K404,F404="A"),"2017 - kwh",IF(AND(F404=G404,H404&lt;&gt;I404,F404="A"),"2018 - kwh","N/A")))</f>
        <v>N/A</v>
      </c>
      <c r="B402" s="438" t="str">
        <f>IF(F404&lt;&gt;G404,"2018 - kwh",IF(H404&lt;&gt;I404,"2017 - kwh",IF(J404&lt;&gt;K404,"2016 - kwh","N/A")))</f>
        <v>N/A</v>
      </c>
      <c r="C402" s="443" t="s">
        <v>333</v>
      </c>
      <c r="D402" s="444"/>
      <c r="E402" s="445" t="s">
        <v>139</v>
      </c>
      <c r="F402" s="361"/>
      <c r="G402" s="361"/>
      <c r="H402" s="361"/>
      <c r="I402" s="361"/>
      <c r="J402" s="361"/>
      <c r="K402" s="361"/>
      <c r="L402" s="361"/>
      <c r="M402" s="361"/>
      <c r="N402" s="361"/>
      <c r="O402" s="361"/>
      <c r="P402" s="438"/>
      <c r="Q402" s="438"/>
      <c r="R402" s="438"/>
      <c r="S402" s="438"/>
      <c r="T402" s="438"/>
      <c r="U402" s="438"/>
      <c r="V402" s="438"/>
      <c r="Z402" s="439"/>
      <c r="AA402" s="439" t="str">
        <f>IF(AND(F404=G404,H404=I404,F404="A"),"2016 - kwh","")</f>
        <v/>
      </c>
      <c r="AB402" s="439" t="str">
        <f>IF(OR(B402="2017 - kwh",B402="2018 - kwh"),"2016 - kwh","")</f>
        <v/>
      </c>
      <c r="AC402" s="439"/>
      <c r="AD402" s="439"/>
      <c r="AE402" s="439"/>
    </row>
    <row r="403" spans="1:31" hidden="1" x14ac:dyDescent="0.25">
      <c r="A403" s="438" t="str">
        <f>IF(AND(F404=G404,H404=I404,J404=K404,F404="A"),"2016 - kw",IF(AND(F404=G404,H404=I404,J404&lt;&gt;K404,F404="A"),"2017 - kw",IF(AND(F404=G404,H404&lt;&gt;I404,F404="A"),"2018 - kw","N/A")))</f>
        <v>N/A</v>
      </c>
      <c r="B403" s="438" t="str">
        <f>IF(F404&lt;&gt;G404,"2018 - kw",IF(H404&lt;&gt;I404,"2017 - kw",IF(J404&lt;&gt;K404,"2016 - kw","N/A")))</f>
        <v>N/A</v>
      </c>
      <c r="C403" s="446"/>
      <c r="D403" s="447" t="str">
        <f>D402 &amp; "kW"</f>
        <v>kW</v>
      </c>
      <c r="E403" s="448" t="s">
        <v>170</v>
      </c>
      <c r="F403" s="361"/>
      <c r="G403" s="361"/>
      <c r="H403" s="361"/>
      <c r="I403" s="361"/>
      <c r="J403" s="361"/>
      <c r="K403" s="361"/>
      <c r="L403" s="361"/>
      <c r="M403" s="361"/>
      <c r="N403" s="361"/>
      <c r="O403" s="361"/>
      <c r="P403" s="438"/>
      <c r="Q403" s="438"/>
      <c r="R403" s="438"/>
      <c r="S403" s="438"/>
      <c r="T403" s="438"/>
      <c r="U403" s="438"/>
      <c r="V403" s="438"/>
      <c r="Z403" s="439"/>
      <c r="AA403" s="439" t="str">
        <f>IF(AND(F404=G404,H404=I404,F404="A"),"2016 - kw","")</f>
        <v/>
      </c>
      <c r="AB403" s="439" t="str">
        <f>IF(OR(B403="2017 - kw",B403="2018 - kw"),"2016 - kw","")</f>
        <v/>
      </c>
      <c r="AC403" s="439"/>
      <c r="AD403" s="439"/>
      <c r="AE403" s="439"/>
    </row>
    <row r="404" spans="1:31" hidden="1" x14ac:dyDescent="0.25">
      <c r="A404" s="438"/>
      <c r="B404" s="438"/>
      <c r="C404" s="449"/>
      <c r="D404" s="424"/>
      <c r="E404" s="450" t="s">
        <v>210</v>
      </c>
      <c r="F404" s="437"/>
      <c r="G404" s="437"/>
      <c r="H404" s="437"/>
      <c r="I404" s="437"/>
      <c r="J404" s="437"/>
      <c r="K404" s="437"/>
      <c r="L404" s="437"/>
      <c r="M404" s="437"/>
      <c r="N404" s="437"/>
      <c r="O404" s="437"/>
      <c r="P404" s="438"/>
      <c r="Q404" s="438"/>
      <c r="R404" s="438"/>
      <c r="S404" s="438"/>
      <c r="T404" s="438"/>
      <c r="U404" s="438"/>
      <c r="V404" s="438"/>
      <c r="Z404" s="439"/>
      <c r="AA404" s="439"/>
      <c r="AB404" s="439"/>
      <c r="AC404" s="439"/>
      <c r="AD404" s="439"/>
      <c r="AE404" s="439"/>
    </row>
    <row r="405" spans="1:31" hidden="1" x14ac:dyDescent="0.25">
      <c r="A405" s="438" t="str">
        <f>IF(AND(F407=G407,H407=I407,J407=K407,F407="A"),"2016 - kwh",IF(AND(F407=G407,H407=I407,J407&lt;&gt;K407,F407="A"),"2017 - kwh",IF(AND(F407=G407,H407&lt;&gt;I407,F407="A"),"2018 - kwh","N/A")))</f>
        <v>N/A</v>
      </c>
      <c r="B405" s="438" t="str">
        <f>IF(F407&lt;&gt;G407,"2018 - kwh",IF(H407&lt;&gt;I407,"2017 - kwh",IF(J407&lt;&gt;K407,"2016 - kwh","N/A")))</f>
        <v>N/A</v>
      </c>
      <c r="C405" s="443" t="s">
        <v>334</v>
      </c>
      <c r="D405" s="444"/>
      <c r="E405" s="445" t="s">
        <v>139</v>
      </c>
      <c r="F405" s="361"/>
      <c r="G405" s="361"/>
      <c r="H405" s="361"/>
      <c r="I405" s="361"/>
      <c r="J405" s="361"/>
      <c r="K405" s="361"/>
      <c r="L405" s="361"/>
      <c r="M405" s="361"/>
      <c r="N405" s="361"/>
      <c r="O405" s="361"/>
      <c r="P405" s="438"/>
      <c r="Q405" s="438"/>
      <c r="R405" s="438"/>
      <c r="S405" s="438"/>
      <c r="T405" s="438"/>
      <c r="U405" s="438"/>
      <c r="V405" s="438"/>
      <c r="Z405" s="439"/>
      <c r="AA405" s="439" t="str">
        <f>IF(AND(F407=G407,H407=I407,F407="A"),"2016 - kwh","")</f>
        <v/>
      </c>
      <c r="AB405" s="439" t="str">
        <f>IF(OR(B405="2017 - kwh",B405="2018 - kwh"),"2016 - kwh","")</f>
        <v/>
      </c>
      <c r="AC405" s="439"/>
      <c r="AD405" s="439"/>
      <c r="AE405" s="439"/>
    </row>
    <row r="406" spans="1:31" hidden="1" x14ac:dyDescent="0.25">
      <c r="A406" s="438" t="str">
        <f>IF(AND(F407=G407,H407=I407,J407=K407,F407="A"),"2016 - kw",IF(AND(F407=G407,H407=I407,J407&lt;&gt;K407,F407="A"),"2017 - kw",IF(AND(F407=G407,H407&lt;&gt;I407,F407="A"),"2018 - kw","N/A")))</f>
        <v>N/A</v>
      </c>
      <c r="B406" s="438" t="str">
        <f>IF(F407&lt;&gt;G407,"2018 - kw",IF(H407&lt;&gt;I407,"2017 - kw",IF(J407&lt;&gt;K407,"2016 - kw","N/A")))</f>
        <v>N/A</v>
      </c>
      <c r="C406" s="446"/>
      <c r="D406" s="447" t="str">
        <f>D405 &amp; "kW"</f>
        <v>kW</v>
      </c>
      <c r="E406" s="448" t="s">
        <v>170</v>
      </c>
      <c r="F406" s="361"/>
      <c r="G406" s="361"/>
      <c r="H406" s="361"/>
      <c r="I406" s="361"/>
      <c r="J406" s="361"/>
      <c r="K406" s="361"/>
      <c r="L406" s="361"/>
      <c r="M406" s="361"/>
      <c r="N406" s="361"/>
      <c r="O406" s="361"/>
      <c r="P406" s="438"/>
      <c r="Q406" s="438"/>
      <c r="R406" s="438"/>
      <c r="S406" s="438"/>
      <c r="T406" s="438"/>
      <c r="U406" s="438"/>
      <c r="V406" s="438"/>
      <c r="Z406" s="439"/>
      <c r="AA406" s="439" t="str">
        <f>IF(AND(F407=G407,H407=I407,F407="A"),"2016 - kw","")</f>
        <v/>
      </c>
      <c r="AB406" s="439" t="str">
        <f>IF(OR(B406="2017 - kw",B406="2018 - kw"),"2016 - kw","")</f>
        <v/>
      </c>
      <c r="AC406" s="439"/>
      <c r="AD406" s="439"/>
      <c r="AE406" s="439"/>
    </row>
    <row r="407" spans="1:31" hidden="1" x14ac:dyDescent="0.25">
      <c r="A407" s="438"/>
      <c r="B407" s="438"/>
      <c r="C407" s="449"/>
      <c r="D407" s="424"/>
      <c r="E407" s="450" t="s">
        <v>210</v>
      </c>
      <c r="F407" s="437"/>
      <c r="G407" s="437"/>
      <c r="H407" s="437"/>
      <c r="I407" s="437"/>
      <c r="J407" s="437"/>
      <c r="K407" s="437"/>
      <c r="L407" s="437"/>
      <c r="M407" s="437"/>
      <c r="N407" s="437"/>
      <c r="O407" s="437"/>
      <c r="P407" s="438"/>
      <c r="Q407" s="438"/>
      <c r="R407" s="438"/>
      <c r="S407" s="438"/>
      <c r="T407" s="438"/>
      <c r="U407" s="438"/>
      <c r="V407" s="438"/>
      <c r="Z407" s="439"/>
      <c r="AA407" s="439"/>
      <c r="AB407" s="439"/>
      <c r="AC407" s="439"/>
      <c r="AD407" s="439"/>
      <c r="AE407" s="439"/>
    </row>
    <row r="408" spans="1:31" hidden="1" x14ac:dyDescent="0.25">
      <c r="A408" s="438" t="str">
        <f>IF(AND(F410=G410,H410=I410,J410=K410,F410="A"),"2016 - kwh",IF(AND(F410=G410,H410=I410,J410&lt;&gt;K410,F410="A"),"2017 - kwh",IF(AND(F410=G410,H410&lt;&gt;I410,F410="A"),"2018 - kwh","N/A")))</f>
        <v>N/A</v>
      </c>
      <c r="B408" s="438" t="str">
        <f>IF(F410&lt;&gt;G410,"2018 - kwh",IF(H410&lt;&gt;I410,"2017 - kwh",IF(J410&lt;&gt;K410,"2016 - kwh","N/A")))</f>
        <v>N/A</v>
      </c>
      <c r="C408" s="443" t="s">
        <v>335</v>
      </c>
      <c r="D408" s="444"/>
      <c r="E408" s="445" t="s">
        <v>139</v>
      </c>
      <c r="F408" s="361"/>
      <c r="G408" s="361"/>
      <c r="H408" s="361"/>
      <c r="I408" s="361"/>
      <c r="J408" s="361"/>
      <c r="K408" s="361"/>
      <c r="L408" s="361"/>
      <c r="M408" s="361"/>
      <c r="N408" s="361"/>
      <c r="O408" s="361"/>
      <c r="P408" s="438"/>
      <c r="Q408" s="438"/>
      <c r="R408" s="438"/>
      <c r="S408" s="438"/>
      <c r="T408" s="438"/>
      <c r="U408" s="438"/>
      <c r="V408" s="438"/>
      <c r="Z408" s="439"/>
      <c r="AA408" s="439" t="str">
        <f>IF(AND(F410=G410,H410=I410,F410="A"),"2016 - kwh","")</f>
        <v/>
      </c>
      <c r="AB408" s="439" t="str">
        <f>IF(OR(B408="2017 - kwh",B408="2018 - kwh"),"2016 - kwh","")</f>
        <v/>
      </c>
      <c r="AC408" s="439"/>
      <c r="AD408" s="439"/>
      <c r="AE408" s="439"/>
    </row>
    <row r="409" spans="1:31" hidden="1" x14ac:dyDescent="0.25">
      <c r="A409" s="438" t="str">
        <f>IF(AND(F410=G410,H410=I410,J410=K410,F410="A"),"2016 - kw",IF(AND(F410=G410,H410=I410,J410&lt;&gt;K410,F410="A"),"2017 - kw",IF(AND(F410=G410,H410&lt;&gt;I410,F410="A"),"2018 - kw","N/A")))</f>
        <v>N/A</v>
      </c>
      <c r="B409" s="438" t="str">
        <f>IF(F410&lt;&gt;G410,"2018 - kw",IF(H410&lt;&gt;I410,"2017 - kw",IF(J410&lt;&gt;K410,"2016 - kw","N/A")))</f>
        <v>N/A</v>
      </c>
      <c r="C409" s="446"/>
      <c r="D409" s="447" t="str">
        <f>D408 &amp; "kW"</f>
        <v>kW</v>
      </c>
      <c r="E409" s="448" t="s">
        <v>170</v>
      </c>
      <c r="F409" s="361"/>
      <c r="G409" s="361"/>
      <c r="H409" s="361"/>
      <c r="I409" s="361"/>
      <c r="J409" s="361"/>
      <c r="K409" s="361"/>
      <c r="L409" s="361"/>
      <c r="M409" s="361"/>
      <c r="N409" s="361"/>
      <c r="O409" s="361"/>
      <c r="P409" s="438"/>
      <c r="Q409" s="438"/>
      <c r="R409" s="438"/>
      <c r="S409" s="438"/>
      <c r="T409" s="438"/>
      <c r="U409" s="438"/>
      <c r="V409" s="438"/>
      <c r="Z409" s="439"/>
      <c r="AA409" s="439" t="str">
        <f>IF(AND(F410=G410,H410=I410,F410="A"),"2016 - kw","")</f>
        <v/>
      </c>
      <c r="AB409" s="439" t="str">
        <f>IF(OR(B409="2017 - kw",B409="2018 - kw"),"2016 - kw","")</f>
        <v/>
      </c>
      <c r="AC409" s="439"/>
      <c r="AD409" s="439"/>
      <c r="AE409" s="439"/>
    </row>
    <row r="410" spans="1:31" hidden="1" x14ac:dyDescent="0.25">
      <c r="A410" s="438"/>
      <c r="B410" s="438"/>
      <c r="C410" s="449"/>
      <c r="D410" s="424"/>
      <c r="E410" s="450" t="s">
        <v>210</v>
      </c>
      <c r="F410" s="437"/>
      <c r="G410" s="437"/>
      <c r="H410" s="437"/>
      <c r="I410" s="437"/>
      <c r="J410" s="437"/>
      <c r="K410" s="437"/>
      <c r="L410" s="437"/>
      <c r="M410" s="437"/>
      <c r="N410" s="437"/>
      <c r="O410" s="437"/>
      <c r="P410" s="438"/>
      <c r="Q410" s="438"/>
      <c r="R410" s="438"/>
      <c r="S410" s="438"/>
      <c r="T410" s="438"/>
      <c r="U410" s="438"/>
      <c r="V410" s="438"/>
      <c r="Z410" s="439"/>
      <c r="AA410" s="439"/>
      <c r="AB410" s="439"/>
      <c r="AC410" s="439"/>
      <c r="AD410" s="439"/>
      <c r="AE410" s="439"/>
    </row>
    <row r="411" spans="1:31" hidden="1" x14ac:dyDescent="0.25">
      <c r="A411" s="438" t="str">
        <f>IF(AND(F413=G413,H413=I413,J413=K413,F413="A"),"2016 - kwh",IF(AND(F413=G413,H413=I413,J413&lt;&gt;K413,F413="A"),"2017 - kwh",IF(AND(F413=G413,H413&lt;&gt;I413,F413="A"),"2018 - kwh","N/A")))</f>
        <v>N/A</v>
      </c>
      <c r="B411" s="438" t="str">
        <f>IF(F413&lt;&gt;G413,"2018 - kwh",IF(H413&lt;&gt;I413,"2017 - kwh",IF(J413&lt;&gt;K413,"2016 - kwh","N/A")))</f>
        <v>N/A</v>
      </c>
      <c r="C411" s="443" t="s">
        <v>336</v>
      </c>
      <c r="D411" s="444"/>
      <c r="E411" s="445" t="s">
        <v>139</v>
      </c>
      <c r="F411" s="361"/>
      <c r="G411" s="361"/>
      <c r="H411" s="361"/>
      <c r="I411" s="361"/>
      <c r="J411" s="361"/>
      <c r="K411" s="361"/>
      <c r="L411" s="361"/>
      <c r="M411" s="361"/>
      <c r="N411" s="361"/>
      <c r="O411" s="361"/>
      <c r="P411" s="438"/>
      <c r="Q411" s="438"/>
      <c r="R411" s="438"/>
      <c r="S411" s="438"/>
      <c r="T411" s="438"/>
      <c r="U411" s="438"/>
      <c r="V411" s="438"/>
      <c r="Z411" s="439"/>
      <c r="AA411" s="439" t="str">
        <f>IF(AND(F413=G413,H413=I413,F413="A"),"2016 - kwh","")</f>
        <v/>
      </c>
      <c r="AB411" s="439" t="str">
        <f>IF(OR(B411="2017 - kwh",B411="2018 - kwh"),"2016 - kwh","")</f>
        <v/>
      </c>
      <c r="AC411" s="439"/>
      <c r="AD411" s="439"/>
      <c r="AE411" s="439"/>
    </row>
    <row r="412" spans="1:31" hidden="1" x14ac:dyDescent="0.25">
      <c r="A412" s="438" t="str">
        <f>IF(AND(F413=G413,H413=I413,J413=K413,F413="A"),"2016 - kw",IF(AND(F413=G413,H413=I413,J413&lt;&gt;K413,F413="A"),"2017 - kw",IF(AND(F413=G413,H413&lt;&gt;I413,F413="A"),"2018 - kw","N/A")))</f>
        <v>N/A</v>
      </c>
      <c r="B412" s="438" t="str">
        <f>IF(F413&lt;&gt;G413,"2018 - kw",IF(H413&lt;&gt;I413,"2017 - kw",IF(J413&lt;&gt;K413,"2016 - kw","N/A")))</f>
        <v>N/A</v>
      </c>
      <c r="C412" s="446"/>
      <c r="D412" s="447" t="str">
        <f>D411 &amp; "kW"</f>
        <v>kW</v>
      </c>
      <c r="E412" s="448" t="s">
        <v>170</v>
      </c>
      <c r="F412" s="361"/>
      <c r="G412" s="361"/>
      <c r="H412" s="361"/>
      <c r="I412" s="361"/>
      <c r="J412" s="361"/>
      <c r="K412" s="361"/>
      <c r="L412" s="361"/>
      <c r="M412" s="361"/>
      <c r="N412" s="361"/>
      <c r="O412" s="361"/>
      <c r="P412" s="438"/>
      <c r="Q412" s="438"/>
      <c r="R412" s="438"/>
      <c r="S412" s="438"/>
      <c r="T412" s="438"/>
      <c r="U412" s="438"/>
      <c r="V412" s="438"/>
      <c r="Z412" s="439"/>
      <c r="AA412" s="439" t="str">
        <f>IF(AND(F413=G413,H413=I413,F413="A"),"2016 - kw","")</f>
        <v/>
      </c>
      <c r="AB412" s="439" t="str">
        <f>IF(OR(B412="2017 - kw",B412="2018 - kw"),"2016 - kw","")</f>
        <v/>
      </c>
      <c r="AC412" s="439"/>
      <c r="AD412" s="439"/>
      <c r="AE412" s="439"/>
    </row>
    <row r="413" spans="1:31" hidden="1" x14ac:dyDescent="0.25">
      <c r="A413" s="438"/>
      <c r="B413" s="438"/>
      <c r="C413" s="449"/>
      <c r="D413" s="424"/>
      <c r="E413" s="450" t="s">
        <v>210</v>
      </c>
      <c r="F413" s="437"/>
      <c r="G413" s="437"/>
      <c r="H413" s="437"/>
      <c r="I413" s="437"/>
      <c r="J413" s="437"/>
      <c r="K413" s="437"/>
      <c r="L413" s="437"/>
      <c r="M413" s="437"/>
      <c r="N413" s="437"/>
      <c r="O413" s="437"/>
      <c r="P413" s="438"/>
      <c r="Q413" s="438"/>
      <c r="R413" s="438"/>
      <c r="S413" s="438"/>
      <c r="T413" s="438"/>
      <c r="U413" s="438"/>
      <c r="V413" s="438"/>
      <c r="Z413" s="439"/>
      <c r="AA413" s="439"/>
      <c r="AB413" s="439"/>
      <c r="AC413" s="439"/>
      <c r="AD413" s="439"/>
      <c r="AE413" s="439"/>
    </row>
    <row r="414" spans="1:31" hidden="1" x14ac:dyDescent="0.25">
      <c r="A414" s="438" t="str">
        <f>IF(AND(F416=G416,H416=I416,J416=K416,F416="A"),"2016 - kwh",IF(AND(F416=G416,H416=I416,J416&lt;&gt;K416,F416="A"),"2017 - kwh",IF(AND(F416=G416,H416&lt;&gt;I416,F416="A"),"2018 - kwh","N/A")))</f>
        <v>N/A</v>
      </c>
      <c r="B414" s="438" t="str">
        <f>IF(F416&lt;&gt;G416,"2018 - kwh",IF(H416&lt;&gt;I416,"2017 - kwh",IF(J416&lt;&gt;K416,"2016 - kwh","N/A")))</f>
        <v>N/A</v>
      </c>
      <c r="C414" s="443" t="s">
        <v>337</v>
      </c>
      <c r="D414" s="444"/>
      <c r="E414" s="445" t="s">
        <v>139</v>
      </c>
      <c r="F414" s="361"/>
      <c r="G414" s="361"/>
      <c r="H414" s="361"/>
      <c r="I414" s="361"/>
      <c r="J414" s="361"/>
      <c r="K414" s="361"/>
      <c r="L414" s="361"/>
      <c r="M414" s="361"/>
      <c r="N414" s="361"/>
      <c r="O414" s="361"/>
      <c r="P414" s="438"/>
      <c r="Q414" s="438"/>
      <c r="R414" s="438"/>
      <c r="S414" s="438"/>
      <c r="T414" s="438"/>
      <c r="U414" s="438"/>
      <c r="V414" s="438"/>
      <c r="Z414" s="439"/>
      <c r="AA414" s="439" t="str">
        <f>IF(AND(F416=G416,H416=I416,F416="A"),"2016 - kwh","")</f>
        <v/>
      </c>
      <c r="AB414" s="439" t="str">
        <f>IF(OR(B414="2017 - kwh",B414="2018 - kwh"),"2016 - kwh","")</f>
        <v/>
      </c>
      <c r="AC414" s="439"/>
      <c r="AD414" s="439"/>
      <c r="AE414" s="439"/>
    </row>
    <row r="415" spans="1:31" hidden="1" x14ac:dyDescent="0.25">
      <c r="A415" s="438" t="str">
        <f>IF(AND(F416=G416,H416=I416,J416=K416,F416="A"),"2016 - kw",IF(AND(F416=G416,H416=I416,J416&lt;&gt;K416,F416="A"),"2017 - kw",IF(AND(F416=G416,H416&lt;&gt;I416,F416="A"),"2018 - kw","N/A")))</f>
        <v>N/A</v>
      </c>
      <c r="B415" s="438" t="str">
        <f>IF(F416&lt;&gt;G416,"2018 - kw",IF(H416&lt;&gt;I416,"2017 - kw",IF(J416&lt;&gt;K416,"2016 - kw","N/A")))</f>
        <v>N/A</v>
      </c>
      <c r="C415" s="446"/>
      <c r="D415" s="447" t="str">
        <f>D414 &amp; "kW"</f>
        <v>kW</v>
      </c>
      <c r="E415" s="448" t="s">
        <v>170</v>
      </c>
      <c r="F415" s="361"/>
      <c r="G415" s="361"/>
      <c r="H415" s="361"/>
      <c r="I415" s="361"/>
      <c r="J415" s="361"/>
      <c r="K415" s="361"/>
      <c r="L415" s="361"/>
      <c r="M415" s="361"/>
      <c r="N415" s="361"/>
      <c r="O415" s="361"/>
      <c r="P415" s="438"/>
      <c r="Q415" s="438"/>
      <c r="R415" s="438"/>
      <c r="S415" s="438"/>
      <c r="T415" s="438"/>
      <c r="U415" s="438"/>
      <c r="V415" s="438"/>
      <c r="Z415" s="439"/>
      <c r="AA415" s="439" t="str">
        <f>IF(AND(F416=G416,H416=I416,F416="A"),"2016 - kw","")</f>
        <v/>
      </c>
      <c r="AB415" s="439" t="str">
        <f>IF(OR(B415="2017 - kw",B415="2018 - kw"),"2016 - kw","")</f>
        <v/>
      </c>
      <c r="AC415" s="439"/>
      <c r="AD415" s="439"/>
      <c r="AE415" s="439"/>
    </row>
    <row r="416" spans="1:31" hidden="1" x14ac:dyDescent="0.25">
      <c r="A416" s="438"/>
      <c r="B416" s="438"/>
      <c r="C416" s="449"/>
      <c r="D416" s="424"/>
      <c r="E416" s="450" t="s">
        <v>210</v>
      </c>
      <c r="F416" s="437"/>
      <c r="G416" s="437"/>
      <c r="H416" s="437"/>
      <c r="I416" s="437"/>
      <c r="J416" s="437"/>
      <c r="K416" s="437"/>
      <c r="L416" s="437"/>
      <c r="M416" s="437"/>
      <c r="N416" s="437"/>
      <c r="O416" s="437"/>
      <c r="P416" s="438"/>
      <c r="Q416" s="438"/>
      <c r="R416" s="438"/>
      <c r="S416" s="438"/>
      <c r="T416" s="438"/>
      <c r="U416" s="438"/>
      <c r="V416" s="438"/>
      <c r="Z416" s="439"/>
      <c r="AA416" s="439"/>
      <c r="AB416" s="439"/>
      <c r="AC416" s="439"/>
      <c r="AD416" s="439"/>
      <c r="AE416" s="439"/>
    </row>
    <row r="417" spans="1:31" hidden="1" x14ac:dyDescent="0.25">
      <c r="A417" s="438" t="str">
        <f>IF(AND(F419=G419,H419=I419,J419=K419,F419="A"),"2016 - kwh",IF(AND(F419=G419,H419=I419,J419&lt;&gt;K419,F419="A"),"2017 - kwh",IF(AND(F419=G419,H419&lt;&gt;I419,F419="A"),"2018 - kwh","N/A")))</f>
        <v>N/A</v>
      </c>
      <c r="B417" s="438" t="str">
        <f>IF(F419&lt;&gt;G419,"2018 - kwh",IF(H419&lt;&gt;I419,"2017 - kwh",IF(J419&lt;&gt;K419,"2016 - kwh","N/A")))</f>
        <v>N/A</v>
      </c>
      <c r="C417" s="443" t="s">
        <v>338</v>
      </c>
      <c r="D417" s="444"/>
      <c r="E417" s="445" t="s">
        <v>139</v>
      </c>
      <c r="F417" s="361"/>
      <c r="G417" s="361"/>
      <c r="H417" s="361"/>
      <c r="I417" s="361"/>
      <c r="J417" s="361"/>
      <c r="K417" s="361"/>
      <c r="L417" s="361"/>
      <c r="M417" s="361"/>
      <c r="N417" s="361"/>
      <c r="O417" s="361"/>
      <c r="P417" s="438"/>
      <c r="Q417" s="438"/>
      <c r="R417" s="438"/>
      <c r="S417" s="438"/>
      <c r="T417" s="438"/>
      <c r="U417" s="438"/>
      <c r="V417" s="438"/>
      <c r="Z417" s="439"/>
      <c r="AA417" s="439" t="str">
        <f>IF(AND(F419=G419,H419=I419,F419="A"),"2016 - kwh","")</f>
        <v/>
      </c>
      <c r="AB417" s="439" t="str">
        <f>IF(OR(B417="2017 - kwh",B417="2018 - kwh"),"2016 - kwh","")</f>
        <v/>
      </c>
      <c r="AC417" s="439"/>
      <c r="AD417" s="439"/>
      <c r="AE417" s="439"/>
    </row>
    <row r="418" spans="1:31" hidden="1" x14ac:dyDescent="0.25">
      <c r="A418" s="438" t="str">
        <f>IF(AND(F419=G419,H419=I419,J419=K419,F419="A"),"2016 - kw",IF(AND(F419=G419,H419=I419,J419&lt;&gt;K419,F419="A"),"2017 - kw",IF(AND(F419=G419,H419&lt;&gt;I419,F419="A"),"2018 - kw","N/A")))</f>
        <v>N/A</v>
      </c>
      <c r="B418" s="438" t="str">
        <f>IF(F419&lt;&gt;G419,"2018 - kw",IF(H419&lt;&gt;I419,"2017 - kw",IF(J419&lt;&gt;K419,"2016 - kw","N/A")))</f>
        <v>N/A</v>
      </c>
      <c r="C418" s="446"/>
      <c r="D418" s="447" t="str">
        <f>D417 &amp; "kW"</f>
        <v>kW</v>
      </c>
      <c r="E418" s="448" t="s">
        <v>170</v>
      </c>
      <c r="F418" s="361"/>
      <c r="G418" s="361"/>
      <c r="H418" s="361"/>
      <c r="I418" s="361"/>
      <c r="J418" s="361"/>
      <c r="K418" s="361"/>
      <c r="L418" s="361"/>
      <c r="M418" s="361"/>
      <c r="N418" s="361"/>
      <c r="O418" s="361"/>
      <c r="P418" s="438"/>
      <c r="Q418" s="438"/>
      <c r="R418" s="438"/>
      <c r="S418" s="438"/>
      <c r="T418" s="438"/>
      <c r="U418" s="438"/>
      <c r="V418" s="438"/>
      <c r="Z418" s="439"/>
      <c r="AA418" s="439" t="str">
        <f>IF(AND(F419=G419,H419=I419,F419="A"),"2016 - kw","")</f>
        <v/>
      </c>
      <c r="AB418" s="439" t="str">
        <f>IF(OR(B418="2017 - kw",B418="2018 - kw"),"2016 - kw","")</f>
        <v/>
      </c>
      <c r="AC418" s="439"/>
      <c r="AD418" s="439"/>
      <c r="AE418" s="439"/>
    </row>
    <row r="419" spans="1:31" hidden="1" x14ac:dyDescent="0.25">
      <c r="A419" s="438"/>
      <c r="B419" s="438"/>
      <c r="C419" s="449"/>
      <c r="D419" s="424"/>
      <c r="E419" s="450" t="s">
        <v>210</v>
      </c>
      <c r="F419" s="437"/>
      <c r="G419" s="437"/>
      <c r="H419" s="437"/>
      <c r="I419" s="437"/>
      <c r="J419" s="437"/>
      <c r="K419" s="437"/>
      <c r="L419" s="437"/>
      <c r="M419" s="437"/>
      <c r="N419" s="437"/>
      <c r="O419" s="437"/>
      <c r="P419" s="438"/>
      <c r="Q419" s="438"/>
      <c r="R419" s="438"/>
      <c r="S419" s="438"/>
      <c r="T419" s="438"/>
      <c r="U419" s="438"/>
      <c r="V419" s="438"/>
      <c r="Z419" s="439"/>
      <c r="AA419" s="439"/>
      <c r="AB419" s="439"/>
      <c r="AC419" s="439"/>
      <c r="AD419" s="439"/>
      <c r="AE419" s="439"/>
    </row>
    <row r="420" spans="1:31" hidden="1" x14ac:dyDescent="0.25">
      <c r="A420" s="438" t="str">
        <f>IF(AND(F422=G422,H422=I422,J422=K422,F422="A"),"2016 - kwh",IF(AND(F422=G422,H422=I422,J422&lt;&gt;K422,F422="A"),"2017 - kwh",IF(AND(F422=G422,H422&lt;&gt;I422,F422="A"),"2018 - kwh","N/A")))</f>
        <v>N/A</v>
      </c>
      <c r="B420" s="438" t="str">
        <f>IF(F422&lt;&gt;G422,"2018 - kwh",IF(H422&lt;&gt;I422,"2017 - kwh",IF(J422&lt;&gt;K422,"2016 - kwh","N/A")))</f>
        <v>N/A</v>
      </c>
      <c r="C420" s="443" t="s">
        <v>339</v>
      </c>
      <c r="D420" s="444"/>
      <c r="E420" s="445" t="s">
        <v>139</v>
      </c>
      <c r="F420" s="361"/>
      <c r="G420" s="361"/>
      <c r="H420" s="361"/>
      <c r="I420" s="361"/>
      <c r="J420" s="361"/>
      <c r="K420" s="361"/>
      <c r="L420" s="361"/>
      <c r="M420" s="361"/>
      <c r="N420" s="361"/>
      <c r="O420" s="361"/>
      <c r="P420" s="438"/>
      <c r="Q420" s="438"/>
      <c r="R420" s="438"/>
      <c r="S420" s="438"/>
      <c r="T420" s="438"/>
      <c r="U420" s="438"/>
      <c r="V420" s="438"/>
      <c r="Z420" s="439"/>
      <c r="AA420" s="439" t="str">
        <f>IF(AND(F422=G422,H422=I422,F422="A"),"2016 - kwh","")</f>
        <v/>
      </c>
      <c r="AB420" s="439" t="str">
        <f>IF(OR(B420="2017 - kwh",B420="2018 - kwh"),"2016 - kwh","")</f>
        <v/>
      </c>
      <c r="AC420" s="439"/>
      <c r="AD420" s="439"/>
      <c r="AE420" s="439"/>
    </row>
    <row r="421" spans="1:31" hidden="1" x14ac:dyDescent="0.25">
      <c r="A421" s="438" t="str">
        <f>IF(AND(F422=G422,H422=I422,J422=K422,F422="A"),"2016 - kw",IF(AND(F422=G422,H422=I422,J422&lt;&gt;K422,F422="A"),"2017 - kw",IF(AND(F422=G422,H422&lt;&gt;I422,F422="A"),"2018 - kw","N/A")))</f>
        <v>N/A</v>
      </c>
      <c r="B421" s="438" t="str">
        <f>IF(F422&lt;&gt;G422,"2018 - kw",IF(H422&lt;&gt;I422,"2017 - kw",IF(J422&lt;&gt;K422,"2016 - kw","N/A")))</f>
        <v>N/A</v>
      </c>
      <c r="C421" s="446"/>
      <c r="D421" s="447" t="str">
        <f>D420 &amp; "kW"</f>
        <v>kW</v>
      </c>
      <c r="E421" s="448" t="s">
        <v>170</v>
      </c>
      <c r="F421" s="361"/>
      <c r="G421" s="361"/>
      <c r="H421" s="361"/>
      <c r="I421" s="361"/>
      <c r="J421" s="361"/>
      <c r="K421" s="361"/>
      <c r="L421" s="361"/>
      <c r="M421" s="361"/>
      <c r="N421" s="361"/>
      <c r="O421" s="361"/>
      <c r="P421" s="438"/>
      <c r="Q421" s="438"/>
      <c r="R421" s="438"/>
      <c r="S421" s="438"/>
      <c r="T421" s="438"/>
      <c r="U421" s="438"/>
      <c r="V421" s="438"/>
      <c r="Z421" s="439"/>
      <c r="AA421" s="439" t="str">
        <f>IF(AND(F422=G422,H422=I422,F422="A"),"2016 - kw","")</f>
        <v/>
      </c>
      <c r="AB421" s="439" t="str">
        <f>IF(OR(B421="2017 - kw",B421="2018 - kw"),"2016 - kw","")</f>
        <v/>
      </c>
      <c r="AC421" s="439"/>
      <c r="AD421" s="439"/>
      <c r="AE421" s="439"/>
    </row>
    <row r="422" spans="1:31" hidden="1" x14ac:dyDescent="0.25">
      <c r="A422" s="438"/>
      <c r="B422" s="438"/>
      <c r="C422" s="449"/>
      <c r="D422" s="424"/>
      <c r="E422" s="450" t="s">
        <v>210</v>
      </c>
      <c r="F422" s="437"/>
      <c r="G422" s="437"/>
      <c r="H422" s="437"/>
      <c r="I422" s="437"/>
      <c r="J422" s="437"/>
      <c r="K422" s="437"/>
      <c r="L422" s="437"/>
      <c r="M422" s="437"/>
      <c r="N422" s="437"/>
      <c r="O422" s="437"/>
      <c r="P422" s="438"/>
      <c r="Q422" s="438"/>
      <c r="R422" s="438"/>
      <c r="S422" s="438"/>
      <c r="T422" s="438"/>
      <c r="U422" s="438"/>
      <c r="V422" s="438"/>
      <c r="Z422" s="439"/>
      <c r="AA422" s="439"/>
      <c r="AB422" s="439"/>
      <c r="AC422" s="439"/>
      <c r="AD422" s="439"/>
      <c r="AE422" s="439"/>
    </row>
    <row r="423" spans="1:31" hidden="1" x14ac:dyDescent="0.25">
      <c r="A423" s="438" t="str">
        <f>IF(AND(F425=G425,H425=I425,J425=K425,F425="A"),"2016 - kwh",IF(AND(F425=G425,H425=I425,J425&lt;&gt;K425,F425="A"),"2017 - kwh",IF(AND(F425=G425,H425&lt;&gt;I425,F425="A"),"2018 - kwh","N/A")))</f>
        <v>N/A</v>
      </c>
      <c r="B423" s="438" t="str">
        <f>IF(F425&lt;&gt;G425,"2018 - kwh",IF(H425&lt;&gt;I425,"2017 - kwh",IF(J425&lt;&gt;K425,"2016 - kwh","N/A")))</f>
        <v>N/A</v>
      </c>
      <c r="C423" s="443" t="s">
        <v>340</v>
      </c>
      <c r="D423" s="444"/>
      <c r="E423" s="445" t="s">
        <v>139</v>
      </c>
      <c r="F423" s="361"/>
      <c r="G423" s="361"/>
      <c r="H423" s="361"/>
      <c r="I423" s="361"/>
      <c r="J423" s="361"/>
      <c r="K423" s="361"/>
      <c r="L423" s="361"/>
      <c r="M423" s="361"/>
      <c r="N423" s="361"/>
      <c r="O423" s="361"/>
      <c r="P423" s="438"/>
      <c r="Q423" s="438"/>
      <c r="R423" s="438"/>
      <c r="S423" s="438"/>
      <c r="T423" s="438"/>
      <c r="U423" s="438"/>
      <c r="V423" s="438"/>
      <c r="Z423" s="439"/>
      <c r="AA423" s="439" t="str">
        <f>IF(AND(F425=G425,H425=I425,F425="A"),"2016 - kwh","")</f>
        <v/>
      </c>
      <c r="AB423" s="439" t="str">
        <f>IF(OR(B423="2017 - kwh",B423="2018 - kwh"),"2016 - kwh","")</f>
        <v/>
      </c>
      <c r="AC423" s="439"/>
      <c r="AD423" s="439"/>
      <c r="AE423" s="439"/>
    </row>
    <row r="424" spans="1:31" hidden="1" x14ac:dyDescent="0.25">
      <c r="A424" s="438" t="str">
        <f>IF(AND(F425=G425,H425=I425,J425=K425,F425="A"),"2016 - kw",IF(AND(F425=G425,H425=I425,J425&lt;&gt;K425,F425="A"),"2017 - kw",IF(AND(F425=G425,H425&lt;&gt;I425,F425="A"),"2018 - kw","N/A")))</f>
        <v>N/A</v>
      </c>
      <c r="B424" s="438" t="str">
        <f>IF(F425&lt;&gt;G425,"2018 - kw",IF(H425&lt;&gt;I425,"2017 - kw",IF(J425&lt;&gt;K425,"2016 - kw","N/A")))</f>
        <v>N/A</v>
      </c>
      <c r="C424" s="446"/>
      <c r="D424" s="447" t="str">
        <f>D423 &amp; "kW"</f>
        <v>kW</v>
      </c>
      <c r="E424" s="448" t="s">
        <v>170</v>
      </c>
      <c r="F424" s="361"/>
      <c r="G424" s="361"/>
      <c r="H424" s="361"/>
      <c r="I424" s="361"/>
      <c r="J424" s="361"/>
      <c r="K424" s="361"/>
      <c r="L424" s="361"/>
      <c r="M424" s="361"/>
      <c r="N424" s="361"/>
      <c r="O424" s="361"/>
      <c r="P424" s="438"/>
      <c r="Q424" s="438"/>
      <c r="R424" s="438"/>
      <c r="S424" s="438"/>
      <c r="T424" s="438"/>
      <c r="U424" s="438"/>
      <c r="V424" s="438"/>
      <c r="Z424" s="439"/>
      <c r="AA424" s="439" t="str">
        <f>IF(AND(F425=G425,H425=I425,F425="A"),"2016 - kw","")</f>
        <v/>
      </c>
      <c r="AB424" s="439" t="str">
        <f>IF(OR(B424="2017 - kw",B424="2018 - kw"),"2016 - kw","")</f>
        <v/>
      </c>
      <c r="AC424" s="439"/>
      <c r="AD424" s="439"/>
      <c r="AE424" s="439"/>
    </row>
    <row r="425" spans="1:31" hidden="1" x14ac:dyDescent="0.25">
      <c r="A425" s="438"/>
      <c r="B425" s="438"/>
      <c r="C425" s="449"/>
      <c r="D425" s="424"/>
      <c r="E425" s="450" t="s">
        <v>210</v>
      </c>
      <c r="F425" s="437"/>
      <c r="G425" s="437"/>
      <c r="H425" s="437"/>
      <c r="I425" s="437"/>
      <c r="J425" s="437"/>
      <c r="K425" s="437"/>
      <c r="L425" s="437"/>
      <c r="M425" s="437"/>
      <c r="N425" s="437"/>
      <c r="O425" s="437"/>
      <c r="P425" s="438"/>
      <c r="Q425" s="438"/>
      <c r="R425" s="438"/>
      <c r="S425" s="438"/>
      <c r="T425" s="438"/>
      <c r="U425" s="438"/>
      <c r="V425" s="438"/>
      <c r="Z425" s="439"/>
      <c r="AA425" s="439"/>
      <c r="AB425" s="439"/>
      <c r="AC425" s="439"/>
      <c r="AD425" s="439"/>
      <c r="AE425" s="439"/>
    </row>
    <row r="426" spans="1:31" hidden="1" x14ac:dyDescent="0.25">
      <c r="A426" s="438" t="str">
        <f>IF(AND(F428=G428,H428=I428,J428=K428,F428="A"),"2016 - kwh",IF(AND(F428=G428,H428=I428,J428&lt;&gt;K428,F428="A"),"2017 - kwh",IF(AND(F428=G428,H428&lt;&gt;I428,F428="A"),"2018 - kwh","N/A")))</f>
        <v>N/A</v>
      </c>
      <c r="B426" s="438" t="str">
        <f>IF(F428&lt;&gt;G428,"2018 - kwh",IF(H428&lt;&gt;I428,"2017 - kwh",IF(J428&lt;&gt;K428,"2016 - kwh","N/A")))</f>
        <v>N/A</v>
      </c>
      <c r="C426" s="443" t="s">
        <v>341</v>
      </c>
      <c r="D426" s="444"/>
      <c r="E426" s="445" t="s">
        <v>139</v>
      </c>
      <c r="F426" s="361"/>
      <c r="G426" s="361"/>
      <c r="H426" s="361"/>
      <c r="I426" s="361"/>
      <c r="J426" s="361"/>
      <c r="K426" s="361"/>
      <c r="L426" s="361"/>
      <c r="M426" s="361"/>
      <c r="N426" s="361"/>
      <c r="O426" s="361"/>
      <c r="P426" s="438"/>
      <c r="Q426" s="438"/>
      <c r="R426" s="438"/>
      <c r="S426" s="438"/>
      <c r="T426" s="438"/>
      <c r="U426" s="438"/>
      <c r="V426" s="438"/>
      <c r="Z426" s="439"/>
      <c r="AA426" s="439" t="str">
        <f>IF(AND(F428=G428,H428=I428,F428="A"),"2016 - kwh","")</f>
        <v/>
      </c>
      <c r="AB426" s="439" t="str">
        <f>IF(OR(B426="2017 - kwh",B426="2018 - kwh"),"2016 - kwh","")</f>
        <v/>
      </c>
      <c r="AC426" s="439"/>
      <c r="AD426" s="439"/>
      <c r="AE426" s="439"/>
    </row>
    <row r="427" spans="1:31" hidden="1" x14ac:dyDescent="0.25">
      <c r="A427" s="438" t="str">
        <f>IF(AND(F428=G428,H428=I428,J428=K428,F428="A"),"2016 - kw",IF(AND(F428=G428,H428=I428,J428&lt;&gt;K428,F428="A"),"2017 - kw",IF(AND(F428=G428,H428&lt;&gt;I428,F428="A"),"2018 - kw","N/A")))</f>
        <v>N/A</v>
      </c>
      <c r="B427" s="438" t="str">
        <f>IF(F428&lt;&gt;G428,"2018 - kw",IF(H428&lt;&gt;I428,"2017 - kw",IF(J428&lt;&gt;K428,"2016 - kw","N/A")))</f>
        <v>N/A</v>
      </c>
      <c r="C427" s="446"/>
      <c r="D427" s="447" t="str">
        <f>D426 &amp; "kW"</f>
        <v>kW</v>
      </c>
      <c r="E427" s="448" t="s">
        <v>170</v>
      </c>
      <c r="F427" s="361"/>
      <c r="G427" s="361"/>
      <c r="H427" s="361"/>
      <c r="I427" s="361"/>
      <c r="J427" s="361"/>
      <c r="K427" s="361"/>
      <c r="L427" s="361"/>
      <c r="M427" s="361"/>
      <c r="N427" s="361"/>
      <c r="O427" s="361"/>
      <c r="P427" s="438"/>
      <c r="Q427" s="438"/>
      <c r="R427" s="438"/>
      <c r="S427" s="438"/>
      <c r="T427" s="438"/>
      <c r="U427" s="438"/>
      <c r="V427" s="438"/>
      <c r="Z427" s="439"/>
      <c r="AA427" s="439" t="str">
        <f>IF(AND(F428=G428,H428=I428,F428="A"),"2016 - kw","")</f>
        <v/>
      </c>
      <c r="AB427" s="439" t="str">
        <f>IF(OR(B427="2017 - kw",B427="2018 - kw"),"2016 - kw","")</f>
        <v/>
      </c>
      <c r="AC427" s="439"/>
      <c r="AD427" s="439"/>
      <c r="AE427" s="439"/>
    </row>
    <row r="428" spans="1:31" hidden="1" x14ac:dyDescent="0.25">
      <c r="A428" s="438"/>
      <c r="B428" s="438"/>
      <c r="C428" s="449"/>
      <c r="D428" s="424"/>
      <c r="E428" s="450" t="s">
        <v>210</v>
      </c>
      <c r="F428" s="437"/>
      <c r="G428" s="437"/>
      <c r="H428" s="437"/>
      <c r="I428" s="437"/>
      <c r="J428" s="437"/>
      <c r="K428" s="437"/>
      <c r="L428" s="437"/>
      <c r="M428" s="437"/>
      <c r="N428" s="437"/>
      <c r="O428" s="437"/>
      <c r="P428" s="438"/>
      <c r="Q428" s="438"/>
      <c r="R428" s="438"/>
      <c r="S428" s="438"/>
      <c r="T428" s="438"/>
      <c r="U428" s="438"/>
      <c r="V428" s="438"/>
      <c r="Z428" s="439"/>
      <c r="AA428" s="439"/>
      <c r="AB428" s="439"/>
      <c r="AC428" s="439"/>
      <c r="AD428" s="439"/>
      <c r="AE428" s="439"/>
    </row>
    <row r="429" spans="1:31" hidden="1" x14ac:dyDescent="0.25">
      <c r="A429" s="438" t="str">
        <f>IF(AND(F431=G431,H431=I431,J431=K431,F431="A"),"2016 - kwh",IF(AND(F431=G431,H431=I431,J431&lt;&gt;K431,F431="A"),"2017 - kwh",IF(AND(F431=G431,H431&lt;&gt;I431,F431="A"),"2018 - kwh","N/A")))</f>
        <v>N/A</v>
      </c>
      <c r="B429" s="438" t="str">
        <f>IF(F431&lt;&gt;G431,"2018 - kwh",IF(H431&lt;&gt;I431,"2017 - kwh",IF(J431&lt;&gt;K431,"2016 - kwh","N/A")))</f>
        <v>N/A</v>
      </c>
      <c r="C429" s="443" t="s">
        <v>342</v>
      </c>
      <c r="D429" s="444"/>
      <c r="E429" s="445" t="s">
        <v>139</v>
      </c>
      <c r="F429" s="361"/>
      <c r="G429" s="361"/>
      <c r="H429" s="361"/>
      <c r="I429" s="361"/>
      <c r="J429" s="361"/>
      <c r="K429" s="361"/>
      <c r="L429" s="361"/>
      <c r="M429" s="361"/>
      <c r="N429" s="361"/>
      <c r="O429" s="361"/>
      <c r="P429" s="438"/>
      <c r="Q429" s="438"/>
      <c r="R429" s="438"/>
      <c r="S429" s="438"/>
      <c r="T429" s="438"/>
      <c r="U429" s="438"/>
      <c r="V429" s="438"/>
      <c r="Z429" s="439"/>
      <c r="AA429" s="439" t="str">
        <f>IF(AND(F431=G431,H431=I431,F431="A"),"2016 - kwh","")</f>
        <v/>
      </c>
      <c r="AB429" s="439" t="str">
        <f>IF(OR(B429="2017 - kwh",B429="2018 - kwh"),"2016 - kwh","")</f>
        <v/>
      </c>
      <c r="AC429" s="439"/>
      <c r="AD429" s="439"/>
      <c r="AE429" s="439"/>
    </row>
    <row r="430" spans="1:31" hidden="1" x14ac:dyDescent="0.25">
      <c r="A430" s="438" t="str">
        <f>IF(AND(F431=G431,H431=I431,J431=K431,F431="A"),"2016 - kw",IF(AND(F431=G431,H431=I431,J431&lt;&gt;K431,F431="A"),"2017 - kw",IF(AND(F431=G431,H431&lt;&gt;I431,F431="A"),"2018 - kw","N/A")))</f>
        <v>N/A</v>
      </c>
      <c r="B430" s="438" t="str">
        <f>IF(F431&lt;&gt;G431,"2018 - kw",IF(H431&lt;&gt;I431,"2017 - kw",IF(J431&lt;&gt;K431,"2016 - kw","N/A")))</f>
        <v>N/A</v>
      </c>
      <c r="C430" s="446"/>
      <c r="D430" s="447" t="str">
        <f>D429 &amp; "kW"</f>
        <v>kW</v>
      </c>
      <c r="E430" s="448" t="s">
        <v>170</v>
      </c>
      <c r="F430" s="361"/>
      <c r="G430" s="361"/>
      <c r="H430" s="361"/>
      <c r="I430" s="361"/>
      <c r="J430" s="361"/>
      <c r="K430" s="361"/>
      <c r="L430" s="361"/>
      <c r="M430" s="361"/>
      <c r="N430" s="361"/>
      <c r="O430" s="361"/>
      <c r="P430" s="438"/>
      <c r="Q430" s="438"/>
      <c r="R430" s="438"/>
      <c r="S430" s="438"/>
      <c r="T430" s="438"/>
      <c r="U430" s="438"/>
      <c r="V430" s="438"/>
      <c r="Z430" s="439"/>
      <c r="AA430" s="439" t="str">
        <f>IF(AND(F431=G431,H431=I431,F431="A"),"2016 - kw","")</f>
        <v/>
      </c>
      <c r="AB430" s="439" t="str">
        <f>IF(OR(B430="2017 - kw",B430="2018 - kw"),"2016 - kw","")</f>
        <v/>
      </c>
      <c r="AC430" s="439"/>
      <c r="AD430" s="439"/>
      <c r="AE430" s="439"/>
    </row>
    <row r="431" spans="1:31" hidden="1" x14ac:dyDescent="0.25">
      <c r="A431" s="438"/>
      <c r="B431" s="438"/>
      <c r="C431" s="449"/>
      <c r="D431" s="451"/>
      <c r="E431" s="450" t="s">
        <v>210</v>
      </c>
      <c r="F431" s="437"/>
      <c r="G431" s="437"/>
      <c r="H431" s="437"/>
      <c r="I431" s="437"/>
      <c r="J431" s="437"/>
      <c r="K431" s="437"/>
      <c r="L431" s="437"/>
      <c r="M431" s="437"/>
      <c r="N431" s="437"/>
      <c r="O431" s="437"/>
      <c r="P431" s="438"/>
      <c r="Q431" s="438"/>
      <c r="R431" s="438"/>
      <c r="S431" s="438"/>
      <c r="T431" s="438"/>
      <c r="U431" s="438"/>
      <c r="V431" s="438"/>
      <c r="Z431" s="439"/>
      <c r="AA431" s="439"/>
      <c r="AB431" s="439"/>
      <c r="AC431" s="439"/>
      <c r="AD431" s="439"/>
      <c r="AE431" s="439"/>
    </row>
    <row r="432" spans="1:31" hidden="1" x14ac:dyDescent="0.25">
      <c r="A432" s="438" t="str">
        <f>IF(AND(F434=G434,H434=I434,J434=K434,F434="A"),"2016 - kwh",IF(AND(F434=G434,H434=I434,J434&lt;&gt;K434,F434="A"),"2017 - kwh",IF(AND(F434=G434,H434&lt;&gt;I434,F434="A"),"2018 - kwh","N/A")))</f>
        <v>N/A</v>
      </c>
      <c r="B432" s="438" t="str">
        <f>IF(F434&lt;&gt;G434,"2018 - kwh",IF(H434&lt;&gt;I434,"2017 - kwh",IF(J434&lt;&gt;K434,"2016 - kwh","N/A")))</f>
        <v>N/A</v>
      </c>
      <c r="C432" s="443" t="s">
        <v>343</v>
      </c>
      <c r="D432" s="444"/>
      <c r="E432" s="445" t="s">
        <v>139</v>
      </c>
      <c r="F432" s="361"/>
      <c r="G432" s="361"/>
      <c r="H432" s="361"/>
      <c r="I432" s="361"/>
      <c r="J432" s="361"/>
      <c r="K432" s="361"/>
      <c r="L432" s="361"/>
      <c r="M432" s="361"/>
      <c r="N432" s="361"/>
      <c r="O432" s="361"/>
      <c r="P432" s="438"/>
      <c r="Q432" s="438"/>
      <c r="R432" s="438"/>
      <c r="S432" s="438"/>
      <c r="T432" s="438"/>
      <c r="U432" s="438"/>
      <c r="V432" s="438"/>
      <c r="Z432" s="439"/>
      <c r="AA432" s="439" t="str">
        <f>IF(AND(F434=G434,H434=I434,F434="A"),"2016 - kwh","")</f>
        <v/>
      </c>
      <c r="AB432" s="439" t="str">
        <f>IF(OR(B432="2017 - kwh",B432="2018 - kwh"),"2016 - kwh","")</f>
        <v/>
      </c>
      <c r="AC432" s="439"/>
      <c r="AD432" s="439"/>
      <c r="AE432" s="439"/>
    </row>
    <row r="433" spans="1:31" hidden="1" x14ac:dyDescent="0.25">
      <c r="A433" s="438" t="str">
        <f>IF(AND(F434=G434,H434=I434,J434=K434,F434="A"),"2016 - kw",IF(AND(F434=G434,H434=I434,J434&lt;&gt;K434,F434="A"),"2017 - kw",IF(AND(F434=G434,H434&lt;&gt;I434,F434="A"),"2018 - kw","N/A")))</f>
        <v>N/A</v>
      </c>
      <c r="B433" s="438" t="str">
        <f>IF(F434&lt;&gt;G434,"2018 - kw",IF(H434&lt;&gt;I434,"2017 - kw",IF(J434&lt;&gt;K434,"2016 - kw","N/A")))</f>
        <v>N/A</v>
      </c>
      <c r="C433" s="446"/>
      <c r="D433" s="447" t="str">
        <f>D432 &amp; "kW"</f>
        <v>kW</v>
      </c>
      <c r="E433" s="448" t="s">
        <v>170</v>
      </c>
      <c r="F433" s="361"/>
      <c r="G433" s="361"/>
      <c r="H433" s="361"/>
      <c r="I433" s="361"/>
      <c r="J433" s="361"/>
      <c r="K433" s="361"/>
      <c r="L433" s="361"/>
      <c r="M433" s="361"/>
      <c r="N433" s="361"/>
      <c r="O433" s="361"/>
      <c r="P433" s="438"/>
      <c r="Q433" s="438"/>
      <c r="R433" s="438"/>
      <c r="S433" s="438"/>
      <c r="T433" s="438"/>
      <c r="U433" s="438"/>
      <c r="V433" s="438"/>
      <c r="Z433" s="439"/>
      <c r="AA433" s="439" t="str">
        <f>IF(AND(F434=G434,H434=I434,F434="A"),"2016 - kw","")</f>
        <v/>
      </c>
      <c r="AB433" s="439" t="str">
        <f>IF(OR(B433="2017 - kw",B433="2018 - kw"),"2016 - kw","")</f>
        <v/>
      </c>
      <c r="AC433" s="439"/>
      <c r="AD433" s="439"/>
      <c r="AE433" s="439"/>
    </row>
    <row r="434" spans="1:31" hidden="1" x14ac:dyDescent="0.25">
      <c r="A434" s="438"/>
      <c r="B434" s="438"/>
      <c r="C434" s="449"/>
      <c r="D434" s="424"/>
      <c r="E434" s="450" t="s">
        <v>210</v>
      </c>
      <c r="F434" s="437"/>
      <c r="G434" s="437"/>
      <c r="H434" s="437"/>
      <c r="I434" s="437"/>
      <c r="J434" s="437"/>
      <c r="K434" s="437"/>
      <c r="L434" s="437"/>
      <c r="M434" s="437"/>
      <c r="N434" s="437"/>
      <c r="O434" s="437"/>
      <c r="P434" s="438"/>
      <c r="Q434" s="438"/>
      <c r="R434" s="438"/>
      <c r="S434" s="438"/>
      <c r="T434" s="438"/>
      <c r="U434" s="438"/>
      <c r="V434" s="438"/>
      <c r="Z434" s="439"/>
      <c r="AA434" s="439"/>
      <c r="AB434" s="439"/>
      <c r="AC434" s="439"/>
      <c r="AD434" s="439"/>
      <c r="AE434" s="439"/>
    </row>
    <row r="435" spans="1:31" hidden="1" x14ac:dyDescent="0.25">
      <c r="A435" s="438" t="str">
        <f>IF(AND(F437=G437,H437=I437,J437=K437,F437="A"),"2016 - kwh",IF(AND(F437=G437,H437=I437,J437&lt;&gt;K437,F437="A"),"2017 - kwh",IF(AND(F437=G437,H437&lt;&gt;I437,F437="A"),"2018 - kwh","N/A")))</f>
        <v>N/A</v>
      </c>
      <c r="B435" s="438" t="str">
        <f>IF(F437&lt;&gt;G437,"2018 - kwh",IF(H437&lt;&gt;I437,"2017 - kwh",IF(J437&lt;&gt;K437,"2016 - kwh","N/A")))</f>
        <v>N/A</v>
      </c>
      <c r="C435" s="443" t="s">
        <v>344</v>
      </c>
      <c r="D435" s="444"/>
      <c r="E435" s="445" t="s">
        <v>139</v>
      </c>
      <c r="F435" s="361"/>
      <c r="G435" s="361"/>
      <c r="H435" s="361"/>
      <c r="I435" s="361"/>
      <c r="J435" s="361"/>
      <c r="K435" s="361"/>
      <c r="L435" s="361"/>
      <c r="M435" s="361"/>
      <c r="N435" s="361"/>
      <c r="O435" s="361"/>
      <c r="P435" s="438"/>
      <c r="Q435" s="438"/>
      <c r="R435" s="438"/>
      <c r="S435" s="438"/>
      <c r="T435" s="438"/>
      <c r="U435" s="438"/>
      <c r="V435" s="438"/>
      <c r="Z435" s="439"/>
      <c r="AA435" s="439" t="str">
        <f>IF(AND(F437=G437,H437=I437,F437="A"),"2016 - kwh","")</f>
        <v/>
      </c>
      <c r="AB435" s="439" t="str">
        <f>IF(OR(B435="2017 - kwh",B435="2018 - kwh"),"2016 - kwh","")</f>
        <v/>
      </c>
      <c r="AC435" s="439"/>
      <c r="AD435" s="439"/>
      <c r="AE435" s="439"/>
    </row>
    <row r="436" spans="1:31" hidden="1" x14ac:dyDescent="0.25">
      <c r="A436" s="438" t="str">
        <f>IF(AND(F437=G437,H437=I437,J437=K437,F437="A"),"2016 - kw",IF(AND(F437=G437,H437=I437,J437&lt;&gt;K437,F437="A"),"2017 - kw",IF(AND(F437=G437,H437&lt;&gt;I437,F437="A"),"2018 - kw","N/A")))</f>
        <v>N/A</v>
      </c>
      <c r="B436" s="438" t="str">
        <f>IF(F437&lt;&gt;G437,"2018 - kw",IF(H437&lt;&gt;I437,"2017 - kw",IF(J437&lt;&gt;K437,"2016 - kw","N/A")))</f>
        <v>N/A</v>
      </c>
      <c r="C436" s="446"/>
      <c r="D436" s="447" t="str">
        <f>D435 &amp; "kW"</f>
        <v>kW</v>
      </c>
      <c r="E436" s="448" t="s">
        <v>170</v>
      </c>
      <c r="F436" s="361"/>
      <c r="G436" s="361"/>
      <c r="H436" s="361"/>
      <c r="I436" s="361"/>
      <c r="J436" s="361"/>
      <c r="K436" s="361"/>
      <c r="L436" s="361"/>
      <c r="M436" s="361"/>
      <c r="N436" s="361"/>
      <c r="O436" s="361"/>
      <c r="P436" s="438"/>
      <c r="Q436" s="438"/>
      <c r="R436" s="438"/>
      <c r="S436" s="438"/>
      <c r="T436" s="438"/>
      <c r="U436" s="438"/>
      <c r="V436" s="438"/>
      <c r="Z436" s="439"/>
      <c r="AA436" s="439" t="str">
        <f>IF(AND(F437=G437,H437=I437,F437="A"),"2016 - kw","")</f>
        <v/>
      </c>
      <c r="AB436" s="439" t="str">
        <f>IF(OR(B436="2017 - kw",B436="2018 - kw"),"2016 - kw","")</f>
        <v/>
      </c>
      <c r="AC436" s="439"/>
      <c r="AD436" s="439"/>
      <c r="AE436" s="439"/>
    </row>
    <row r="437" spans="1:31" hidden="1" x14ac:dyDescent="0.25">
      <c r="A437" s="438"/>
      <c r="B437" s="438"/>
      <c r="C437" s="449"/>
      <c r="D437" s="424"/>
      <c r="E437" s="450" t="s">
        <v>210</v>
      </c>
      <c r="F437" s="437"/>
      <c r="G437" s="437"/>
      <c r="H437" s="437"/>
      <c r="I437" s="437"/>
      <c r="J437" s="437"/>
      <c r="K437" s="437"/>
      <c r="L437" s="437"/>
      <c r="M437" s="437"/>
      <c r="N437" s="437"/>
      <c r="O437" s="437"/>
      <c r="P437" s="438"/>
      <c r="Q437" s="438"/>
      <c r="R437" s="438"/>
      <c r="S437" s="438"/>
      <c r="T437" s="438"/>
      <c r="U437" s="438"/>
      <c r="V437" s="438"/>
      <c r="Z437" s="439"/>
      <c r="AA437" s="439"/>
      <c r="AB437" s="439"/>
      <c r="AC437" s="439"/>
      <c r="AD437" s="439"/>
      <c r="AE437" s="439"/>
    </row>
    <row r="438" spans="1:31" hidden="1" x14ac:dyDescent="0.25">
      <c r="A438" s="438" t="str">
        <f>IF(AND(F440=G440,H440=I440,J440=K440,F440="A"),"2016 - kwh",IF(AND(F440=G440,H440=I440,J440&lt;&gt;K440,F440="A"),"2017 - kwh",IF(AND(F440=G440,H440&lt;&gt;I440,F440="A"),"2018 - kwh","N/A")))</f>
        <v>N/A</v>
      </c>
      <c r="B438" s="438" t="str">
        <f>IF(F440&lt;&gt;G440,"2018 - kwh",IF(H440&lt;&gt;I440,"2017 - kwh",IF(J440&lt;&gt;K440,"2016 - kwh","N/A")))</f>
        <v>N/A</v>
      </c>
      <c r="C438" s="443" t="s">
        <v>345</v>
      </c>
      <c r="D438" s="444"/>
      <c r="E438" s="445" t="s">
        <v>139</v>
      </c>
      <c r="F438" s="361"/>
      <c r="G438" s="361"/>
      <c r="H438" s="361"/>
      <c r="I438" s="361"/>
      <c r="J438" s="361"/>
      <c r="K438" s="361"/>
      <c r="L438" s="361"/>
      <c r="M438" s="361"/>
      <c r="N438" s="361"/>
      <c r="O438" s="361"/>
      <c r="P438" s="438"/>
      <c r="Q438" s="438"/>
      <c r="R438" s="438"/>
      <c r="S438" s="438"/>
      <c r="T438" s="438"/>
      <c r="U438" s="438"/>
      <c r="V438" s="438"/>
      <c r="Z438" s="439"/>
      <c r="AA438" s="439" t="str">
        <f>IF(AND(F440=G440,H440=I440,F440="A"),"2016 - kwh","")</f>
        <v/>
      </c>
      <c r="AB438" s="439" t="str">
        <f>IF(OR(B438="2017 - kwh",B438="2018 - kwh"),"2016 - kwh","")</f>
        <v/>
      </c>
      <c r="AC438" s="439"/>
      <c r="AD438" s="439"/>
      <c r="AE438" s="439"/>
    </row>
    <row r="439" spans="1:31" hidden="1" x14ac:dyDescent="0.25">
      <c r="A439" s="438" t="str">
        <f>IF(AND(F440=G440,H440=I440,J440=K440,F440="A"),"2016 - kw",IF(AND(F440=G440,H440=I440,J440&lt;&gt;K440,F440="A"),"2017 - kw",IF(AND(F440=G440,H440&lt;&gt;I440,F440="A"),"2018 - kw","N/A")))</f>
        <v>N/A</v>
      </c>
      <c r="B439" s="438" t="str">
        <f>IF(F440&lt;&gt;G440,"2018 - kw",IF(H440&lt;&gt;I440,"2017 - kw",IF(J440&lt;&gt;K440,"2016 - kw","N/A")))</f>
        <v>N/A</v>
      </c>
      <c r="C439" s="446"/>
      <c r="D439" s="447" t="str">
        <f>D438 &amp; "kW"</f>
        <v>kW</v>
      </c>
      <c r="E439" s="448" t="s">
        <v>170</v>
      </c>
      <c r="F439" s="361"/>
      <c r="G439" s="361"/>
      <c r="H439" s="361"/>
      <c r="I439" s="361"/>
      <c r="J439" s="361"/>
      <c r="K439" s="361"/>
      <c r="L439" s="361"/>
      <c r="M439" s="361"/>
      <c r="N439" s="361"/>
      <c r="O439" s="361"/>
      <c r="P439" s="438"/>
      <c r="Q439" s="438"/>
      <c r="R439" s="438"/>
      <c r="S439" s="438"/>
      <c r="T439" s="438"/>
      <c r="U439" s="438"/>
      <c r="V439" s="438"/>
      <c r="Z439" s="439"/>
      <c r="AA439" s="439" t="str">
        <f>IF(AND(F440=G440,H440=I440,F440="A"),"2016 - kw","")</f>
        <v/>
      </c>
      <c r="AB439" s="439" t="str">
        <f>IF(OR(B439="2017 - kw",B439="2018 - kw"),"2016 - kw","")</f>
        <v/>
      </c>
      <c r="AC439" s="439"/>
      <c r="AD439" s="439"/>
      <c r="AE439" s="439"/>
    </row>
    <row r="440" spans="1:31" hidden="1" x14ac:dyDescent="0.25">
      <c r="A440" s="438"/>
      <c r="B440" s="438"/>
      <c r="C440" s="449"/>
      <c r="D440" s="424"/>
      <c r="E440" s="450" t="s">
        <v>210</v>
      </c>
      <c r="F440" s="437"/>
      <c r="G440" s="437"/>
      <c r="H440" s="437"/>
      <c r="I440" s="437"/>
      <c r="J440" s="437"/>
      <c r="K440" s="437"/>
      <c r="L440" s="437"/>
      <c r="M440" s="437"/>
      <c r="N440" s="437"/>
      <c r="O440" s="437"/>
      <c r="P440" s="438"/>
      <c r="Q440" s="438"/>
      <c r="R440" s="438"/>
      <c r="S440" s="438"/>
      <c r="T440" s="438"/>
      <c r="U440" s="438"/>
      <c r="V440" s="438"/>
      <c r="Z440" s="439"/>
      <c r="AA440" s="439"/>
      <c r="AB440" s="439"/>
      <c r="AC440" s="439"/>
      <c r="AD440" s="439"/>
      <c r="AE440" s="439"/>
    </row>
    <row r="441" spans="1:31" hidden="1" x14ac:dyDescent="0.25">
      <c r="A441" s="438" t="str">
        <f>IF(AND(F443=G443,H443=I443,J443=K443,F443="A"),"2016 - kwh",IF(AND(F443=G443,H443=I443,J443&lt;&gt;K443,F443="A"),"2017 - kwh",IF(AND(F443=G443,H443&lt;&gt;I443,F443="A"),"2018 - kwh","N/A")))</f>
        <v>N/A</v>
      </c>
      <c r="B441" s="438" t="str">
        <f>IF(F443&lt;&gt;G443,"2018 - kwh",IF(H443&lt;&gt;I443,"2017 - kwh",IF(J443&lt;&gt;K443,"2016 - kwh","N/A")))</f>
        <v>N/A</v>
      </c>
      <c r="C441" s="443" t="s">
        <v>346</v>
      </c>
      <c r="D441" s="444"/>
      <c r="E441" s="445" t="s">
        <v>139</v>
      </c>
      <c r="F441" s="361"/>
      <c r="G441" s="361"/>
      <c r="H441" s="361"/>
      <c r="I441" s="361"/>
      <c r="J441" s="361"/>
      <c r="K441" s="361"/>
      <c r="L441" s="361"/>
      <c r="M441" s="361"/>
      <c r="N441" s="361"/>
      <c r="O441" s="361"/>
      <c r="P441" s="438"/>
      <c r="Q441" s="438"/>
      <c r="R441" s="438"/>
      <c r="S441" s="438"/>
      <c r="T441" s="438"/>
      <c r="U441" s="438"/>
      <c r="V441" s="438"/>
      <c r="Z441" s="439"/>
      <c r="AA441" s="439" t="str">
        <f>IF(AND(F443=G443,H443=I443,F443="A"),"2016 - kwh","")</f>
        <v/>
      </c>
      <c r="AB441" s="439" t="str">
        <f>IF(OR(B441="2017 - kwh",B441="2018 - kwh"),"2016 - kwh","")</f>
        <v/>
      </c>
      <c r="AC441" s="439"/>
      <c r="AD441" s="439"/>
      <c r="AE441" s="439"/>
    </row>
    <row r="442" spans="1:31" hidden="1" x14ac:dyDescent="0.25">
      <c r="A442" s="438" t="str">
        <f>IF(AND(F443=G443,H443=I443,J443=K443,F443="A"),"2016 - kw",IF(AND(F443=G443,H443=I443,J443&lt;&gt;K443,F443="A"),"2017 - kw",IF(AND(F443=G443,H443&lt;&gt;I443,F443="A"),"2018 - kw","N/A")))</f>
        <v>N/A</v>
      </c>
      <c r="B442" s="438" t="str">
        <f>IF(F443&lt;&gt;G443,"2018 - kw",IF(H443&lt;&gt;I443,"2017 - kw",IF(J443&lt;&gt;K443,"2016 - kw","N/A")))</f>
        <v>N/A</v>
      </c>
      <c r="C442" s="446"/>
      <c r="D442" s="447" t="str">
        <f>D441 &amp; "kW"</f>
        <v>kW</v>
      </c>
      <c r="E442" s="448" t="s">
        <v>170</v>
      </c>
      <c r="F442" s="361"/>
      <c r="G442" s="361"/>
      <c r="H442" s="361"/>
      <c r="I442" s="361"/>
      <c r="J442" s="361"/>
      <c r="K442" s="361"/>
      <c r="L442" s="361"/>
      <c r="M442" s="361"/>
      <c r="N442" s="361"/>
      <c r="O442" s="361"/>
      <c r="P442" s="438"/>
      <c r="Q442" s="438"/>
      <c r="R442" s="438"/>
      <c r="S442" s="438"/>
      <c r="T442" s="438"/>
      <c r="U442" s="438"/>
      <c r="V442" s="438"/>
      <c r="Z442" s="439"/>
      <c r="AA442" s="439" t="str">
        <f>IF(AND(F443=G443,H443=I443,F443="A"),"2016 - kw","")</f>
        <v/>
      </c>
      <c r="AB442" s="439" t="str">
        <f>IF(OR(B442="2017 - kw",B442="2018 - kw"),"2016 - kw","")</f>
        <v/>
      </c>
      <c r="AC442" s="439"/>
      <c r="AD442" s="439"/>
      <c r="AE442" s="439"/>
    </row>
    <row r="443" spans="1:31" hidden="1" x14ac:dyDescent="0.25">
      <c r="A443" s="438"/>
      <c r="B443" s="438"/>
      <c r="C443" s="449"/>
      <c r="D443" s="424"/>
      <c r="E443" s="450" t="s">
        <v>210</v>
      </c>
      <c r="F443" s="437"/>
      <c r="G443" s="437"/>
      <c r="H443" s="437"/>
      <c r="I443" s="437"/>
      <c r="J443" s="437"/>
      <c r="K443" s="437"/>
      <c r="L443" s="437"/>
      <c r="M443" s="437"/>
      <c r="N443" s="437"/>
      <c r="O443" s="437"/>
      <c r="P443" s="438"/>
      <c r="Q443" s="438"/>
      <c r="R443" s="438"/>
      <c r="S443" s="438"/>
      <c r="T443" s="438"/>
      <c r="U443" s="438"/>
      <c r="V443" s="438"/>
      <c r="Z443" s="439"/>
      <c r="AA443" s="439"/>
      <c r="AB443" s="439"/>
      <c r="AC443" s="439"/>
      <c r="AD443" s="439"/>
      <c r="AE443" s="439"/>
    </row>
    <row r="444" spans="1:31" hidden="1" x14ac:dyDescent="0.25">
      <c r="A444" s="438" t="str">
        <f>IF(AND(F446=G446,H446=I446,J446=K446,F446="A"),"2016 - kwh",IF(AND(F446=G446,H446=I446,J446&lt;&gt;K446,F446="A"),"2017 - kwh",IF(AND(F446=G446,H446&lt;&gt;I446,F446="A"),"2018 - kwh","N/A")))</f>
        <v>N/A</v>
      </c>
      <c r="B444" s="438" t="str">
        <f>IF(F446&lt;&gt;G446,"2018 - kwh",IF(H446&lt;&gt;I446,"2017 - kwh",IF(J446&lt;&gt;K446,"2016 - kwh","N/A")))</f>
        <v>N/A</v>
      </c>
      <c r="C444" s="443" t="s">
        <v>347</v>
      </c>
      <c r="D444" s="444"/>
      <c r="E444" s="445" t="s">
        <v>139</v>
      </c>
      <c r="F444" s="361"/>
      <c r="G444" s="361"/>
      <c r="H444" s="361"/>
      <c r="I444" s="361"/>
      <c r="J444" s="361"/>
      <c r="K444" s="361"/>
      <c r="L444" s="361"/>
      <c r="M444" s="361"/>
      <c r="N444" s="361"/>
      <c r="O444" s="361"/>
      <c r="P444" s="438"/>
      <c r="Q444" s="438"/>
      <c r="R444" s="438"/>
      <c r="S444" s="438"/>
      <c r="T444" s="438"/>
      <c r="U444" s="438"/>
      <c r="V444" s="438"/>
      <c r="Z444" s="439"/>
      <c r="AA444" s="439" t="str">
        <f>IF(AND(F446=G446,H446=I446,F446="A"),"2016 - kwh","")</f>
        <v/>
      </c>
      <c r="AB444" s="439" t="str">
        <f>IF(OR(B444="2017 - kwh",B444="2018 - kwh"),"2016 - kwh","")</f>
        <v/>
      </c>
      <c r="AC444" s="439"/>
      <c r="AD444" s="439"/>
      <c r="AE444" s="439"/>
    </row>
    <row r="445" spans="1:31" hidden="1" x14ac:dyDescent="0.25">
      <c r="A445" s="438" t="str">
        <f>IF(AND(F446=G446,H446=I446,J446=K446,F446="A"),"2016 - kw",IF(AND(F446=G446,H446=I446,J446&lt;&gt;K446,F446="A"),"2017 - kw",IF(AND(F446=G446,H446&lt;&gt;I446,F446="A"),"2018 - kw","N/A")))</f>
        <v>N/A</v>
      </c>
      <c r="B445" s="438" t="str">
        <f>IF(F446&lt;&gt;G446,"2018 - kw",IF(H446&lt;&gt;I446,"2017 - kw",IF(J446&lt;&gt;K446,"2016 - kw","N/A")))</f>
        <v>N/A</v>
      </c>
      <c r="C445" s="446"/>
      <c r="D445" s="447" t="str">
        <f>D444 &amp; "kW"</f>
        <v>kW</v>
      </c>
      <c r="E445" s="448" t="s">
        <v>170</v>
      </c>
      <c r="F445" s="361"/>
      <c r="G445" s="361"/>
      <c r="H445" s="361"/>
      <c r="I445" s="361"/>
      <c r="J445" s="361"/>
      <c r="K445" s="361"/>
      <c r="L445" s="361"/>
      <c r="M445" s="361"/>
      <c r="N445" s="361"/>
      <c r="O445" s="361"/>
      <c r="P445" s="438"/>
      <c r="Q445" s="438"/>
      <c r="R445" s="438"/>
      <c r="S445" s="438"/>
      <c r="T445" s="438"/>
      <c r="U445" s="438"/>
      <c r="V445" s="438"/>
      <c r="Z445" s="439"/>
      <c r="AA445" s="439" t="str">
        <f>IF(AND(F446=G446,H446=I446,F446="A"),"2016 - kw","")</f>
        <v/>
      </c>
      <c r="AB445" s="439" t="str">
        <f>IF(OR(B445="2017 - kw",B445="2018 - kw"),"2016 - kw","")</f>
        <v/>
      </c>
      <c r="AC445" s="439"/>
      <c r="AD445" s="439"/>
      <c r="AE445" s="439"/>
    </row>
    <row r="446" spans="1:31" hidden="1" x14ac:dyDescent="0.25">
      <c r="A446" s="438"/>
      <c r="B446" s="438"/>
      <c r="C446" s="449"/>
      <c r="D446" s="424"/>
      <c r="E446" s="450" t="s">
        <v>210</v>
      </c>
      <c r="F446" s="437"/>
      <c r="G446" s="437"/>
      <c r="H446" s="437"/>
      <c r="I446" s="437"/>
      <c r="J446" s="437"/>
      <c r="K446" s="437"/>
      <c r="L446" s="437"/>
      <c r="M446" s="437"/>
      <c r="N446" s="437"/>
      <c r="O446" s="437"/>
      <c r="P446" s="438"/>
      <c r="Q446" s="438"/>
      <c r="R446" s="438"/>
      <c r="S446" s="438"/>
      <c r="T446" s="438"/>
      <c r="U446" s="438"/>
      <c r="V446" s="438"/>
      <c r="Z446" s="439"/>
      <c r="AA446" s="439"/>
      <c r="AB446" s="439"/>
      <c r="AC446" s="439"/>
      <c r="AD446" s="439"/>
      <c r="AE446" s="439"/>
    </row>
    <row r="447" spans="1:31" hidden="1" x14ac:dyDescent="0.25">
      <c r="A447" s="438" t="str">
        <f>IF(AND(F449=G449,H449=I449,J449=K449,F449="A"),"2016 - kwh",IF(AND(F449=G449,H449=I449,J449&lt;&gt;K449,F449="A"),"2017 - kwh",IF(AND(F449=G449,H449&lt;&gt;I449,F449="A"),"2018 - kwh","N/A")))</f>
        <v>N/A</v>
      </c>
      <c r="B447" s="438" t="str">
        <f>IF(F449&lt;&gt;G449,"2018 - kwh",IF(H449&lt;&gt;I449,"2017 - kwh",IF(J449&lt;&gt;K449,"2016 - kwh","N/A")))</f>
        <v>N/A</v>
      </c>
      <c r="C447" s="443" t="s">
        <v>348</v>
      </c>
      <c r="D447" s="444"/>
      <c r="E447" s="445" t="s">
        <v>139</v>
      </c>
      <c r="F447" s="361"/>
      <c r="G447" s="361"/>
      <c r="H447" s="361"/>
      <c r="I447" s="361"/>
      <c r="J447" s="361"/>
      <c r="K447" s="361"/>
      <c r="L447" s="361"/>
      <c r="M447" s="361"/>
      <c r="N447" s="361"/>
      <c r="O447" s="361"/>
      <c r="P447" s="438"/>
      <c r="Q447" s="438"/>
      <c r="R447" s="438"/>
      <c r="S447" s="438"/>
      <c r="T447" s="438"/>
      <c r="U447" s="438"/>
      <c r="V447" s="438"/>
      <c r="Z447" s="439"/>
      <c r="AA447" s="439" t="str">
        <f>IF(AND(F449=G449,H449=I449,F449="A"),"2016 - kwh","")</f>
        <v/>
      </c>
      <c r="AB447" s="439" t="str">
        <f>IF(OR(B447="2017 - kwh",B447="2018 - kwh"),"2016 - kwh","")</f>
        <v/>
      </c>
      <c r="AC447" s="439"/>
      <c r="AD447" s="439"/>
      <c r="AE447" s="439"/>
    </row>
    <row r="448" spans="1:31" hidden="1" x14ac:dyDescent="0.25">
      <c r="A448" s="438" t="str">
        <f>IF(AND(F449=G449,H449=I449,J449=K449,F449="A"),"2016 - kw",IF(AND(F449=G449,H449=I449,J449&lt;&gt;K449,F449="A"),"2017 - kw",IF(AND(F449=G449,H449&lt;&gt;I449,F449="A"),"2018 - kw","N/A")))</f>
        <v>N/A</v>
      </c>
      <c r="B448" s="438" t="str">
        <f>IF(F449&lt;&gt;G449,"2018 - kw",IF(H449&lt;&gt;I449,"2017 - kw",IF(J449&lt;&gt;K449,"2016 - kw","N/A")))</f>
        <v>N/A</v>
      </c>
      <c r="C448" s="446"/>
      <c r="D448" s="447" t="str">
        <f>D447 &amp; "kW"</f>
        <v>kW</v>
      </c>
      <c r="E448" s="448" t="s">
        <v>170</v>
      </c>
      <c r="F448" s="361"/>
      <c r="G448" s="361"/>
      <c r="H448" s="361"/>
      <c r="I448" s="361"/>
      <c r="J448" s="361"/>
      <c r="K448" s="361"/>
      <c r="L448" s="361"/>
      <c r="M448" s="361"/>
      <c r="N448" s="361"/>
      <c r="O448" s="361"/>
      <c r="P448" s="438"/>
      <c r="Q448" s="438"/>
      <c r="R448" s="438"/>
      <c r="S448" s="438"/>
      <c r="T448" s="438"/>
      <c r="U448" s="438"/>
      <c r="V448" s="438"/>
      <c r="Z448" s="439"/>
      <c r="AA448" s="439" t="str">
        <f>IF(AND(F449=G449,H449=I449,F449="A"),"2016 - kw","")</f>
        <v/>
      </c>
      <c r="AB448" s="439" t="str">
        <f>IF(OR(B448="2017 - kw",B448="2018 - kw"),"2016 - kw","")</f>
        <v/>
      </c>
      <c r="AC448" s="439"/>
      <c r="AD448" s="439"/>
      <c r="AE448" s="439"/>
    </row>
    <row r="449" spans="1:31" hidden="1" x14ac:dyDescent="0.25">
      <c r="A449" s="438"/>
      <c r="B449" s="438"/>
      <c r="C449" s="449"/>
      <c r="D449" s="424"/>
      <c r="E449" s="450" t="s">
        <v>210</v>
      </c>
      <c r="F449" s="437"/>
      <c r="G449" s="437"/>
      <c r="H449" s="437"/>
      <c r="I449" s="437"/>
      <c r="J449" s="437"/>
      <c r="K449" s="437"/>
      <c r="L449" s="437"/>
      <c r="M449" s="437"/>
      <c r="N449" s="437"/>
      <c r="O449" s="437"/>
      <c r="P449" s="438"/>
      <c r="Q449" s="438"/>
      <c r="R449" s="438"/>
      <c r="S449" s="438"/>
      <c r="T449" s="438"/>
      <c r="U449" s="438"/>
      <c r="V449" s="438"/>
      <c r="Z449" s="439"/>
      <c r="AA449" s="439"/>
      <c r="AB449" s="439"/>
      <c r="AC449" s="439"/>
      <c r="AD449" s="439"/>
      <c r="AE449" s="439"/>
    </row>
    <row r="450" spans="1:31" hidden="1" x14ac:dyDescent="0.25">
      <c r="A450" s="438" t="str">
        <f>IF(AND(F452=G452,H452=I452,J452=K452,F452="A"),"2016 - kwh",IF(AND(F452=G452,H452=I452,J452&lt;&gt;K452,F452="A"),"2017 - kwh",IF(AND(F452=G452,H452&lt;&gt;I452,F452="A"),"2018 - kwh","N/A")))</f>
        <v>N/A</v>
      </c>
      <c r="B450" s="438" t="str">
        <f>IF(F452&lt;&gt;G452,"2018 - kwh",IF(H452&lt;&gt;I452,"2017 - kwh",IF(J452&lt;&gt;K452,"2016 - kwh","N/A")))</f>
        <v>N/A</v>
      </c>
      <c r="C450" s="443" t="s">
        <v>349</v>
      </c>
      <c r="D450" s="444"/>
      <c r="E450" s="445" t="s">
        <v>139</v>
      </c>
      <c r="F450" s="361"/>
      <c r="G450" s="361"/>
      <c r="H450" s="361"/>
      <c r="I450" s="361"/>
      <c r="J450" s="361"/>
      <c r="K450" s="361"/>
      <c r="L450" s="361"/>
      <c r="M450" s="361"/>
      <c r="N450" s="361"/>
      <c r="O450" s="361"/>
      <c r="P450" s="438"/>
      <c r="Q450" s="438"/>
      <c r="R450" s="438"/>
      <c r="S450" s="438"/>
      <c r="T450" s="438"/>
      <c r="U450" s="438"/>
      <c r="V450" s="438"/>
      <c r="Z450" s="439"/>
      <c r="AA450" s="439" t="str">
        <f>IF(AND(F452=G452,H452=I452,F452="A"),"2016 - kwh","")</f>
        <v/>
      </c>
      <c r="AB450" s="439" t="str">
        <f>IF(OR(B450="2017 - kwh",B450="2018 - kwh"),"2016 - kwh","")</f>
        <v/>
      </c>
      <c r="AC450" s="439"/>
      <c r="AD450" s="439"/>
      <c r="AE450" s="439"/>
    </row>
    <row r="451" spans="1:31" hidden="1" x14ac:dyDescent="0.25">
      <c r="A451" s="438" t="str">
        <f>IF(AND(F452=G452,H452=I452,J452=K452,F452="A"),"2016 - kw",IF(AND(F452=G452,H452=I452,J452&lt;&gt;K452,F452="A"),"2017 - kw",IF(AND(F452=G452,H452&lt;&gt;I452,F452="A"),"2018 - kw","N/A")))</f>
        <v>N/A</v>
      </c>
      <c r="B451" s="438" t="str">
        <f>IF(F452&lt;&gt;G452,"2018 - kw",IF(H452&lt;&gt;I452,"2017 - kw",IF(J452&lt;&gt;K452,"2016 - kw","N/A")))</f>
        <v>N/A</v>
      </c>
      <c r="C451" s="446"/>
      <c r="D451" s="447" t="str">
        <f>D450 &amp; "kW"</f>
        <v>kW</v>
      </c>
      <c r="E451" s="448" t="s">
        <v>170</v>
      </c>
      <c r="F451" s="361"/>
      <c r="G451" s="361"/>
      <c r="H451" s="361"/>
      <c r="I451" s="361"/>
      <c r="J451" s="361"/>
      <c r="K451" s="361"/>
      <c r="L451" s="361"/>
      <c r="M451" s="361"/>
      <c r="N451" s="361"/>
      <c r="O451" s="361"/>
      <c r="P451" s="438"/>
      <c r="Q451" s="438"/>
      <c r="R451" s="438"/>
      <c r="S451" s="438"/>
      <c r="T451" s="438"/>
      <c r="U451" s="438"/>
      <c r="V451" s="438"/>
      <c r="Z451" s="439"/>
      <c r="AA451" s="439" t="str">
        <f>IF(AND(F452=G452,H452=I452,F452="A"),"2016 - kw","")</f>
        <v/>
      </c>
      <c r="AB451" s="439" t="str">
        <f>IF(OR(B451="2017 - kw",B451="2018 - kw"),"2016 - kw","")</f>
        <v/>
      </c>
      <c r="AC451" s="439"/>
      <c r="AD451" s="439"/>
      <c r="AE451" s="439"/>
    </row>
    <row r="452" spans="1:31" hidden="1" x14ac:dyDescent="0.25">
      <c r="A452" s="438"/>
      <c r="B452" s="438"/>
      <c r="C452" s="449"/>
      <c r="D452" s="424"/>
      <c r="E452" s="450" t="s">
        <v>210</v>
      </c>
      <c r="F452" s="437"/>
      <c r="G452" s="437"/>
      <c r="H452" s="437"/>
      <c r="I452" s="437"/>
      <c r="J452" s="437"/>
      <c r="K452" s="437"/>
      <c r="L452" s="437"/>
      <c r="M452" s="437"/>
      <c r="N452" s="437"/>
      <c r="O452" s="437"/>
      <c r="P452" s="438"/>
      <c r="Q452" s="438"/>
      <c r="R452" s="438"/>
      <c r="S452" s="438"/>
      <c r="T452" s="438"/>
      <c r="U452" s="438"/>
      <c r="V452" s="438"/>
      <c r="Z452" s="439"/>
      <c r="AA452" s="439"/>
      <c r="AB452" s="439"/>
      <c r="AC452" s="439"/>
      <c r="AD452" s="439"/>
      <c r="AE452" s="439"/>
    </row>
    <row r="453" spans="1:31" hidden="1" x14ac:dyDescent="0.25">
      <c r="A453" s="438" t="str">
        <f>IF(AND(F455=G455,H455=I455,J455=K455,F455="A"),"2016 - kwh",IF(AND(F455=G455,H455=I455,J455&lt;&gt;K455,F455="A"),"2017 - kwh",IF(AND(F455=G455,H455&lt;&gt;I455,F455="A"),"2018 - kwh","N/A")))</f>
        <v>N/A</v>
      </c>
      <c r="B453" s="438" t="str">
        <f>IF(F455&lt;&gt;G455,"2018 - kwh",IF(H455&lt;&gt;I455,"2017 - kwh",IF(J455&lt;&gt;K455,"2016 - kwh","N/A")))</f>
        <v>N/A</v>
      </c>
      <c r="C453" s="443" t="s">
        <v>350</v>
      </c>
      <c r="D453" s="444"/>
      <c r="E453" s="445" t="s">
        <v>139</v>
      </c>
      <c r="F453" s="361"/>
      <c r="G453" s="361"/>
      <c r="H453" s="361"/>
      <c r="I453" s="361"/>
      <c r="J453" s="361"/>
      <c r="K453" s="361"/>
      <c r="L453" s="361"/>
      <c r="M453" s="361"/>
      <c r="N453" s="361"/>
      <c r="O453" s="361"/>
      <c r="P453" s="438"/>
      <c r="Q453" s="438"/>
      <c r="R453" s="438"/>
      <c r="S453" s="438"/>
      <c r="T453" s="438"/>
      <c r="U453" s="438"/>
      <c r="V453" s="438"/>
      <c r="Z453" s="439"/>
      <c r="AA453" s="439" t="str">
        <f>IF(AND(F455=G455,H455=I455,F455="A"),"2016 - kwh","")</f>
        <v/>
      </c>
      <c r="AB453" s="439" t="str">
        <f>IF(OR(B453="2017 - kwh",B453="2018 - kwh"),"2016 - kwh","")</f>
        <v/>
      </c>
      <c r="AC453" s="439"/>
      <c r="AD453" s="439"/>
      <c r="AE453" s="439"/>
    </row>
    <row r="454" spans="1:31" hidden="1" x14ac:dyDescent="0.25">
      <c r="A454" s="438" t="str">
        <f>IF(AND(F455=G455,H455=I455,J455=K455,F455="A"),"2016 - kw",IF(AND(F455=G455,H455=I455,J455&lt;&gt;K455,F455="A"),"2017 - kw",IF(AND(F455=G455,H455&lt;&gt;I455,F455="A"),"2018 - kw","N/A")))</f>
        <v>N/A</v>
      </c>
      <c r="B454" s="438" t="str">
        <f>IF(F455&lt;&gt;G455,"2018 - kw",IF(H455&lt;&gt;I455,"2017 - kw",IF(J455&lt;&gt;K455,"2016 - kw","N/A")))</f>
        <v>N/A</v>
      </c>
      <c r="C454" s="446"/>
      <c r="D454" s="447" t="str">
        <f>D453 &amp; "kW"</f>
        <v>kW</v>
      </c>
      <c r="E454" s="448" t="s">
        <v>170</v>
      </c>
      <c r="F454" s="361"/>
      <c r="G454" s="361"/>
      <c r="H454" s="361"/>
      <c r="I454" s="361"/>
      <c r="J454" s="361"/>
      <c r="K454" s="361"/>
      <c r="L454" s="361"/>
      <c r="M454" s="361"/>
      <c r="N454" s="361"/>
      <c r="O454" s="361"/>
      <c r="P454" s="438"/>
      <c r="Q454" s="438"/>
      <c r="R454" s="438"/>
      <c r="S454" s="438"/>
      <c r="T454" s="438"/>
      <c r="U454" s="438"/>
      <c r="V454" s="438"/>
      <c r="Z454" s="439"/>
      <c r="AA454" s="439" t="str">
        <f>IF(AND(F455=G455,H455=I455,F455="A"),"2016 - kw","")</f>
        <v/>
      </c>
      <c r="AB454" s="439" t="str">
        <f>IF(OR(B454="2017 - kw",B454="2018 - kw"),"2016 - kw","")</f>
        <v/>
      </c>
      <c r="AC454" s="439"/>
      <c r="AD454" s="439"/>
      <c r="AE454" s="439"/>
    </row>
    <row r="455" spans="1:31" hidden="1" x14ac:dyDescent="0.25">
      <c r="A455" s="438"/>
      <c r="B455" s="438"/>
      <c r="C455" s="449"/>
      <c r="D455" s="424"/>
      <c r="E455" s="450" t="s">
        <v>210</v>
      </c>
      <c r="F455" s="437"/>
      <c r="G455" s="437"/>
      <c r="H455" s="437"/>
      <c r="I455" s="437"/>
      <c r="J455" s="437"/>
      <c r="K455" s="437"/>
      <c r="L455" s="437"/>
      <c r="M455" s="437"/>
      <c r="N455" s="437"/>
      <c r="O455" s="437"/>
      <c r="P455" s="438"/>
      <c r="Q455" s="438"/>
      <c r="R455" s="438"/>
      <c r="S455" s="438"/>
      <c r="T455" s="438"/>
      <c r="U455" s="438"/>
      <c r="V455" s="438"/>
      <c r="Z455" s="439"/>
      <c r="AA455" s="439"/>
      <c r="AB455" s="439"/>
      <c r="AC455" s="439"/>
      <c r="AD455" s="439"/>
      <c r="AE455" s="439"/>
    </row>
    <row r="456" spans="1:31" hidden="1" x14ac:dyDescent="0.25">
      <c r="A456" s="438" t="str">
        <f>IF(AND(F458=G458,H458=I458,J458=K458,F458="A"),"2016 - kwh",IF(AND(F458=G458,H458=I458,J458&lt;&gt;K458,F458="A"),"2017 - kwh",IF(AND(F458=G458,H458&lt;&gt;I458,F458="A"),"2018 - kwh","N/A")))</f>
        <v>N/A</v>
      </c>
      <c r="B456" s="438" t="str">
        <f>IF(F458&lt;&gt;G458,"2018 - kwh",IF(H458&lt;&gt;I458,"2017 - kwh",IF(J458&lt;&gt;K458,"2016 - kwh","N/A")))</f>
        <v>N/A</v>
      </c>
      <c r="C456" s="443" t="s">
        <v>351</v>
      </c>
      <c r="D456" s="444"/>
      <c r="E456" s="445" t="s">
        <v>139</v>
      </c>
      <c r="F456" s="361"/>
      <c r="G456" s="361"/>
      <c r="H456" s="361"/>
      <c r="I456" s="361"/>
      <c r="J456" s="361"/>
      <c r="K456" s="361"/>
      <c r="L456" s="361"/>
      <c r="M456" s="361"/>
      <c r="N456" s="361"/>
      <c r="O456" s="361"/>
      <c r="P456" s="438"/>
      <c r="Q456" s="438"/>
      <c r="R456" s="438"/>
      <c r="S456" s="438"/>
      <c r="T456" s="438"/>
      <c r="U456" s="438"/>
      <c r="V456" s="438"/>
      <c r="Z456" s="439"/>
      <c r="AA456" s="439" t="str">
        <f>IF(AND(F458=G458,H458=I458,F458="A"),"2016 - kwh","")</f>
        <v/>
      </c>
      <c r="AB456" s="439" t="str">
        <f>IF(OR(B456="2017 - kwh",B456="2018 - kwh"),"2016 - kwh","")</f>
        <v/>
      </c>
      <c r="AC456" s="439"/>
      <c r="AD456" s="439"/>
      <c r="AE456" s="439"/>
    </row>
    <row r="457" spans="1:31" hidden="1" x14ac:dyDescent="0.25">
      <c r="A457" s="438" t="str">
        <f>IF(AND(F458=G458,H458=I458,J458=K458,F458="A"),"2016 - kw",IF(AND(F458=G458,H458=I458,J458&lt;&gt;K458,F458="A"),"2017 - kw",IF(AND(F458=G458,H458&lt;&gt;I458,F458="A"),"2018 - kw","N/A")))</f>
        <v>N/A</v>
      </c>
      <c r="B457" s="438" t="str">
        <f>IF(F458&lt;&gt;G458,"2018 - kw",IF(H458&lt;&gt;I458,"2017 - kw",IF(J458&lt;&gt;K458,"2016 - kw","N/A")))</f>
        <v>N/A</v>
      </c>
      <c r="C457" s="446"/>
      <c r="D457" s="447" t="str">
        <f>D456 &amp; "kW"</f>
        <v>kW</v>
      </c>
      <c r="E457" s="448" t="s">
        <v>170</v>
      </c>
      <c r="F457" s="361"/>
      <c r="G457" s="361"/>
      <c r="H457" s="361"/>
      <c r="I457" s="361"/>
      <c r="J457" s="361"/>
      <c r="K457" s="361"/>
      <c r="L457" s="361"/>
      <c r="M457" s="361"/>
      <c r="N457" s="361"/>
      <c r="O457" s="361"/>
      <c r="P457" s="438"/>
      <c r="Q457" s="438"/>
      <c r="R457" s="438"/>
      <c r="S457" s="438"/>
      <c r="T457" s="438"/>
      <c r="U457" s="438"/>
      <c r="V457" s="438"/>
      <c r="Z457" s="439"/>
      <c r="AA457" s="439" t="str">
        <f>IF(AND(F458=G458,H458=I458,F458="A"),"2016 - kw","")</f>
        <v/>
      </c>
      <c r="AB457" s="439" t="str">
        <f>IF(OR(B457="2017 - kw",B457="2018 - kw"),"2016 - kw","")</f>
        <v/>
      </c>
      <c r="AC457" s="439"/>
      <c r="AD457" s="439"/>
      <c r="AE457" s="439"/>
    </row>
    <row r="458" spans="1:31" hidden="1" x14ac:dyDescent="0.25">
      <c r="A458" s="438"/>
      <c r="B458" s="438"/>
      <c r="C458" s="449"/>
      <c r="D458" s="424"/>
      <c r="E458" s="450" t="s">
        <v>210</v>
      </c>
      <c r="F458" s="437"/>
      <c r="G458" s="437"/>
      <c r="H458" s="437"/>
      <c r="I458" s="437"/>
      <c r="J458" s="437"/>
      <c r="K458" s="437"/>
      <c r="L458" s="437"/>
      <c r="M458" s="437"/>
      <c r="N458" s="437"/>
      <c r="O458" s="437"/>
      <c r="P458" s="438"/>
      <c r="Q458" s="438"/>
      <c r="R458" s="438"/>
      <c r="S458" s="438"/>
      <c r="T458" s="438"/>
      <c r="U458" s="438"/>
      <c r="V458" s="438"/>
      <c r="Z458" s="439"/>
      <c r="AA458" s="439"/>
      <c r="AB458" s="439"/>
      <c r="AC458" s="439"/>
      <c r="AD458" s="439"/>
      <c r="AE458" s="439"/>
    </row>
    <row r="459" spans="1:31" hidden="1" x14ac:dyDescent="0.25">
      <c r="A459" s="438" t="str">
        <f>IF(AND(F461=G461,H461=I461,J461=K461,F461="A"),"2016 - kwh",IF(AND(F461=G461,H461=I461,J461&lt;&gt;K461,F461="A"),"2017 - kwh",IF(AND(F461=G461,H461&lt;&gt;I461,F461="A"),"2018 - kwh","N/A")))</f>
        <v>N/A</v>
      </c>
      <c r="B459" s="438" t="str">
        <f>IF(F461&lt;&gt;G461,"2018 - kwh",IF(H461&lt;&gt;I461,"2017 - kwh",IF(J461&lt;&gt;K461,"2016 - kwh","N/A")))</f>
        <v>N/A</v>
      </c>
      <c r="C459" s="443" t="s">
        <v>352</v>
      </c>
      <c r="D459" s="444"/>
      <c r="E459" s="445" t="s">
        <v>139</v>
      </c>
      <c r="F459" s="361"/>
      <c r="G459" s="361"/>
      <c r="H459" s="361"/>
      <c r="I459" s="361"/>
      <c r="J459" s="361"/>
      <c r="K459" s="361"/>
      <c r="L459" s="361"/>
      <c r="M459" s="361"/>
      <c r="N459" s="361"/>
      <c r="O459" s="361"/>
      <c r="P459" s="438"/>
      <c r="Q459" s="438"/>
      <c r="R459" s="438"/>
      <c r="S459" s="438"/>
      <c r="T459" s="438"/>
      <c r="U459" s="438"/>
      <c r="V459" s="438"/>
      <c r="Z459" s="439"/>
      <c r="AA459" s="439" t="str">
        <f>IF(AND(F461=G461,H461=I461,F461="A"),"2016 - kwh","")</f>
        <v/>
      </c>
      <c r="AB459" s="439" t="str">
        <f>IF(OR(B459="2017 - kwh",B459="2018 - kwh"),"2016 - kwh","")</f>
        <v/>
      </c>
      <c r="AC459" s="439"/>
      <c r="AD459" s="439"/>
      <c r="AE459" s="439"/>
    </row>
    <row r="460" spans="1:31" hidden="1" x14ac:dyDescent="0.25">
      <c r="A460" s="438" t="str">
        <f>IF(AND(F461=G461,H461=I461,J461=K461,F461="A"),"2016 - kw",IF(AND(F461=G461,H461=I461,J461&lt;&gt;K461,F461="A"),"2017 - kw",IF(AND(F461=G461,H461&lt;&gt;I461,F461="A"),"2018 - kw","N/A")))</f>
        <v>N/A</v>
      </c>
      <c r="B460" s="438" t="str">
        <f>IF(F461&lt;&gt;G461,"2018 - kw",IF(H461&lt;&gt;I461,"2017 - kw",IF(J461&lt;&gt;K461,"2016 - kw","N/A")))</f>
        <v>N/A</v>
      </c>
      <c r="C460" s="446"/>
      <c r="D460" s="447" t="str">
        <f>D459 &amp; "kW"</f>
        <v>kW</v>
      </c>
      <c r="E460" s="448" t="s">
        <v>170</v>
      </c>
      <c r="F460" s="361"/>
      <c r="G460" s="361"/>
      <c r="H460" s="361"/>
      <c r="I460" s="361"/>
      <c r="J460" s="361"/>
      <c r="K460" s="361"/>
      <c r="L460" s="361"/>
      <c r="M460" s="361"/>
      <c r="N460" s="361"/>
      <c r="O460" s="361"/>
      <c r="P460" s="438"/>
      <c r="Q460" s="438"/>
      <c r="R460" s="438"/>
      <c r="S460" s="438"/>
      <c r="T460" s="438"/>
      <c r="U460" s="438"/>
      <c r="V460" s="438"/>
      <c r="Z460" s="439"/>
      <c r="AA460" s="439" t="str">
        <f>IF(AND(F461=G461,H461=I461,F461="A"),"2016 - kw","")</f>
        <v/>
      </c>
      <c r="AB460" s="439" t="str">
        <f>IF(OR(B460="2017 - kw",B460="2018 - kw"),"2016 - kw","")</f>
        <v/>
      </c>
      <c r="AC460" s="439"/>
      <c r="AD460" s="439"/>
      <c r="AE460" s="439"/>
    </row>
    <row r="461" spans="1:31" hidden="1" x14ac:dyDescent="0.25">
      <c r="A461" s="438"/>
      <c r="B461" s="438"/>
      <c r="C461" s="449"/>
      <c r="D461" s="424"/>
      <c r="E461" s="450" t="s">
        <v>210</v>
      </c>
      <c r="F461" s="437"/>
      <c r="G461" s="437"/>
      <c r="H461" s="437"/>
      <c r="I461" s="437"/>
      <c r="J461" s="437"/>
      <c r="K461" s="437"/>
      <c r="L461" s="437"/>
      <c r="M461" s="437"/>
      <c r="N461" s="437"/>
      <c r="O461" s="437"/>
      <c r="P461" s="438"/>
      <c r="Q461" s="438"/>
      <c r="R461" s="438"/>
      <c r="S461" s="438"/>
      <c r="T461" s="438"/>
      <c r="U461" s="438"/>
      <c r="V461" s="438"/>
      <c r="Z461" s="439"/>
      <c r="AA461" s="439"/>
      <c r="AB461" s="439"/>
      <c r="AC461" s="439"/>
      <c r="AD461" s="439"/>
      <c r="AE461" s="439"/>
    </row>
    <row r="462" spans="1:31" hidden="1" x14ac:dyDescent="0.25">
      <c r="A462" s="438" t="str">
        <f>IF(AND(F464=G464,H464=I464,J464=K464,F464="A"),"2016 - kwh",IF(AND(F464=G464,H464=I464,J464&lt;&gt;K464,F464="A"),"2017 - kwh",IF(AND(F464=G464,H464&lt;&gt;I464,F464="A"),"2018 - kwh","N/A")))</f>
        <v>N/A</v>
      </c>
      <c r="B462" s="438" t="str">
        <f>IF(F464&lt;&gt;G464,"2018 - kwh",IF(H464&lt;&gt;I464,"2017 - kwh",IF(J464&lt;&gt;K464,"2016 - kwh","N/A")))</f>
        <v>N/A</v>
      </c>
      <c r="C462" s="443" t="s">
        <v>353</v>
      </c>
      <c r="D462" s="444"/>
      <c r="E462" s="445" t="s">
        <v>139</v>
      </c>
      <c r="F462" s="361"/>
      <c r="G462" s="361"/>
      <c r="H462" s="361"/>
      <c r="I462" s="361"/>
      <c r="J462" s="361"/>
      <c r="K462" s="361"/>
      <c r="L462" s="361"/>
      <c r="M462" s="361"/>
      <c r="N462" s="361"/>
      <c r="O462" s="361"/>
      <c r="P462" s="438"/>
      <c r="Q462" s="438"/>
      <c r="R462" s="438"/>
      <c r="S462" s="438"/>
      <c r="T462" s="438"/>
      <c r="U462" s="438"/>
      <c r="V462" s="438"/>
      <c r="Z462" s="439"/>
      <c r="AA462" s="439" t="str">
        <f>IF(AND(F464=G464,H464=I464,F464="A"),"2016 - kwh","")</f>
        <v/>
      </c>
      <c r="AB462" s="439" t="str">
        <f>IF(OR(B462="2017 - kwh",B462="2018 - kwh"),"2016 - kwh","")</f>
        <v/>
      </c>
      <c r="AC462" s="439"/>
      <c r="AD462" s="439"/>
      <c r="AE462" s="439"/>
    </row>
    <row r="463" spans="1:31" hidden="1" x14ac:dyDescent="0.25">
      <c r="A463" s="438" t="str">
        <f>IF(AND(F464=G464,H464=I464,J464=K464,F464="A"),"2016 - kw",IF(AND(F464=G464,H464=I464,J464&lt;&gt;K464,F464="A"),"2017 - kw",IF(AND(F464=G464,H464&lt;&gt;I464,F464="A"),"2018 - kw","N/A")))</f>
        <v>N/A</v>
      </c>
      <c r="B463" s="438" t="str">
        <f>IF(F464&lt;&gt;G464,"2018 - kw",IF(H464&lt;&gt;I464,"2017 - kw",IF(J464&lt;&gt;K464,"2016 - kw","N/A")))</f>
        <v>N/A</v>
      </c>
      <c r="C463" s="446"/>
      <c r="D463" s="447" t="str">
        <f>D462 &amp; "kW"</f>
        <v>kW</v>
      </c>
      <c r="E463" s="448" t="s">
        <v>170</v>
      </c>
      <c r="F463" s="361"/>
      <c r="G463" s="361"/>
      <c r="H463" s="361"/>
      <c r="I463" s="361"/>
      <c r="J463" s="361"/>
      <c r="K463" s="361"/>
      <c r="L463" s="361"/>
      <c r="M463" s="361"/>
      <c r="N463" s="361"/>
      <c r="O463" s="361"/>
      <c r="P463" s="438"/>
      <c r="Q463" s="438"/>
      <c r="R463" s="438"/>
      <c r="S463" s="438"/>
      <c r="T463" s="438"/>
      <c r="U463" s="438"/>
      <c r="V463" s="438"/>
      <c r="Z463" s="439"/>
      <c r="AA463" s="439" t="str">
        <f>IF(AND(F464=G464,H464=I464,F464="A"),"2016 - kw","")</f>
        <v/>
      </c>
      <c r="AB463" s="439" t="str">
        <f>IF(OR(B463="2017 - kw",B463="2018 - kw"),"2016 - kw","")</f>
        <v/>
      </c>
      <c r="AC463" s="439"/>
      <c r="AD463" s="439"/>
      <c r="AE463" s="439"/>
    </row>
    <row r="464" spans="1:31" hidden="1" x14ac:dyDescent="0.25">
      <c r="A464" s="438"/>
      <c r="B464" s="438"/>
      <c r="C464" s="449"/>
      <c r="D464" s="424"/>
      <c r="E464" s="450" t="s">
        <v>210</v>
      </c>
      <c r="F464" s="437"/>
      <c r="G464" s="437"/>
      <c r="H464" s="437"/>
      <c r="I464" s="437"/>
      <c r="J464" s="437"/>
      <c r="K464" s="437"/>
      <c r="L464" s="437"/>
      <c r="M464" s="437"/>
      <c r="N464" s="437"/>
      <c r="O464" s="437"/>
      <c r="P464" s="438"/>
      <c r="Q464" s="438"/>
      <c r="R464" s="438"/>
      <c r="S464" s="438"/>
      <c r="T464" s="438"/>
      <c r="U464" s="438"/>
      <c r="V464" s="438"/>
      <c r="Z464" s="439"/>
      <c r="AA464" s="439"/>
      <c r="AB464" s="439"/>
      <c r="AC464" s="439"/>
      <c r="AD464" s="439"/>
      <c r="AE464" s="439"/>
    </row>
    <row r="465" spans="1:31" hidden="1" x14ac:dyDescent="0.25">
      <c r="A465" s="438" t="str">
        <f>IF(AND(F467=G467,H467=I467,J467=K467,F467="A"),"2016 - kwh",IF(AND(F467=G467,H467=I467,J467&lt;&gt;K467,F467="A"),"2017 - kwh",IF(AND(F467=G467,H467&lt;&gt;I467,F467="A"),"2018 - kwh","N/A")))</f>
        <v>N/A</v>
      </c>
      <c r="B465" s="438" t="str">
        <f>IF(F467&lt;&gt;G467,"2018 - kwh",IF(H467&lt;&gt;I467,"2017 - kwh",IF(J467&lt;&gt;K467,"2016 - kwh","N/A")))</f>
        <v>N/A</v>
      </c>
      <c r="C465" s="443" t="s">
        <v>354</v>
      </c>
      <c r="D465" s="444"/>
      <c r="E465" s="445" t="s">
        <v>139</v>
      </c>
      <c r="F465" s="361"/>
      <c r="G465" s="361"/>
      <c r="H465" s="361"/>
      <c r="I465" s="361"/>
      <c r="J465" s="361"/>
      <c r="K465" s="361"/>
      <c r="L465" s="361"/>
      <c r="M465" s="361"/>
      <c r="N465" s="361"/>
      <c r="O465" s="361"/>
      <c r="P465" s="438"/>
      <c r="Q465" s="438"/>
      <c r="R465" s="438"/>
      <c r="S465" s="438"/>
      <c r="T465" s="438"/>
      <c r="U465" s="438"/>
      <c r="V465" s="438"/>
      <c r="Z465" s="439"/>
      <c r="AA465" s="439" t="str">
        <f>IF(AND(F467=G467,H467=I467,F467="A"),"2016 - kwh","")</f>
        <v/>
      </c>
      <c r="AB465" s="439" t="str">
        <f>IF(OR(B465="2017 - kwh",B465="2018 - kwh"),"2016 - kwh","")</f>
        <v/>
      </c>
      <c r="AC465" s="439"/>
      <c r="AD465" s="439"/>
      <c r="AE465" s="439"/>
    </row>
    <row r="466" spans="1:31" hidden="1" x14ac:dyDescent="0.25">
      <c r="A466" s="438" t="str">
        <f>IF(AND(F467=G467,H467=I467,J467=K467,F467="A"),"2016 - kw",IF(AND(F467=G467,H467=I467,J467&lt;&gt;K467,F467="A"),"2017 - kw",IF(AND(F467=G467,H467&lt;&gt;I467,F467="A"),"2018 - kw","N/A")))</f>
        <v>N/A</v>
      </c>
      <c r="B466" s="438" t="str">
        <f>IF(F467&lt;&gt;G467,"2018 - kw",IF(H467&lt;&gt;I467,"2017 - kw",IF(J467&lt;&gt;K467,"2016 - kw","N/A")))</f>
        <v>N/A</v>
      </c>
      <c r="C466" s="446"/>
      <c r="D466" s="447" t="str">
        <f>D465 &amp; "kW"</f>
        <v>kW</v>
      </c>
      <c r="E466" s="448" t="s">
        <v>170</v>
      </c>
      <c r="F466" s="361"/>
      <c r="G466" s="361"/>
      <c r="H466" s="361"/>
      <c r="I466" s="361"/>
      <c r="J466" s="361"/>
      <c r="K466" s="361"/>
      <c r="L466" s="361"/>
      <c r="M466" s="361"/>
      <c r="N466" s="361"/>
      <c r="O466" s="361"/>
      <c r="P466" s="438"/>
      <c r="Q466" s="438"/>
      <c r="R466" s="438"/>
      <c r="S466" s="438"/>
      <c r="T466" s="438"/>
      <c r="U466" s="438"/>
      <c r="V466" s="438"/>
      <c r="Z466" s="439"/>
      <c r="AA466" s="439" t="str">
        <f>IF(AND(F467=G467,H467=I467,F467="A"),"2016 - kw","")</f>
        <v/>
      </c>
      <c r="AB466" s="439" t="str">
        <f>IF(OR(B466="2017 - kw",B466="2018 - kw"),"2016 - kw","")</f>
        <v/>
      </c>
      <c r="AC466" s="439"/>
      <c r="AD466" s="439"/>
      <c r="AE466" s="439"/>
    </row>
    <row r="467" spans="1:31" hidden="1" x14ac:dyDescent="0.25">
      <c r="A467" s="438"/>
      <c r="B467" s="438"/>
      <c r="C467" s="449"/>
      <c r="D467" s="424"/>
      <c r="E467" s="450" t="s">
        <v>210</v>
      </c>
      <c r="F467" s="437"/>
      <c r="G467" s="437"/>
      <c r="H467" s="437"/>
      <c r="I467" s="437"/>
      <c r="J467" s="437"/>
      <c r="K467" s="437"/>
      <c r="L467" s="437"/>
      <c r="M467" s="437"/>
      <c r="N467" s="437"/>
      <c r="O467" s="437"/>
      <c r="P467" s="438"/>
      <c r="Q467" s="438"/>
      <c r="R467" s="438"/>
      <c r="S467" s="438"/>
      <c r="T467" s="438"/>
      <c r="U467" s="438"/>
      <c r="V467" s="438"/>
      <c r="Z467" s="439"/>
      <c r="AA467" s="439"/>
      <c r="AB467" s="439"/>
      <c r="AC467" s="439"/>
      <c r="AD467" s="439"/>
      <c r="AE467" s="439"/>
    </row>
    <row r="468" spans="1:31" hidden="1" x14ac:dyDescent="0.25">
      <c r="A468" s="438" t="str">
        <f>IF(AND(F470=G470,H470=I470,J470=K470,F470="A"),"2016 - kwh",IF(AND(F470=G470,H470=I470,J470&lt;&gt;K470,F470="A"),"2017 - kwh",IF(AND(F470=G470,H470&lt;&gt;I470,F470="A"),"2018 - kwh","N/A")))</f>
        <v>N/A</v>
      </c>
      <c r="B468" s="438" t="str">
        <f>IF(F470&lt;&gt;G470,"2018 - kwh",IF(H470&lt;&gt;I470,"2017 - kwh",IF(J470&lt;&gt;K470,"2016 - kwh","N/A")))</f>
        <v>N/A</v>
      </c>
      <c r="C468" s="443" t="s">
        <v>355</v>
      </c>
      <c r="D468" s="444"/>
      <c r="E468" s="445" t="s">
        <v>139</v>
      </c>
      <c r="F468" s="361"/>
      <c r="G468" s="361"/>
      <c r="H468" s="361"/>
      <c r="I468" s="361"/>
      <c r="J468" s="361"/>
      <c r="K468" s="361"/>
      <c r="L468" s="361"/>
      <c r="M468" s="361"/>
      <c r="N468" s="361"/>
      <c r="O468" s="361"/>
      <c r="P468" s="438"/>
      <c r="Q468" s="438"/>
      <c r="R468" s="438"/>
      <c r="S468" s="438"/>
      <c r="T468" s="438"/>
      <c r="U468" s="438"/>
      <c r="V468" s="438"/>
      <c r="Z468" s="439"/>
      <c r="AA468" s="439" t="str">
        <f>IF(AND(F470=G470,H470=I470,F470="A"),"2016 - kwh","")</f>
        <v/>
      </c>
      <c r="AB468" s="439" t="str">
        <f>IF(OR(B468="2017 - kwh",B468="2018 - kwh"),"2016 - kwh","")</f>
        <v/>
      </c>
      <c r="AC468" s="439"/>
      <c r="AD468" s="439"/>
      <c r="AE468" s="439"/>
    </row>
    <row r="469" spans="1:31" hidden="1" x14ac:dyDescent="0.25">
      <c r="A469" s="438" t="str">
        <f>IF(AND(F470=G470,H470=I470,J470=K470,F470="A"),"2016 - kw",IF(AND(F470=G470,H470=I470,J470&lt;&gt;K470,F470="A"),"2017 - kw",IF(AND(F470=G470,H470&lt;&gt;I470,F470="A"),"2018 - kw","N/A")))</f>
        <v>N/A</v>
      </c>
      <c r="B469" s="438" t="str">
        <f>IF(F470&lt;&gt;G470,"2018 - kw",IF(H470&lt;&gt;I470,"2017 - kw",IF(J470&lt;&gt;K470,"2016 - kw","N/A")))</f>
        <v>N/A</v>
      </c>
      <c r="C469" s="446"/>
      <c r="D469" s="447" t="str">
        <f>D468 &amp; "kW"</f>
        <v>kW</v>
      </c>
      <c r="E469" s="448" t="s">
        <v>170</v>
      </c>
      <c r="F469" s="361"/>
      <c r="G469" s="361"/>
      <c r="H469" s="361"/>
      <c r="I469" s="361"/>
      <c r="J469" s="361"/>
      <c r="K469" s="361"/>
      <c r="L469" s="361"/>
      <c r="M469" s="361"/>
      <c r="N469" s="361"/>
      <c r="O469" s="361"/>
      <c r="P469" s="438"/>
      <c r="Q469" s="438"/>
      <c r="R469" s="438"/>
      <c r="S469" s="438"/>
      <c r="T469" s="438"/>
      <c r="U469" s="438"/>
      <c r="V469" s="438"/>
      <c r="Z469" s="439"/>
      <c r="AA469" s="439" t="str">
        <f>IF(AND(F470=G470,H470=I470,F470="A"),"2016 - kw","")</f>
        <v/>
      </c>
      <c r="AB469" s="439" t="str">
        <f>IF(OR(B469="2017 - kw",B469="2018 - kw"),"2016 - kw","")</f>
        <v/>
      </c>
      <c r="AC469" s="439"/>
      <c r="AD469" s="439"/>
      <c r="AE469" s="439"/>
    </row>
    <row r="470" spans="1:31" hidden="1" x14ac:dyDescent="0.25">
      <c r="A470" s="438"/>
      <c r="B470" s="438"/>
      <c r="C470" s="449"/>
      <c r="D470" s="424"/>
      <c r="E470" s="450" t="s">
        <v>210</v>
      </c>
      <c r="F470" s="437"/>
      <c r="G470" s="437"/>
      <c r="H470" s="437"/>
      <c r="I470" s="437"/>
      <c r="J470" s="437"/>
      <c r="K470" s="437"/>
      <c r="L470" s="437"/>
      <c r="M470" s="437"/>
      <c r="N470" s="437"/>
      <c r="O470" s="437"/>
      <c r="P470" s="438"/>
      <c r="Q470" s="438"/>
      <c r="R470" s="438"/>
      <c r="S470" s="438"/>
      <c r="T470" s="438"/>
      <c r="U470" s="438"/>
      <c r="V470" s="438"/>
      <c r="Z470" s="439"/>
      <c r="AA470" s="439"/>
      <c r="AB470" s="439"/>
      <c r="AC470" s="439"/>
      <c r="AD470" s="439"/>
      <c r="AE470" s="439"/>
    </row>
    <row r="471" spans="1:31" hidden="1" x14ac:dyDescent="0.25">
      <c r="A471" s="438" t="str">
        <f>IF(AND(F473=G473,H473=I473,J473=K473,F473="A"),"2016 - kwh",IF(AND(F473=G473,H473=I473,J473&lt;&gt;K473,F473="A"),"2017 - kwh",IF(AND(F473=G473,H473&lt;&gt;I473,F473="A"),"2018 - kwh","N/A")))</f>
        <v>N/A</v>
      </c>
      <c r="B471" s="438" t="str">
        <f>IF(F473&lt;&gt;G473,"2018 - kwh",IF(H473&lt;&gt;I473,"2017 - kwh",IF(J473&lt;&gt;K473,"2016 - kwh","N/A")))</f>
        <v>N/A</v>
      </c>
      <c r="C471" s="443" t="s">
        <v>356</v>
      </c>
      <c r="D471" s="444"/>
      <c r="E471" s="445" t="s">
        <v>139</v>
      </c>
      <c r="F471" s="361"/>
      <c r="G471" s="361"/>
      <c r="H471" s="361"/>
      <c r="I471" s="361"/>
      <c r="J471" s="361"/>
      <c r="K471" s="361"/>
      <c r="L471" s="361"/>
      <c r="M471" s="361"/>
      <c r="N471" s="361"/>
      <c r="O471" s="361"/>
      <c r="P471" s="438"/>
      <c r="Q471" s="438"/>
      <c r="R471" s="438"/>
      <c r="S471" s="438"/>
      <c r="T471" s="438"/>
      <c r="U471" s="438"/>
      <c r="V471" s="438"/>
      <c r="Z471" s="439"/>
      <c r="AA471" s="439" t="str">
        <f>IF(AND(F473=G473,H473=I473,F473="A"),"2016 - kwh","")</f>
        <v/>
      </c>
      <c r="AB471" s="439" t="str">
        <f>IF(OR(B471="2017 - kwh",B471="2018 - kwh"),"2016 - kwh","")</f>
        <v/>
      </c>
      <c r="AC471" s="439"/>
      <c r="AD471" s="439"/>
      <c r="AE471" s="439"/>
    </row>
    <row r="472" spans="1:31" hidden="1" x14ac:dyDescent="0.25">
      <c r="A472" s="438" t="str">
        <f>IF(AND(F473=G473,H473=I473,J473=K473,F473="A"),"2016 - kw",IF(AND(F473=G473,H473=I473,J473&lt;&gt;K473,F473="A"),"2017 - kw",IF(AND(F473=G473,H473&lt;&gt;I473,F473="A"),"2018 - kw","N/A")))</f>
        <v>N/A</v>
      </c>
      <c r="B472" s="438" t="str">
        <f>IF(F473&lt;&gt;G473,"2018 - kw",IF(H473&lt;&gt;I473,"2017 - kw",IF(J473&lt;&gt;K473,"2016 - kw","N/A")))</f>
        <v>N/A</v>
      </c>
      <c r="C472" s="446"/>
      <c r="D472" s="447" t="str">
        <f>D471 &amp; "kW"</f>
        <v>kW</v>
      </c>
      <c r="E472" s="448" t="s">
        <v>170</v>
      </c>
      <c r="F472" s="361"/>
      <c r="G472" s="361"/>
      <c r="H472" s="361"/>
      <c r="I472" s="361"/>
      <c r="J472" s="361"/>
      <c r="K472" s="361"/>
      <c r="L472" s="361"/>
      <c r="M472" s="361"/>
      <c r="N472" s="361"/>
      <c r="O472" s="361"/>
      <c r="P472" s="438"/>
      <c r="Q472" s="438"/>
      <c r="R472" s="438"/>
      <c r="S472" s="438"/>
      <c r="T472" s="438"/>
      <c r="U472" s="438"/>
      <c r="V472" s="438"/>
      <c r="Z472" s="439"/>
      <c r="AA472" s="439" t="str">
        <f>IF(AND(F473=G473,H473=I473,F473="A"),"2016 - kw","")</f>
        <v/>
      </c>
      <c r="AB472" s="439" t="str">
        <f>IF(OR(B472="2017 - kw",B472="2018 - kw"),"2016 - kw","")</f>
        <v/>
      </c>
      <c r="AC472" s="439"/>
      <c r="AD472" s="439"/>
      <c r="AE472" s="439"/>
    </row>
    <row r="473" spans="1:31" hidden="1" x14ac:dyDescent="0.25">
      <c r="A473" s="438"/>
      <c r="B473" s="438"/>
      <c r="C473" s="449"/>
      <c r="D473" s="424"/>
      <c r="E473" s="450" t="s">
        <v>210</v>
      </c>
      <c r="F473" s="437"/>
      <c r="G473" s="437"/>
      <c r="H473" s="437"/>
      <c r="I473" s="437"/>
      <c r="J473" s="437"/>
      <c r="K473" s="437"/>
      <c r="L473" s="437"/>
      <c r="M473" s="437"/>
      <c r="N473" s="437"/>
      <c r="O473" s="437"/>
      <c r="P473" s="438"/>
      <c r="Q473" s="438"/>
      <c r="R473" s="438"/>
      <c r="S473" s="438"/>
      <c r="T473" s="438"/>
      <c r="U473" s="438"/>
      <c r="V473" s="438"/>
      <c r="Z473" s="439"/>
      <c r="AA473" s="439"/>
      <c r="AB473" s="439"/>
      <c r="AC473" s="439"/>
      <c r="AD473" s="439"/>
      <c r="AE473" s="439"/>
    </row>
    <row r="474" spans="1:31" hidden="1" x14ac:dyDescent="0.25">
      <c r="A474" s="438" t="str">
        <f>IF(AND(F476=G476,H476=I476,J476=K476,F476="A"),"2016 - kwh",IF(AND(F476=G476,H476=I476,J476&lt;&gt;K476,F476="A"),"2017 - kwh",IF(AND(F476=G476,H476&lt;&gt;I476,F476="A"),"2018 - kwh","N/A")))</f>
        <v>N/A</v>
      </c>
      <c r="B474" s="438" t="str">
        <f>IF(F476&lt;&gt;G476,"2018 - kwh",IF(H476&lt;&gt;I476,"2017 - kwh",IF(J476&lt;&gt;K476,"2016 - kwh","N/A")))</f>
        <v>N/A</v>
      </c>
      <c r="C474" s="443" t="s">
        <v>357</v>
      </c>
      <c r="D474" s="444"/>
      <c r="E474" s="445" t="s">
        <v>139</v>
      </c>
      <c r="F474" s="361"/>
      <c r="G474" s="361"/>
      <c r="H474" s="361"/>
      <c r="I474" s="361"/>
      <c r="J474" s="361"/>
      <c r="K474" s="361"/>
      <c r="L474" s="361"/>
      <c r="M474" s="361"/>
      <c r="N474" s="361"/>
      <c r="O474" s="361"/>
      <c r="P474" s="438"/>
      <c r="Q474" s="438"/>
      <c r="R474" s="438"/>
      <c r="S474" s="438"/>
      <c r="T474" s="438"/>
      <c r="U474" s="438"/>
      <c r="V474" s="438"/>
      <c r="Z474" s="439"/>
      <c r="AA474" s="439" t="str">
        <f>IF(AND(F476=G476,H476=I476,F476="A"),"2016 - kwh","")</f>
        <v/>
      </c>
      <c r="AB474" s="439" t="str">
        <f>IF(OR(B474="2017 - kwh",B474="2018 - kwh"),"2016 - kwh","")</f>
        <v/>
      </c>
      <c r="AC474" s="439"/>
      <c r="AD474" s="439"/>
      <c r="AE474" s="439"/>
    </row>
    <row r="475" spans="1:31" hidden="1" x14ac:dyDescent="0.25">
      <c r="A475" s="438" t="str">
        <f>IF(AND(F476=G476,H476=I476,J476=K476,F476="A"),"2016 - kw",IF(AND(F476=G476,H476=I476,J476&lt;&gt;K476,F476="A"),"2017 - kw",IF(AND(F476=G476,H476&lt;&gt;I476,F476="A"),"2018 - kw","N/A")))</f>
        <v>N/A</v>
      </c>
      <c r="B475" s="438" t="str">
        <f>IF(F476&lt;&gt;G476,"2018 - kw",IF(H476&lt;&gt;I476,"2017 - kw",IF(J476&lt;&gt;K476,"2016 - kw","N/A")))</f>
        <v>N/A</v>
      </c>
      <c r="C475" s="446"/>
      <c r="D475" s="447" t="str">
        <f>D474 &amp; "kW"</f>
        <v>kW</v>
      </c>
      <c r="E475" s="448" t="s">
        <v>170</v>
      </c>
      <c r="F475" s="361"/>
      <c r="G475" s="361"/>
      <c r="H475" s="361"/>
      <c r="I475" s="361"/>
      <c r="J475" s="361"/>
      <c r="K475" s="361"/>
      <c r="L475" s="361"/>
      <c r="M475" s="361"/>
      <c r="N475" s="361"/>
      <c r="O475" s="361"/>
      <c r="P475" s="438"/>
      <c r="Q475" s="438"/>
      <c r="R475" s="438"/>
      <c r="S475" s="438"/>
      <c r="T475" s="438"/>
      <c r="U475" s="438"/>
      <c r="V475" s="438"/>
      <c r="Z475" s="439"/>
      <c r="AA475" s="439" t="str">
        <f>IF(AND(F476=G476,H476=I476,F476="A"),"2016 - kw","")</f>
        <v/>
      </c>
      <c r="AB475" s="439" t="str">
        <f>IF(OR(B475="2017 - kw",B475="2018 - kw"),"2016 - kw","")</f>
        <v/>
      </c>
      <c r="AC475" s="439"/>
      <c r="AD475" s="439"/>
      <c r="AE475" s="439"/>
    </row>
    <row r="476" spans="1:31" hidden="1" x14ac:dyDescent="0.25">
      <c r="A476" s="438"/>
      <c r="B476" s="438"/>
      <c r="C476" s="449"/>
      <c r="D476" s="424"/>
      <c r="E476" s="450" t="s">
        <v>210</v>
      </c>
      <c r="F476" s="437"/>
      <c r="G476" s="437"/>
      <c r="H476" s="437"/>
      <c r="I476" s="437"/>
      <c r="J476" s="437"/>
      <c r="K476" s="437"/>
      <c r="L476" s="437"/>
      <c r="M476" s="437"/>
      <c r="N476" s="437"/>
      <c r="O476" s="437"/>
      <c r="P476" s="438"/>
      <c r="Q476" s="438"/>
      <c r="R476" s="438"/>
      <c r="S476" s="438"/>
      <c r="T476" s="438"/>
      <c r="U476" s="438"/>
      <c r="V476" s="438"/>
      <c r="Z476" s="439"/>
      <c r="AA476" s="439"/>
      <c r="AB476" s="439"/>
      <c r="AC476" s="439"/>
      <c r="AD476" s="439"/>
      <c r="AE476" s="439"/>
    </row>
    <row r="477" spans="1:31" hidden="1" x14ac:dyDescent="0.25">
      <c r="A477" s="438" t="str">
        <f>IF(AND(F479=G479,H479=I479,J479=K479,F479="A"),"2016 - kwh",IF(AND(F479=G479,H479=I479,J479&lt;&gt;K479,F479="A"),"2017 - kwh",IF(AND(F479=G479,H479&lt;&gt;I479,F479="A"),"2018 - kwh","N/A")))</f>
        <v>N/A</v>
      </c>
      <c r="B477" s="438" t="str">
        <f>IF(F479&lt;&gt;G479,"2018 - kwh",IF(H479&lt;&gt;I479,"2017 - kwh",IF(J479&lt;&gt;K479,"2016 - kwh","N/A")))</f>
        <v>N/A</v>
      </c>
      <c r="C477" s="452" t="s">
        <v>358</v>
      </c>
      <c r="D477" s="444"/>
      <c r="E477" s="445" t="s">
        <v>139</v>
      </c>
      <c r="F477" s="361"/>
      <c r="G477" s="361"/>
      <c r="H477" s="361"/>
      <c r="I477" s="361"/>
      <c r="J477" s="361"/>
      <c r="K477" s="361"/>
      <c r="L477" s="361"/>
      <c r="M477" s="361"/>
      <c r="N477" s="361"/>
      <c r="O477" s="361"/>
      <c r="P477" s="438"/>
      <c r="Q477" s="438"/>
      <c r="R477" s="438"/>
      <c r="S477" s="438"/>
      <c r="T477" s="438"/>
      <c r="U477" s="438"/>
      <c r="V477" s="438"/>
      <c r="Z477" s="439"/>
      <c r="AA477" s="439" t="str">
        <f>IF(AND(F479=G479,H479=I479,F479="A"),"2016 - kwh","")</f>
        <v/>
      </c>
      <c r="AB477" s="439" t="str">
        <f>IF(OR(B477="2017 - kwh",B477="2018 - kwh"),"2016 - kwh","")</f>
        <v/>
      </c>
      <c r="AC477" s="439"/>
      <c r="AD477" s="439"/>
      <c r="AE477" s="439"/>
    </row>
    <row r="478" spans="1:31" hidden="1" x14ac:dyDescent="0.25">
      <c r="A478" s="438" t="str">
        <f>IF(AND(F479=G479,H479=I479,J479=K479,F479="A"),"2016 - kw",IF(AND(F479=G479,H479=I479,J479&lt;&gt;K479,F479="A"),"2017 - kw",IF(AND(F479=G479,H479&lt;&gt;I479,F479="A"),"2018 - kw","N/A")))</f>
        <v>N/A</v>
      </c>
      <c r="B478" s="438" t="str">
        <f>IF(F479&lt;&gt;G479,"2018 - kw",IF(H479&lt;&gt;I479,"2017 - kw",IF(J479&lt;&gt;K479,"2016 - kw","N/A")))</f>
        <v>N/A</v>
      </c>
      <c r="C478" s="453"/>
      <c r="D478" s="447" t="str">
        <f>D477 &amp; "kW"</f>
        <v>kW</v>
      </c>
      <c r="E478" s="448" t="s">
        <v>170</v>
      </c>
      <c r="F478" s="361"/>
      <c r="G478" s="361"/>
      <c r="H478" s="361"/>
      <c r="I478" s="361"/>
      <c r="J478" s="361"/>
      <c r="K478" s="361"/>
      <c r="L478" s="361"/>
      <c r="M478" s="361"/>
      <c r="N478" s="361"/>
      <c r="O478" s="361"/>
      <c r="P478" s="438"/>
      <c r="Q478" s="438"/>
      <c r="R478" s="438"/>
      <c r="S478" s="438"/>
      <c r="T478" s="438"/>
      <c r="U478" s="438"/>
      <c r="V478" s="438"/>
      <c r="Z478" s="439"/>
      <c r="AA478" s="439" t="str">
        <f>IF(AND(F479=G479,H479=I479,F479="A"),"2016 - kw","")</f>
        <v/>
      </c>
      <c r="AB478" s="439" t="str">
        <f>IF(OR(B478="2017 - kw",B478="2018 - kw"),"2016 - kw","")</f>
        <v/>
      </c>
      <c r="AC478" s="439"/>
      <c r="AD478" s="439"/>
      <c r="AE478" s="439"/>
    </row>
    <row r="479" spans="1:31" hidden="1" x14ac:dyDescent="0.25">
      <c r="A479" s="438"/>
      <c r="B479" s="438"/>
      <c r="C479" s="449"/>
      <c r="D479" s="424"/>
      <c r="E479" s="450" t="s">
        <v>210</v>
      </c>
      <c r="F479" s="437"/>
      <c r="G479" s="437"/>
      <c r="H479" s="437"/>
      <c r="I479" s="437"/>
      <c r="J479" s="437"/>
      <c r="K479" s="437"/>
      <c r="L479" s="437"/>
      <c r="M479" s="437"/>
      <c r="N479" s="437"/>
      <c r="O479" s="437"/>
      <c r="P479" s="438"/>
      <c r="Q479" s="438"/>
      <c r="R479" s="438"/>
      <c r="S479" s="438"/>
      <c r="T479" s="438"/>
      <c r="U479" s="438"/>
      <c r="V479" s="438"/>
      <c r="Z479" s="439"/>
      <c r="AA479" s="439"/>
      <c r="AB479" s="439"/>
      <c r="AC479" s="439"/>
      <c r="AD479" s="439"/>
      <c r="AE479" s="439"/>
    </row>
    <row r="480" spans="1:31" ht="14.25" hidden="1" customHeight="1" x14ac:dyDescent="0.25">
      <c r="A480" s="438"/>
      <c r="B480" s="438"/>
      <c r="P480" s="438"/>
      <c r="Q480" s="438"/>
      <c r="R480" s="438"/>
      <c r="S480" s="438"/>
      <c r="T480" s="438"/>
      <c r="U480" s="438"/>
      <c r="V480" s="438"/>
      <c r="Z480" s="439"/>
      <c r="AA480" s="439"/>
      <c r="AB480" s="439"/>
      <c r="AC480" s="439"/>
      <c r="AD480" s="439"/>
      <c r="AE480" s="439"/>
    </row>
    <row r="481" spans="1:29" hidden="1" x14ac:dyDescent="0.25">
      <c r="A481" s="438"/>
      <c r="B481" s="438"/>
      <c r="F481" s="417"/>
      <c r="P481" s="438"/>
      <c r="Q481" s="438"/>
      <c r="R481" s="438"/>
      <c r="S481" s="438"/>
      <c r="T481" s="438"/>
      <c r="U481" s="438"/>
      <c r="V481" s="438"/>
      <c r="Z481" s="438"/>
      <c r="AA481" s="438"/>
      <c r="AB481" s="438"/>
      <c r="AC481" s="438"/>
    </row>
    <row r="482" spans="1:29" hidden="1" x14ac:dyDescent="0.25">
      <c r="A482" s="438"/>
      <c r="B482" s="438"/>
      <c r="E482" s="454"/>
      <c r="P482" s="438"/>
      <c r="Q482" s="438"/>
      <c r="R482" s="438"/>
      <c r="S482" s="438"/>
      <c r="T482" s="438"/>
      <c r="U482" s="438"/>
      <c r="V482" s="438"/>
    </row>
    <row r="483" spans="1:29" hidden="1" x14ac:dyDescent="0.25">
      <c r="A483" s="438"/>
      <c r="B483" s="438"/>
      <c r="F483" s="417"/>
      <c r="P483" s="438"/>
      <c r="Q483" s="438"/>
      <c r="R483" s="438"/>
      <c r="S483" s="438"/>
      <c r="T483" s="438"/>
      <c r="U483" s="438"/>
      <c r="V483" s="438"/>
    </row>
    <row r="484" spans="1:29" hidden="1" x14ac:dyDescent="0.25">
      <c r="C484" s="455"/>
      <c r="F484" s="417"/>
      <c r="P484" s="438"/>
      <c r="Q484" s="438"/>
      <c r="R484" s="438"/>
      <c r="S484" s="438"/>
      <c r="T484" s="438"/>
      <c r="U484" s="438"/>
      <c r="V484" s="438"/>
    </row>
    <row r="485" spans="1:29" x14ac:dyDescent="0.25">
      <c r="P485" s="438"/>
      <c r="Q485" s="438"/>
      <c r="R485" s="438"/>
      <c r="S485" s="438"/>
      <c r="T485" s="438"/>
      <c r="U485" s="438"/>
      <c r="V485" s="438"/>
    </row>
    <row r="487" spans="1:29" ht="76.900000000000006" customHeight="1" x14ac:dyDescent="0.25">
      <c r="A487" s="436" t="s">
        <v>359</v>
      </c>
      <c r="B487" s="408" t="s">
        <v>2961</v>
      </c>
      <c r="C487" s="361">
        <v>1</v>
      </c>
    </row>
    <row r="488" spans="1:29" ht="143.65" customHeight="1" x14ac:dyDescent="0.25">
      <c r="B488" s="543" t="s">
        <v>3343</v>
      </c>
    </row>
    <row r="490" spans="1:29" ht="50.25" customHeight="1" x14ac:dyDescent="0.25">
      <c r="B490" s="440" t="s">
        <v>482</v>
      </c>
      <c r="D490" s="457" t="s">
        <v>634</v>
      </c>
      <c r="E490" s="832" t="s">
        <v>635</v>
      </c>
      <c r="F490" s="832"/>
      <c r="G490" s="832"/>
      <c r="H490" s="832"/>
      <c r="I490" s="832"/>
      <c r="J490" s="832"/>
      <c r="K490" s="832"/>
      <c r="L490" s="832"/>
      <c r="M490" s="832"/>
      <c r="N490" s="832"/>
      <c r="O490" s="832"/>
      <c r="P490" s="463"/>
    </row>
    <row r="491" spans="1:29" ht="33" customHeight="1" x14ac:dyDescent="0.25">
      <c r="A491" s="466"/>
      <c r="B491" s="413" t="s">
        <v>207</v>
      </c>
      <c r="C491" s="412"/>
      <c r="D491" s="412" t="s">
        <v>633</v>
      </c>
      <c r="E491" s="412" t="s">
        <v>633</v>
      </c>
      <c r="F491" s="819">
        <v>2021</v>
      </c>
      <c r="G491" s="820"/>
      <c r="H491" s="819">
        <v>2020</v>
      </c>
      <c r="I491" s="820"/>
      <c r="J491" s="819">
        <v>2019</v>
      </c>
      <c r="K491" s="820"/>
      <c r="L491" s="819">
        <v>2018</v>
      </c>
      <c r="M491" s="820"/>
      <c r="N491" s="819">
        <v>2017</v>
      </c>
      <c r="O491" s="820"/>
      <c r="P491" s="438"/>
      <c r="Q491" s="438"/>
      <c r="R491" s="438"/>
      <c r="S491" s="438"/>
      <c r="T491" s="438"/>
      <c r="U491" s="438"/>
      <c r="V491" s="438"/>
      <c r="W491" s="438"/>
    </row>
    <row r="492" spans="1:29" x14ac:dyDescent="0.25">
      <c r="A492" s="467" t="s">
        <v>483</v>
      </c>
      <c r="B492" s="464" t="s">
        <v>3497</v>
      </c>
      <c r="C492" s="456" t="s">
        <v>139</v>
      </c>
      <c r="D492" s="458"/>
      <c r="E492" s="489">
        <v>37810243.020000003</v>
      </c>
      <c r="F492" s="817"/>
      <c r="G492" s="818"/>
      <c r="H492" s="817"/>
      <c r="I492" s="818"/>
      <c r="J492" s="817"/>
      <c r="K492" s="818"/>
      <c r="L492" s="817"/>
      <c r="M492" s="818"/>
      <c r="N492" s="817"/>
      <c r="O492" s="818"/>
      <c r="P492" s="438"/>
      <c r="Q492" s="438"/>
      <c r="R492" s="438"/>
      <c r="S492" s="438"/>
      <c r="T492" s="438"/>
      <c r="U492" s="438"/>
      <c r="V492" s="438"/>
      <c r="W492" s="438"/>
    </row>
    <row r="493" spans="1:29" x14ac:dyDescent="0.25">
      <c r="A493" s="467"/>
      <c r="B493" s="465" t="str">
        <f>B492&amp;"KW"</f>
        <v>GENERAL SERVICE 50 TO 999 KW SERVICE CLASSIFICATIONKW</v>
      </c>
      <c r="C493" s="456" t="s">
        <v>170</v>
      </c>
      <c r="D493" s="458"/>
      <c r="E493" s="489">
        <v>88766.09</v>
      </c>
      <c r="F493" s="817"/>
      <c r="G493" s="818"/>
      <c r="H493" s="817"/>
      <c r="I493" s="818"/>
      <c r="J493" s="817"/>
      <c r="K493" s="818"/>
      <c r="L493" s="817"/>
      <c r="M493" s="818"/>
      <c r="N493" s="817"/>
      <c r="O493" s="818"/>
      <c r="P493" s="438"/>
      <c r="Q493" s="438"/>
      <c r="R493" s="438"/>
      <c r="S493" s="438"/>
      <c r="T493" s="438"/>
      <c r="U493" s="438"/>
      <c r="V493" s="438"/>
      <c r="W493" s="438"/>
    </row>
    <row r="494" spans="1:29" hidden="1" x14ac:dyDescent="0.25">
      <c r="A494" s="468" t="s">
        <v>484</v>
      </c>
      <c r="B494" s="464"/>
      <c r="C494" s="456" t="s">
        <v>139</v>
      </c>
      <c r="D494" s="458"/>
      <c r="E494" s="489"/>
      <c r="F494" s="817"/>
      <c r="G494" s="818"/>
      <c r="H494" s="817"/>
      <c r="I494" s="818"/>
      <c r="J494" s="817"/>
      <c r="K494" s="818"/>
      <c r="L494" s="817"/>
      <c r="M494" s="818"/>
      <c r="N494" s="817"/>
      <c r="O494" s="818"/>
      <c r="P494" s="438"/>
      <c r="Q494" s="438"/>
      <c r="R494" s="438"/>
      <c r="S494" s="438"/>
      <c r="T494" s="438"/>
      <c r="U494" s="438"/>
      <c r="V494" s="438"/>
      <c r="W494" s="438"/>
    </row>
    <row r="495" spans="1:29" hidden="1" x14ac:dyDescent="0.25">
      <c r="A495" s="468"/>
      <c r="B495" s="465" t="str">
        <f>B494&amp;"KW"</f>
        <v>KW</v>
      </c>
      <c r="C495" s="456" t="s">
        <v>170</v>
      </c>
      <c r="D495" s="458"/>
      <c r="E495" s="489"/>
      <c r="F495" s="817"/>
      <c r="G495" s="818"/>
      <c r="H495" s="817"/>
      <c r="I495" s="818"/>
      <c r="J495" s="817"/>
      <c r="K495" s="818"/>
      <c r="L495" s="817"/>
      <c r="M495" s="818"/>
      <c r="N495" s="817"/>
      <c r="O495" s="818"/>
      <c r="P495" s="438"/>
      <c r="Q495" s="438"/>
      <c r="R495" s="438"/>
      <c r="S495" s="438"/>
      <c r="T495" s="438"/>
      <c r="U495" s="438"/>
      <c r="V495" s="438"/>
      <c r="W495" s="438"/>
    </row>
    <row r="496" spans="1:29" hidden="1" x14ac:dyDescent="0.25">
      <c r="A496" s="468" t="s">
        <v>485</v>
      </c>
      <c r="B496" s="464"/>
      <c r="C496" s="456" t="s">
        <v>139</v>
      </c>
      <c r="D496" s="458"/>
      <c r="E496" s="489"/>
      <c r="F496" s="817"/>
      <c r="G496" s="818"/>
      <c r="H496" s="817"/>
      <c r="I496" s="818"/>
      <c r="J496" s="817"/>
      <c r="K496" s="818"/>
      <c r="L496" s="817"/>
      <c r="M496" s="818"/>
      <c r="N496" s="817"/>
      <c r="O496" s="818"/>
      <c r="P496" s="438"/>
      <c r="Q496" s="438"/>
      <c r="R496" s="438"/>
      <c r="S496" s="438"/>
      <c r="T496" s="438"/>
      <c r="U496" s="438"/>
      <c r="V496" s="438"/>
      <c r="W496" s="438"/>
    </row>
    <row r="497" spans="1:23" hidden="1" x14ac:dyDescent="0.25">
      <c r="A497" s="468"/>
      <c r="B497" s="465" t="str">
        <f>B496&amp;"KW"</f>
        <v>KW</v>
      </c>
      <c r="C497" s="456" t="s">
        <v>170</v>
      </c>
      <c r="D497" s="458"/>
      <c r="E497" s="489"/>
      <c r="F497" s="817"/>
      <c r="G497" s="818"/>
      <c r="H497" s="817"/>
      <c r="I497" s="818"/>
      <c r="J497" s="817"/>
      <c r="K497" s="818"/>
      <c r="L497" s="817"/>
      <c r="M497" s="818"/>
      <c r="N497" s="817"/>
      <c r="O497" s="818"/>
      <c r="P497" s="438"/>
      <c r="Q497" s="438"/>
      <c r="R497" s="438"/>
      <c r="S497" s="438"/>
      <c r="T497" s="438"/>
      <c r="U497" s="438"/>
      <c r="V497" s="438"/>
      <c r="W497" s="438"/>
    </row>
    <row r="498" spans="1:23" hidden="1" x14ac:dyDescent="0.25">
      <c r="A498" s="468" t="s">
        <v>486</v>
      </c>
      <c r="B498" s="464"/>
      <c r="C498" s="456" t="s">
        <v>139</v>
      </c>
      <c r="D498" s="458"/>
      <c r="E498" s="458"/>
      <c r="F498" s="815"/>
      <c r="G498" s="816"/>
      <c r="H498" s="815"/>
      <c r="I498" s="816"/>
      <c r="J498" s="815"/>
      <c r="K498" s="816"/>
      <c r="L498" s="815"/>
      <c r="M498" s="816"/>
      <c r="N498" s="815"/>
      <c r="O498" s="816"/>
      <c r="P498" s="438"/>
      <c r="Q498" s="438"/>
      <c r="R498" s="438"/>
      <c r="S498" s="438"/>
      <c r="T498" s="438"/>
      <c r="U498" s="438"/>
      <c r="V498" s="438"/>
      <c r="W498" s="438"/>
    </row>
    <row r="499" spans="1:23" hidden="1" x14ac:dyDescent="0.25">
      <c r="A499" s="468"/>
      <c r="B499" s="465" t="str">
        <f>B498&amp;"KW"</f>
        <v>KW</v>
      </c>
      <c r="C499" s="456" t="s">
        <v>170</v>
      </c>
      <c r="D499" s="458"/>
      <c r="E499" s="458"/>
      <c r="F499" s="815"/>
      <c r="G499" s="816"/>
      <c r="H499" s="815"/>
      <c r="I499" s="816"/>
      <c r="J499" s="815"/>
      <c r="K499" s="816"/>
      <c r="L499" s="815"/>
      <c r="M499" s="816"/>
      <c r="N499" s="815"/>
      <c r="O499" s="816"/>
      <c r="P499" s="438"/>
      <c r="Q499" s="438"/>
      <c r="R499" s="438"/>
      <c r="S499" s="438"/>
      <c r="T499" s="438"/>
      <c r="U499" s="438"/>
      <c r="V499" s="438"/>
      <c r="W499" s="438"/>
    </row>
    <row r="500" spans="1:23" hidden="1" x14ac:dyDescent="0.25">
      <c r="A500" s="468" t="s">
        <v>487</v>
      </c>
      <c r="B500" s="464"/>
      <c r="C500" s="456" t="s">
        <v>139</v>
      </c>
      <c r="D500" s="458"/>
      <c r="E500" s="458"/>
      <c r="F500" s="815"/>
      <c r="G500" s="816"/>
      <c r="H500" s="815"/>
      <c r="I500" s="816"/>
      <c r="J500" s="815"/>
      <c r="K500" s="816"/>
      <c r="L500" s="815"/>
      <c r="M500" s="816"/>
      <c r="N500" s="815"/>
      <c r="O500" s="816"/>
      <c r="P500" s="438"/>
      <c r="Q500" s="438"/>
      <c r="R500" s="438"/>
      <c r="S500" s="438"/>
      <c r="T500" s="438"/>
      <c r="U500" s="438"/>
      <c r="V500" s="438"/>
      <c r="W500" s="438"/>
    </row>
    <row r="501" spans="1:23" hidden="1" x14ac:dyDescent="0.25">
      <c r="A501" s="468"/>
      <c r="B501" s="465" t="str">
        <f>B500&amp;"KW"</f>
        <v>KW</v>
      </c>
      <c r="C501" s="456" t="s">
        <v>170</v>
      </c>
      <c r="D501" s="458"/>
      <c r="E501" s="458"/>
      <c r="F501" s="815"/>
      <c r="G501" s="816"/>
      <c r="H501" s="815"/>
      <c r="I501" s="816"/>
      <c r="J501" s="815"/>
      <c r="K501" s="816"/>
      <c r="L501" s="815"/>
      <c r="M501" s="816"/>
      <c r="N501" s="815"/>
      <c r="O501" s="816"/>
      <c r="P501" s="438"/>
      <c r="Q501" s="438"/>
      <c r="R501" s="438"/>
      <c r="S501" s="438"/>
      <c r="T501" s="438"/>
      <c r="U501" s="438"/>
      <c r="V501" s="438"/>
      <c r="W501" s="438"/>
    </row>
    <row r="502" spans="1:23" hidden="1" x14ac:dyDescent="0.25">
      <c r="A502" s="468" t="s">
        <v>488</v>
      </c>
      <c r="B502" s="464"/>
      <c r="C502" s="456" t="s">
        <v>139</v>
      </c>
      <c r="D502" s="458"/>
      <c r="E502" s="458"/>
      <c r="F502" s="815"/>
      <c r="G502" s="816"/>
      <c r="H502" s="815"/>
      <c r="I502" s="816"/>
      <c r="J502" s="815"/>
      <c r="K502" s="816"/>
      <c r="L502" s="815"/>
      <c r="M502" s="816"/>
      <c r="N502" s="815"/>
      <c r="O502" s="816"/>
      <c r="P502" s="438"/>
      <c r="Q502" s="438"/>
      <c r="R502" s="438"/>
      <c r="S502" s="438"/>
      <c r="T502" s="438"/>
      <c r="U502" s="438"/>
      <c r="V502" s="438"/>
      <c r="W502" s="438"/>
    </row>
    <row r="503" spans="1:23" hidden="1" x14ac:dyDescent="0.25">
      <c r="A503" s="468"/>
      <c r="B503" s="465" t="str">
        <f>B502&amp;"KW"</f>
        <v>KW</v>
      </c>
      <c r="C503" s="456" t="s">
        <v>170</v>
      </c>
      <c r="D503" s="458"/>
      <c r="E503" s="458"/>
      <c r="F503" s="815"/>
      <c r="G503" s="816"/>
      <c r="H503" s="815"/>
      <c r="I503" s="816"/>
      <c r="J503" s="815"/>
      <c r="K503" s="816"/>
      <c r="L503" s="815"/>
      <c r="M503" s="816"/>
      <c r="N503" s="815"/>
      <c r="O503" s="816"/>
      <c r="P503" s="438"/>
      <c r="Q503" s="438"/>
      <c r="R503" s="438"/>
      <c r="S503" s="438"/>
      <c r="T503" s="438"/>
      <c r="U503" s="438"/>
      <c r="V503" s="438"/>
      <c r="W503" s="438"/>
    </row>
    <row r="504" spans="1:23" hidden="1" x14ac:dyDescent="0.25">
      <c r="A504" s="468" t="s">
        <v>489</v>
      </c>
      <c r="B504" s="464"/>
      <c r="C504" s="456" t="s">
        <v>139</v>
      </c>
      <c r="D504" s="458"/>
      <c r="E504" s="458"/>
      <c r="F504" s="815"/>
      <c r="G504" s="816"/>
      <c r="H504" s="815"/>
      <c r="I504" s="816"/>
      <c r="J504" s="815"/>
      <c r="K504" s="816"/>
      <c r="L504" s="815"/>
      <c r="M504" s="816"/>
      <c r="N504" s="815"/>
      <c r="O504" s="816"/>
      <c r="P504" s="438"/>
      <c r="Q504" s="438"/>
      <c r="R504" s="438"/>
      <c r="S504" s="438"/>
      <c r="T504" s="438"/>
      <c r="U504" s="438"/>
      <c r="V504" s="438"/>
      <c r="W504" s="438"/>
    </row>
    <row r="505" spans="1:23" hidden="1" x14ac:dyDescent="0.25">
      <c r="A505" s="468"/>
      <c r="B505" s="465" t="str">
        <f>B504&amp;"KW"</f>
        <v>KW</v>
      </c>
      <c r="C505" s="456" t="s">
        <v>170</v>
      </c>
      <c r="D505" s="458"/>
      <c r="E505" s="458"/>
      <c r="F505" s="815"/>
      <c r="G505" s="816"/>
      <c r="H505" s="815"/>
      <c r="I505" s="816"/>
      <c r="J505" s="815"/>
      <c r="K505" s="816"/>
      <c r="L505" s="815"/>
      <c r="M505" s="816"/>
      <c r="N505" s="815"/>
      <c r="O505" s="816"/>
      <c r="P505" s="438"/>
      <c r="Q505" s="438"/>
      <c r="R505" s="438"/>
      <c r="S505" s="438"/>
      <c r="T505" s="438"/>
      <c r="U505" s="438"/>
      <c r="V505" s="438"/>
      <c r="W505" s="438"/>
    </row>
    <row r="506" spans="1:23" hidden="1" x14ac:dyDescent="0.25">
      <c r="A506" s="468" t="s">
        <v>490</v>
      </c>
      <c r="B506" s="464"/>
      <c r="C506" s="456" t="s">
        <v>139</v>
      </c>
      <c r="D506" s="458"/>
      <c r="E506" s="458"/>
      <c r="F506" s="815"/>
      <c r="G506" s="816"/>
      <c r="H506" s="815"/>
      <c r="I506" s="816"/>
      <c r="J506" s="815"/>
      <c r="K506" s="816"/>
      <c r="L506" s="815"/>
      <c r="M506" s="816"/>
      <c r="N506" s="815"/>
      <c r="O506" s="816"/>
      <c r="P506" s="438"/>
      <c r="Q506" s="438"/>
      <c r="R506" s="438"/>
      <c r="S506" s="438"/>
      <c r="T506" s="438"/>
      <c r="U506" s="438"/>
      <c r="V506" s="438"/>
      <c r="W506" s="438"/>
    </row>
    <row r="507" spans="1:23" hidden="1" x14ac:dyDescent="0.25">
      <c r="A507" s="468"/>
      <c r="B507" s="465" t="str">
        <f>B506&amp;"KW"</f>
        <v>KW</v>
      </c>
      <c r="C507" s="456" t="s">
        <v>170</v>
      </c>
      <c r="D507" s="458"/>
      <c r="E507" s="458"/>
      <c r="F507" s="815"/>
      <c r="G507" s="816"/>
      <c r="H507" s="815"/>
      <c r="I507" s="816"/>
      <c r="J507" s="815"/>
      <c r="K507" s="816"/>
      <c r="L507" s="815"/>
      <c r="M507" s="816"/>
      <c r="N507" s="815"/>
      <c r="O507" s="816"/>
      <c r="P507" s="438"/>
      <c r="Q507" s="438"/>
      <c r="R507" s="438"/>
      <c r="S507" s="438"/>
      <c r="T507" s="438"/>
      <c r="U507" s="438"/>
      <c r="V507" s="438"/>
      <c r="W507" s="438"/>
    </row>
    <row r="508" spans="1:23" hidden="1" x14ac:dyDescent="0.25">
      <c r="A508" s="468" t="s">
        <v>491</v>
      </c>
      <c r="B508" s="464"/>
      <c r="C508" s="456" t="s">
        <v>139</v>
      </c>
      <c r="D508" s="458"/>
      <c r="E508" s="458"/>
      <c r="F508" s="815"/>
      <c r="G508" s="816"/>
      <c r="H508" s="815"/>
      <c r="I508" s="816"/>
      <c r="J508" s="815"/>
      <c r="K508" s="816"/>
      <c r="L508" s="815"/>
      <c r="M508" s="816"/>
      <c r="N508" s="815"/>
      <c r="O508" s="816"/>
      <c r="P508" s="438"/>
      <c r="Q508" s="438"/>
      <c r="R508" s="438"/>
      <c r="S508" s="438"/>
      <c r="T508" s="438"/>
      <c r="U508" s="438"/>
      <c r="V508" s="438"/>
      <c r="W508" s="438"/>
    </row>
    <row r="509" spans="1:23" hidden="1" x14ac:dyDescent="0.25">
      <c r="A509" s="468"/>
      <c r="B509" s="465" t="str">
        <f>B508&amp;"KW"</f>
        <v>KW</v>
      </c>
      <c r="C509" s="456" t="s">
        <v>170</v>
      </c>
      <c r="D509" s="458"/>
      <c r="E509" s="458"/>
      <c r="F509" s="815"/>
      <c r="G509" s="816"/>
      <c r="H509" s="815"/>
      <c r="I509" s="816"/>
      <c r="J509" s="815"/>
      <c r="K509" s="816"/>
      <c r="L509" s="815"/>
      <c r="M509" s="816"/>
      <c r="N509" s="815"/>
      <c r="O509" s="816"/>
      <c r="P509" s="438"/>
      <c r="Q509" s="438"/>
      <c r="R509" s="438"/>
      <c r="S509" s="438"/>
      <c r="T509" s="438"/>
      <c r="U509" s="438"/>
      <c r="V509" s="438"/>
      <c r="W509" s="438"/>
    </row>
    <row r="510" spans="1:23" hidden="1" x14ac:dyDescent="0.25">
      <c r="A510" s="468" t="s">
        <v>492</v>
      </c>
      <c r="B510" s="464"/>
      <c r="C510" s="456" t="s">
        <v>139</v>
      </c>
      <c r="D510" s="458"/>
      <c r="E510" s="458"/>
      <c r="F510" s="815"/>
      <c r="G510" s="816"/>
      <c r="H510" s="815"/>
      <c r="I510" s="816"/>
      <c r="J510" s="815"/>
      <c r="K510" s="816"/>
      <c r="L510" s="815"/>
      <c r="M510" s="816"/>
      <c r="N510" s="815"/>
      <c r="O510" s="816"/>
      <c r="P510" s="438"/>
      <c r="Q510" s="438"/>
      <c r="R510" s="438"/>
      <c r="S510" s="438"/>
      <c r="T510" s="438"/>
      <c r="U510" s="438"/>
      <c r="V510" s="438"/>
      <c r="W510" s="438"/>
    </row>
    <row r="511" spans="1:23" hidden="1" x14ac:dyDescent="0.25">
      <c r="A511" s="468"/>
      <c r="B511" s="465" t="str">
        <f>B510&amp;"KW"</f>
        <v>KW</v>
      </c>
      <c r="C511" s="456" t="s">
        <v>170</v>
      </c>
      <c r="D511" s="458"/>
      <c r="E511" s="458"/>
      <c r="F511" s="815"/>
      <c r="G511" s="816"/>
      <c r="H511" s="815"/>
      <c r="I511" s="816"/>
      <c r="J511" s="815"/>
      <c r="K511" s="816"/>
      <c r="L511" s="815"/>
      <c r="M511" s="816"/>
      <c r="N511" s="815"/>
      <c r="O511" s="816"/>
      <c r="P511" s="438"/>
      <c r="Q511" s="438"/>
      <c r="R511" s="438"/>
      <c r="S511" s="438"/>
      <c r="T511" s="438"/>
      <c r="U511" s="438"/>
      <c r="V511" s="438"/>
      <c r="W511" s="438"/>
    </row>
    <row r="512" spans="1:23" hidden="1" x14ac:dyDescent="0.25">
      <c r="A512" s="468" t="s">
        <v>493</v>
      </c>
      <c r="B512" s="464"/>
      <c r="C512" s="456" t="s">
        <v>139</v>
      </c>
      <c r="D512" s="458"/>
      <c r="E512" s="458"/>
      <c r="F512" s="815"/>
      <c r="G512" s="816"/>
      <c r="H512" s="815"/>
      <c r="I512" s="816"/>
      <c r="J512" s="815"/>
      <c r="K512" s="816"/>
      <c r="L512" s="815"/>
      <c r="M512" s="816"/>
      <c r="N512" s="815"/>
      <c r="O512" s="816"/>
      <c r="P512" s="438"/>
      <c r="Q512" s="438"/>
      <c r="R512" s="438"/>
      <c r="S512" s="438"/>
      <c r="T512" s="438"/>
      <c r="U512" s="438"/>
      <c r="V512" s="438"/>
      <c r="W512" s="438"/>
    </row>
    <row r="513" spans="1:23" hidden="1" x14ac:dyDescent="0.25">
      <c r="A513" s="468"/>
      <c r="B513" s="465" t="str">
        <f>B512&amp;"KW"</f>
        <v>KW</v>
      </c>
      <c r="C513" s="456" t="s">
        <v>170</v>
      </c>
      <c r="D513" s="458"/>
      <c r="E513" s="458"/>
      <c r="F513" s="815"/>
      <c r="G513" s="816"/>
      <c r="H513" s="815"/>
      <c r="I513" s="816"/>
      <c r="J513" s="815"/>
      <c r="K513" s="816"/>
      <c r="L513" s="815"/>
      <c r="M513" s="816"/>
      <c r="N513" s="815"/>
      <c r="O513" s="816"/>
      <c r="P513" s="438"/>
      <c r="Q513" s="438"/>
      <c r="R513" s="438"/>
      <c r="S513" s="438"/>
      <c r="T513" s="438"/>
      <c r="U513" s="438"/>
      <c r="V513" s="438"/>
      <c r="W513" s="438"/>
    </row>
    <row r="514" spans="1:23" hidden="1" x14ac:dyDescent="0.25">
      <c r="A514" s="468" t="s">
        <v>494</v>
      </c>
      <c r="B514" s="464"/>
      <c r="C514" s="456" t="s">
        <v>139</v>
      </c>
      <c r="D514" s="458"/>
      <c r="E514" s="458"/>
      <c r="F514" s="815"/>
      <c r="G514" s="816"/>
      <c r="H514" s="815"/>
      <c r="I514" s="816"/>
      <c r="J514" s="815"/>
      <c r="K514" s="816"/>
      <c r="L514" s="815"/>
      <c r="M514" s="816"/>
      <c r="N514" s="815"/>
      <c r="O514" s="816"/>
      <c r="P514" s="438"/>
      <c r="Q514" s="438"/>
      <c r="R514" s="438"/>
      <c r="S514" s="438"/>
      <c r="T514" s="438"/>
      <c r="U514" s="438"/>
      <c r="V514" s="438"/>
      <c r="W514" s="438"/>
    </row>
    <row r="515" spans="1:23" hidden="1" x14ac:dyDescent="0.25">
      <c r="A515" s="468"/>
      <c r="B515" s="465" t="str">
        <f>B514&amp;"KW"</f>
        <v>KW</v>
      </c>
      <c r="C515" s="456" t="s">
        <v>170</v>
      </c>
      <c r="D515" s="458"/>
      <c r="E515" s="458"/>
      <c r="F515" s="815"/>
      <c r="G515" s="816"/>
      <c r="H515" s="815"/>
      <c r="I515" s="816"/>
      <c r="J515" s="815"/>
      <c r="K515" s="816"/>
      <c r="L515" s="815"/>
      <c r="M515" s="816"/>
      <c r="N515" s="815"/>
      <c r="O515" s="816"/>
      <c r="P515" s="438"/>
      <c r="Q515" s="438"/>
      <c r="R515" s="438"/>
      <c r="S515" s="438"/>
      <c r="T515" s="438"/>
      <c r="U515" s="438"/>
      <c r="V515" s="438"/>
      <c r="W515" s="438"/>
    </row>
    <row r="516" spans="1:23" hidden="1" x14ac:dyDescent="0.25">
      <c r="A516" s="468" t="s">
        <v>495</v>
      </c>
      <c r="B516" s="464"/>
      <c r="C516" s="456" t="s">
        <v>139</v>
      </c>
      <c r="D516" s="458"/>
      <c r="E516" s="458"/>
      <c r="F516" s="815"/>
      <c r="G516" s="816"/>
      <c r="H516" s="815"/>
      <c r="I516" s="816"/>
      <c r="J516" s="815"/>
      <c r="K516" s="816"/>
      <c r="L516" s="815"/>
      <c r="M516" s="816"/>
      <c r="N516" s="815"/>
      <c r="O516" s="816"/>
      <c r="P516" s="438"/>
      <c r="Q516" s="438"/>
      <c r="R516" s="438"/>
      <c r="S516" s="438"/>
      <c r="T516" s="438"/>
      <c r="U516" s="438"/>
      <c r="V516" s="438"/>
      <c r="W516" s="438"/>
    </row>
    <row r="517" spans="1:23" hidden="1" x14ac:dyDescent="0.25">
      <c r="A517" s="468"/>
      <c r="B517" s="465" t="str">
        <f>B516&amp;"KW"</f>
        <v>KW</v>
      </c>
      <c r="C517" s="456" t="s">
        <v>170</v>
      </c>
      <c r="D517" s="458"/>
      <c r="E517" s="458"/>
      <c r="F517" s="815"/>
      <c r="G517" s="816"/>
      <c r="H517" s="815"/>
      <c r="I517" s="816"/>
      <c r="J517" s="815"/>
      <c r="K517" s="816"/>
      <c r="L517" s="815"/>
      <c r="M517" s="816"/>
      <c r="N517" s="815"/>
      <c r="O517" s="816"/>
      <c r="P517" s="438"/>
      <c r="Q517" s="438"/>
      <c r="R517" s="438"/>
      <c r="S517" s="438"/>
      <c r="T517" s="438"/>
      <c r="U517" s="438"/>
      <c r="V517" s="438"/>
      <c r="W517" s="438"/>
    </row>
    <row r="518" spans="1:23" hidden="1" x14ac:dyDescent="0.25">
      <c r="A518" s="468" t="s">
        <v>496</v>
      </c>
      <c r="B518" s="464"/>
      <c r="C518" s="456" t="s">
        <v>139</v>
      </c>
      <c r="D518" s="458"/>
      <c r="E518" s="458"/>
      <c r="F518" s="815"/>
      <c r="G518" s="816"/>
      <c r="H518" s="815"/>
      <c r="I518" s="816"/>
      <c r="J518" s="815"/>
      <c r="K518" s="816"/>
      <c r="L518" s="815"/>
      <c r="M518" s="816"/>
      <c r="N518" s="815"/>
      <c r="O518" s="816"/>
      <c r="P518" s="438"/>
      <c r="Q518" s="438"/>
      <c r="R518" s="438"/>
      <c r="S518" s="438"/>
      <c r="T518" s="438"/>
      <c r="U518" s="438"/>
      <c r="V518" s="438"/>
      <c r="W518" s="438"/>
    </row>
    <row r="519" spans="1:23" hidden="1" x14ac:dyDescent="0.25">
      <c r="A519" s="468"/>
      <c r="B519" s="465" t="str">
        <f>B518&amp;"KW"</f>
        <v>KW</v>
      </c>
      <c r="C519" s="456" t="s">
        <v>170</v>
      </c>
      <c r="D519" s="458"/>
      <c r="E519" s="458"/>
      <c r="F519" s="815"/>
      <c r="G519" s="816"/>
      <c r="H519" s="815"/>
      <c r="I519" s="816"/>
      <c r="J519" s="815"/>
      <c r="K519" s="816"/>
      <c r="L519" s="815"/>
      <c r="M519" s="816"/>
      <c r="N519" s="815"/>
      <c r="O519" s="816"/>
      <c r="P519" s="438"/>
      <c r="Q519" s="438"/>
      <c r="R519" s="438"/>
      <c r="S519" s="438"/>
      <c r="T519" s="438"/>
      <c r="U519" s="438"/>
      <c r="V519" s="438"/>
      <c r="W519" s="438"/>
    </row>
    <row r="520" spans="1:23" hidden="1" x14ac:dyDescent="0.25">
      <c r="A520" s="468" t="s">
        <v>497</v>
      </c>
      <c r="B520" s="464"/>
      <c r="C520" s="456" t="s">
        <v>139</v>
      </c>
      <c r="D520" s="458"/>
      <c r="E520" s="458"/>
      <c r="F520" s="815"/>
      <c r="G520" s="816"/>
      <c r="H520" s="815"/>
      <c r="I520" s="816"/>
      <c r="J520" s="815"/>
      <c r="K520" s="816"/>
      <c r="L520" s="815"/>
      <c r="M520" s="816"/>
      <c r="N520" s="815"/>
      <c r="O520" s="816"/>
      <c r="P520" s="438"/>
      <c r="Q520" s="438"/>
      <c r="R520" s="438"/>
      <c r="S520" s="438"/>
      <c r="T520" s="438"/>
      <c r="U520" s="438"/>
      <c r="V520" s="438"/>
      <c r="W520" s="438"/>
    </row>
    <row r="521" spans="1:23" hidden="1" x14ac:dyDescent="0.25">
      <c r="A521" s="468"/>
      <c r="B521" s="465" t="str">
        <f>B520&amp;"KW"</f>
        <v>KW</v>
      </c>
      <c r="C521" s="456" t="s">
        <v>170</v>
      </c>
      <c r="D521" s="458"/>
      <c r="E521" s="458"/>
      <c r="F521" s="815"/>
      <c r="G521" s="816"/>
      <c r="H521" s="815"/>
      <c r="I521" s="816"/>
      <c r="J521" s="815"/>
      <c r="K521" s="816"/>
      <c r="L521" s="815"/>
      <c r="M521" s="816"/>
      <c r="N521" s="815"/>
      <c r="O521" s="816"/>
      <c r="P521" s="438"/>
      <c r="Q521" s="438"/>
      <c r="R521" s="438"/>
      <c r="S521" s="438"/>
      <c r="T521" s="438"/>
      <c r="U521" s="438"/>
      <c r="V521" s="438"/>
      <c r="W521" s="438"/>
    </row>
    <row r="522" spans="1:23" hidden="1" x14ac:dyDescent="0.25">
      <c r="A522" s="468" t="s">
        <v>498</v>
      </c>
      <c r="B522" s="464"/>
      <c r="C522" s="456" t="s">
        <v>139</v>
      </c>
      <c r="D522" s="458"/>
      <c r="E522" s="458"/>
      <c r="F522" s="815"/>
      <c r="G522" s="816"/>
      <c r="H522" s="815"/>
      <c r="I522" s="816"/>
      <c r="J522" s="815"/>
      <c r="K522" s="816"/>
      <c r="L522" s="815"/>
      <c r="M522" s="816"/>
      <c r="N522" s="815"/>
      <c r="O522" s="816"/>
      <c r="P522" s="438"/>
      <c r="Q522" s="438"/>
      <c r="R522" s="438"/>
      <c r="S522" s="438"/>
      <c r="T522" s="438"/>
      <c r="U522" s="438"/>
      <c r="V522" s="438"/>
      <c r="W522" s="438"/>
    </row>
    <row r="523" spans="1:23" hidden="1" x14ac:dyDescent="0.25">
      <c r="A523" s="468"/>
      <c r="B523" s="465" t="str">
        <f>B522&amp;"KW"</f>
        <v>KW</v>
      </c>
      <c r="C523" s="456" t="s">
        <v>170</v>
      </c>
      <c r="D523" s="458"/>
      <c r="E523" s="458"/>
      <c r="F523" s="815"/>
      <c r="G523" s="816"/>
      <c r="H523" s="815"/>
      <c r="I523" s="816"/>
      <c r="J523" s="815"/>
      <c r="K523" s="816"/>
      <c r="L523" s="815"/>
      <c r="M523" s="816"/>
      <c r="N523" s="815"/>
      <c r="O523" s="816"/>
      <c r="P523" s="438"/>
      <c r="Q523" s="438"/>
      <c r="R523" s="438"/>
      <c r="S523" s="438"/>
      <c r="T523" s="438"/>
      <c r="U523" s="438"/>
      <c r="V523" s="438"/>
      <c r="W523" s="438"/>
    </row>
    <row r="524" spans="1:23" hidden="1" x14ac:dyDescent="0.25">
      <c r="A524" s="468" t="s">
        <v>499</v>
      </c>
      <c r="B524" s="464"/>
      <c r="C524" s="456" t="s">
        <v>139</v>
      </c>
      <c r="D524" s="458"/>
      <c r="E524" s="458"/>
      <c r="F524" s="815"/>
      <c r="G524" s="816"/>
      <c r="H524" s="815"/>
      <c r="I524" s="816"/>
      <c r="J524" s="815"/>
      <c r="K524" s="816"/>
      <c r="L524" s="815"/>
      <c r="M524" s="816"/>
      <c r="N524" s="815"/>
      <c r="O524" s="816"/>
      <c r="P524" s="438"/>
      <c r="Q524" s="438"/>
      <c r="R524" s="438"/>
      <c r="S524" s="438"/>
      <c r="T524" s="438"/>
      <c r="U524" s="438"/>
      <c r="V524" s="438"/>
      <c r="W524" s="438"/>
    </row>
    <row r="525" spans="1:23" hidden="1" x14ac:dyDescent="0.25">
      <c r="A525" s="468"/>
      <c r="B525" s="465" t="str">
        <f>B524&amp;"KW"</f>
        <v>KW</v>
      </c>
      <c r="C525" s="456" t="s">
        <v>170</v>
      </c>
      <c r="D525" s="458"/>
      <c r="E525" s="458"/>
      <c r="F525" s="815"/>
      <c r="G525" s="816"/>
      <c r="H525" s="815"/>
      <c r="I525" s="816"/>
      <c r="J525" s="815"/>
      <c r="K525" s="816"/>
      <c r="L525" s="815"/>
      <c r="M525" s="816"/>
      <c r="N525" s="815"/>
      <c r="O525" s="816"/>
      <c r="P525" s="438"/>
      <c r="Q525" s="438"/>
      <c r="R525" s="438"/>
      <c r="S525" s="438"/>
      <c r="T525" s="438"/>
      <c r="U525" s="438"/>
      <c r="V525" s="438"/>
      <c r="W525" s="438"/>
    </row>
    <row r="526" spans="1:23" hidden="1" x14ac:dyDescent="0.25">
      <c r="A526" s="468" t="s">
        <v>500</v>
      </c>
      <c r="B526" s="464"/>
      <c r="C526" s="456" t="s">
        <v>139</v>
      </c>
      <c r="D526" s="458"/>
      <c r="E526" s="458"/>
      <c r="F526" s="815"/>
      <c r="G526" s="816"/>
      <c r="H526" s="815"/>
      <c r="I526" s="816"/>
      <c r="J526" s="815"/>
      <c r="K526" s="816"/>
      <c r="L526" s="815"/>
      <c r="M526" s="816"/>
      <c r="N526" s="815"/>
      <c r="O526" s="816"/>
      <c r="P526" s="438"/>
      <c r="Q526" s="438"/>
      <c r="R526" s="438"/>
      <c r="S526" s="438"/>
      <c r="T526" s="438"/>
      <c r="U526" s="438"/>
      <c r="V526" s="438"/>
      <c r="W526" s="438"/>
    </row>
    <row r="527" spans="1:23" hidden="1" x14ac:dyDescent="0.25">
      <c r="A527" s="468"/>
      <c r="B527" s="465" t="str">
        <f>B526&amp;"KW"</f>
        <v>KW</v>
      </c>
      <c r="C527" s="456" t="s">
        <v>170</v>
      </c>
      <c r="D527" s="458"/>
      <c r="E527" s="458"/>
      <c r="F527" s="815"/>
      <c r="G527" s="816"/>
      <c r="H527" s="815"/>
      <c r="I527" s="816"/>
      <c r="J527" s="815"/>
      <c r="K527" s="816"/>
      <c r="L527" s="815"/>
      <c r="M527" s="816"/>
      <c r="N527" s="815"/>
      <c r="O527" s="816"/>
      <c r="P527" s="438"/>
      <c r="Q527" s="438"/>
      <c r="R527" s="438"/>
      <c r="S527" s="438"/>
      <c r="T527" s="438"/>
      <c r="U527" s="438"/>
      <c r="V527" s="438"/>
      <c r="W527" s="438"/>
    </row>
    <row r="528" spans="1:23" hidden="1" x14ac:dyDescent="0.25">
      <c r="A528" s="468" t="s">
        <v>501</v>
      </c>
      <c r="B528" s="464"/>
      <c r="C528" s="456" t="s">
        <v>139</v>
      </c>
      <c r="D528" s="458"/>
      <c r="E528" s="458"/>
      <c r="F528" s="815"/>
      <c r="G528" s="816"/>
      <c r="H528" s="815"/>
      <c r="I528" s="816"/>
      <c r="J528" s="815"/>
      <c r="K528" s="816"/>
      <c r="L528" s="815"/>
      <c r="M528" s="816"/>
      <c r="N528" s="815"/>
      <c r="O528" s="816"/>
      <c r="P528" s="438"/>
      <c r="Q528" s="438"/>
      <c r="R528" s="438"/>
      <c r="S528" s="438"/>
      <c r="T528" s="438"/>
      <c r="U528" s="438"/>
      <c r="V528" s="438"/>
      <c r="W528" s="438"/>
    </row>
    <row r="529" spans="1:23" hidden="1" x14ac:dyDescent="0.25">
      <c r="A529" s="468"/>
      <c r="B529" s="465" t="str">
        <f>B528&amp;"KW"</f>
        <v>KW</v>
      </c>
      <c r="C529" s="456" t="s">
        <v>170</v>
      </c>
      <c r="D529" s="458"/>
      <c r="E529" s="458"/>
      <c r="F529" s="815"/>
      <c r="G529" s="816"/>
      <c r="H529" s="815"/>
      <c r="I529" s="816"/>
      <c r="J529" s="815"/>
      <c r="K529" s="816"/>
      <c r="L529" s="815"/>
      <c r="M529" s="816"/>
      <c r="N529" s="815"/>
      <c r="O529" s="816"/>
      <c r="P529" s="438"/>
      <c r="Q529" s="438"/>
      <c r="R529" s="438"/>
      <c r="S529" s="438"/>
      <c r="T529" s="438"/>
      <c r="U529" s="438"/>
      <c r="V529" s="438"/>
      <c r="W529" s="438"/>
    </row>
    <row r="530" spans="1:23" hidden="1" x14ac:dyDescent="0.25">
      <c r="A530" s="468" t="s">
        <v>502</v>
      </c>
      <c r="B530" s="464"/>
      <c r="C530" s="456" t="s">
        <v>139</v>
      </c>
      <c r="D530" s="458"/>
      <c r="E530" s="458"/>
      <c r="F530" s="815"/>
      <c r="G530" s="816"/>
      <c r="H530" s="815"/>
      <c r="I530" s="816"/>
      <c r="J530" s="815"/>
      <c r="K530" s="816"/>
      <c r="L530" s="815"/>
      <c r="M530" s="816"/>
      <c r="N530" s="815"/>
      <c r="O530" s="816"/>
      <c r="P530" s="438"/>
      <c r="Q530" s="438"/>
      <c r="R530" s="438"/>
      <c r="S530" s="438"/>
      <c r="T530" s="438"/>
      <c r="U530" s="438"/>
      <c r="V530" s="438"/>
      <c r="W530" s="438"/>
    </row>
    <row r="531" spans="1:23" hidden="1" x14ac:dyDescent="0.25">
      <c r="A531" s="468"/>
      <c r="B531" s="465" t="str">
        <f>B530&amp;"KW"</f>
        <v>KW</v>
      </c>
      <c r="C531" s="456" t="s">
        <v>170</v>
      </c>
      <c r="D531" s="458"/>
      <c r="E531" s="458"/>
      <c r="F531" s="815"/>
      <c r="G531" s="816"/>
      <c r="H531" s="815"/>
      <c r="I531" s="816"/>
      <c r="J531" s="815"/>
      <c r="K531" s="816"/>
      <c r="L531" s="815"/>
      <c r="M531" s="816"/>
      <c r="N531" s="815"/>
      <c r="O531" s="816"/>
      <c r="P531" s="438"/>
      <c r="Q531" s="438"/>
      <c r="R531" s="438"/>
      <c r="S531" s="438"/>
      <c r="T531" s="438"/>
      <c r="U531" s="438"/>
      <c r="V531" s="438"/>
      <c r="W531" s="438"/>
    </row>
    <row r="532" spans="1:23" hidden="1" x14ac:dyDescent="0.25">
      <c r="A532" s="468" t="s">
        <v>503</v>
      </c>
      <c r="B532" s="464"/>
      <c r="C532" s="456" t="s">
        <v>139</v>
      </c>
      <c r="D532" s="458"/>
      <c r="E532" s="458"/>
      <c r="F532" s="815"/>
      <c r="G532" s="816"/>
      <c r="H532" s="815"/>
      <c r="I532" s="816"/>
      <c r="J532" s="815"/>
      <c r="K532" s="816"/>
      <c r="L532" s="815"/>
      <c r="M532" s="816"/>
      <c r="N532" s="815"/>
      <c r="O532" s="816"/>
      <c r="P532" s="438"/>
      <c r="Q532" s="438"/>
      <c r="R532" s="438"/>
      <c r="S532" s="438"/>
      <c r="T532" s="438"/>
      <c r="U532" s="438"/>
      <c r="V532" s="438"/>
      <c r="W532" s="438"/>
    </row>
    <row r="533" spans="1:23" hidden="1" x14ac:dyDescent="0.25">
      <c r="A533" s="468"/>
      <c r="B533" s="465" t="str">
        <f>B532&amp;"KW"</f>
        <v>KW</v>
      </c>
      <c r="C533" s="456" t="s">
        <v>170</v>
      </c>
      <c r="D533" s="458"/>
      <c r="E533" s="458"/>
      <c r="F533" s="815"/>
      <c r="G533" s="816"/>
      <c r="H533" s="815"/>
      <c r="I533" s="816"/>
      <c r="J533" s="815"/>
      <c r="K533" s="816"/>
      <c r="L533" s="815"/>
      <c r="M533" s="816"/>
      <c r="N533" s="815"/>
      <c r="O533" s="816"/>
      <c r="P533" s="438"/>
      <c r="Q533" s="438"/>
      <c r="R533" s="438"/>
      <c r="S533" s="438"/>
      <c r="T533" s="438"/>
      <c r="U533" s="438"/>
      <c r="V533" s="438"/>
      <c r="W533" s="438"/>
    </row>
    <row r="534" spans="1:23" hidden="1" x14ac:dyDescent="0.25">
      <c r="A534" s="468" t="s">
        <v>504</v>
      </c>
      <c r="B534" s="464"/>
      <c r="C534" s="456" t="s">
        <v>139</v>
      </c>
      <c r="D534" s="458"/>
      <c r="E534" s="458"/>
      <c r="F534" s="815"/>
      <c r="G534" s="816"/>
      <c r="H534" s="815"/>
      <c r="I534" s="816"/>
      <c r="J534" s="815"/>
      <c r="K534" s="816"/>
      <c r="L534" s="815"/>
      <c r="M534" s="816"/>
      <c r="N534" s="815"/>
      <c r="O534" s="816"/>
      <c r="P534" s="438"/>
      <c r="Q534" s="438"/>
      <c r="R534" s="438"/>
      <c r="S534" s="438"/>
      <c r="T534" s="438"/>
      <c r="U534" s="438"/>
      <c r="V534" s="438"/>
      <c r="W534" s="438"/>
    </row>
    <row r="535" spans="1:23" hidden="1" x14ac:dyDescent="0.25">
      <c r="A535" s="468"/>
      <c r="B535" s="465" t="str">
        <f>B534&amp;"KW"</f>
        <v>KW</v>
      </c>
      <c r="C535" s="456" t="s">
        <v>170</v>
      </c>
      <c r="D535" s="458"/>
      <c r="E535" s="458"/>
      <c r="F535" s="815"/>
      <c r="G535" s="816"/>
      <c r="H535" s="815"/>
      <c r="I535" s="816"/>
      <c r="J535" s="815"/>
      <c r="K535" s="816"/>
      <c r="L535" s="815"/>
      <c r="M535" s="816"/>
      <c r="N535" s="815"/>
      <c r="O535" s="816"/>
      <c r="P535" s="438"/>
      <c r="Q535" s="438"/>
      <c r="R535" s="438"/>
      <c r="S535" s="438"/>
      <c r="T535" s="438"/>
      <c r="U535" s="438"/>
      <c r="V535" s="438"/>
      <c r="W535" s="438"/>
    </row>
    <row r="536" spans="1:23" hidden="1" x14ac:dyDescent="0.25">
      <c r="A536" s="468" t="s">
        <v>505</v>
      </c>
      <c r="B536" s="464"/>
      <c r="C536" s="456" t="s">
        <v>139</v>
      </c>
      <c r="D536" s="458"/>
      <c r="E536" s="458"/>
      <c r="F536" s="815"/>
      <c r="G536" s="816"/>
      <c r="H536" s="815"/>
      <c r="I536" s="816"/>
      <c r="J536" s="815"/>
      <c r="K536" s="816"/>
      <c r="L536" s="815"/>
      <c r="M536" s="816"/>
      <c r="N536" s="815"/>
      <c r="O536" s="816"/>
      <c r="P536" s="438"/>
      <c r="Q536" s="438"/>
      <c r="R536" s="438"/>
      <c r="S536" s="438"/>
      <c r="T536" s="438"/>
      <c r="U536" s="438"/>
      <c r="V536" s="438"/>
      <c r="W536" s="438"/>
    </row>
    <row r="537" spans="1:23" hidden="1" x14ac:dyDescent="0.25">
      <c r="A537" s="468"/>
      <c r="B537" s="465" t="str">
        <f>B536&amp;"KW"</f>
        <v>KW</v>
      </c>
      <c r="C537" s="456" t="s">
        <v>170</v>
      </c>
      <c r="D537" s="458"/>
      <c r="E537" s="458"/>
      <c r="F537" s="815"/>
      <c r="G537" s="816"/>
      <c r="H537" s="815"/>
      <c r="I537" s="816"/>
      <c r="J537" s="815"/>
      <c r="K537" s="816"/>
      <c r="L537" s="815"/>
      <c r="M537" s="816"/>
      <c r="N537" s="815"/>
      <c r="O537" s="816"/>
      <c r="P537" s="438"/>
      <c r="Q537" s="438"/>
      <c r="R537" s="438"/>
      <c r="S537" s="438"/>
      <c r="T537" s="438"/>
      <c r="U537" s="438"/>
      <c r="V537" s="438"/>
      <c r="W537" s="438"/>
    </row>
    <row r="538" spans="1:23" hidden="1" x14ac:dyDescent="0.25">
      <c r="A538" s="468" t="s">
        <v>506</v>
      </c>
      <c r="B538" s="464"/>
      <c r="C538" s="456" t="s">
        <v>139</v>
      </c>
      <c r="D538" s="458"/>
      <c r="E538" s="458"/>
      <c r="F538" s="815"/>
      <c r="G538" s="816"/>
      <c r="H538" s="815"/>
      <c r="I538" s="816"/>
      <c r="J538" s="815"/>
      <c r="K538" s="816"/>
      <c r="L538" s="815"/>
      <c r="M538" s="816"/>
      <c r="N538" s="815"/>
      <c r="O538" s="816"/>
      <c r="P538" s="438"/>
      <c r="Q538" s="438"/>
      <c r="R538" s="438"/>
      <c r="S538" s="438"/>
      <c r="T538" s="438"/>
      <c r="U538" s="438"/>
      <c r="V538" s="438"/>
      <c r="W538" s="438"/>
    </row>
    <row r="539" spans="1:23" hidden="1" x14ac:dyDescent="0.25">
      <c r="A539" s="468"/>
      <c r="B539" s="465" t="str">
        <f>B538&amp;"KW"</f>
        <v>KW</v>
      </c>
      <c r="C539" s="456" t="s">
        <v>170</v>
      </c>
      <c r="D539" s="458"/>
      <c r="E539" s="458"/>
      <c r="F539" s="815"/>
      <c r="G539" s="816"/>
      <c r="H539" s="815"/>
      <c r="I539" s="816"/>
      <c r="J539" s="815"/>
      <c r="K539" s="816"/>
      <c r="L539" s="815"/>
      <c r="M539" s="816"/>
      <c r="N539" s="815"/>
      <c r="O539" s="816"/>
      <c r="P539" s="438"/>
      <c r="Q539" s="438"/>
      <c r="R539" s="438"/>
      <c r="S539" s="438"/>
      <c r="T539" s="438"/>
      <c r="U539" s="438"/>
      <c r="V539" s="438"/>
      <c r="W539" s="438"/>
    </row>
    <row r="540" spans="1:23" hidden="1" x14ac:dyDescent="0.25">
      <c r="A540" s="468" t="s">
        <v>507</v>
      </c>
      <c r="B540" s="464"/>
      <c r="C540" s="456" t="s">
        <v>139</v>
      </c>
      <c r="D540" s="458"/>
      <c r="E540" s="458"/>
      <c r="F540" s="815"/>
      <c r="G540" s="816"/>
      <c r="H540" s="815"/>
      <c r="I540" s="816"/>
      <c r="J540" s="815"/>
      <c r="K540" s="816"/>
      <c r="L540" s="815"/>
      <c r="M540" s="816"/>
      <c r="N540" s="815"/>
      <c r="O540" s="816"/>
      <c r="P540" s="438"/>
      <c r="Q540" s="438"/>
      <c r="R540" s="438"/>
      <c r="S540" s="438"/>
      <c r="T540" s="438"/>
      <c r="U540" s="438"/>
      <c r="V540" s="438"/>
      <c r="W540" s="438"/>
    </row>
    <row r="541" spans="1:23" hidden="1" x14ac:dyDescent="0.25">
      <c r="A541" s="468"/>
      <c r="B541" s="465" t="str">
        <f>B540&amp;"KW"</f>
        <v>KW</v>
      </c>
      <c r="C541" s="456" t="s">
        <v>170</v>
      </c>
      <c r="D541" s="458"/>
      <c r="E541" s="458"/>
      <c r="F541" s="815"/>
      <c r="G541" s="816"/>
      <c r="H541" s="815"/>
      <c r="I541" s="816"/>
      <c r="J541" s="815"/>
      <c r="K541" s="816"/>
      <c r="L541" s="815"/>
      <c r="M541" s="816"/>
      <c r="N541" s="815"/>
      <c r="O541" s="816"/>
      <c r="P541" s="438"/>
      <c r="Q541" s="438"/>
      <c r="R541" s="438"/>
      <c r="S541" s="438"/>
      <c r="T541" s="438"/>
      <c r="U541" s="438"/>
      <c r="V541" s="438"/>
      <c r="W541" s="438"/>
    </row>
    <row r="542" spans="1:23" hidden="1" x14ac:dyDescent="0.25">
      <c r="A542" s="468" t="s">
        <v>508</v>
      </c>
      <c r="B542" s="464"/>
      <c r="C542" s="456" t="s">
        <v>139</v>
      </c>
      <c r="D542" s="458"/>
      <c r="E542" s="458"/>
      <c r="F542" s="815"/>
      <c r="G542" s="816"/>
      <c r="H542" s="815"/>
      <c r="I542" s="816"/>
      <c r="J542" s="815"/>
      <c r="K542" s="816"/>
      <c r="L542" s="815"/>
      <c r="M542" s="816"/>
      <c r="N542" s="815"/>
      <c r="O542" s="816"/>
      <c r="P542" s="438"/>
      <c r="Q542" s="438"/>
      <c r="R542" s="438"/>
      <c r="S542" s="438"/>
      <c r="T542" s="438"/>
      <c r="U542" s="438"/>
      <c r="V542" s="438"/>
      <c r="W542" s="438"/>
    </row>
    <row r="543" spans="1:23" hidden="1" x14ac:dyDescent="0.25">
      <c r="A543" s="468"/>
      <c r="B543" s="465" t="str">
        <f>B542&amp;"KW"</f>
        <v>KW</v>
      </c>
      <c r="C543" s="456" t="s">
        <v>170</v>
      </c>
      <c r="D543" s="458"/>
      <c r="E543" s="458"/>
      <c r="F543" s="815"/>
      <c r="G543" s="816"/>
      <c r="H543" s="815"/>
      <c r="I543" s="816"/>
      <c r="J543" s="815"/>
      <c r="K543" s="816"/>
      <c r="L543" s="815"/>
      <c r="M543" s="816"/>
      <c r="N543" s="815"/>
      <c r="O543" s="816"/>
      <c r="P543" s="438"/>
      <c r="Q543" s="438"/>
      <c r="R543" s="438"/>
      <c r="S543" s="438"/>
      <c r="T543" s="438"/>
      <c r="U543" s="438"/>
      <c r="V543" s="438"/>
      <c r="W543" s="438"/>
    </row>
    <row r="544" spans="1:23" hidden="1" x14ac:dyDescent="0.25">
      <c r="A544" s="468" t="s">
        <v>509</v>
      </c>
      <c r="B544" s="464"/>
      <c r="C544" s="456" t="s">
        <v>139</v>
      </c>
      <c r="D544" s="458"/>
      <c r="E544" s="458"/>
      <c r="F544" s="815"/>
      <c r="G544" s="816"/>
      <c r="H544" s="815"/>
      <c r="I544" s="816"/>
      <c r="J544" s="815"/>
      <c r="K544" s="816"/>
      <c r="L544" s="815"/>
      <c r="M544" s="816"/>
      <c r="N544" s="815"/>
      <c r="O544" s="816"/>
      <c r="P544" s="438"/>
      <c r="Q544" s="438"/>
      <c r="R544" s="438"/>
      <c r="S544" s="438"/>
      <c r="T544" s="438"/>
      <c r="U544" s="438"/>
      <c r="V544" s="438"/>
      <c r="W544" s="438"/>
    </row>
    <row r="545" spans="1:23" hidden="1" x14ac:dyDescent="0.25">
      <c r="A545" s="468"/>
      <c r="B545" s="465" t="str">
        <f>B544&amp;"KW"</f>
        <v>KW</v>
      </c>
      <c r="C545" s="456" t="s">
        <v>170</v>
      </c>
      <c r="D545" s="458"/>
      <c r="E545" s="458"/>
      <c r="F545" s="815"/>
      <c r="G545" s="816"/>
      <c r="H545" s="815"/>
      <c r="I545" s="816"/>
      <c r="J545" s="815"/>
      <c r="K545" s="816"/>
      <c r="L545" s="815"/>
      <c r="M545" s="816"/>
      <c r="N545" s="815"/>
      <c r="O545" s="816"/>
      <c r="P545" s="438"/>
      <c r="Q545" s="438"/>
      <c r="R545" s="438"/>
      <c r="S545" s="438"/>
      <c r="T545" s="438"/>
      <c r="U545" s="438"/>
      <c r="V545" s="438"/>
      <c r="W545" s="438"/>
    </row>
    <row r="546" spans="1:23" hidden="1" x14ac:dyDescent="0.25">
      <c r="A546" s="468" t="s">
        <v>510</v>
      </c>
      <c r="B546" s="464"/>
      <c r="C546" s="456" t="s">
        <v>139</v>
      </c>
      <c r="D546" s="458"/>
      <c r="E546" s="458"/>
      <c r="F546" s="815"/>
      <c r="G546" s="816"/>
      <c r="H546" s="815"/>
      <c r="I546" s="816"/>
      <c r="J546" s="815"/>
      <c r="K546" s="816"/>
      <c r="L546" s="815"/>
      <c r="M546" s="816"/>
      <c r="N546" s="815"/>
      <c r="O546" s="816"/>
      <c r="P546" s="438"/>
      <c r="Q546" s="438"/>
      <c r="R546" s="438"/>
      <c r="S546" s="438"/>
      <c r="T546" s="438"/>
      <c r="U546" s="438"/>
      <c r="V546" s="438"/>
      <c r="W546" s="438"/>
    </row>
    <row r="547" spans="1:23" hidden="1" x14ac:dyDescent="0.25">
      <c r="A547" s="468"/>
      <c r="B547" s="465" t="str">
        <f>B546&amp;"KW"</f>
        <v>KW</v>
      </c>
      <c r="C547" s="456" t="s">
        <v>170</v>
      </c>
      <c r="D547" s="458"/>
      <c r="E547" s="458"/>
      <c r="F547" s="815"/>
      <c r="G547" s="816"/>
      <c r="H547" s="815"/>
      <c r="I547" s="816"/>
      <c r="J547" s="815"/>
      <c r="K547" s="816"/>
      <c r="L547" s="815"/>
      <c r="M547" s="816"/>
      <c r="N547" s="815"/>
      <c r="O547" s="816"/>
      <c r="P547" s="438"/>
      <c r="Q547" s="438"/>
      <c r="R547" s="438"/>
      <c r="S547" s="438"/>
      <c r="T547" s="438"/>
      <c r="U547" s="438"/>
      <c r="V547" s="438"/>
      <c r="W547" s="438"/>
    </row>
    <row r="548" spans="1:23" hidden="1" x14ac:dyDescent="0.25">
      <c r="A548" s="468" t="s">
        <v>511</v>
      </c>
      <c r="B548" s="464"/>
      <c r="C548" s="456" t="s">
        <v>139</v>
      </c>
      <c r="D548" s="458"/>
      <c r="E548" s="458"/>
      <c r="F548" s="815"/>
      <c r="G548" s="816"/>
      <c r="H548" s="815"/>
      <c r="I548" s="816"/>
      <c r="J548" s="815"/>
      <c r="K548" s="816"/>
      <c r="L548" s="815"/>
      <c r="M548" s="816"/>
      <c r="N548" s="815"/>
      <c r="O548" s="816"/>
      <c r="P548" s="438"/>
      <c r="Q548" s="438"/>
      <c r="R548" s="438"/>
      <c r="S548" s="438"/>
      <c r="T548" s="438"/>
      <c r="U548" s="438"/>
      <c r="V548" s="438"/>
      <c r="W548" s="438"/>
    </row>
    <row r="549" spans="1:23" hidden="1" x14ac:dyDescent="0.25">
      <c r="A549" s="468"/>
      <c r="B549" s="465" t="str">
        <f>B548&amp;"KW"</f>
        <v>KW</v>
      </c>
      <c r="C549" s="456" t="s">
        <v>170</v>
      </c>
      <c r="D549" s="458"/>
      <c r="E549" s="458"/>
      <c r="F549" s="815"/>
      <c r="G549" s="816"/>
      <c r="H549" s="815"/>
      <c r="I549" s="816"/>
      <c r="J549" s="815"/>
      <c r="K549" s="816"/>
      <c r="L549" s="815"/>
      <c r="M549" s="816"/>
      <c r="N549" s="815"/>
      <c r="O549" s="816"/>
      <c r="P549" s="438"/>
      <c r="Q549" s="438"/>
      <c r="R549" s="438"/>
      <c r="S549" s="438"/>
      <c r="T549" s="438"/>
      <c r="U549" s="438"/>
      <c r="V549" s="438"/>
      <c r="W549" s="438"/>
    </row>
    <row r="550" spans="1:23" hidden="1" x14ac:dyDescent="0.25">
      <c r="A550" s="468" t="s">
        <v>512</v>
      </c>
      <c r="B550" s="464"/>
      <c r="C550" s="456" t="s">
        <v>139</v>
      </c>
      <c r="D550" s="458"/>
      <c r="E550" s="458"/>
      <c r="F550" s="815"/>
      <c r="G550" s="816"/>
      <c r="H550" s="815"/>
      <c r="I550" s="816"/>
      <c r="J550" s="815"/>
      <c r="K550" s="816"/>
      <c r="L550" s="815"/>
      <c r="M550" s="816"/>
      <c r="N550" s="815"/>
      <c r="O550" s="816"/>
      <c r="P550" s="438"/>
      <c r="Q550" s="438"/>
      <c r="R550" s="438"/>
      <c r="S550" s="438"/>
      <c r="T550" s="438"/>
      <c r="U550" s="438"/>
      <c r="V550" s="438"/>
      <c r="W550" s="438"/>
    </row>
    <row r="551" spans="1:23" hidden="1" x14ac:dyDescent="0.25">
      <c r="A551" s="468"/>
      <c r="B551" s="465" t="str">
        <f>B550&amp;"KW"</f>
        <v>KW</v>
      </c>
      <c r="C551" s="456" t="s">
        <v>170</v>
      </c>
      <c r="D551" s="458"/>
      <c r="E551" s="458"/>
      <c r="F551" s="815"/>
      <c r="G551" s="816"/>
      <c r="H551" s="815"/>
      <c r="I551" s="816"/>
      <c r="J551" s="815"/>
      <c r="K551" s="816"/>
      <c r="L551" s="815"/>
      <c r="M551" s="816"/>
      <c r="N551" s="815"/>
      <c r="O551" s="816"/>
      <c r="P551" s="438"/>
      <c r="Q551" s="438"/>
      <c r="R551" s="438"/>
      <c r="S551" s="438"/>
      <c r="T551" s="438"/>
      <c r="U551" s="438"/>
      <c r="V551" s="438"/>
      <c r="W551" s="438"/>
    </row>
    <row r="552" spans="1:23" hidden="1" x14ac:dyDescent="0.25">
      <c r="A552" s="468" t="s">
        <v>513</v>
      </c>
      <c r="B552" s="464"/>
      <c r="C552" s="456" t="s">
        <v>139</v>
      </c>
      <c r="D552" s="458"/>
      <c r="E552" s="458"/>
      <c r="F552" s="815"/>
      <c r="G552" s="816"/>
      <c r="H552" s="815"/>
      <c r="I552" s="816"/>
      <c r="J552" s="815"/>
      <c r="K552" s="816"/>
      <c r="L552" s="815"/>
      <c r="M552" s="816"/>
      <c r="N552" s="815"/>
      <c r="O552" s="816"/>
      <c r="P552" s="438"/>
      <c r="Q552" s="438"/>
      <c r="R552" s="438"/>
      <c r="S552" s="438"/>
      <c r="T552" s="438"/>
      <c r="U552" s="438"/>
      <c r="V552" s="438"/>
      <c r="W552" s="438"/>
    </row>
    <row r="553" spans="1:23" hidden="1" x14ac:dyDescent="0.25">
      <c r="A553" s="468"/>
      <c r="B553" s="465" t="str">
        <f>B552&amp;"KW"</f>
        <v>KW</v>
      </c>
      <c r="C553" s="456" t="s">
        <v>170</v>
      </c>
      <c r="D553" s="458"/>
      <c r="E553" s="458"/>
      <c r="F553" s="815"/>
      <c r="G553" s="816"/>
      <c r="H553" s="815"/>
      <c r="I553" s="816"/>
      <c r="J553" s="815"/>
      <c r="K553" s="816"/>
      <c r="L553" s="815"/>
      <c r="M553" s="816"/>
      <c r="N553" s="815"/>
      <c r="O553" s="816"/>
      <c r="P553" s="438"/>
      <c r="Q553" s="438"/>
      <c r="R553" s="438"/>
      <c r="S553" s="438"/>
      <c r="T553" s="438"/>
      <c r="U553" s="438"/>
      <c r="V553" s="438"/>
      <c r="W553" s="438"/>
    </row>
    <row r="554" spans="1:23" hidden="1" x14ac:dyDescent="0.25">
      <c r="A554" s="468" t="s">
        <v>514</v>
      </c>
      <c r="B554" s="464"/>
      <c r="C554" s="456" t="s">
        <v>139</v>
      </c>
      <c r="D554" s="458"/>
      <c r="E554" s="458"/>
      <c r="F554" s="815"/>
      <c r="G554" s="816"/>
      <c r="H554" s="815"/>
      <c r="I554" s="816"/>
      <c r="J554" s="815"/>
      <c r="K554" s="816"/>
      <c r="L554" s="815"/>
      <c r="M554" s="816"/>
      <c r="N554" s="815"/>
      <c r="O554" s="816"/>
      <c r="P554" s="438"/>
      <c r="Q554" s="438"/>
      <c r="R554" s="438"/>
      <c r="S554" s="438"/>
      <c r="T554" s="438"/>
      <c r="U554" s="438"/>
      <c r="V554" s="438"/>
      <c r="W554" s="438"/>
    </row>
    <row r="555" spans="1:23" hidden="1" x14ac:dyDescent="0.25">
      <c r="A555" s="468"/>
      <c r="B555" s="465" t="str">
        <f>B554&amp;"KW"</f>
        <v>KW</v>
      </c>
      <c r="C555" s="456" t="s">
        <v>170</v>
      </c>
      <c r="D555" s="458"/>
      <c r="E555" s="458"/>
      <c r="F555" s="815"/>
      <c r="G555" s="816"/>
      <c r="H555" s="815"/>
      <c r="I555" s="816"/>
      <c r="J555" s="815"/>
      <c r="K555" s="816"/>
      <c r="L555" s="815"/>
      <c r="M555" s="816"/>
      <c r="N555" s="815"/>
      <c r="O555" s="816"/>
      <c r="P555" s="438"/>
      <c r="Q555" s="438"/>
      <c r="R555" s="438"/>
      <c r="S555" s="438"/>
      <c r="T555" s="438"/>
      <c r="U555" s="438"/>
      <c r="V555" s="438"/>
      <c r="W555" s="438"/>
    </row>
    <row r="556" spans="1:23" hidden="1" x14ac:dyDescent="0.25">
      <c r="A556" s="468" t="s">
        <v>515</v>
      </c>
      <c r="B556" s="464"/>
      <c r="C556" s="456" t="s">
        <v>139</v>
      </c>
      <c r="D556" s="458"/>
      <c r="E556" s="458"/>
      <c r="F556" s="815"/>
      <c r="G556" s="816"/>
      <c r="H556" s="815"/>
      <c r="I556" s="816"/>
      <c r="J556" s="815"/>
      <c r="K556" s="816"/>
      <c r="L556" s="815"/>
      <c r="M556" s="816"/>
      <c r="N556" s="815"/>
      <c r="O556" s="816"/>
      <c r="P556" s="438"/>
      <c r="Q556" s="438"/>
      <c r="R556" s="438"/>
      <c r="S556" s="438"/>
      <c r="T556" s="438"/>
      <c r="U556" s="438"/>
      <c r="V556" s="438"/>
      <c r="W556" s="438"/>
    </row>
    <row r="557" spans="1:23" hidden="1" x14ac:dyDescent="0.25">
      <c r="A557" s="468"/>
      <c r="B557" s="465" t="str">
        <f>B556&amp;"KW"</f>
        <v>KW</v>
      </c>
      <c r="C557" s="456" t="s">
        <v>170</v>
      </c>
      <c r="D557" s="458"/>
      <c r="E557" s="458"/>
      <c r="F557" s="815"/>
      <c r="G557" s="816"/>
      <c r="H557" s="815"/>
      <c r="I557" s="816"/>
      <c r="J557" s="815"/>
      <c r="K557" s="816"/>
      <c r="L557" s="815"/>
      <c r="M557" s="816"/>
      <c r="N557" s="815"/>
      <c r="O557" s="816"/>
      <c r="P557" s="438"/>
      <c r="Q557" s="438"/>
      <c r="R557" s="438"/>
      <c r="S557" s="438"/>
      <c r="T557" s="438"/>
      <c r="U557" s="438"/>
      <c r="V557" s="438"/>
      <c r="W557" s="438"/>
    </row>
    <row r="558" spans="1:23" hidden="1" x14ac:dyDescent="0.25">
      <c r="A558" s="468" t="s">
        <v>516</v>
      </c>
      <c r="B558" s="464"/>
      <c r="C558" s="456" t="s">
        <v>139</v>
      </c>
      <c r="D558" s="458"/>
      <c r="E558" s="458"/>
      <c r="F558" s="815"/>
      <c r="G558" s="816"/>
      <c r="H558" s="815"/>
      <c r="I558" s="816"/>
      <c r="J558" s="815"/>
      <c r="K558" s="816"/>
      <c r="L558" s="815"/>
      <c r="M558" s="816"/>
      <c r="N558" s="815"/>
      <c r="O558" s="816"/>
      <c r="P558" s="438"/>
      <c r="Q558" s="438"/>
      <c r="R558" s="438"/>
      <c r="S558" s="438"/>
      <c r="T558" s="438"/>
      <c r="U558" s="438"/>
      <c r="V558" s="438"/>
      <c r="W558" s="438"/>
    </row>
    <row r="559" spans="1:23" hidden="1" x14ac:dyDescent="0.25">
      <c r="A559" s="468"/>
      <c r="B559" s="465" t="str">
        <f>B558&amp;"KW"</f>
        <v>KW</v>
      </c>
      <c r="C559" s="456" t="s">
        <v>170</v>
      </c>
      <c r="D559" s="458"/>
      <c r="E559" s="458"/>
      <c r="F559" s="815"/>
      <c r="G559" s="816"/>
      <c r="H559" s="815"/>
      <c r="I559" s="816"/>
      <c r="J559" s="815"/>
      <c r="K559" s="816"/>
      <c r="L559" s="815"/>
      <c r="M559" s="816"/>
      <c r="N559" s="815"/>
      <c r="O559" s="816"/>
      <c r="P559" s="438"/>
      <c r="Q559" s="438"/>
      <c r="R559" s="438"/>
      <c r="S559" s="438"/>
      <c r="T559" s="438"/>
      <c r="U559" s="438"/>
      <c r="V559" s="438"/>
      <c r="W559" s="438"/>
    </row>
    <row r="560" spans="1:23" hidden="1" x14ac:dyDescent="0.25">
      <c r="A560" s="468" t="s">
        <v>517</v>
      </c>
      <c r="B560" s="464"/>
      <c r="C560" s="456" t="s">
        <v>139</v>
      </c>
      <c r="D560" s="458"/>
      <c r="E560" s="458"/>
      <c r="F560" s="815"/>
      <c r="G560" s="816"/>
      <c r="H560" s="815"/>
      <c r="I560" s="816"/>
      <c r="J560" s="815"/>
      <c r="K560" s="816"/>
      <c r="L560" s="815"/>
      <c r="M560" s="816"/>
      <c r="N560" s="815"/>
      <c r="O560" s="816"/>
      <c r="P560" s="438"/>
      <c r="Q560" s="438"/>
      <c r="R560" s="438"/>
      <c r="S560" s="438"/>
      <c r="T560" s="438"/>
      <c r="U560" s="438"/>
      <c r="V560" s="438"/>
      <c r="W560" s="438"/>
    </row>
    <row r="561" spans="1:23" hidden="1" x14ac:dyDescent="0.25">
      <c r="A561" s="468"/>
      <c r="B561" s="465" t="str">
        <f>B560&amp;"KW"</f>
        <v>KW</v>
      </c>
      <c r="C561" s="456" t="s">
        <v>170</v>
      </c>
      <c r="D561" s="458"/>
      <c r="E561" s="458"/>
      <c r="F561" s="815"/>
      <c r="G561" s="816"/>
      <c r="H561" s="815"/>
      <c r="I561" s="816"/>
      <c r="J561" s="815"/>
      <c r="K561" s="816"/>
      <c r="L561" s="815"/>
      <c r="M561" s="816"/>
      <c r="N561" s="815"/>
      <c r="O561" s="816"/>
      <c r="P561" s="438"/>
      <c r="Q561" s="438"/>
      <c r="R561" s="438"/>
      <c r="S561" s="438"/>
      <c r="T561" s="438"/>
      <c r="U561" s="438"/>
      <c r="V561" s="438"/>
      <c r="W561" s="438"/>
    </row>
    <row r="562" spans="1:23" hidden="1" x14ac:dyDescent="0.25">
      <c r="A562" s="468" t="s">
        <v>518</v>
      </c>
      <c r="B562" s="464"/>
      <c r="C562" s="456" t="s">
        <v>139</v>
      </c>
      <c r="D562" s="458"/>
      <c r="E562" s="458"/>
      <c r="F562" s="815"/>
      <c r="G562" s="816"/>
      <c r="H562" s="815"/>
      <c r="I562" s="816"/>
      <c r="J562" s="815"/>
      <c r="K562" s="816"/>
      <c r="L562" s="815"/>
      <c r="M562" s="816"/>
      <c r="N562" s="815"/>
      <c r="O562" s="816"/>
      <c r="P562" s="438"/>
      <c r="Q562" s="438"/>
      <c r="R562" s="438"/>
      <c r="S562" s="438"/>
      <c r="T562" s="438"/>
      <c r="U562" s="438"/>
      <c r="V562" s="438"/>
      <c r="W562" s="438"/>
    </row>
    <row r="563" spans="1:23" hidden="1" x14ac:dyDescent="0.25">
      <c r="A563" s="468"/>
      <c r="B563" s="465" t="str">
        <f>B562&amp;"KW"</f>
        <v>KW</v>
      </c>
      <c r="C563" s="456" t="s">
        <v>170</v>
      </c>
      <c r="D563" s="458"/>
      <c r="E563" s="458"/>
      <c r="F563" s="815"/>
      <c r="G563" s="816"/>
      <c r="H563" s="815"/>
      <c r="I563" s="816"/>
      <c r="J563" s="815"/>
      <c r="K563" s="816"/>
      <c r="L563" s="815"/>
      <c r="M563" s="816"/>
      <c r="N563" s="815"/>
      <c r="O563" s="816"/>
      <c r="P563" s="438"/>
      <c r="Q563" s="438"/>
      <c r="R563" s="438"/>
      <c r="S563" s="438"/>
      <c r="T563" s="438"/>
      <c r="U563" s="438"/>
      <c r="V563" s="438"/>
      <c r="W563" s="438"/>
    </row>
    <row r="564" spans="1:23" hidden="1" x14ac:dyDescent="0.25">
      <c r="A564" s="468" t="s">
        <v>519</v>
      </c>
      <c r="B564" s="464"/>
      <c r="C564" s="456" t="s">
        <v>139</v>
      </c>
      <c r="D564" s="458"/>
      <c r="E564" s="458"/>
      <c r="F564" s="815"/>
      <c r="G564" s="816"/>
      <c r="H564" s="815"/>
      <c r="I564" s="816"/>
      <c r="J564" s="815"/>
      <c r="K564" s="816"/>
      <c r="L564" s="815"/>
      <c r="M564" s="816"/>
      <c r="N564" s="815"/>
      <c r="O564" s="816"/>
      <c r="P564" s="438"/>
      <c r="Q564" s="438"/>
      <c r="R564" s="438"/>
      <c r="S564" s="438"/>
      <c r="T564" s="438"/>
      <c r="U564" s="438"/>
      <c r="V564" s="438"/>
      <c r="W564" s="438"/>
    </row>
    <row r="565" spans="1:23" hidden="1" x14ac:dyDescent="0.25">
      <c r="A565" s="468"/>
      <c r="B565" s="465" t="str">
        <f>B564&amp;"KW"</f>
        <v>KW</v>
      </c>
      <c r="C565" s="456" t="s">
        <v>170</v>
      </c>
      <c r="D565" s="458"/>
      <c r="E565" s="458"/>
      <c r="F565" s="815"/>
      <c r="G565" s="816"/>
      <c r="H565" s="815"/>
      <c r="I565" s="816"/>
      <c r="J565" s="815"/>
      <c r="K565" s="816"/>
      <c r="L565" s="815"/>
      <c r="M565" s="816"/>
      <c r="N565" s="815"/>
      <c r="O565" s="816"/>
      <c r="P565" s="438"/>
      <c r="Q565" s="438"/>
      <c r="R565" s="438"/>
      <c r="S565" s="438"/>
      <c r="T565" s="438"/>
      <c r="U565" s="438"/>
      <c r="V565" s="438"/>
      <c r="W565" s="438"/>
    </row>
    <row r="566" spans="1:23" hidden="1" x14ac:dyDescent="0.25">
      <c r="A566" s="468" t="s">
        <v>520</v>
      </c>
      <c r="B566" s="464"/>
      <c r="C566" s="456" t="s">
        <v>139</v>
      </c>
      <c r="D566" s="458"/>
      <c r="E566" s="458"/>
      <c r="F566" s="815"/>
      <c r="G566" s="816"/>
      <c r="H566" s="815"/>
      <c r="I566" s="816"/>
      <c r="J566" s="815"/>
      <c r="K566" s="816"/>
      <c r="L566" s="815"/>
      <c r="M566" s="816"/>
      <c r="N566" s="815"/>
      <c r="O566" s="816"/>
      <c r="P566" s="438"/>
      <c r="Q566" s="438"/>
      <c r="R566" s="438"/>
      <c r="S566" s="438"/>
      <c r="T566" s="438"/>
      <c r="U566" s="438"/>
      <c r="V566" s="438"/>
      <c r="W566" s="438"/>
    </row>
    <row r="567" spans="1:23" hidden="1" x14ac:dyDescent="0.25">
      <c r="A567" s="468"/>
      <c r="B567" s="465" t="str">
        <f>B566&amp;"KW"</f>
        <v>KW</v>
      </c>
      <c r="C567" s="456" t="s">
        <v>170</v>
      </c>
      <c r="D567" s="458"/>
      <c r="E567" s="458"/>
      <c r="F567" s="815"/>
      <c r="G567" s="816"/>
      <c r="H567" s="815"/>
      <c r="I567" s="816"/>
      <c r="J567" s="815"/>
      <c r="K567" s="816"/>
      <c r="L567" s="815"/>
      <c r="M567" s="816"/>
      <c r="N567" s="815"/>
      <c r="O567" s="816"/>
      <c r="P567" s="438"/>
      <c r="Q567" s="438"/>
      <c r="R567" s="438"/>
      <c r="S567" s="438"/>
      <c r="T567" s="438"/>
      <c r="U567" s="438"/>
      <c r="V567" s="438"/>
      <c r="W567" s="438"/>
    </row>
    <row r="568" spans="1:23" hidden="1" x14ac:dyDescent="0.25">
      <c r="A568" s="468" t="s">
        <v>521</v>
      </c>
      <c r="B568" s="464"/>
      <c r="C568" s="456" t="s">
        <v>139</v>
      </c>
      <c r="D568" s="458"/>
      <c r="E568" s="458"/>
      <c r="F568" s="815"/>
      <c r="G568" s="816"/>
      <c r="H568" s="815"/>
      <c r="I568" s="816"/>
      <c r="J568" s="815"/>
      <c r="K568" s="816"/>
      <c r="L568" s="815"/>
      <c r="M568" s="816"/>
      <c r="N568" s="815"/>
      <c r="O568" s="816"/>
      <c r="P568" s="438"/>
      <c r="Q568" s="438"/>
      <c r="R568" s="438"/>
      <c r="S568" s="438"/>
      <c r="T568" s="438"/>
      <c r="U568" s="438"/>
      <c r="V568" s="438"/>
      <c r="W568" s="438"/>
    </row>
    <row r="569" spans="1:23" hidden="1" x14ac:dyDescent="0.25">
      <c r="A569" s="468"/>
      <c r="B569" s="465" t="str">
        <f>B568&amp;"KW"</f>
        <v>KW</v>
      </c>
      <c r="C569" s="456" t="s">
        <v>170</v>
      </c>
      <c r="D569" s="458"/>
      <c r="E569" s="458"/>
      <c r="F569" s="815"/>
      <c r="G569" s="816"/>
      <c r="H569" s="815"/>
      <c r="I569" s="816"/>
      <c r="J569" s="815"/>
      <c r="K569" s="816"/>
      <c r="L569" s="815"/>
      <c r="M569" s="816"/>
      <c r="N569" s="815"/>
      <c r="O569" s="816"/>
      <c r="P569" s="438"/>
      <c r="Q569" s="438"/>
      <c r="R569" s="438"/>
      <c r="S569" s="438"/>
      <c r="T569" s="438"/>
      <c r="U569" s="438"/>
      <c r="V569" s="438"/>
      <c r="W569" s="438"/>
    </row>
    <row r="570" spans="1:23" hidden="1" x14ac:dyDescent="0.25">
      <c r="A570" s="468" t="s">
        <v>522</v>
      </c>
      <c r="B570" s="464"/>
      <c r="C570" s="456" t="s">
        <v>139</v>
      </c>
      <c r="D570" s="458"/>
      <c r="E570" s="458"/>
      <c r="F570" s="815"/>
      <c r="G570" s="816"/>
      <c r="H570" s="815"/>
      <c r="I570" s="816"/>
      <c r="J570" s="815"/>
      <c r="K570" s="816"/>
      <c r="L570" s="815"/>
      <c r="M570" s="816"/>
      <c r="N570" s="815"/>
      <c r="O570" s="816"/>
      <c r="P570" s="438"/>
      <c r="Q570" s="438"/>
      <c r="R570" s="438"/>
      <c r="S570" s="438"/>
      <c r="T570" s="438"/>
      <c r="U570" s="438"/>
      <c r="V570" s="438"/>
      <c r="W570" s="438"/>
    </row>
    <row r="571" spans="1:23" hidden="1" x14ac:dyDescent="0.25">
      <c r="A571" s="468"/>
      <c r="B571" s="465" t="str">
        <f>B570&amp;"KW"</f>
        <v>KW</v>
      </c>
      <c r="C571" s="456" t="s">
        <v>170</v>
      </c>
      <c r="D571" s="458"/>
      <c r="E571" s="458"/>
      <c r="F571" s="815"/>
      <c r="G571" s="816"/>
      <c r="H571" s="815"/>
      <c r="I571" s="816"/>
      <c r="J571" s="815"/>
      <c r="K571" s="816"/>
      <c r="L571" s="815"/>
      <c r="M571" s="816"/>
      <c r="N571" s="815"/>
      <c r="O571" s="816"/>
      <c r="P571" s="438"/>
      <c r="Q571" s="438"/>
      <c r="R571" s="438"/>
      <c r="S571" s="438"/>
      <c r="T571" s="438"/>
      <c r="U571" s="438"/>
      <c r="V571" s="438"/>
      <c r="W571" s="438"/>
    </row>
    <row r="572" spans="1:23" hidden="1" x14ac:dyDescent="0.25">
      <c r="A572" s="468" t="s">
        <v>523</v>
      </c>
      <c r="B572" s="464"/>
      <c r="C572" s="456" t="s">
        <v>139</v>
      </c>
      <c r="D572" s="458"/>
      <c r="E572" s="458"/>
      <c r="F572" s="815"/>
      <c r="G572" s="816"/>
      <c r="H572" s="815"/>
      <c r="I572" s="816"/>
      <c r="J572" s="815"/>
      <c r="K572" s="816"/>
      <c r="L572" s="815"/>
      <c r="M572" s="816"/>
      <c r="N572" s="815"/>
      <c r="O572" s="816"/>
      <c r="P572" s="438"/>
      <c r="Q572" s="438"/>
      <c r="R572" s="438"/>
      <c r="S572" s="438"/>
      <c r="T572" s="438"/>
      <c r="U572" s="438"/>
      <c r="V572" s="438"/>
      <c r="W572" s="438"/>
    </row>
    <row r="573" spans="1:23" hidden="1" x14ac:dyDescent="0.25">
      <c r="A573" s="468"/>
      <c r="B573" s="465" t="str">
        <f>B572&amp;"KW"</f>
        <v>KW</v>
      </c>
      <c r="C573" s="456" t="s">
        <v>170</v>
      </c>
      <c r="D573" s="458"/>
      <c r="E573" s="458"/>
      <c r="F573" s="815"/>
      <c r="G573" s="816"/>
      <c r="H573" s="815"/>
      <c r="I573" s="816"/>
      <c r="J573" s="815"/>
      <c r="K573" s="816"/>
      <c r="L573" s="815"/>
      <c r="M573" s="816"/>
      <c r="N573" s="815"/>
      <c r="O573" s="816"/>
      <c r="P573" s="438"/>
      <c r="Q573" s="438"/>
      <c r="R573" s="438"/>
      <c r="S573" s="438"/>
      <c r="T573" s="438"/>
      <c r="U573" s="438"/>
      <c r="V573" s="438"/>
      <c r="W573" s="438"/>
    </row>
    <row r="574" spans="1:23" hidden="1" x14ac:dyDescent="0.25">
      <c r="A574" s="468" t="s">
        <v>524</v>
      </c>
      <c r="B574" s="464"/>
      <c r="C574" s="456" t="s">
        <v>139</v>
      </c>
      <c r="D574" s="458"/>
      <c r="E574" s="458"/>
      <c r="F574" s="815"/>
      <c r="G574" s="816"/>
      <c r="H574" s="815"/>
      <c r="I574" s="816"/>
      <c r="J574" s="815"/>
      <c r="K574" s="816"/>
      <c r="L574" s="815"/>
      <c r="M574" s="816"/>
      <c r="N574" s="815"/>
      <c r="O574" s="816"/>
      <c r="P574" s="438"/>
      <c r="Q574" s="438"/>
      <c r="R574" s="438"/>
      <c r="S574" s="438"/>
      <c r="T574" s="438"/>
      <c r="U574" s="438"/>
      <c r="V574" s="438"/>
      <c r="W574" s="438"/>
    </row>
    <row r="575" spans="1:23" hidden="1" x14ac:dyDescent="0.25">
      <c r="A575" s="468"/>
      <c r="B575" s="465" t="str">
        <f>B574&amp;"KW"</f>
        <v>KW</v>
      </c>
      <c r="C575" s="456" t="s">
        <v>170</v>
      </c>
      <c r="D575" s="458"/>
      <c r="E575" s="458"/>
      <c r="F575" s="815"/>
      <c r="G575" s="816"/>
      <c r="H575" s="815"/>
      <c r="I575" s="816"/>
      <c r="J575" s="815"/>
      <c r="K575" s="816"/>
      <c r="L575" s="815"/>
      <c r="M575" s="816"/>
      <c r="N575" s="815"/>
      <c r="O575" s="816"/>
      <c r="P575" s="438"/>
      <c r="Q575" s="438"/>
      <c r="R575" s="438"/>
      <c r="S575" s="438"/>
      <c r="T575" s="438"/>
      <c r="U575" s="438"/>
      <c r="V575" s="438"/>
      <c r="W575" s="438"/>
    </row>
    <row r="576" spans="1:23" hidden="1" x14ac:dyDescent="0.25">
      <c r="A576" s="468" t="s">
        <v>525</v>
      </c>
      <c r="B576" s="464"/>
      <c r="C576" s="456" t="s">
        <v>139</v>
      </c>
      <c r="D576" s="458"/>
      <c r="E576" s="458"/>
      <c r="F576" s="815"/>
      <c r="G576" s="816"/>
      <c r="H576" s="815"/>
      <c r="I576" s="816"/>
      <c r="J576" s="815"/>
      <c r="K576" s="816"/>
      <c r="L576" s="815"/>
      <c r="M576" s="816"/>
      <c r="N576" s="815"/>
      <c r="O576" s="816"/>
      <c r="P576" s="438"/>
      <c r="Q576" s="438"/>
      <c r="R576" s="438"/>
      <c r="S576" s="438"/>
      <c r="T576" s="438"/>
      <c r="U576" s="438"/>
      <c r="V576" s="438"/>
      <c r="W576" s="438"/>
    </row>
    <row r="577" spans="1:23" hidden="1" x14ac:dyDescent="0.25">
      <c r="A577" s="468"/>
      <c r="B577" s="465" t="str">
        <f>B576&amp;"KW"</f>
        <v>KW</v>
      </c>
      <c r="C577" s="456" t="s">
        <v>170</v>
      </c>
      <c r="D577" s="458"/>
      <c r="E577" s="458"/>
      <c r="F577" s="815"/>
      <c r="G577" s="816"/>
      <c r="H577" s="815"/>
      <c r="I577" s="816"/>
      <c r="J577" s="815"/>
      <c r="K577" s="816"/>
      <c r="L577" s="815"/>
      <c r="M577" s="816"/>
      <c r="N577" s="815"/>
      <c r="O577" s="816"/>
      <c r="P577" s="438"/>
      <c r="Q577" s="438"/>
      <c r="R577" s="438"/>
      <c r="S577" s="438"/>
      <c r="T577" s="438"/>
      <c r="U577" s="438"/>
      <c r="V577" s="438"/>
      <c r="W577" s="438"/>
    </row>
    <row r="578" spans="1:23" hidden="1" x14ac:dyDescent="0.25">
      <c r="A578" s="468" t="s">
        <v>526</v>
      </c>
      <c r="B578" s="464"/>
      <c r="C578" s="456" t="s">
        <v>139</v>
      </c>
      <c r="D578" s="458"/>
      <c r="E578" s="458"/>
      <c r="F578" s="815"/>
      <c r="G578" s="816"/>
      <c r="H578" s="815"/>
      <c r="I578" s="816"/>
      <c r="J578" s="815"/>
      <c r="K578" s="816"/>
      <c r="L578" s="815"/>
      <c r="M578" s="816"/>
      <c r="N578" s="815"/>
      <c r="O578" s="816"/>
      <c r="P578" s="438"/>
      <c r="Q578" s="438"/>
      <c r="R578" s="438"/>
      <c r="S578" s="438"/>
      <c r="T578" s="438"/>
      <c r="U578" s="438"/>
      <c r="V578" s="438"/>
      <c r="W578" s="438"/>
    </row>
    <row r="579" spans="1:23" hidden="1" x14ac:dyDescent="0.25">
      <c r="A579" s="468"/>
      <c r="B579" s="465" t="str">
        <f>B578&amp;"KW"</f>
        <v>KW</v>
      </c>
      <c r="C579" s="456" t="s">
        <v>170</v>
      </c>
      <c r="D579" s="458"/>
      <c r="E579" s="458"/>
      <c r="F579" s="815"/>
      <c r="G579" s="816"/>
      <c r="H579" s="815"/>
      <c r="I579" s="816"/>
      <c r="J579" s="815"/>
      <c r="K579" s="816"/>
      <c r="L579" s="815"/>
      <c r="M579" s="816"/>
      <c r="N579" s="815"/>
      <c r="O579" s="816"/>
      <c r="P579" s="438"/>
      <c r="Q579" s="438"/>
      <c r="R579" s="438"/>
      <c r="S579" s="438"/>
      <c r="T579" s="438"/>
      <c r="U579" s="438"/>
      <c r="V579" s="438"/>
      <c r="W579" s="438"/>
    </row>
    <row r="580" spans="1:23" hidden="1" x14ac:dyDescent="0.25">
      <c r="A580" s="468" t="s">
        <v>527</v>
      </c>
      <c r="B580" s="464"/>
      <c r="C580" s="456" t="s">
        <v>139</v>
      </c>
      <c r="D580" s="458"/>
      <c r="E580" s="458"/>
      <c r="F580" s="815"/>
      <c r="G580" s="816"/>
      <c r="H580" s="815"/>
      <c r="I580" s="816"/>
      <c r="J580" s="815"/>
      <c r="K580" s="816"/>
      <c r="L580" s="815"/>
      <c r="M580" s="816"/>
      <c r="N580" s="815"/>
      <c r="O580" s="816"/>
      <c r="P580" s="438"/>
      <c r="Q580" s="438"/>
      <c r="R580" s="438"/>
      <c r="S580" s="438"/>
      <c r="T580" s="438"/>
      <c r="U580" s="438"/>
      <c r="V580" s="438"/>
      <c r="W580" s="438"/>
    </row>
    <row r="581" spans="1:23" hidden="1" x14ac:dyDescent="0.25">
      <c r="A581" s="468"/>
      <c r="B581" s="465" t="str">
        <f>B580&amp;"KW"</f>
        <v>KW</v>
      </c>
      <c r="C581" s="456" t="s">
        <v>170</v>
      </c>
      <c r="D581" s="458"/>
      <c r="E581" s="458"/>
      <c r="F581" s="815"/>
      <c r="G581" s="816"/>
      <c r="H581" s="815"/>
      <c r="I581" s="816"/>
      <c r="J581" s="815"/>
      <c r="K581" s="816"/>
      <c r="L581" s="815"/>
      <c r="M581" s="816"/>
      <c r="N581" s="815"/>
      <c r="O581" s="816"/>
      <c r="P581" s="438"/>
      <c r="Q581" s="438"/>
      <c r="R581" s="438"/>
      <c r="S581" s="438"/>
      <c r="T581" s="438"/>
      <c r="U581" s="438"/>
      <c r="V581" s="438"/>
      <c r="W581" s="438"/>
    </row>
    <row r="582" spans="1:23" hidden="1" x14ac:dyDescent="0.25">
      <c r="A582" s="468" t="s">
        <v>528</v>
      </c>
      <c r="B582" s="464"/>
      <c r="C582" s="456" t="s">
        <v>139</v>
      </c>
      <c r="D582" s="458"/>
      <c r="E582" s="458"/>
      <c r="F582" s="815"/>
      <c r="G582" s="816"/>
      <c r="H582" s="815"/>
      <c r="I582" s="816"/>
      <c r="J582" s="815"/>
      <c r="K582" s="816"/>
      <c r="L582" s="815"/>
      <c r="M582" s="816"/>
      <c r="N582" s="815"/>
      <c r="O582" s="816"/>
      <c r="P582" s="438"/>
      <c r="Q582" s="438"/>
      <c r="R582" s="438"/>
      <c r="S582" s="438"/>
      <c r="T582" s="438"/>
      <c r="U582" s="438"/>
      <c r="V582" s="438"/>
      <c r="W582" s="438"/>
    </row>
    <row r="583" spans="1:23" hidden="1" x14ac:dyDescent="0.25">
      <c r="A583" s="468"/>
      <c r="B583" s="465" t="str">
        <f>B582&amp;"KW"</f>
        <v>KW</v>
      </c>
      <c r="C583" s="456" t="s">
        <v>170</v>
      </c>
      <c r="D583" s="458"/>
      <c r="E583" s="458"/>
      <c r="F583" s="815"/>
      <c r="G583" s="816"/>
      <c r="H583" s="815"/>
      <c r="I583" s="816"/>
      <c r="J583" s="815"/>
      <c r="K583" s="816"/>
      <c r="L583" s="815"/>
      <c r="M583" s="816"/>
      <c r="N583" s="815"/>
      <c r="O583" s="816"/>
      <c r="P583" s="438"/>
      <c r="Q583" s="438"/>
      <c r="R583" s="438"/>
      <c r="S583" s="438"/>
      <c r="T583" s="438"/>
      <c r="U583" s="438"/>
      <c r="V583" s="438"/>
      <c r="W583" s="438"/>
    </row>
    <row r="584" spans="1:23" hidden="1" x14ac:dyDescent="0.25">
      <c r="A584" s="468" t="s">
        <v>529</v>
      </c>
      <c r="B584" s="464"/>
      <c r="C584" s="456" t="s">
        <v>139</v>
      </c>
      <c r="D584" s="458"/>
      <c r="E584" s="458"/>
      <c r="F584" s="815"/>
      <c r="G584" s="816"/>
      <c r="H584" s="815"/>
      <c r="I584" s="816"/>
      <c r="J584" s="815"/>
      <c r="K584" s="816"/>
      <c r="L584" s="815"/>
      <c r="M584" s="816"/>
      <c r="N584" s="815"/>
      <c r="O584" s="816"/>
      <c r="P584" s="438"/>
      <c r="Q584" s="438"/>
      <c r="R584" s="438"/>
      <c r="S584" s="438"/>
      <c r="T584" s="438"/>
      <c r="U584" s="438"/>
      <c r="V584" s="438"/>
      <c r="W584" s="438"/>
    </row>
    <row r="585" spans="1:23" hidden="1" x14ac:dyDescent="0.25">
      <c r="A585" s="468"/>
      <c r="B585" s="465" t="str">
        <f>B584&amp;"KW"</f>
        <v>KW</v>
      </c>
      <c r="C585" s="456" t="s">
        <v>170</v>
      </c>
      <c r="D585" s="458"/>
      <c r="E585" s="458"/>
      <c r="F585" s="815"/>
      <c r="G585" s="816"/>
      <c r="H585" s="815"/>
      <c r="I585" s="816"/>
      <c r="J585" s="815"/>
      <c r="K585" s="816"/>
      <c r="L585" s="815"/>
      <c r="M585" s="816"/>
      <c r="N585" s="815"/>
      <c r="O585" s="816"/>
      <c r="P585" s="438"/>
      <c r="Q585" s="438"/>
      <c r="R585" s="438"/>
      <c r="S585" s="438"/>
      <c r="T585" s="438"/>
      <c r="U585" s="438"/>
      <c r="V585" s="438"/>
      <c r="W585" s="438"/>
    </row>
    <row r="586" spans="1:23" hidden="1" x14ac:dyDescent="0.25">
      <c r="A586" s="468" t="s">
        <v>530</v>
      </c>
      <c r="B586" s="464"/>
      <c r="C586" s="456" t="s">
        <v>139</v>
      </c>
      <c r="D586" s="458"/>
      <c r="E586" s="458"/>
      <c r="F586" s="815"/>
      <c r="G586" s="816"/>
      <c r="H586" s="815"/>
      <c r="I586" s="816"/>
      <c r="J586" s="815"/>
      <c r="K586" s="816"/>
      <c r="L586" s="815"/>
      <c r="M586" s="816"/>
      <c r="N586" s="815"/>
      <c r="O586" s="816"/>
      <c r="P586" s="438"/>
      <c r="Q586" s="438"/>
      <c r="R586" s="438"/>
      <c r="S586" s="438"/>
      <c r="T586" s="438"/>
      <c r="U586" s="438"/>
      <c r="V586" s="438"/>
      <c r="W586" s="438"/>
    </row>
    <row r="587" spans="1:23" hidden="1" x14ac:dyDescent="0.25">
      <c r="A587" s="468"/>
      <c r="B587" s="465" t="str">
        <f>B586&amp;"KW"</f>
        <v>KW</v>
      </c>
      <c r="C587" s="456" t="s">
        <v>170</v>
      </c>
      <c r="D587" s="458"/>
      <c r="E587" s="458"/>
      <c r="F587" s="815"/>
      <c r="G587" s="816"/>
      <c r="H587" s="815"/>
      <c r="I587" s="816"/>
      <c r="J587" s="815"/>
      <c r="K587" s="816"/>
      <c r="L587" s="815"/>
      <c r="M587" s="816"/>
      <c r="N587" s="815"/>
      <c r="O587" s="816"/>
      <c r="P587" s="438"/>
      <c r="Q587" s="438"/>
      <c r="R587" s="438"/>
      <c r="S587" s="438"/>
      <c r="T587" s="438"/>
      <c r="U587" s="438"/>
      <c r="V587" s="438"/>
      <c r="W587" s="438"/>
    </row>
    <row r="588" spans="1:23" hidden="1" x14ac:dyDescent="0.25">
      <c r="A588" s="468" t="s">
        <v>531</v>
      </c>
      <c r="B588" s="464"/>
      <c r="C588" s="456" t="s">
        <v>139</v>
      </c>
      <c r="D588" s="458"/>
      <c r="E588" s="458"/>
      <c r="F588" s="815"/>
      <c r="G588" s="816"/>
      <c r="H588" s="815"/>
      <c r="I588" s="816"/>
      <c r="J588" s="815"/>
      <c r="K588" s="816"/>
      <c r="L588" s="815"/>
      <c r="M588" s="816"/>
      <c r="N588" s="815"/>
      <c r="O588" s="816"/>
      <c r="P588" s="438"/>
      <c r="Q588" s="438"/>
      <c r="R588" s="438"/>
      <c r="S588" s="438"/>
      <c r="T588" s="438"/>
      <c r="U588" s="438"/>
      <c r="V588" s="438"/>
      <c r="W588" s="438"/>
    </row>
    <row r="589" spans="1:23" hidden="1" x14ac:dyDescent="0.25">
      <c r="A589" s="468"/>
      <c r="B589" s="465" t="str">
        <f>B588&amp;"KW"</f>
        <v>KW</v>
      </c>
      <c r="C589" s="456" t="s">
        <v>170</v>
      </c>
      <c r="D589" s="458"/>
      <c r="E589" s="458"/>
      <c r="F589" s="815"/>
      <c r="G589" s="816"/>
      <c r="H589" s="815"/>
      <c r="I589" s="816"/>
      <c r="J589" s="815"/>
      <c r="K589" s="816"/>
      <c r="L589" s="815"/>
      <c r="M589" s="816"/>
      <c r="N589" s="815"/>
      <c r="O589" s="816"/>
      <c r="P589" s="438"/>
      <c r="Q589" s="438"/>
      <c r="R589" s="438"/>
      <c r="S589" s="438"/>
      <c r="T589" s="438"/>
      <c r="U589" s="438"/>
      <c r="V589" s="438"/>
      <c r="W589" s="438"/>
    </row>
    <row r="590" spans="1:23" hidden="1" x14ac:dyDescent="0.25">
      <c r="A590" s="468" t="s">
        <v>532</v>
      </c>
      <c r="B590" s="464"/>
      <c r="C590" s="456" t="s">
        <v>139</v>
      </c>
      <c r="D590" s="458"/>
      <c r="E590" s="458"/>
      <c r="F590" s="815"/>
      <c r="G590" s="816"/>
      <c r="H590" s="815"/>
      <c r="I590" s="816"/>
      <c r="J590" s="815"/>
      <c r="K590" s="816"/>
      <c r="L590" s="815"/>
      <c r="M590" s="816"/>
      <c r="N590" s="815"/>
      <c r="O590" s="816"/>
      <c r="P590" s="438"/>
      <c r="Q590" s="438"/>
      <c r="R590" s="438"/>
      <c r="S590" s="438"/>
      <c r="T590" s="438"/>
      <c r="U590" s="438"/>
      <c r="V590" s="438"/>
      <c r="W590" s="438"/>
    </row>
    <row r="591" spans="1:23" hidden="1" x14ac:dyDescent="0.25">
      <c r="A591" s="468"/>
      <c r="B591" s="465" t="str">
        <f>B590&amp;"KW"</f>
        <v>KW</v>
      </c>
      <c r="C591" s="456" t="s">
        <v>170</v>
      </c>
      <c r="D591" s="458"/>
      <c r="E591" s="458"/>
      <c r="F591" s="815"/>
      <c r="G591" s="816"/>
      <c r="H591" s="815"/>
      <c r="I591" s="816"/>
      <c r="J591" s="815"/>
      <c r="K591" s="816"/>
      <c r="L591" s="815"/>
      <c r="M591" s="816"/>
      <c r="N591" s="815"/>
      <c r="O591" s="816"/>
      <c r="P591" s="438"/>
      <c r="Q591" s="438"/>
      <c r="R591" s="438"/>
      <c r="S591" s="438"/>
      <c r="T591" s="438"/>
      <c r="U591" s="438"/>
      <c r="V591" s="438"/>
      <c r="W591" s="438"/>
    </row>
    <row r="592" spans="1:23" hidden="1" x14ac:dyDescent="0.25">
      <c r="A592" s="468" t="s">
        <v>533</v>
      </c>
      <c r="B592" s="464"/>
      <c r="C592" s="456" t="s">
        <v>139</v>
      </c>
      <c r="D592" s="458"/>
      <c r="E592" s="458"/>
      <c r="F592" s="815"/>
      <c r="G592" s="816"/>
      <c r="H592" s="815"/>
      <c r="I592" s="816"/>
      <c r="J592" s="815"/>
      <c r="K592" s="816"/>
      <c r="L592" s="815"/>
      <c r="M592" s="816"/>
      <c r="N592" s="815"/>
      <c r="O592" s="816"/>
      <c r="P592" s="438"/>
      <c r="Q592" s="438"/>
      <c r="R592" s="438"/>
      <c r="S592" s="438"/>
      <c r="T592" s="438"/>
      <c r="U592" s="438"/>
      <c r="V592" s="438"/>
      <c r="W592" s="438"/>
    </row>
    <row r="593" spans="1:23" hidden="1" x14ac:dyDescent="0.25">
      <c r="A593" s="468"/>
      <c r="B593" s="465" t="str">
        <f>B592&amp;"KW"</f>
        <v>KW</v>
      </c>
      <c r="C593" s="456" t="s">
        <v>170</v>
      </c>
      <c r="D593" s="458"/>
      <c r="E593" s="458"/>
      <c r="F593" s="815"/>
      <c r="G593" s="816"/>
      <c r="H593" s="815"/>
      <c r="I593" s="816"/>
      <c r="J593" s="815"/>
      <c r="K593" s="816"/>
      <c r="L593" s="815"/>
      <c r="M593" s="816"/>
      <c r="N593" s="815"/>
      <c r="O593" s="816"/>
      <c r="P593" s="438"/>
      <c r="Q593" s="438"/>
      <c r="R593" s="438"/>
      <c r="S593" s="438"/>
      <c r="T593" s="438"/>
      <c r="U593" s="438"/>
      <c r="V593" s="438"/>
      <c r="W593" s="438"/>
    </row>
    <row r="594" spans="1:23" hidden="1" x14ac:dyDescent="0.25">
      <c r="A594" s="468" t="s">
        <v>534</v>
      </c>
      <c r="B594" s="464"/>
      <c r="C594" s="456" t="s">
        <v>139</v>
      </c>
      <c r="D594" s="458"/>
      <c r="E594" s="458"/>
      <c r="F594" s="815"/>
      <c r="G594" s="816"/>
      <c r="H594" s="815"/>
      <c r="I594" s="816"/>
      <c r="J594" s="815"/>
      <c r="K594" s="816"/>
      <c r="L594" s="815"/>
      <c r="M594" s="816"/>
      <c r="N594" s="815"/>
      <c r="O594" s="816"/>
      <c r="P594" s="438"/>
      <c r="Q594" s="438"/>
      <c r="R594" s="438"/>
      <c r="S594" s="438"/>
      <c r="T594" s="438"/>
      <c r="U594" s="438"/>
      <c r="V594" s="438"/>
      <c r="W594" s="438"/>
    </row>
    <row r="595" spans="1:23" hidden="1" x14ac:dyDescent="0.25">
      <c r="A595" s="468"/>
      <c r="B595" s="465" t="str">
        <f>B594&amp;"KW"</f>
        <v>KW</v>
      </c>
      <c r="C595" s="456" t="s">
        <v>170</v>
      </c>
      <c r="D595" s="458"/>
      <c r="E595" s="458"/>
      <c r="F595" s="815"/>
      <c r="G595" s="816"/>
      <c r="H595" s="815"/>
      <c r="I595" s="816"/>
      <c r="J595" s="815"/>
      <c r="K595" s="816"/>
      <c r="L595" s="815"/>
      <c r="M595" s="816"/>
      <c r="N595" s="815"/>
      <c r="O595" s="816"/>
      <c r="P595" s="438"/>
      <c r="Q595" s="438"/>
      <c r="R595" s="438"/>
      <c r="S595" s="438"/>
      <c r="T595" s="438"/>
      <c r="U595" s="438"/>
      <c r="V595" s="438"/>
      <c r="W595" s="438"/>
    </row>
    <row r="596" spans="1:23" hidden="1" x14ac:dyDescent="0.25">
      <c r="A596" s="468" t="s">
        <v>535</v>
      </c>
      <c r="B596" s="464"/>
      <c r="C596" s="456" t="s">
        <v>139</v>
      </c>
      <c r="D596" s="458"/>
      <c r="E596" s="458"/>
      <c r="F596" s="815"/>
      <c r="G596" s="816"/>
      <c r="H596" s="815"/>
      <c r="I596" s="816"/>
      <c r="J596" s="815"/>
      <c r="K596" s="816"/>
      <c r="L596" s="815"/>
      <c r="M596" s="816"/>
      <c r="N596" s="815"/>
      <c r="O596" s="816"/>
      <c r="P596" s="438"/>
      <c r="Q596" s="438"/>
      <c r="R596" s="438"/>
      <c r="S596" s="438"/>
      <c r="T596" s="438"/>
      <c r="U596" s="438"/>
      <c r="V596" s="438"/>
      <c r="W596" s="438"/>
    </row>
    <row r="597" spans="1:23" hidden="1" x14ac:dyDescent="0.25">
      <c r="A597" s="468"/>
      <c r="B597" s="465" t="str">
        <f>B596&amp;"KW"</f>
        <v>KW</v>
      </c>
      <c r="C597" s="456" t="s">
        <v>170</v>
      </c>
      <c r="D597" s="458"/>
      <c r="E597" s="458"/>
      <c r="F597" s="815"/>
      <c r="G597" s="816"/>
      <c r="H597" s="815"/>
      <c r="I597" s="816"/>
      <c r="J597" s="815"/>
      <c r="K597" s="816"/>
      <c r="L597" s="815"/>
      <c r="M597" s="816"/>
      <c r="N597" s="815"/>
      <c r="O597" s="816"/>
      <c r="P597" s="438"/>
      <c r="Q597" s="438"/>
      <c r="R597" s="438"/>
      <c r="S597" s="438"/>
      <c r="T597" s="438"/>
      <c r="U597" s="438"/>
      <c r="V597" s="438"/>
      <c r="W597" s="438"/>
    </row>
    <row r="598" spans="1:23" hidden="1" x14ac:dyDescent="0.25">
      <c r="A598" s="468" t="s">
        <v>536</v>
      </c>
      <c r="B598" s="464"/>
      <c r="C598" s="456" t="s">
        <v>139</v>
      </c>
      <c r="D598" s="458"/>
      <c r="E598" s="458"/>
      <c r="F598" s="815"/>
      <c r="G598" s="816"/>
      <c r="H598" s="815"/>
      <c r="I598" s="816"/>
      <c r="J598" s="815"/>
      <c r="K598" s="816"/>
      <c r="L598" s="815"/>
      <c r="M598" s="816"/>
      <c r="N598" s="815"/>
      <c r="O598" s="816"/>
      <c r="P598" s="438"/>
      <c r="Q598" s="438"/>
      <c r="R598" s="438"/>
      <c r="S598" s="438"/>
      <c r="T598" s="438"/>
      <c r="U598" s="438"/>
      <c r="V598" s="438"/>
      <c r="W598" s="438"/>
    </row>
    <row r="599" spans="1:23" hidden="1" x14ac:dyDescent="0.25">
      <c r="A599" s="468"/>
      <c r="B599" s="465" t="str">
        <f>B598&amp;"KW"</f>
        <v>KW</v>
      </c>
      <c r="C599" s="456" t="s">
        <v>170</v>
      </c>
      <c r="D599" s="458"/>
      <c r="E599" s="458"/>
      <c r="F599" s="815"/>
      <c r="G599" s="816"/>
      <c r="H599" s="815"/>
      <c r="I599" s="816"/>
      <c r="J599" s="815"/>
      <c r="K599" s="816"/>
      <c r="L599" s="815"/>
      <c r="M599" s="816"/>
      <c r="N599" s="815"/>
      <c r="O599" s="816"/>
      <c r="P599" s="438"/>
      <c r="Q599" s="438"/>
      <c r="R599" s="438"/>
      <c r="S599" s="438"/>
      <c r="T599" s="438"/>
      <c r="U599" s="438"/>
      <c r="V599" s="438"/>
      <c r="W599" s="438"/>
    </row>
    <row r="600" spans="1:23" hidden="1" x14ac:dyDescent="0.25">
      <c r="A600" s="468" t="s">
        <v>537</v>
      </c>
      <c r="B600" s="464"/>
      <c r="C600" s="456" t="s">
        <v>139</v>
      </c>
      <c r="D600" s="458"/>
      <c r="E600" s="458"/>
      <c r="F600" s="815"/>
      <c r="G600" s="816"/>
      <c r="H600" s="815"/>
      <c r="I600" s="816"/>
      <c r="J600" s="815"/>
      <c r="K600" s="816"/>
      <c r="L600" s="815"/>
      <c r="M600" s="816"/>
      <c r="N600" s="815"/>
      <c r="O600" s="816"/>
      <c r="P600" s="438"/>
      <c r="Q600" s="438"/>
      <c r="R600" s="438"/>
      <c r="S600" s="438"/>
      <c r="T600" s="438"/>
      <c r="U600" s="438"/>
      <c r="V600" s="438"/>
      <c r="W600" s="438"/>
    </row>
    <row r="601" spans="1:23" hidden="1" x14ac:dyDescent="0.25">
      <c r="A601" s="468"/>
      <c r="B601" s="465" t="str">
        <f>B600&amp;"KW"</f>
        <v>KW</v>
      </c>
      <c r="C601" s="456" t="s">
        <v>170</v>
      </c>
      <c r="D601" s="458"/>
      <c r="E601" s="458"/>
      <c r="F601" s="815"/>
      <c r="G601" s="816"/>
      <c r="H601" s="815"/>
      <c r="I601" s="816"/>
      <c r="J601" s="815"/>
      <c r="K601" s="816"/>
      <c r="L601" s="815"/>
      <c r="M601" s="816"/>
      <c r="N601" s="815"/>
      <c r="O601" s="816"/>
      <c r="P601" s="438"/>
      <c r="Q601" s="438"/>
      <c r="R601" s="438"/>
      <c r="S601" s="438"/>
      <c r="T601" s="438"/>
      <c r="U601" s="438"/>
      <c r="V601" s="438"/>
      <c r="W601" s="438"/>
    </row>
    <row r="602" spans="1:23" hidden="1" x14ac:dyDescent="0.25">
      <c r="A602" s="468" t="s">
        <v>538</v>
      </c>
      <c r="B602" s="464"/>
      <c r="C602" s="456" t="s">
        <v>139</v>
      </c>
      <c r="D602" s="458"/>
      <c r="E602" s="458"/>
      <c r="F602" s="815"/>
      <c r="G602" s="816"/>
      <c r="H602" s="815"/>
      <c r="I602" s="816"/>
      <c r="J602" s="815"/>
      <c r="K602" s="816"/>
      <c r="L602" s="815"/>
      <c r="M602" s="816"/>
      <c r="N602" s="815"/>
      <c r="O602" s="816"/>
      <c r="P602" s="438"/>
      <c r="Q602" s="438"/>
      <c r="R602" s="438"/>
      <c r="S602" s="438"/>
      <c r="T602" s="438"/>
      <c r="U602" s="438"/>
      <c r="V602" s="438"/>
      <c r="W602" s="438"/>
    </row>
    <row r="603" spans="1:23" hidden="1" x14ac:dyDescent="0.25">
      <c r="A603" s="468"/>
      <c r="B603" s="465" t="str">
        <f>B602&amp;"KW"</f>
        <v>KW</v>
      </c>
      <c r="C603" s="456" t="s">
        <v>170</v>
      </c>
      <c r="D603" s="458"/>
      <c r="E603" s="458"/>
      <c r="F603" s="815"/>
      <c r="G603" s="816"/>
      <c r="H603" s="815"/>
      <c r="I603" s="816"/>
      <c r="J603" s="815"/>
      <c r="K603" s="816"/>
      <c r="L603" s="815"/>
      <c r="M603" s="816"/>
      <c r="N603" s="815"/>
      <c r="O603" s="816"/>
      <c r="P603" s="438"/>
      <c r="Q603" s="438"/>
      <c r="R603" s="438"/>
      <c r="S603" s="438"/>
      <c r="T603" s="438"/>
      <c r="U603" s="438"/>
      <c r="V603" s="438"/>
      <c r="W603" s="438"/>
    </row>
    <row r="604" spans="1:23" hidden="1" x14ac:dyDescent="0.25">
      <c r="A604" s="468" t="s">
        <v>539</v>
      </c>
      <c r="B604" s="464"/>
      <c r="C604" s="456" t="s">
        <v>139</v>
      </c>
      <c r="D604" s="458"/>
      <c r="E604" s="458"/>
      <c r="F604" s="815"/>
      <c r="G604" s="816"/>
      <c r="H604" s="815"/>
      <c r="I604" s="816"/>
      <c r="J604" s="815"/>
      <c r="K604" s="816"/>
      <c r="L604" s="815"/>
      <c r="M604" s="816"/>
      <c r="N604" s="815"/>
      <c r="O604" s="816"/>
      <c r="P604" s="438"/>
      <c r="Q604" s="438"/>
      <c r="R604" s="438"/>
      <c r="S604" s="438"/>
      <c r="T604" s="438"/>
      <c r="U604" s="438"/>
      <c r="V604" s="438"/>
      <c r="W604" s="438"/>
    </row>
    <row r="605" spans="1:23" hidden="1" x14ac:dyDescent="0.25">
      <c r="A605" s="468"/>
      <c r="B605" s="465" t="str">
        <f>B604&amp;"KW"</f>
        <v>KW</v>
      </c>
      <c r="C605" s="456" t="s">
        <v>170</v>
      </c>
      <c r="D605" s="458"/>
      <c r="E605" s="458"/>
      <c r="F605" s="815"/>
      <c r="G605" s="816"/>
      <c r="H605" s="815"/>
      <c r="I605" s="816"/>
      <c r="J605" s="815"/>
      <c r="K605" s="816"/>
      <c r="L605" s="815"/>
      <c r="M605" s="816"/>
      <c r="N605" s="815"/>
      <c r="O605" s="816"/>
      <c r="P605" s="438"/>
      <c r="Q605" s="438"/>
      <c r="R605" s="438"/>
      <c r="S605" s="438"/>
      <c r="T605" s="438"/>
      <c r="U605" s="438"/>
      <c r="V605" s="438"/>
      <c r="W605" s="438"/>
    </row>
    <row r="606" spans="1:23" hidden="1" x14ac:dyDescent="0.25">
      <c r="A606" s="468" t="s">
        <v>540</v>
      </c>
      <c r="B606" s="464"/>
      <c r="C606" s="456" t="s">
        <v>139</v>
      </c>
      <c r="D606" s="458"/>
      <c r="E606" s="458"/>
      <c r="F606" s="815"/>
      <c r="G606" s="816"/>
      <c r="H606" s="815"/>
      <c r="I606" s="816"/>
      <c r="J606" s="815"/>
      <c r="K606" s="816"/>
      <c r="L606" s="815"/>
      <c r="M606" s="816"/>
      <c r="N606" s="815"/>
      <c r="O606" s="816"/>
      <c r="P606" s="438"/>
      <c r="Q606" s="438"/>
      <c r="R606" s="438"/>
      <c r="S606" s="438"/>
      <c r="T606" s="438"/>
      <c r="U606" s="438"/>
      <c r="V606" s="438"/>
      <c r="W606" s="438"/>
    </row>
    <row r="607" spans="1:23" hidden="1" x14ac:dyDescent="0.25">
      <c r="A607" s="468"/>
      <c r="B607" s="465" t="str">
        <f>B606&amp;"KW"</f>
        <v>KW</v>
      </c>
      <c r="C607" s="456" t="s">
        <v>170</v>
      </c>
      <c r="D607" s="458"/>
      <c r="E607" s="458"/>
      <c r="F607" s="815"/>
      <c r="G607" s="816"/>
      <c r="H607" s="815"/>
      <c r="I607" s="816"/>
      <c r="J607" s="815"/>
      <c r="K607" s="816"/>
      <c r="L607" s="815"/>
      <c r="M607" s="816"/>
      <c r="N607" s="815"/>
      <c r="O607" s="816"/>
      <c r="P607" s="438"/>
      <c r="Q607" s="438"/>
      <c r="R607" s="438"/>
      <c r="S607" s="438"/>
      <c r="T607" s="438"/>
      <c r="U607" s="438"/>
      <c r="V607" s="438"/>
      <c r="W607" s="438"/>
    </row>
    <row r="608" spans="1:23" hidden="1" x14ac:dyDescent="0.25">
      <c r="A608" s="468" t="s">
        <v>541</v>
      </c>
      <c r="B608" s="464"/>
      <c r="C608" s="456" t="s">
        <v>139</v>
      </c>
      <c r="D608" s="458"/>
      <c r="E608" s="458"/>
      <c r="F608" s="815"/>
      <c r="G608" s="816"/>
      <c r="H608" s="815"/>
      <c r="I608" s="816"/>
      <c r="J608" s="815"/>
      <c r="K608" s="816"/>
      <c r="L608" s="815"/>
      <c r="M608" s="816"/>
      <c r="N608" s="815"/>
      <c r="O608" s="816"/>
      <c r="P608" s="438"/>
      <c r="Q608" s="438"/>
      <c r="R608" s="438"/>
      <c r="S608" s="438"/>
      <c r="T608" s="438"/>
      <c r="U608" s="438"/>
      <c r="V608" s="438"/>
      <c r="W608" s="438"/>
    </row>
    <row r="609" spans="1:23" hidden="1" x14ac:dyDescent="0.25">
      <c r="A609" s="468"/>
      <c r="B609" s="465" t="str">
        <f>B608&amp;"KW"</f>
        <v>KW</v>
      </c>
      <c r="C609" s="456" t="s">
        <v>170</v>
      </c>
      <c r="D609" s="458"/>
      <c r="E609" s="458"/>
      <c r="F609" s="815"/>
      <c r="G609" s="816"/>
      <c r="H609" s="815"/>
      <c r="I609" s="816"/>
      <c r="J609" s="815"/>
      <c r="K609" s="816"/>
      <c r="L609" s="815"/>
      <c r="M609" s="816"/>
      <c r="N609" s="815"/>
      <c r="O609" s="816"/>
      <c r="P609" s="438"/>
      <c r="Q609" s="438"/>
      <c r="R609" s="438"/>
      <c r="S609" s="438"/>
      <c r="T609" s="438"/>
      <c r="U609" s="438"/>
      <c r="V609" s="438"/>
      <c r="W609" s="438"/>
    </row>
    <row r="610" spans="1:23" hidden="1" x14ac:dyDescent="0.25">
      <c r="A610" s="468" t="s">
        <v>542</v>
      </c>
      <c r="B610" s="464"/>
      <c r="C610" s="456" t="s">
        <v>139</v>
      </c>
      <c r="D610" s="458"/>
      <c r="E610" s="458"/>
      <c r="F610" s="815"/>
      <c r="G610" s="816"/>
      <c r="H610" s="815"/>
      <c r="I610" s="816"/>
      <c r="J610" s="815"/>
      <c r="K610" s="816"/>
      <c r="L610" s="815"/>
      <c r="M610" s="816"/>
      <c r="N610" s="815"/>
      <c r="O610" s="816"/>
      <c r="P610" s="438"/>
      <c r="Q610" s="438"/>
      <c r="R610" s="438"/>
      <c r="S610" s="438"/>
      <c r="T610" s="438"/>
      <c r="U610" s="438"/>
      <c r="V610" s="438"/>
      <c r="W610" s="438"/>
    </row>
    <row r="611" spans="1:23" hidden="1" x14ac:dyDescent="0.25">
      <c r="A611" s="468"/>
      <c r="B611" s="465" t="str">
        <f>B610&amp;"KW"</f>
        <v>KW</v>
      </c>
      <c r="C611" s="456" t="s">
        <v>170</v>
      </c>
      <c r="D611" s="458"/>
      <c r="E611" s="458"/>
      <c r="F611" s="815"/>
      <c r="G611" s="816"/>
      <c r="H611" s="815"/>
      <c r="I611" s="816"/>
      <c r="J611" s="815"/>
      <c r="K611" s="816"/>
      <c r="L611" s="815"/>
      <c r="M611" s="816"/>
      <c r="N611" s="815"/>
      <c r="O611" s="816"/>
      <c r="P611" s="438"/>
      <c r="Q611" s="438"/>
      <c r="R611" s="438"/>
      <c r="S611" s="438"/>
      <c r="T611" s="438"/>
      <c r="U611" s="438"/>
      <c r="V611" s="438"/>
      <c r="W611" s="438"/>
    </row>
    <row r="612" spans="1:23" hidden="1" x14ac:dyDescent="0.25">
      <c r="A612" s="468" t="s">
        <v>543</v>
      </c>
      <c r="B612" s="464"/>
      <c r="C612" s="456" t="s">
        <v>139</v>
      </c>
      <c r="D612" s="458"/>
      <c r="E612" s="458"/>
      <c r="F612" s="815"/>
      <c r="G612" s="816"/>
      <c r="H612" s="815"/>
      <c r="I612" s="816"/>
      <c r="J612" s="815"/>
      <c r="K612" s="816"/>
      <c r="L612" s="815"/>
      <c r="M612" s="816"/>
      <c r="N612" s="815"/>
      <c r="O612" s="816"/>
      <c r="P612" s="438"/>
      <c r="Q612" s="438"/>
      <c r="R612" s="438"/>
      <c r="S612" s="438"/>
      <c r="T612" s="438"/>
      <c r="U612" s="438"/>
      <c r="V612" s="438"/>
      <c r="W612" s="438"/>
    </row>
    <row r="613" spans="1:23" hidden="1" x14ac:dyDescent="0.25">
      <c r="A613" s="468"/>
      <c r="B613" s="465" t="str">
        <f>B612&amp;"KW"</f>
        <v>KW</v>
      </c>
      <c r="C613" s="456" t="s">
        <v>170</v>
      </c>
      <c r="D613" s="458"/>
      <c r="E613" s="458"/>
      <c r="F613" s="815"/>
      <c r="G613" s="816"/>
      <c r="H613" s="815"/>
      <c r="I613" s="816"/>
      <c r="J613" s="815"/>
      <c r="K613" s="816"/>
      <c r="L613" s="815"/>
      <c r="M613" s="816"/>
      <c r="N613" s="815"/>
      <c r="O613" s="816"/>
      <c r="P613" s="438"/>
      <c r="Q613" s="438"/>
      <c r="R613" s="438"/>
      <c r="S613" s="438"/>
      <c r="T613" s="438"/>
      <c r="U613" s="438"/>
      <c r="V613" s="438"/>
      <c r="W613" s="438"/>
    </row>
    <row r="614" spans="1:23" hidden="1" x14ac:dyDescent="0.25">
      <c r="A614" s="468" t="s">
        <v>544</v>
      </c>
      <c r="B614" s="464"/>
      <c r="C614" s="456" t="s">
        <v>139</v>
      </c>
      <c r="D614" s="458"/>
      <c r="E614" s="458"/>
      <c r="F614" s="815"/>
      <c r="G614" s="816"/>
      <c r="H614" s="815"/>
      <c r="I614" s="816"/>
      <c r="J614" s="815"/>
      <c r="K614" s="816"/>
      <c r="L614" s="815"/>
      <c r="M614" s="816"/>
      <c r="N614" s="815"/>
      <c r="O614" s="816"/>
      <c r="P614" s="438"/>
      <c r="Q614" s="438"/>
      <c r="R614" s="438"/>
      <c r="S614" s="438"/>
      <c r="T614" s="438"/>
      <c r="U614" s="438"/>
      <c r="V614" s="438"/>
      <c r="W614" s="438"/>
    </row>
    <row r="615" spans="1:23" hidden="1" x14ac:dyDescent="0.25">
      <c r="A615" s="468"/>
      <c r="B615" s="465" t="str">
        <f>B614&amp;"KW"</f>
        <v>KW</v>
      </c>
      <c r="C615" s="456" t="s">
        <v>170</v>
      </c>
      <c r="D615" s="458"/>
      <c r="E615" s="458"/>
      <c r="F615" s="815"/>
      <c r="G615" s="816"/>
      <c r="H615" s="815"/>
      <c r="I615" s="816"/>
      <c r="J615" s="815"/>
      <c r="K615" s="816"/>
      <c r="L615" s="815"/>
      <c r="M615" s="816"/>
      <c r="N615" s="815"/>
      <c r="O615" s="816"/>
      <c r="P615" s="438"/>
      <c r="Q615" s="438"/>
      <c r="R615" s="438"/>
      <c r="S615" s="438"/>
      <c r="T615" s="438"/>
      <c r="U615" s="438"/>
      <c r="V615" s="438"/>
      <c r="W615" s="438"/>
    </row>
    <row r="616" spans="1:23" hidden="1" x14ac:dyDescent="0.25">
      <c r="A616" s="468" t="s">
        <v>545</v>
      </c>
      <c r="B616" s="464"/>
      <c r="C616" s="456" t="s">
        <v>139</v>
      </c>
      <c r="D616" s="458"/>
      <c r="E616" s="458"/>
      <c r="F616" s="815"/>
      <c r="G616" s="816"/>
      <c r="H616" s="815"/>
      <c r="I616" s="816"/>
      <c r="J616" s="815"/>
      <c r="K616" s="816"/>
      <c r="L616" s="815"/>
      <c r="M616" s="816"/>
      <c r="N616" s="815"/>
      <c r="O616" s="816"/>
      <c r="P616" s="438"/>
      <c r="Q616" s="438"/>
      <c r="R616" s="438"/>
      <c r="S616" s="438"/>
      <c r="T616" s="438"/>
      <c r="U616" s="438"/>
      <c r="V616" s="438"/>
      <c r="W616" s="438"/>
    </row>
    <row r="617" spans="1:23" hidden="1" x14ac:dyDescent="0.25">
      <c r="A617" s="468"/>
      <c r="B617" s="465" t="str">
        <f>B616&amp;"KW"</f>
        <v>KW</v>
      </c>
      <c r="C617" s="456" t="s">
        <v>170</v>
      </c>
      <c r="D617" s="458"/>
      <c r="E617" s="458"/>
      <c r="F617" s="815"/>
      <c r="G617" s="816"/>
      <c r="H617" s="815"/>
      <c r="I617" s="816"/>
      <c r="J617" s="815"/>
      <c r="K617" s="816"/>
      <c r="L617" s="815"/>
      <c r="M617" s="816"/>
      <c r="N617" s="815"/>
      <c r="O617" s="816"/>
      <c r="P617" s="438"/>
      <c r="Q617" s="438"/>
      <c r="R617" s="438"/>
      <c r="S617" s="438"/>
      <c r="T617" s="438"/>
      <c r="U617" s="438"/>
      <c r="V617" s="438"/>
      <c r="W617" s="438"/>
    </row>
    <row r="618" spans="1:23" hidden="1" x14ac:dyDescent="0.25">
      <c r="A618" s="468" t="s">
        <v>546</v>
      </c>
      <c r="B618" s="464"/>
      <c r="C618" s="456" t="s">
        <v>139</v>
      </c>
      <c r="D618" s="458"/>
      <c r="E618" s="458"/>
      <c r="F618" s="815"/>
      <c r="G618" s="816"/>
      <c r="H618" s="815"/>
      <c r="I618" s="816"/>
      <c r="J618" s="815"/>
      <c r="K618" s="816"/>
      <c r="L618" s="815"/>
      <c r="M618" s="816"/>
      <c r="N618" s="815"/>
      <c r="O618" s="816"/>
      <c r="P618" s="438"/>
      <c r="Q618" s="438"/>
      <c r="R618" s="438"/>
      <c r="S618" s="438"/>
      <c r="T618" s="438"/>
      <c r="U618" s="438"/>
      <c r="V618" s="438"/>
      <c r="W618" s="438"/>
    </row>
    <row r="619" spans="1:23" hidden="1" x14ac:dyDescent="0.25">
      <c r="A619" s="468"/>
      <c r="B619" s="465" t="str">
        <f>B618&amp;"KW"</f>
        <v>KW</v>
      </c>
      <c r="C619" s="456" t="s">
        <v>170</v>
      </c>
      <c r="D619" s="458"/>
      <c r="E619" s="458"/>
      <c r="F619" s="815"/>
      <c r="G619" s="816"/>
      <c r="H619" s="815"/>
      <c r="I619" s="816"/>
      <c r="J619" s="815"/>
      <c r="K619" s="816"/>
      <c r="L619" s="815"/>
      <c r="M619" s="816"/>
      <c r="N619" s="815"/>
      <c r="O619" s="816"/>
      <c r="P619" s="438"/>
      <c r="Q619" s="438"/>
      <c r="R619" s="438"/>
      <c r="S619" s="438"/>
      <c r="T619" s="438"/>
      <c r="U619" s="438"/>
      <c r="V619" s="438"/>
      <c r="W619" s="438"/>
    </row>
    <row r="620" spans="1:23" hidden="1" x14ac:dyDescent="0.25">
      <c r="A620" s="468" t="s">
        <v>547</v>
      </c>
      <c r="B620" s="464"/>
      <c r="C620" s="456" t="s">
        <v>139</v>
      </c>
      <c r="D620" s="458"/>
      <c r="E620" s="458"/>
      <c r="F620" s="815"/>
      <c r="G620" s="816"/>
      <c r="H620" s="815"/>
      <c r="I620" s="816"/>
      <c r="J620" s="815"/>
      <c r="K620" s="816"/>
      <c r="L620" s="815"/>
      <c r="M620" s="816"/>
      <c r="N620" s="815"/>
      <c r="O620" s="816"/>
      <c r="P620" s="438"/>
      <c r="Q620" s="438"/>
      <c r="R620" s="438"/>
      <c r="S620" s="438"/>
      <c r="T620" s="438"/>
      <c r="U620" s="438"/>
      <c r="V620" s="438"/>
      <c r="W620" s="438"/>
    </row>
    <row r="621" spans="1:23" hidden="1" x14ac:dyDescent="0.25">
      <c r="A621" s="468"/>
      <c r="B621" s="465" t="str">
        <f>B620&amp;"KW"</f>
        <v>KW</v>
      </c>
      <c r="C621" s="456" t="s">
        <v>170</v>
      </c>
      <c r="D621" s="458"/>
      <c r="E621" s="458"/>
      <c r="F621" s="815"/>
      <c r="G621" s="816"/>
      <c r="H621" s="815"/>
      <c r="I621" s="816"/>
      <c r="J621" s="815"/>
      <c r="K621" s="816"/>
      <c r="L621" s="815"/>
      <c r="M621" s="816"/>
      <c r="N621" s="815"/>
      <c r="O621" s="816"/>
      <c r="P621" s="438"/>
      <c r="Q621" s="438"/>
      <c r="R621" s="438"/>
      <c r="S621" s="438"/>
      <c r="T621" s="438"/>
      <c r="U621" s="438"/>
      <c r="V621" s="438"/>
      <c r="W621" s="438"/>
    </row>
    <row r="622" spans="1:23" hidden="1" x14ac:dyDescent="0.25">
      <c r="A622" s="468" t="s">
        <v>548</v>
      </c>
      <c r="B622" s="464"/>
      <c r="C622" s="456" t="s">
        <v>139</v>
      </c>
      <c r="D622" s="458"/>
      <c r="E622" s="458"/>
      <c r="F622" s="815"/>
      <c r="G622" s="816"/>
      <c r="H622" s="815"/>
      <c r="I622" s="816"/>
      <c r="J622" s="815"/>
      <c r="K622" s="816"/>
      <c r="L622" s="815"/>
      <c r="M622" s="816"/>
      <c r="N622" s="815"/>
      <c r="O622" s="816"/>
      <c r="P622" s="438"/>
      <c r="Q622" s="438"/>
      <c r="R622" s="438"/>
      <c r="S622" s="438"/>
      <c r="T622" s="438"/>
      <c r="U622" s="438"/>
      <c r="V622" s="438"/>
      <c r="W622" s="438"/>
    </row>
    <row r="623" spans="1:23" hidden="1" x14ac:dyDescent="0.25">
      <c r="A623" s="468"/>
      <c r="B623" s="465" t="str">
        <f>B622&amp;"KW"</f>
        <v>KW</v>
      </c>
      <c r="C623" s="456" t="s">
        <v>170</v>
      </c>
      <c r="D623" s="458"/>
      <c r="E623" s="458"/>
      <c r="F623" s="815"/>
      <c r="G623" s="816"/>
      <c r="H623" s="815"/>
      <c r="I623" s="816"/>
      <c r="J623" s="815"/>
      <c r="K623" s="816"/>
      <c r="L623" s="815"/>
      <c r="M623" s="816"/>
      <c r="N623" s="815"/>
      <c r="O623" s="816"/>
      <c r="P623" s="438"/>
      <c r="Q623" s="438"/>
      <c r="R623" s="438"/>
      <c r="S623" s="438"/>
      <c r="T623" s="438"/>
      <c r="U623" s="438"/>
      <c r="V623" s="438"/>
      <c r="W623" s="438"/>
    </row>
    <row r="624" spans="1:23" hidden="1" x14ac:dyDescent="0.25">
      <c r="A624" s="468" t="s">
        <v>549</v>
      </c>
      <c r="B624" s="464"/>
      <c r="C624" s="456" t="s">
        <v>139</v>
      </c>
      <c r="D624" s="458"/>
      <c r="E624" s="458"/>
      <c r="F624" s="815"/>
      <c r="G624" s="816"/>
      <c r="H624" s="815"/>
      <c r="I624" s="816"/>
      <c r="J624" s="815"/>
      <c r="K624" s="816"/>
      <c r="L624" s="815"/>
      <c r="M624" s="816"/>
      <c r="N624" s="815"/>
      <c r="O624" s="816"/>
      <c r="P624" s="438"/>
      <c r="Q624" s="438"/>
      <c r="R624" s="438"/>
      <c r="S624" s="438"/>
      <c r="T624" s="438"/>
      <c r="U624" s="438"/>
      <c r="V624" s="438"/>
      <c r="W624" s="438"/>
    </row>
    <row r="625" spans="1:23" hidden="1" x14ac:dyDescent="0.25">
      <c r="A625" s="468"/>
      <c r="B625" s="465" t="str">
        <f>B624&amp;"KW"</f>
        <v>KW</v>
      </c>
      <c r="C625" s="456" t="s">
        <v>170</v>
      </c>
      <c r="D625" s="458"/>
      <c r="E625" s="458"/>
      <c r="F625" s="815"/>
      <c r="G625" s="816"/>
      <c r="H625" s="815"/>
      <c r="I625" s="816"/>
      <c r="J625" s="815"/>
      <c r="K625" s="816"/>
      <c r="L625" s="815"/>
      <c r="M625" s="816"/>
      <c r="N625" s="815"/>
      <c r="O625" s="816"/>
      <c r="P625" s="438"/>
      <c r="Q625" s="438"/>
      <c r="R625" s="438"/>
      <c r="S625" s="438"/>
      <c r="T625" s="438"/>
      <c r="U625" s="438"/>
      <c r="V625" s="438"/>
      <c r="W625" s="438"/>
    </row>
    <row r="626" spans="1:23" hidden="1" x14ac:dyDescent="0.25">
      <c r="A626" s="468" t="s">
        <v>550</v>
      </c>
      <c r="B626" s="464"/>
      <c r="C626" s="456" t="s">
        <v>139</v>
      </c>
      <c r="D626" s="458"/>
      <c r="E626" s="458"/>
      <c r="F626" s="815"/>
      <c r="G626" s="816"/>
      <c r="H626" s="815"/>
      <c r="I626" s="816"/>
      <c r="J626" s="815"/>
      <c r="K626" s="816"/>
      <c r="L626" s="815"/>
      <c r="M626" s="816"/>
      <c r="N626" s="815"/>
      <c r="O626" s="816"/>
      <c r="P626" s="438"/>
      <c r="Q626" s="438"/>
      <c r="R626" s="438"/>
      <c r="S626" s="438"/>
      <c r="T626" s="438"/>
      <c r="U626" s="438"/>
      <c r="V626" s="438"/>
      <c r="W626" s="438"/>
    </row>
    <row r="627" spans="1:23" hidden="1" x14ac:dyDescent="0.25">
      <c r="A627" s="468"/>
      <c r="B627" s="465" t="str">
        <f>B626&amp;"KW"</f>
        <v>KW</v>
      </c>
      <c r="C627" s="456" t="s">
        <v>170</v>
      </c>
      <c r="D627" s="458"/>
      <c r="E627" s="458"/>
      <c r="F627" s="815"/>
      <c r="G627" s="816"/>
      <c r="H627" s="815"/>
      <c r="I627" s="816"/>
      <c r="J627" s="815"/>
      <c r="K627" s="816"/>
      <c r="L627" s="815"/>
      <c r="M627" s="816"/>
      <c r="N627" s="815"/>
      <c r="O627" s="816"/>
      <c r="P627" s="438"/>
      <c r="Q627" s="438"/>
      <c r="R627" s="438"/>
      <c r="S627" s="438"/>
      <c r="T627" s="438"/>
      <c r="U627" s="438"/>
      <c r="V627" s="438"/>
      <c r="W627" s="438"/>
    </row>
    <row r="628" spans="1:23" hidden="1" x14ac:dyDescent="0.25">
      <c r="A628" s="468" t="s">
        <v>551</v>
      </c>
      <c r="B628" s="464"/>
      <c r="C628" s="456" t="s">
        <v>139</v>
      </c>
      <c r="D628" s="458"/>
      <c r="E628" s="458"/>
      <c r="F628" s="815"/>
      <c r="G628" s="816"/>
      <c r="H628" s="815"/>
      <c r="I628" s="816"/>
      <c r="J628" s="815"/>
      <c r="K628" s="816"/>
      <c r="L628" s="815"/>
      <c r="M628" s="816"/>
      <c r="N628" s="815"/>
      <c r="O628" s="816"/>
      <c r="P628" s="438"/>
      <c r="Q628" s="438"/>
      <c r="R628" s="438"/>
      <c r="S628" s="438"/>
      <c r="T628" s="438"/>
      <c r="U628" s="438"/>
      <c r="V628" s="438"/>
      <c r="W628" s="438"/>
    </row>
    <row r="629" spans="1:23" hidden="1" x14ac:dyDescent="0.25">
      <c r="A629" s="468"/>
      <c r="B629" s="465" t="str">
        <f>B628&amp;"KW"</f>
        <v>KW</v>
      </c>
      <c r="C629" s="456" t="s">
        <v>170</v>
      </c>
      <c r="D629" s="458"/>
      <c r="E629" s="458"/>
      <c r="F629" s="815"/>
      <c r="G629" s="816"/>
      <c r="H629" s="815"/>
      <c r="I629" s="816"/>
      <c r="J629" s="815"/>
      <c r="K629" s="816"/>
      <c r="L629" s="815"/>
      <c r="M629" s="816"/>
      <c r="N629" s="815"/>
      <c r="O629" s="816"/>
      <c r="P629" s="438"/>
      <c r="Q629" s="438"/>
      <c r="R629" s="438"/>
      <c r="S629" s="438"/>
      <c r="T629" s="438"/>
      <c r="U629" s="438"/>
      <c r="V629" s="438"/>
      <c r="W629" s="438"/>
    </row>
    <row r="630" spans="1:23" hidden="1" x14ac:dyDescent="0.25">
      <c r="A630" s="468" t="s">
        <v>552</v>
      </c>
      <c r="B630" s="464"/>
      <c r="C630" s="456" t="s">
        <v>139</v>
      </c>
      <c r="D630" s="458"/>
      <c r="E630" s="458"/>
      <c r="F630" s="815"/>
      <c r="G630" s="816"/>
      <c r="H630" s="815"/>
      <c r="I630" s="816"/>
      <c r="J630" s="815"/>
      <c r="K630" s="816"/>
      <c r="L630" s="815"/>
      <c r="M630" s="816"/>
      <c r="N630" s="815"/>
      <c r="O630" s="816"/>
      <c r="P630" s="438"/>
      <c r="Q630" s="438"/>
      <c r="R630" s="438"/>
      <c r="S630" s="438"/>
      <c r="T630" s="438"/>
      <c r="U630" s="438"/>
      <c r="V630" s="438"/>
      <c r="W630" s="438"/>
    </row>
    <row r="631" spans="1:23" hidden="1" x14ac:dyDescent="0.25">
      <c r="A631" s="468"/>
      <c r="B631" s="465" t="str">
        <f>B630&amp;"KW"</f>
        <v>KW</v>
      </c>
      <c r="C631" s="456" t="s">
        <v>170</v>
      </c>
      <c r="D631" s="458"/>
      <c r="E631" s="458"/>
      <c r="F631" s="815"/>
      <c r="G631" s="816"/>
      <c r="H631" s="815"/>
      <c r="I631" s="816"/>
      <c r="J631" s="815"/>
      <c r="K631" s="816"/>
      <c r="L631" s="815"/>
      <c r="M631" s="816"/>
      <c r="N631" s="815"/>
      <c r="O631" s="816"/>
      <c r="P631" s="438"/>
      <c r="Q631" s="438"/>
      <c r="R631" s="438"/>
      <c r="S631" s="438"/>
      <c r="T631" s="438"/>
      <c r="U631" s="438"/>
      <c r="V631" s="438"/>
      <c r="W631" s="438"/>
    </row>
    <row r="632" spans="1:23" hidden="1" x14ac:dyDescent="0.25">
      <c r="A632" s="468" t="s">
        <v>553</v>
      </c>
      <c r="B632" s="464"/>
      <c r="C632" s="456" t="s">
        <v>139</v>
      </c>
      <c r="D632" s="458"/>
      <c r="E632" s="458"/>
      <c r="F632" s="815"/>
      <c r="G632" s="816"/>
      <c r="H632" s="815"/>
      <c r="I632" s="816"/>
      <c r="J632" s="815"/>
      <c r="K632" s="816"/>
      <c r="L632" s="815"/>
      <c r="M632" s="816"/>
      <c r="N632" s="815"/>
      <c r="O632" s="816"/>
      <c r="P632" s="438"/>
      <c r="Q632" s="438"/>
      <c r="R632" s="438"/>
      <c r="S632" s="438"/>
      <c r="T632" s="438"/>
      <c r="U632" s="438"/>
      <c r="V632" s="438"/>
      <c r="W632" s="438"/>
    </row>
    <row r="633" spans="1:23" hidden="1" x14ac:dyDescent="0.25">
      <c r="A633" s="468"/>
      <c r="B633" s="465" t="str">
        <f>B632&amp;"KW"</f>
        <v>KW</v>
      </c>
      <c r="C633" s="456" t="s">
        <v>170</v>
      </c>
      <c r="D633" s="458"/>
      <c r="E633" s="458"/>
      <c r="F633" s="815"/>
      <c r="G633" s="816"/>
      <c r="H633" s="815"/>
      <c r="I633" s="816"/>
      <c r="J633" s="815"/>
      <c r="K633" s="816"/>
      <c r="L633" s="815"/>
      <c r="M633" s="816"/>
      <c r="N633" s="815"/>
      <c r="O633" s="816"/>
      <c r="P633" s="438"/>
      <c r="Q633" s="438"/>
      <c r="R633" s="438"/>
      <c r="S633" s="438"/>
      <c r="T633" s="438"/>
      <c r="U633" s="438"/>
      <c r="V633" s="438"/>
      <c r="W633" s="438"/>
    </row>
    <row r="634" spans="1:23" hidden="1" x14ac:dyDescent="0.25">
      <c r="A634" s="468" t="s">
        <v>554</v>
      </c>
      <c r="B634" s="464"/>
      <c r="C634" s="456" t="s">
        <v>139</v>
      </c>
      <c r="D634" s="458"/>
      <c r="E634" s="458"/>
      <c r="F634" s="815"/>
      <c r="G634" s="816"/>
      <c r="H634" s="815"/>
      <c r="I634" s="816"/>
      <c r="J634" s="815"/>
      <c r="K634" s="816"/>
      <c r="L634" s="815"/>
      <c r="M634" s="816"/>
      <c r="N634" s="815"/>
      <c r="O634" s="816"/>
      <c r="P634" s="438"/>
      <c r="Q634" s="438"/>
      <c r="R634" s="438"/>
      <c r="S634" s="438"/>
      <c r="T634" s="438"/>
      <c r="U634" s="438"/>
      <c r="V634" s="438"/>
      <c r="W634" s="438"/>
    </row>
    <row r="635" spans="1:23" hidden="1" x14ac:dyDescent="0.25">
      <c r="A635" s="468"/>
      <c r="B635" s="465" t="str">
        <f>B634&amp;"KW"</f>
        <v>KW</v>
      </c>
      <c r="C635" s="456" t="s">
        <v>170</v>
      </c>
      <c r="D635" s="458"/>
      <c r="E635" s="458"/>
      <c r="F635" s="815"/>
      <c r="G635" s="816"/>
      <c r="H635" s="815"/>
      <c r="I635" s="816"/>
      <c r="J635" s="815"/>
      <c r="K635" s="816"/>
      <c r="L635" s="815"/>
      <c r="M635" s="816"/>
      <c r="N635" s="815"/>
      <c r="O635" s="816"/>
      <c r="P635" s="438"/>
      <c r="Q635" s="438"/>
      <c r="R635" s="438"/>
      <c r="S635" s="438"/>
      <c r="T635" s="438"/>
      <c r="U635" s="438"/>
      <c r="V635" s="438"/>
      <c r="W635" s="438"/>
    </row>
    <row r="636" spans="1:23" hidden="1" x14ac:dyDescent="0.25">
      <c r="A636" s="468" t="s">
        <v>555</v>
      </c>
      <c r="B636" s="464"/>
      <c r="C636" s="456" t="s">
        <v>139</v>
      </c>
      <c r="D636" s="458"/>
      <c r="E636" s="458"/>
      <c r="F636" s="815"/>
      <c r="G636" s="816"/>
      <c r="H636" s="815"/>
      <c r="I636" s="816"/>
      <c r="J636" s="815"/>
      <c r="K636" s="816"/>
      <c r="L636" s="815"/>
      <c r="M636" s="816"/>
      <c r="N636" s="815"/>
      <c r="O636" s="816"/>
      <c r="P636" s="438"/>
      <c r="Q636" s="438"/>
      <c r="R636" s="438"/>
      <c r="S636" s="438"/>
      <c r="T636" s="438"/>
      <c r="U636" s="438"/>
      <c r="V636" s="438"/>
      <c r="W636" s="438"/>
    </row>
    <row r="637" spans="1:23" hidden="1" x14ac:dyDescent="0.25">
      <c r="A637" s="468"/>
      <c r="B637" s="465" t="str">
        <f>B636&amp;"KW"</f>
        <v>KW</v>
      </c>
      <c r="C637" s="456" t="s">
        <v>170</v>
      </c>
      <c r="D637" s="458"/>
      <c r="E637" s="458"/>
      <c r="F637" s="815"/>
      <c r="G637" s="816"/>
      <c r="H637" s="815"/>
      <c r="I637" s="816"/>
      <c r="J637" s="815"/>
      <c r="K637" s="816"/>
      <c r="L637" s="815"/>
      <c r="M637" s="816"/>
      <c r="N637" s="815"/>
      <c r="O637" s="816"/>
      <c r="P637" s="438"/>
      <c r="Q637" s="438"/>
      <c r="R637" s="438"/>
      <c r="S637" s="438"/>
      <c r="T637" s="438"/>
      <c r="U637" s="438"/>
      <c r="V637" s="438"/>
      <c r="W637" s="438"/>
    </row>
    <row r="638" spans="1:23" hidden="1" x14ac:dyDescent="0.25">
      <c r="A638" s="468" t="s">
        <v>556</v>
      </c>
      <c r="B638" s="464"/>
      <c r="C638" s="456" t="s">
        <v>139</v>
      </c>
      <c r="D638" s="458"/>
      <c r="E638" s="458"/>
      <c r="F638" s="815"/>
      <c r="G638" s="816"/>
      <c r="H638" s="815"/>
      <c r="I638" s="816"/>
      <c r="J638" s="815"/>
      <c r="K638" s="816"/>
      <c r="L638" s="815"/>
      <c r="M638" s="816"/>
      <c r="N638" s="815"/>
      <c r="O638" s="816"/>
      <c r="P638" s="438"/>
      <c r="Q638" s="438"/>
      <c r="R638" s="438"/>
      <c r="S638" s="438"/>
      <c r="T638" s="438"/>
      <c r="U638" s="438"/>
      <c r="V638" s="438"/>
      <c r="W638" s="438"/>
    </row>
    <row r="639" spans="1:23" hidden="1" x14ac:dyDescent="0.25">
      <c r="A639" s="468"/>
      <c r="B639" s="465" t="str">
        <f>B638&amp;"KW"</f>
        <v>KW</v>
      </c>
      <c r="C639" s="456" t="s">
        <v>170</v>
      </c>
      <c r="D639" s="458"/>
      <c r="E639" s="458"/>
      <c r="F639" s="815"/>
      <c r="G639" s="816"/>
      <c r="H639" s="815"/>
      <c r="I639" s="816"/>
      <c r="J639" s="815"/>
      <c r="K639" s="816"/>
      <c r="L639" s="815"/>
      <c r="M639" s="816"/>
      <c r="N639" s="815"/>
      <c r="O639" s="816"/>
      <c r="P639" s="438"/>
      <c r="Q639" s="438"/>
      <c r="R639" s="438"/>
      <c r="S639" s="438"/>
      <c r="T639" s="438"/>
      <c r="U639" s="438"/>
      <c r="V639" s="438"/>
      <c r="W639" s="438"/>
    </row>
    <row r="640" spans="1:23" hidden="1" x14ac:dyDescent="0.25">
      <c r="A640" s="468" t="s">
        <v>557</v>
      </c>
      <c r="B640" s="464"/>
      <c r="C640" s="456" t="s">
        <v>139</v>
      </c>
      <c r="D640" s="458"/>
      <c r="E640" s="458"/>
      <c r="F640" s="815"/>
      <c r="G640" s="816"/>
      <c r="H640" s="815"/>
      <c r="I640" s="816"/>
      <c r="J640" s="815"/>
      <c r="K640" s="816"/>
      <c r="L640" s="815"/>
      <c r="M640" s="816"/>
      <c r="N640" s="815"/>
      <c r="O640" s="816"/>
      <c r="P640" s="438"/>
      <c r="Q640" s="438"/>
      <c r="R640" s="438"/>
      <c r="S640" s="438"/>
      <c r="T640" s="438"/>
      <c r="U640" s="438"/>
      <c r="V640" s="438"/>
      <c r="W640" s="438"/>
    </row>
    <row r="641" spans="1:23" hidden="1" x14ac:dyDescent="0.25">
      <c r="A641" s="468"/>
      <c r="B641" s="465" t="str">
        <f>B640&amp;"KW"</f>
        <v>KW</v>
      </c>
      <c r="C641" s="456" t="s">
        <v>170</v>
      </c>
      <c r="D641" s="458"/>
      <c r="E641" s="458"/>
      <c r="F641" s="815"/>
      <c r="G641" s="816"/>
      <c r="H641" s="815"/>
      <c r="I641" s="816"/>
      <c r="J641" s="815"/>
      <c r="K641" s="816"/>
      <c r="L641" s="815"/>
      <c r="M641" s="816"/>
      <c r="N641" s="815"/>
      <c r="O641" s="816"/>
      <c r="P641" s="438"/>
      <c r="Q641" s="438"/>
      <c r="R641" s="438"/>
      <c r="S641" s="438"/>
      <c r="T641" s="438"/>
      <c r="U641" s="438"/>
      <c r="V641" s="438"/>
      <c r="W641" s="438"/>
    </row>
    <row r="642" spans="1:23" hidden="1" x14ac:dyDescent="0.25">
      <c r="A642" s="468" t="s">
        <v>558</v>
      </c>
      <c r="B642" s="464"/>
      <c r="C642" s="456" t="s">
        <v>139</v>
      </c>
      <c r="D642" s="458"/>
      <c r="E642" s="458"/>
      <c r="F642" s="815"/>
      <c r="G642" s="816"/>
      <c r="H642" s="815"/>
      <c r="I642" s="816"/>
      <c r="J642" s="815"/>
      <c r="K642" s="816"/>
      <c r="L642" s="815"/>
      <c r="M642" s="816"/>
      <c r="N642" s="815"/>
      <c r="O642" s="816"/>
      <c r="P642" s="438"/>
      <c r="Q642" s="438"/>
      <c r="R642" s="438"/>
      <c r="S642" s="438"/>
      <c r="T642" s="438"/>
      <c r="U642" s="438"/>
      <c r="V642" s="438"/>
      <c r="W642" s="438"/>
    </row>
    <row r="643" spans="1:23" hidden="1" x14ac:dyDescent="0.25">
      <c r="A643" s="468"/>
      <c r="B643" s="465" t="str">
        <f>B642&amp;"KW"</f>
        <v>KW</v>
      </c>
      <c r="C643" s="456" t="s">
        <v>170</v>
      </c>
      <c r="D643" s="458"/>
      <c r="E643" s="458"/>
      <c r="F643" s="815"/>
      <c r="G643" s="816"/>
      <c r="H643" s="815"/>
      <c r="I643" s="816"/>
      <c r="J643" s="815"/>
      <c r="K643" s="816"/>
      <c r="L643" s="815"/>
      <c r="M643" s="816"/>
      <c r="N643" s="815"/>
      <c r="O643" s="816"/>
      <c r="P643" s="438"/>
      <c r="Q643" s="438"/>
      <c r="R643" s="438"/>
      <c r="S643" s="438"/>
      <c r="T643" s="438"/>
      <c r="U643" s="438"/>
      <c r="V643" s="438"/>
      <c r="W643" s="438"/>
    </row>
    <row r="644" spans="1:23" hidden="1" x14ac:dyDescent="0.25">
      <c r="A644" s="468" t="s">
        <v>559</v>
      </c>
      <c r="B644" s="464"/>
      <c r="C644" s="456" t="s">
        <v>139</v>
      </c>
      <c r="D644" s="458"/>
      <c r="E644" s="458"/>
      <c r="F644" s="815"/>
      <c r="G644" s="816"/>
      <c r="H644" s="815"/>
      <c r="I644" s="816"/>
      <c r="J644" s="815"/>
      <c r="K644" s="816"/>
      <c r="L644" s="815"/>
      <c r="M644" s="816"/>
      <c r="N644" s="815"/>
      <c r="O644" s="816"/>
      <c r="P644" s="438"/>
      <c r="Q644" s="438"/>
      <c r="R644" s="438"/>
      <c r="S644" s="438"/>
      <c r="T644" s="438"/>
      <c r="U644" s="438"/>
      <c r="V644" s="438"/>
      <c r="W644" s="438"/>
    </row>
    <row r="645" spans="1:23" hidden="1" x14ac:dyDescent="0.25">
      <c r="A645" s="468"/>
      <c r="B645" s="465" t="str">
        <f>B644&amp;"KW"</f>
        <v>KW</v>
      </c>
      <c r="C645" s="456" t="s">
        <v>170</v>
      </c>
      <c r="D645" s="458"/>
      <c r="E645" s="458"/>
      <c r="F645" s="815"/>
      <c r="G645" s="816"/>
      <c r="H645" s="815"/>
      <c r="I645" s="816"/>
      <c r="J645" s="815"/>
      <c r="K645" s="816"/>
      <c r="L645" s="815"/>
      <c r="M645" s="816"/>
      <c r="N645" s="815"/>
      <c r="O645" s="816"/>
      <c r="P645" s="438"/>
      <c r="Q645" s="438"/>
      <c r="R645" s="438"/>
      <c r="S645" s="438"/>
      <c r="T645" s="438"/>
      <c r="U645" s="438"/>
      <c r="V645" s="438"/>
      <c r="W645" s="438"/>
    </row>
    <row r="646" spans="1:23" hidden="1" x14ac:dyDescent="0.25">
      <c r="A646" s="468" t="s">
        <v>560</v>
      </c>
      <c r="B646" s="464"/>
      <c r="C646" s="456" t="s">
        <v>139</v>
      </c>
      <c r="D646" s="458"/>
      <c r="E646" s="458"/>
      <c r="F646" s="815"/>
      <c r="G646" s="816"/>
      <c r="H646" s="815"/>
      <c r="I646" s="816"/>
      <c r="J646" s="815"/>
      <c r="K646" s="816"/>
      <c r="L646" s="815"/>
      <c r="M646" s="816"/>
      <c r="N646" s="815"/>
      <c r="O646" s="816"/>
      <c r="P646" s="438"/>
      <c r="Q646" s="438"/>
      <c r="R646" s="438"/>
      <c r="S646" s="438"/>
      <c r="T646" s="438"/>
      <c r="U646" s="438"/>
      <c r="V646" s="438"/>
      <c r="W646" s="438"/>
    </row>
    <row r="647" spans="1:23" hidden="1" x14ac:dyDescent="0.25">
      <c r="A647" s="468"/>
      <c r="B647" s="465" t="str">
        <f>B646&amp;"KW"</f>
        <v>KW</v>
      </c>
      <c r="C647" s="456" t="s">
        <v>170</v>
      </c>
      <c r="D647" s="458"/>
      <c r="E647" s="458"/>
      <c r="F647" s="815"/>
      <c r="G647" s="816"/>
      <c r="H647" s="815"/>
      <c r="I647" s="816"/>
      <c r="J647" s="815"/>
      <c r="K647" s="816"/>
      <c r="L647" s="815"/>
      <c r="M647" s="816"/>
      <c r="N647" s="815"/>
      <c r="O647" s="816"/>
      <c r="P647" s="438"/>
      <c r="Q647" s="438"/>
      <c r="R647" s="438"/>
      <c r="S647" s="438"/>
      <c r="T647" s="438"/>
      <c r="U647" s="438"/>
      <c r="V647" s="438"/>
      <c r="W647" s="438"/>
    </row>
    <row r="648" spans="1:23" hidden="1" x14ac:dyDescent="0.25">
      <c r="A648" s="468" t="s">
        <v>561</v>
      </c>
      <c r="B648" s="464"/>
      <c r="C648" s="456" t="s">
        <v>139</v>
      </c>
      <c r="D648" s="458"/>
      <c r="E648" s="458"/>
      <c r="F648" s="815"/>
      <c r="G648" s="816"/>
      <c r="H648" s="815"/>
      <c r="I648" s="816"/>
      <c r="J648" s="815"/>
      <c r="K648" s="816"/>
      <c r="L648" s="815"/>
      <c r="M648" s="816"/>
      <c r="N648" s="815"/>
      <c r="O648" s="816"/>
      <c r="P648" s="438"/>
      <c r="Q648" s="438"/>
      <c r="R648" s="438"/>
      <c r="S648" s="438"/>
      <c r="T648" s="438"/>
      <c r="U648" s="438"/>
      <c r="V648" s="438"/>
      <c r="W648" s="438"/>
    </row>
    <row r="649" spans="1:23" hidden="1" x14ac:dyDescent="0.25">
      <c r="A649" s="468"/>
      <c r="B649" s="465" t="str">
        <f>B648&amp;"KW"</f>
        <v>KW</v>
      </c>
      <c r="C649" s="456" t="s">
        <v>170</v>
      </c>
      <c r="D649" s="458"/>
      <c r="E649" s="458"/>
      <c r="F649" s="815"/>
      <c r="G649" s="816"/>
      <c r="H649" s="815"/>
      <c r="I649" s="816"/>
      <c r="J649" s="815"/>
      <c r="K649" s="816"/>
      <c r="L649" s="815"/>
      <c r="M649" s="816"/>
      <c r="N649" s="815"/>
      <c r="O649" s="816"/>
      <c r="P649" s="438"/>
      <c r="Q649" s="438"/>
      <c r="R649" s="438"/>
      <c r="S649" s="438"/>
      <c r="T649" s="438"/>
      <c r="U649" s="438"/>
      <c r="V649" s="438"/>
      <c r="W649" s="438"/>
    </row>
    <row r="650" spans="1:23" hidden="1" x14ac:dyDescent="0.25">
      <c r="A650" s="468" t="s">
        <v>562</v>
      </c>
      <c r="B650" s="464"/>
      <c r="C650" s="456" t="s">
        <v>139</v>
      </c>
      <c r="D650" s="458"/>
      <c r="E650" s="458"/>
      <c r="F650" s="815"/>
      <c r="G650" s="816"/>
      <c r="H650" s="815"/>
      <c r="I650" s="816"/>
      <c r="J650" s="815"/>
      <c r="K650" s="816"/>
      <c r="L650" s="815"/>
      <c r="M650" s="816"/>
      <c r="N650" s="815"/>
      <c r="O650" s="816"/>
      <c r="P650" s="438"/>
      <c r="Q650" s="438"/>
      <c r="R650" s="438"/>
      <c r="S650" s="438"/>
      <c r="T650" s="438"/>
      <c r="U650" s="438"/>
      <c r="V650" s="438"/>
      <c r="W650" s="438"/>
    </row>
    <row r="651" spans="1:23" hidden="1" x14ac:dyDescent="0.25">
      <c r="A651" s="468"/>
      <c r="B651" s="465" t="str">
        <f>B650&amp;"KW"</f>
        <v>KW</v>
      </c>
      <c r="C651" s="456" t="s">
        <v>170</v>
      </c>
      <c r="D651" s="458"/>
      <c r="E651" s="458"/>
      <c r="F651" s="815"/>
      <c r="G651" s="816"/>
      <c r="H651" s="815"/>
      <c r="I651" s="816"/>
      <c r="J651" s="815"/>
      <c r="K651" s="816"/>
      <c r="L651" s="815"/>
      <c r="M651" s="816"/>
      <c r="N651" s="815"/>
      <c r="O651" s="816"/>
      <c r="P651" s="438"/>
      <c r="Q651" s="438"/>
      <c r="R651" s="438"/>
      <c r="S651" s="438"/>
      <c r="T651" s="438"/>
      <c r="U651" s="438"/>
      <c r="V651" s="438"/>
      <c r="W651" s="438"/>
    </row>
    <row r="652" spans="1:23" hidden="1" x14ac:dyDescent="0.25">
      <c r="A652" s="468" t="s">
        <v>563</v>
      </c>
      <c r="B652" s="464"/>
      <c r="C652" s="456" t="s">
        <v>139</v>
      </c>
      <c r="D652" s="458"/>
      <c r="E652" s="458"/>
      <c r="F652" s="815"/>
      <c r="G652" s="816"/>
      <c r="H652" s="815"/>
      <c r="I652" s="816"/>
      <c r="J652" s="815"/>
      <c r="K652" s="816"/>
      <c r="L652" s="815"/>
      <c r="M652" s="816"/>
      <c r="N652" s="815"/>
      <c r="O652" s="816"/>
      <c r="P652" s="438"/>
      <c r="Q652" s="438"/>
      <c r="R652" s="438"/>
      <c r="S652" s="438"/>
      <c r="T652" s="438"/>
      <c r="U652" s="438"/>
      <c r="V652" s="438"/>
      <c r="W652" s="438"/>
    </row>
    <row r="653" spans="1:23" hidden="1" x14ac:dyDescent="0.25">
      <c r="A653" s="468"/>
      <c r="B653" s="465" t="str">
        <f>B652&amp;"KW"</f>
        <v>KW</v>
      </c>
      <c r="C653" s="456" t="s">
        <v>170</v>
      </c>
      <c r="D653" s="458"/>
      <c r="E653" s="458"/>
      <c r="F653" s="815"/>
      <c r="G653" s="816"/>
      <c r="H653" s="815"/>
      <c r="I653" s="816"/>
      <c r="J653" s="815"/>
      <c r="K653" s="816"/>
      <c r="L653" s="815"/>
      <c r="M653" s="816"/>
      <c r="N653" s="815"/>
      <c r="O653" s="816"/>
      <c r="P653" s="438"/>
      <c r="Q653" s="438"/>
      <c r="R653" s="438"/>
      <c r="S653" s="438"/>
      <c r="T653" s="438"/>
      <c r="U653" s="438"/>
      <c r="V653" s="438"/>
      <c r="W653" s="438"/>
    </row>
    <row r="654" spans="1:23" hidden="1" x14ac:dyDescent="0.25">
      <c r="A654" s="468" t="s">
        <v>564</v>
      </c>
      <c r="B654" s="464"/>
      <c r="C654" s="456" t="s">
        <v>139</v>
      </c>
      <c r="D654" s="458"/>
      <c r="E654" s="458"/>
      <c r="F654" s="815"/>
      <c r="G654" s="816"/>
      <c r="H654" s="815"/>
      <c r="I654" s="816"/>
      <c r="J654" s="815"/>
      <c r="K654" s="816"/>
      <c r="L654" s="815"/>
      <c r="M654" s="816"/>
      <c r="N654" s="815"/>
      <c r="O654" s="816"/>
      <c r="P654" s="438"/>
      <c r="Q654" s="438"/>
      <c r="R654" s="438"/>
      <c r="S654" s="438"/>
      <c r="T654" s="438"/>
      <c r="U654" s="438"/>
      <c r="V654" s="438"/>
      <c r="W654" s="438"/>
    </row>
    <row r="655" spans="1:23" hidden="1" x14ac:dyDescent="0.25">
      <c r="A655" s="468"/>
      <c r="B655" s="465" t="str">
        <f>B654&amp;"KW"</f>
        <v>KW</v>
      </c>
      <c r="C655" s="456" t="s">
        <v>170</v>
      </c>
      <c r="D655" s="458"/>
      <c r="E655" s="458"/>
      <c r="F655" s="815"/>
      <c r="G655" s="816"/>
      <c r="H655" s="815"/>
      <c r="I655" s="816"/>
      <c r="J655" s="815"/>
      <c r="K655" s="816"/>
      <c r="L655" s="815"/>
      <c r="M655" s="816"/>
      <c r="N655" s="815"/>
      <c r="O655" s="816"/>
      <c r="P655" s="438"/>
      <c r="Q655" s="438"/>
      <c r="R655" s="438"/>
      <c r="S655" s="438"/>
      <c r="T655" s="438"/>
      <c r="U655" s="438"/>
      <c r="V655" s="438"/>
      <c r="W655" s="438"/>
    </row>
    <row r="656" spans="1:23" hidden="1" x14ac:dyDescent="0.25">
      <c r="A656" s="468" t="s">
        <v>565</v>
      </c>
      <c r="B656" s="464"/>
      <c r="C656" s="456" t="s">
        <v>139</v>
      </c>
      <c r="D656" s="458"/>
      <c r="E656" s="458"/>
      <c r="F656" s="815"/>
      <c r="G656" s="816"/>
      <c r="H656" s="815"/>
      <c r="I656" s="816"/>
      <c r="J656" s="815"/>
      <c r="K656" s="816"/>
      <c r="L656" s="815"/>
      <c r="M656" s="816"/>
      <c r="N656" s="815"/>
      <c r="O656" s="816"/>
      <c r="P656" s="438"/>
      <c r="Q656" s="438"/>
      <c r="R656" s="438"/>
      <c r="S656" s="438"/>
      <c r="T656" s="438"/>
      <c r="U656" s="438"/>
      <c r="V656" s="438"/>
      <c r="W656" s="438"/>
    </row>
    <row r="657" spans="1:23" hidden="1" x14ac:dyDescent="0.25">
      <c r="A657" s="468"/>
      <c r="B657" s="465" t="str">
        <f>B656&amp;"KW"</f>
        <v>KW</v>
      </c>
      <c r="C657" s="456" t="s">
        <v>170</v>
      </c>
      <c r="D657" s="458"/>
      <c r="E657" s="458"/>
      <c r="F657" s="815"/>
      <c r="G657" s="816"/>
      <c r="H657" s="815"/>
      <c r="I657" s="816"/>
      <c r="J657" s="815"/>
      <c r="K657" s="816"/>
      <c r="L657" s="815"/>
      <c r="M657" s="816"/>
      <c r="N657" s="815"/>
      <c r="O657" s="816"/>
      <c r="P657" s="438"/>
      <c r="Q657" s="438"/>
      <c r="R657" s="438"/>
      <c r="S657" s="438"/>
      <c r="T657" s="438"/>
      <c r="U657" s="438"/>
      <c r="V657" s="438"/>
      <c r="W657" s="438"/>
    </row>
    <row r="658" spans="1:23" hidden="1" x14ac:dyDescent="0.25">
      <c r="A658" s="468" t="s">
        <v>566</v>
      </c>
      <c r="B658" s="464"/>
      <c r="C658" s="456" t="s">
        <v>139</v>
      </c>
      <c r="D658" s="458"/>
      <c r="E658" s="458"/>
      <c r="F658" s="815"/>
      <c r="G658" s="816"/>
      <c r="H658" s="815"/>
      <c r="I658" s="816"/>
      <c r="J658" s="815"/>
      <c r="K658" s="816"/>
      <c r="L658" s="815"/>
      <c r="M658" s="816"/>
      <c r="N658" s="815"/>
      <c r="O658" s="816"/>
      <c r="P658" s="438"/>
      <c r="Q658" s="438"/>
      <c r="R658" s="438"/>
      <c r="S658" s="438"/>
      <c r="T658" s="438"/>
      <c r="U658" s="438"/>
      <c r="V658" s="438"/>
      <c r="W658" s="438"/>
    </row>
    <row r="659" spans="1:23" hidden="1" x14ac:dyDescent="0.25">
      <c r="A659" s="468"/>
      <c r="B659" s="465" t="str">
        <f>B658&amp;"KW"</f>
        <v>KW</v>
      </c>
      <c r="C659" s="456" t="s">
        <v>170</v>
      </c>
      <c r="D659" s="458"/>
      <c r="E659" s="458"/>
      <c r="F659" s="815"/>
      <c r="G659" s="816"/>
      <c r="H659" s="815"/>
      <c r="I659" s="816"/>
      <c r="J659" s="815"/>
      <c r="K659" s="816"/>
      <c r="L659" s="815"/>
      <c r="M659" s="816"/>
      <c r="N659" s="815"/>
      <c r="O659" s="816"/>
      <c r="P659" s="438"/>
      <c r="Q659" s="438"/>
      <c r="R659" s="438"/>
      <c r="S659" s="438"/>
      <c r="T659" s="438"/>
      <c r="U659" s="438"/>
      <c r="V659" s="438"/>
      <c r="W659" s="438"/>
    </row>
    <row r="660" spans="1:23" hidden="1" x14ac:dyDescent="0.25">
      <c r="A660" s="468" t="s">
        <v>567</v>
      </c>
      <c r="B660" s="464"/>
      <c r="C660" s="456" t="s">
        <v>139</v>
      </c>
      <c r="D660" s="458"/>
      <c r="E660" s="458"/>
      <c r="F660" s="815"/>
      <c r="G660" s="816"/>
      <c r="H660" s="815"/>
      <c r="I660" s="816"/>
      <c r="J660" s="815"/>
      <c r="K660" s="816"/>
      <c r="L660" s="815"/>
      <c r="M660" s="816"/>
      <c r="N660" s="815"/>
      <c r="O660" s="816"/>
      <c r="P660" s="438"/>
      <c r="Q660" s="438"/>
      <c r="R660" s="438"/>
      <c r="S660" s="438"/>
      <c r="T660" s="438"/>
      <c r="U660" s="438"/>
      <c r="V660" s="438"/>
      <c r="W660" s="438"/>
    </row>
    <row r="661" spans="1:23" hidden="1" x14ac:dyDescent="0.25">
      <c r="A661" s="468"/>
      <c r="B661" s="465" t="str">
        <f>B660&amp;"KW"</f>
        <v>KW</v>
      </c>
      <c r="C661" s="456" t="s">
        <v>170</v>
      </c>
      <c r="D661" s="458"/>
      <c r="E661" s="458"/>
      <c r="F661" s="815"/>
      <c r="G661" s="816"/>
      <c r="H661" s="815"/>
      <c r="I661" s="816"/>
      <c r="J661" s="815"/>
      <c r="K661" s="816"/>
      <c r="L661" s="815"/>
      <c r="M661" s="816"/>
      <c r="N661" s="815"/>
      <c r="O661" s="816"/>
      <c r="P661" s="438"/>
      <c r="Q661" s="438"/>
      <c r="R661" s="438"/>
      <c r="S661" s="438"/>
      <c r="T661" s="438"/>
      <c r="U661" s="438"/>
      <c r="V661" s="438"/>
      <c r="W661" s="438"/>
    </row>
    <row r="662" spans="1:23" hidden="1" x14ac:dyDescent="0.25">
      <c r="A662" s="468" t="s">
        <v>568</v>
      </c>
      <c r="B662" s="464"/>
      <c r="C662" s="456" t="s">
        <v>139</v>
      </c>
      <c r="D662" s="458"/>
      <c r="E662" s="458"/>
      <c r="F662" s="815"/>
      <c r="G662" s="816"/>
      <c r="H662" s="815"/>
      <c r="I662" s="816"/>
      <c r="J662" s="815"/>
      <c r="K662" s="816"/>
      <c r="L662" s="815"/>
      <c r="M662" s="816"/>
      <c r="N662" s="815"/>
      <c r="O662" s="816"/>
      <c r="P662" s="438"/>
      <c r="Q662" s="438"/>
      <c r="R662" s="438"/>
      <c r="S662" s="438"/>
      <c r="T662" s="438"/>
      <c r="U662" s="438"/>
      <c r="V662" s="438"/>
      <c r="W662" s="438"/>
    </row>
    <row r="663" spans="1:23" hidden="1" x14ac:dyDescent="0.25">
      <c r="A663" s="468"/>
      <c r="B663" s="465" t="str">
        <f>B662&amp;"KW"</f>
        <v>KW</v>
      </c>
      <c r="C663" s="456" t="s">
        <v>170</v>
      </c>
      <c r="D663" s="458"/>
      <c r="E663" s="458"/>
      <c r="F663" s="815"/>
      <c r="G663" s="816"/>
      <c r="H663" s="815"/>
      <c r="I663" s="816"/>
      <c r="J663" s="815"/>
      <c r="K663" s="816"/>
      <c r="L663" s="815"/>
      <c r="M663" s="816"/>
      <c r="N663" s="815"/>
      <c r="O663" s="816"/>
      <c r="P663" s="438"/>
      <c r="Q663" s="438"/>
      <c r="R663" s="438"/>
      <c r="S663" s="438"/>
      <c r="T663" s="438"/>
      <c r="U663" s="438"/>
      <c r="V663" s="438"/>
      <c r="W663" s="438"/>
    </row>
    <row r="664" spans="1:23" hidden="1" x14ac:dyDescent="0.25">
      <c r="A664" s="468" t="s">
        <v>569</v>
      </c>
      <c r="B664" s="464"/>
      <c r="C664" s="456" t="s">
        <v>139</v>
      </c>
      <c r="D664" s="458"/>
      <c r="E664" s="458"/>
      <c r="F664" s="815"/>
      <c r="G664" s="816"/>
      <c r="H664" s="815"/>
      <c r="I664" s="816"/>
      <c r="J664" s="815"/>
      <c r="K664" s="816"/>
      <c r="L664" s="815"/>
      <c r="M664" s="816"/>
      <c r="N664" s="815"/>
      <c r="O664" s="816"/>
      <c r="P664" s="438"/>
      <c r="Q664" s="438"/>
      <c r="R664" s="438"/>
      <c r="S664" s="438"/>
      <c r="T664" s="438"/>
      <c r="U664" s="438"/>
      <c r="V664" s="438"/>
      <c r="W664" s="438"/>
    </row>
    <row r="665" spans="1:23" hidden="1" x14ac:dyDescent="0.25">
      <c r="A665" s="468"/>
      <c r="B665" s="465" t="str">
        <f>B664&amp;"KW"</f>
        <v>KW</v>
      </c>
      <c r="C665" s="456" t="s">
        <v>170</v>
      </c>
      <c r="D665" s="458"/>
      <c r="E665" s="458"/>
      <c r="F665" s="815"/>
      <c r="G665" s="816"/>
      <c r="H665" s="815"/>
      <c r="I665" s="816"/>
      <c r="J665" s="815"/>
      <c r="K665" s="816"/>
      <c r="L665" s="815"/>
      <c r="M665" s="816"/>
      <c r="N665" s="815"/>
      <c r="O665" s="816"/>
      <c r="P665" s="438"/>
      <c r="Q665" s="438"/>
      <c r="R665" s="438"/>
      <c r="S665" s="438"/>
      <c r="T665" s="438"/>
      <c r="U665" s="438"/>
      <c r="V665" s="438"/>
      <c r="W665" s="438"/>
    </row>
    <row r="666" spans="1:23" hidden="1" x14ac:dyDescent="0.25">
      <c r="A666" s="468" t="s">
        <v>570</v>
      </c>
      <c r="B666" s="464"/>
      <c r="C666" s="456" t="s">
        <v>139</v>
      </c>
      <c r="D666" s="458"/>
      <c r="E666" s="458"/>
      <c r="F666" s="815"/>
      <c r="G666" s="816"/>
      <c r="H666" s="815"/>
      <c r="I666" s="816"/>
      <c r="J666" s="815"/>
      <c r="K666" s="816"/>
      <c r="L666" s="815"/>
      <c r="M666" s="816"/>
      <c r="N666" s="815"/>
      <c r="O666" s="816"/>
      <c r="P666" s="438"/>
      <c r="Q666" s="438"/>
      <c r="R666" s="438"/>
      <c r="S666" s="438"/>
      <c r="T666" s="438"/>
      <c r="U666" s="438"/>
      <c r="V666" s="438"/>
      <c r="W666" s="438"/>
    </row>
    <row r="667" spans="1:23" hidden="1" x14ac:dyDescent="0.25">
      <c r="A667" s="468"/>
      <c r="B667" s="465" t="str">
        <f>B666&amp;"KW"</f>
        <v>KW</v>
      </c>
      <c r="C667" s="456" t="s">
        <v>170</v>
      </c>
      <c r="D667" s="458"/>
      <c r="E667" s="458"/>
      <c r="F667" s="815"/>
      <c r="G667" s="816"/>
      <c r="H667" s="815"/>
      <c r="I667" s="816"/>
      <c r="J667" s="815"/>
      <c r="K667" s="816"/>
      <c r="L667" s="815"/>
      <c r="M667" s="816"/>
      <c r="N667" s="815"/>
      <c r="O667" s="816"/>
      <c r="P667" s="438"/>
      <c r="Q667" s="438"/>
      <c r="R667" s="438"/>
      <c r="S667" s="438"/>
      <c r="T667" s="438"/>
      <c r="U667" s="438"/>
      <c r="V667" s="438"/>
      <c r="W667" s="438"/>
    </row>
    <row r="668" spans="1:23" hidden="1" x14ac:dyDescent="0.25">
      <c r="A668" s="468" t="s">
        <v>571</v>
      </c>
      <c r="B668" s="464"/>
      <c r="C668" s="456" t="s">
        <v>139</v>
      </c>
      <c r="D668" s="458"/>
      <c r="E668" s="458"/>
      <c r="F668" s="815"/>
      <c r="G668" s="816"/>
      <c r="H668" s="815"/>
      <c r="I668" s="816"/>
      <c r="J668" s="815"/>
      <c r="K668" s="816"/>
      <c r="L668" s="815"/>
      <c r="M668" s="816"/>
      <c r="N668" s="815"/>
      <c r="O668" s="816"/>
      <c r="P668" s="438"/>
      <c r="Q668" s="438"/>
      <c r="R668" s="438"/>
      <c r="S668" s="438"/>
      <c r="T668" s="438"/>
      <c r="U668" s="438"/>
      <c r="V668" s="438"/>
      <c r="W668" s="438"/>
    </row>
    <row r="669" spans="1:23" hidden="1" x14ac:dyDescent="0.25">
      <c r="A669" s="468"/>
      <c r="B669" s="465" t="str">
        <f>B668&amp;"KW"</f>
        <v>KW</v>
      </c>
      <c r="C669" s="456" t="s">
        <v>170</v>
      </c>
      <c r="D669" s="458"/>
      <c r="E669" s="458"/>
      <c r="F669" s="815"/>
      <c r="G669" s="816"/>
      <c r="H669" s="815"/>
      <c r="I669" s="816"/>
      <c r="J669" s="815"/>
      <c r="K669" s="816"/>
      <c r="L669" s="815"/>
      <c r="M669" s="816"/>
      <c r="N669" s="815"/>
      <c r="O669" s="816"/>
      <c r="P669" s="438"/>
      <c r="Q669" s="438"/>
      <c r="R669" s="438"/>
      <c r="S669" s="438"/>
      <c r="T669" s="438"/>
      <c r="U669" s="438"/>
      <c r="V669" s="438"/>
      <c r="W669" s="438"/>
    </row>
    <row r="670" spans="1:23" hidden="1" x14ac:dyDescent="0.25">
      <c r="A670" s="468" t="s">
        <v>572</v>
      </c>
      <c r="B670" s="464"/>
      <c r="C670" s="456" t="s">
        <v>139</v>
      </c>
      <c r="D670" s="458"/>
      <c r="E670" s="458"/>
      <c r="F670" s="815"/>
      <c r="G670" s="816"/>
      <c r="H670" s="815"/>
      <c r="I670" s="816"/>
      <c r="J670" s="815"/>
      <c r="K670" s="816"/>
      <c r="L670" s="815"/>
      <c r="M670" s="816"/>
      <c r="N670" s="815"/>
      <c r="O670" s="816"/>
      <c r="P670" s="438"/>
      <c r="Q670" s="438"/>
      <c r="R670" s="438"/>
      <c r="S670" s="438"/>
      <c r="T670" s="438"/>
      <c r="U670" s="438"/>
      <c r="V670" s="438"/>
      <c r="W670" s="438"/>
    </row>
    <row r="671" spans="1:23" hidden="1" x14ac:dyDescent="0.25">
      <c r="A671" s="468"/>
      <c r="B671" s="465" t="str">
        <f>B670&amp;"KW"</f>
        <v>KW</v>
      </c>
      <c r="C671" s="456" t="s">
        <v>170</v>
      </c>
      <c r="D671" s="458"/>
      <c r="E671" s="458"/>
      <c r="F671" s="815"/>
      <c r="G671" s="816"/>
      <c r="H671" s="815"/>
      <c r="I671" s="816"/>
      <c r="J671" s="815"/>
      <c r="K671" s="816"/>
      <c r="L671" s="815"/>
      <c r="M671" s="816"/>
      <c r="N671" s="815"/>
      <c r="O671" s="816"/>
      <c r="P671" s="438"/>
      <c r="Q671" s="438"/>
      <c r="R671" s="438"/>
      <c r="S671" s="438"/>
      <c r="T671" s="438"/>
      <c r="U671" s="438"/>
      <c r="V671" s="438"/>
      <c r="W671" s="438"/>
    </row>
    <row r="672" spans="1:23" hidden="1" x14ac:dyDescent="0.25">
      <c r="A672" s="468" t="s">
        <v>573</v>
      </c>
      <c r="B672" s="464"/>
      <c r="C672" s="456" t="s">
        <v>139</v>
      </c>
      <c r="D672" s="458"/>
      <c r="E672" s="458"/>
      <c r="F672" s="815"/>
      <c r="G672" s="816"/>
      <c r="H672" s="815"/>
      <c r="I672" s="816"/>
      <c r="J672" s="815"/>
      <c r="K672" s="816"/>
      <c r="L672" s="815"/>
      <c r="M672" s="816"/>
      <c r="N672" s="815"/>
      <c r="O672" s="816"/>
      <c r="P672" s="438"/>
      <c r="Q672" s="438"/>
      <c r="R672" s="438"/>
      <c r="S672" s="438"/>
      <c r="T672" s="438"/>
      <c r="U672" s="438"/>
      <c r="V672" s="438"/>
      <c r="W672" s="438"/>
    </row>
    <row r="673" spans="1:23" hidden="1" x14ac:dyDescent="0.25">
      <c r="A673" s="468"/>
      <c r="B673" s="465" t="str">
        <f>B672&amp;"KW"</f>
        <v>KW</v>
      </c>
      <c r="C673" s="456" t="s">
        <v>170</v>
      </c>
      <c r="D673" s="458"/>
      <c r="E673" s="458"/>
      <c r="F673" s="815"/>
      <c r="G673" s="816"/>
      <c r="H673" s="815"/>
      <c r="I673" s="816"/>
      <c r="J673" s="815"/>
      <c r="K673" s="816"/>
      <c r="L673" s="815"/>
      <c r="M673" s="816"/>
      <c r="N673" s="815"/>
      <c r="O673" s="816"/>
      <c r="P673" s="438"/>
      <c r="Q673" s="438"/>
      <c r="R673" s="438"/>
      <c r="S673" s="438"/>
      <c r="T673" s="438"/>
      <c r="U673" s="438"/>
      <c r="V673" s="438"/>
      <c r="W673" s="438"/>
    </row>
    <row r="674" spans="1:23" hidden="1" x14ac:dyDescent="0.25">
      <c r="A674" s="468" t="s">
        <v>574</v>
      </c>
      <c r="B674" s="464"/>
      <c r="C674" s="456" t="s">
        <v>139</v>
      </c>
      <c r="D674" s="458"/>
      <c r="E674" s="458"/>
      <c r="F674" s="815"/>
      <c r="G674" s="816"/>
      <c r="H674" s="815"/>
      <c r="I674" s="816"/>
      <c r="J674" s="815"/>
      <c r="K674" s="816"/>
      <c r="L674" s="815"/>
      <c r="M674" s="816"/>
      <c r="N674" s="815"/>
      <c r="O674" s="816"/>
      <c r="P674" s="438"/>
      <c r="Q674" s="438"/>
      <c r="R674" s="438"/>
      <c r="S674" s="438"/>
      <c r="T674" s="438"/>
      <c r="U674" s="438"/>
      <c r="V674" s="438"/>
      <c r="W674" s="438"/>
    </row>
    <row r="675" spans="1:23" hidden="1" x14ac:dyDescent="0.25">
      <c r="A675" s="468"/>
      <c r="B675" s="465" t="str">
        <f>B674&amp;"KW"</f>
        <v>KW</v>
      </c>
      <c r="C675" s="456" t="s">
        <v>170</v>
      </c>
      <c r="D675" s="458"/>
      <c r="E675" s="458"/>
      <c r="F675" s="815"/>
      <c r="G675" s="816"/>
      <c r="H675" s="815"/>
      <c r="I675" s="816"/>
      <c r="J675" s="815"/>
      <c r="K675" s="816"/>
      <c r="L675" s="815"/>
      <c r="M675" s="816"/>
      <c r="N675" s="815"/>
      <c r="O675" s="816"/>
      <c r="P675" s="438"/>
      <c r="Q675" s="438"/>
      <c r="R675" s="438"/>
      <c r="S675" s="438"/>
      <c r="T675" s="438"/>
      <c r="U675" s="438"/>
      <c r="V675" s="438"/>
      <c r="W675" s="438"/>
    </row>
    <row r="676" spans="1:23" hidden="1" x14ac:dyDescent="0.25">
      <c r="A676" s="468" t="s">
        <v>575</v>
      </c>
      <c r="B676" s="464"/>
      <c r="C676" s="456" t="s">
        <v>139</v>
      </c>
      <c r="D676" s="458"/>
      <c r="E676" s="458"/>
      <c r="F676" s="815"/>
      <c r="G676" s="816"/>
      <c r="H676" s="815"/>
      <c r="I676" s="816"/>
      <c r="J676" s="815"/>
      <c r="K676" s="816"/>
      <c r="L676" s="815"/>
      <c r="M676" s="816"/>
      <c r="N676" s="815"/>
      <c r="O676" s="816"/>
      <c r="P676" s="438"/>
      <c r="Q676" s="438"/>
      <c r="R676" s="438"/>
      <c r="S676" s="438"/>
      <c r="T676" s="438"/>
      <c r="U676" s="438"/>
      <c r="V676" s="438"/>
      <c r="W676" s="438"/>
    </row>
    <row r="677" spans="1:23" hidden="1" x14ac:dyDescent="0.25">
      <c r="A677" s="468"/>
      <c r="B677" s="465" t="str">
        <f>B676&amp;"KW"</f>
        <v>KW</v>
      </c>
      <c r="C677" s="456" t="s">
        <v>170</v>
      </c>
      <c r="D677" s="458"/>
      <c r="E677" s="458"/>
      <c r="F677" s="815"/>
      <c r="G677" s="816"/>
      <c r="H677" s="815"/>
      <c r="I677" s="816"/>
      <c r="J677" s="815"/>
      <c r="K677" s="816"/>
      <c r="L677" s="815"/>
      <c r="M677" s="816"/>
      <c r="N677" s="815"/>
      <c r="O677" s="816"/>
      <c r="P677" s="438"/>
      <c r="Q677" s="438"/>
      <c r="R677" s="438"/>
      <c r="S677" s="438"/>
      <c r="T677" s="438"/>
      <c r="U677" s="438"/>
      <c r="V677" s="438"/>
      <c r="W677" s="438"/>
    </row>
    <row r="678" spans="1:23" hidden="1" x14ac:dyDescent="0.25">
      <c r="A678" s="468" t="s">
        <v>576</v>
      </c>
      <c r="B678" s="464"/>
      <c r="C678" s="456" t="s">
        <v>139</v>
      </c>
      <c r="D678" s="458"/>
      <c r="E678" s="458"/>
      <c r="F678" s="815"/>
      <c r="G678" s="816"/>
      <c r="H678" s="815"/>
      <c r="I678" s="816"/>
      <c r="J678" s="815"/>
      <c r="K678" s="816"/>
      <c r="L678" s="815"/>
      <c r="M678" s="816"/>
      <c r="N678" s="815"/>
      <c r="O678" s="816"/>
      <c r="P678" s="438"/>
      <c r="Q678" s="438"/>
      <c r="R678" s="438"/>
      <c r="S678" s="438"/>
      <c r="T678" s="438"/>
      <c r="U678" s="438"/>
      <c r="V678" s="438"/>
      <c r="W678" s="438"/>
    </row>
    <row r="679" spans="1:23" hidden="1" x14ac:dyDescent="0.25">
      <c r="A679" s="468"/>
      <c r="B679" s="465" t="str">
        <f>B678&amp;"KW"</f>
        <v>KW</v>
      </c>
      <c r="C679" s="456" t="s">
        <v>170</v>
      </c>
      <c r="D679" s="458"/>
      <c r="E679" s="458"/>
      <c r="F679" s="815"/>
      <c r="G679" s="816"/>
      <c r="H679" s="815"/>
      <c r="I679" s="816"/>
      <c r="J679" s="815"/>
      <c r="K679" s="816"/>
      <c r="L679" s="815"/>
      <c r="M679" s="816"/>
      <c r="N679" s="815"/>
      <c r="O679" s="816"/>
      <c r="P679" s="438"/>
      <c r="Q679" s="438"/>
      <c r="R679" s="438"/>
      <c r="S679" s="438"/>
      <c r="T679" s="438"/>
      <c r="U679" s="438"/>
      <c r="V679" s="438"/>
      <c r="W679" s="438"/>
    </row>
    <row r="680" spans="1:23" hidden="1" x14ac:dyDescent="0.25">
      <c r="A680" s="468" t="s">
        <v>577</v>
      </c>
      <c r="B680" s="464"/>
      <c r="C680" s="456" t="s">
        <v>139</v>
      </c>
      <c r="D680" s="458"/>
      <c r="E680" s="458"/>
      <c r="F680" s="815"/>
      <c r="G680" s="816"/>
      <c r="H680" s="815"/>
      <c r="I680" s="816"/>
      <c r="J680" s="815"/>
      <c r="K680" s="816"/>
      <c r="L680" s="815"/>
      <c r="M680" s="816"/>
      <c r="N680" s="815"/>
      <c r="O680" s="816"/>
      <c r="P680" s="438"/>
      <c r="Q680" s="438"/>
      <c r="R680" s="438"/>
      <c r="S680" s="438"/>
      <c r="T680" s="438"/>
      <c r="U680" s="438"/>
      <c r="V680" s="438"/>
      <c r="W680" s="438"/>
    </row>
    <row r="681" spans="1:23" hidden="1" x14ac:dyDescent="0.25">
      <c r="A681" s="468"/>
      <c r="B681" s="465" t="str">
        <f>B680&amp;"KW"</f>
        <v>KW</v>
      </c>
      <c r="C681" s="456" t="s">
        <v>170</v>
      </c>
      <c r="D681" s="458"/>
      <c r="E681" s="458"/>
      <c r="F681" s="815"/>
      <c r="G681" s="816"/>
      <c r="H681" s="815"/>
      <c r="I681" s="816"/>
      <c r="J681" s="815"/>
      <c r="K681" s="816"/>
      <c r="L681" s="815"/>
      <c r="M681" s="816"/>
      <c r="N681" s="815"/>
      <c r="O681" s="816"/>
      <c r="P681" s="438"/>
      <c r="Q681" s="438"/>
      <c r="R681" s="438"/>
      <c r="S681" s="438"/>
      <c r="T681" s="438"/>
      <c r="U681" s="438"/>
      <c r="V681" s="438"/>
      <c r="W681" s="438"/>
    </row>
    <row r="682" spans="1:23" hidden="1" x14ac:dyDescent="0.25">
      <c r="A682" s="468" t="s">
        <v>578</v>
      </c>
      <c r="B682" s="464"/>
      <c r="C682" s="456" t="s">
        <v>139</v>
      </c>
      <c r="D682" s="458"/>
      <c r="E682" s="458"/>
      <c r="F682" s="815"/>
      <c r="G682" s="816"/>
      <c r="H682" s="815"/>
      <c r="I682" s="816"/>
      <c r="J682" s="815"/>
      <c r="K682" s="816"/>
      <c r="L682" s="815"/>
      <c r="M682" s="816"/>
      <c r="N682" s="815"/>
      <c r="O682" s="816"/>
      <c r="P682" s="438"/>
      <c r="Q682" s="438"/>
      <c r="R682" s="438"/>
      <c r="S682" s="438"/>
      <c r="T682" s="438"/>
      <c r="U682" s="438"/>
      <c r="V682" s="438"/>
      <c r="W682" s="438"/>
    </row>
    <row r="683" spans="1:23" hidden="1" x14ac:dyDescent="0.25">
      <c r="A683" s="468"/>
      <c r="B683" s="465" t="str">
        <f>B682&amp;"KW"</f>
        <v>KW</v>
      </c>
      <c r="C683" s="456" t="s">
        <v>170</v>
      </c>
      <c r="D683" s="458"/>
      <c r="E683" s="458"/>
      <c r="F683" s="815"/>
      <c r="G683" s="816"/>
      <c r="H683" s="815"/>
      <c r="I683" s="816"/>
      <c r="J683" s="815"/>
      <c r="K683" s="816"/>
      <c r="L683" s="815"/>
      <c r="M683" s="816"/>
      <c r="N683" s="815"/>
      <c r="O683" s="816"/>
      <c r="P683" s="438"/>
      <c r="Q683" s="438"/>
      <c r="R683" s="438"/>
      <c r="S683" s="438"/>
      <c r="T683" s="438"/>
      <c r="U683" s="438"/>
      <c r="V683" s="438"/>
      <c r="W683" s="438"/>
    </row>
    <row r="684" spans="1:23" hidden="1" x14ac:dyDescent="0.25">
      <c r="A684" s="468" t="s">
        <v>579</v>
      </c>
      <c r="B684" s="464"/>
      <c r="C684" s="456" t="s">
        <v>139</v>
      </c>
      <c r="D684" s="458"/>
      <c r="E684" s="458"/>
      <c r="F684" s="815"/>
      <c r="G684" s="816"/>
      <c r="H684" s="815"/>
      <c r="I684" s="816"/>
      <c r="J684" s="815"/>
      <c r="K684" s="816"/>
      <c r="L684" s="815"/>
      <c r="M684" s="816"/>
      <c r="N684" s="815"/>
      <c r="O684" s="816"/>
      <c r="P684" s="438"/>
      <c r="Q684" s="438"/>
      <c r="R684" s="438"/>
      <c r="S684" s="438"/>
      <c r="T684" s="438"/>
      <c r="U684" s="438"/>
      <c r="V684" s="438"/>
      <c r="W684" s="438"/>
    </row>
    <row r="685" spans="1:23" hidden="1" x14ac:dyDescent="0.25">
      <c r="A685" s="468"/>
      <c r="B685" s="465" t="str">
        <f>B684&amp;"KW"</f>
        <v>KW</v>
      </c>
      <c r="C685" s="456" t="s">
        <v>170</v>
      </c>
      <c r="D685" s="458"/>
      <c r="E685" s="458"/>
      <c r="F685" s="815"/>
      <c r="G685" s="816"/>
      <c r="H685" s="815"/>
      <c r="I685" s="816"/>
      <c r="J685" s="815"/>
      <c r="K685" s="816"/>
      <c r="L685" s="815"/>
      <c r="M685" s="816"/>
      <c r="N685" s="815"/>
      <c r="O685" s="816"/>
      <c r="P685" s="438"/>
      <c r="Q685" s="438"/>
      <c r="R685" s="438"/>
      <c r="S685" s="438"/>
      <c r="T685" s="438"/>
      <c r="U685" s="438"/>
      <c r="V685" s="438"/>
      <c r="W685" s="438"/>
    </row>
    <row r="686" spans="1:23" hidden="1" x14ac:dyDescent="0.25">
      <c r="A686" s="468" t="s">
        <v>580</v>
      </c>
      <c r="B686" s="464"/>
      <c r="C686" s="456" t="s">
        <v>139</v>
      </c>
      <c r="D686" s="458"/>
      <c r="E686" s="458"/>
      <c r="F686" s="815"/>
      <c r="G686" s="816"/>
      <c r="H686" s="815"/>
      <c r="I686" s="816"/>
      <c r="J686" s="815"/>
      <c r="K686" s="816"/>
      <c r="L686" s="815"/>
      <c r="M686" s="816"/>
      <c r="N686" s="815"/>
      <c r="O686" s="816"/>
      <c r="P686" s="438"/>
      <c r="Q686" s="438"/>
      <c r="R686" s="438"/>
      <c r="S686" s="438"/>
      <c r="T686" s="438"/>
      <c r="U686" s="438"/>
      <c r="V686" s="438"/>
      <c r="W686" s="438"/>
    </row>
    <row r="687" spans="1:23" hidden="1" x14ac:dyDescent="0.25">
      <c r="A687" s="468"/>
      <c r="B687" s="465" t="str">
        <f>B686&amp;"KW"</f>
        <v>KW</v>
      </c>
      <c r="C687" s="456" t="s">
        <v>170</v>
      </c>
      <c r="D687" s="458"/>
      <c r="E687" s="458"/>
      <c r="F687" s="815"/>
      <c r="G687" s="816"/>
      <c r="H687" s="815"/>
      <c r="I687" s="816"/>
      <c r="J687" s="815"/>
      <c r="K687" s="816"/>
      <c r="L687" s="815"/>
      <c r="M687" s="816"/>
      <c r="N687" s="815"/>
      <c r="O687" s="816"/>
      <c r="P687" s="438"/>
      <c r="Q687" s="438"/>
      <c r="R687" s="438"/>
      <c r="S687" s="438"/>
      <c r="T687" s="438"/>
      <c r="U687" s="438"/>
      <c r="V687" s="438"/>
      <c r="W687" s="438"/>
    </row>
    <row r="688" spans="1:23" hidden="1" x14ac:dyDescent="0.25">
      <c r="A688" s="468" t="s">
        <v>581</v>
      </c>
      <c r="B688" s="464"/>
      <c r="C688" s="456" t="s">
        <v>139</v>
      </c>
      <c r="D688" s="458"/>
      <c r="E688" s="458"/>
      <c r="F688" s="815"/>
      <c r="G688" s="816"/>
      <c r="H688" s="815"/>
      <c r="I688" s="816"/>
      <c r="J688" s="815"/>
      <c r="K688" s="816"/>
      <c r="L688" s="815"/>
      <c r="M688" s="816"/>
      <c r="N688" s="815"/>
      <c r="O688" s="816"/>
      <c r="P688" s="438"/>
      <c r="Q688" s="438"/>
      <c r="R688" s="438"/>
      <c r="S688" s="438"/>
      <c r="T688" s="438"/>
      <c r="U688" s="438"/>
      <c r="V688" s="438"/>
      <c r="W688" s="438"/>
    </row>
    <row r="689" spans="1:23" hidden="1" x14ac:dyDescent="0.25">
      <c r="A689" s="468"/>
      <c r="B689" s="465" t="str">
        <f>B688&amp;"KW"</f>
        <v>KW</v>
      </c>
      <c r="C689" s="456" t="s">
        <v>170</v>
      </c>
      <c r="D689" s="458"/>
      <c r="E689" s="458"/>
      <c r="F689" s="815"/>
      <c r="G689" s="816"/>
      <c r="H689" s="815"/>
      <c r="I689" s="816"/>
      <c r="J689" s="815"/>
      <c r="K689" s="816"/>
      <c r="L689" s="815"/>
      <c r="M689" s="816"/>
      <c r="N689" s="815"/>
      <c r="O689" s="816"/>
      <c r="P689" s="438"/>
      <c r="Q689" s="438"/>
      <c r="R689" s="438"/>
      <c r="S689" s="438"/>
      <c r="T689" s="438"/>
      <c r="U689" s="438"/>
      <c r="V689" s="438"/>
      <c r="W689" s="438"/>
    </row>
    <row r="690" spans="1:23" hidden="1" x14ac:dyDescent="0.25">
      <c r="A690" s="468" t="s">
        <v>582</v>
      </c>
      <c r="B690" s="464"/>
      <c r="C690" s="456" t="s">
        <v>139</v>
      </c>
      <c r="D690" s="458"/>
      <c r="E690" s="458"/>
      <c r="F690" s="815"/>
      <c r="G690" s="816"/>
      <c r="H690" s="815"/>
      <c r="I690" s="816"/>
      <c r="J690" s="815"/>
      <c r="K690" s="816"/>
      <c r="L690" s="815"/>
      <c r="M690" s="816"/>
      <c r="N690" s="815"/>
      <c r="O690" s="816"/>
      <c r="P690" s="438"/>
      <c r="Q690" s="438"/>
      <c r="R690" s="438"/>
      <c r="S690" s="438"/>
      <c r="T690" s="438"/>
      <c r="U690" s="438"/>
      <c r="V690" s="438"/>
      <c r="W690" s="438"/>
    </row>
    <row r="691" spans="1:23" hidden="1" x14ac:dyDescent="0.25">
      <c r="A691" s="468"/>
      <c r="B691" s="465" t="str">
        <f>B690&amp;"KW"</f>
        <v>KW</v>
      </c>
      <c r="C691" s="456" t="s">
        <v>170</v>
      </c>
      <c r="D691" s="458"/>
      <c r="E691" s="458"/>
      <c r="F691" s="815"/>
      <c r="G691" s="816"/>
      <c r="H691" s="815"/>
      <c r="I691" s="816"/>
      <c r="J691" s="815"/>
      <c r="K691" s="816"/>
      <c r="L691" s="815"/>
      <c r="M691" s="816"/>
      <c r="N691" s="815"/>
      <c r="O691" s="816"/>
      <c r="P691" s="438"/>
      <c r="Q691" s="438"/>
      <c r="R691" s="438"/>
      <c r="S691" s="438"/>
      <c r="T691" s="438"/>
      <c r="U691" s="438"/>
      <c r="V691" s="438"/>
      <c r="W691" s="438"/>
    </row>
    <row r="692" spans="1:23" hidden="1" x14ac:dyDescent="0.25">
      <c r="A692" s="468" t="s">
        <v>583</v>
      </c>
      <c r="B692" s="464"/>
      <c r="C692" s="456" t="s">
        <v>139</v>
      </c>
      <c r="D692" s="458"/>
      <c r="E692" s="458"/>
      <c r="F692" s="815"/>
      <c r="G692" s="816"/>
      <c r="H692" s="815"/>
      <c r="I692" s="816"/>
      <c r="J692" s="815"/>
      <c r="K692" s="816"/>
      <c r="L692" s="815"/>
      <c r="M692" s="816"/>
      <c r="N692" s="815"/>
      <c r="O692" s="816"/>
      <c r="P692" s="438"/>
      <c r="Q692" s="438"/>
      <c r="R692" s="438"/>
      <c r="S692" s="438"/>
      <c r="T692" s="438"/>
      <c r="U692" s="438"/>
      <c r="V692" s="438"/>
      <c r="W692" s="438"/>
    </row>
    <row r="693" spans="1:23" hidden="1" x14ac:dyDescent="0.25">
      <c r="A693" s="468"/>
      <c r="B693" s="465" t="str">
        <f>B692&amp;"KW"</f>
        <v>KW</v>
      </c>
      <c r="C693" s="456" t="s">
        <v>170</v>
      </c>
      <c r="D693" s="458"/>
      <c r="E693" s="458"/>
      <c r="F693" s="815"/>
      <c r="G693" s="816"/>
      <c r="H693" s="815"/>
      <c r="I693" s="816"/>
      <c r="J693" s="815"/>
      <c r="K693" s="816"/>
      <c r="L693" s="815"/>
      <c r="M693" s="816"/>
      <c r="N693" s="815"/>
      <c r="O693" s="816"/>
      <c r="P693" s="438"/>
      <c r="Q693" s="438"/>
      <c r="R693" s="438"/>
      <c r="S693" s="438"/>
      <c r="T693" s="438"/>
      <c r="U693" s="438"/>
      <c r="V693" s="438"/>
      <c r="W693" s="438"/>
    </row>
    <row r="694" spans="1:23" hidden="1" x14ac:dyDescent="0.25">
      <c r="A694" s="468" t="s">
        <v>584</v>
      </c>
      <c r="B694" s="464"/>
      <c r="C694" s="456" t="s">
        <v>139</v>
      </c>
      <c r="D694" s="458"/>
      <c r="E694" s="458"/>
      <c r="F694" s="815"/>
      <c r="G694" s="816"/>
      <c r="H694" s="815"/>
      <c r="I694" s="816"/>
      <c r="J694" s="815"/>
      <c r="K694" s="816"/>
      <c r="L694" s="815"/>
      <c r="M694" s="816"/>
      <c r="N694" s="815"/>
      <c r="O694" s="816"/>
      <c r="P694" s="438"/>
      <c r="Q694" s="438"/>
      <c r="R694" s="438"/>
      <c r="S694" s="438"/>
      <c r="T694" s="438"/>
      <c r="U694" s="438"/>
      <c r="V694" s="438"/>
      <c r="W694" s="438"/>
    </row>
    <row r="695" spans="1:23" hidden="1" x14ac:dyDescent="0.25">
      <c r="A695" s="468"/>
      <c r="B695" s="465" t="str">
        <f>B694&amp;"KW"</f>
        <v>KW</v>
      </c>
      <c r="C695" s="456" t="s">
        <v>170</v>
      </c>
      <c r="D695" s="458"/>
      <c r="E695" s="458"/>
      <c r="F695" s="815"/>
      <c r="G695" s="816"/>
      <c r="H695" s="815"/>
      <c r="I695" s="816"/>
      <c r="J695" s="815"/>
      <c r="K695" s="816"/>
      <c r="L695" s="815"/>
      <c r="M695" s="816"/>
      <c r="N695" s="815"/>
      <c r="O695" s="816"/>
      <c r="P695" s="438"/>
      <c r="Q695" s="438"/>
      <c r="R695" s="438"/>
      <c r="S695" s="438"/>
      <c r="T695" s="438"/>
      <c r="U695" s="438"/>
      <c r="V695" s="438"/>
      <c r="W695" s="438"/>
    </row>
    <row r="696" spans="1:23" hidden="1" x14ac:dyDescent="0.25">
      <c r="A696" s="468" t="s">
        <v>585</v>
      </c>
      <c r="B696" s="464"/>
      <c r="C696" s="456" t="s">
        <v>139</v>
      </c>
      <c r="D696" s="458"/>
      <c r="E696" s="458"/>
      <c r="F696" s="815"/>
      <c r="G696" s="816"/>
      <c r="H696" s="815"/>
      <c r="I696" s="816"/>
      <c r="J696" s="815"/>
      <c r="K696" s="816"/>
      <c r="L696" s="815"/>
      <c r="M696" s="816"/>
      <c r="N696" s="815"/>
      <c r="O696" s="816"/>
      <c r="P696" s="438"/>
      <c r="Q696" s="438"/>
      <c r="R696" s="438"/>
      <c r="S696" s="438"/>
      <c r="T696" s="438"/>
      <c r="U696" s="438"/>
      <c r="V696" s="438"/>
      <c r="W696" s="438"/>
    </row>
    <row r="697" spans="1:23" hidden="1" x14ac:dyDescent="0.25">
      <c r="A697" s="468"/>
      <c r="B697" s="465" t="str">
        <f>B696&amp;"KW"</f>
        <v>KW</v>
      </c>
      <c r="C697" s="456" t="s">
        <v>170</v>
      </c>
      <c r="D697" s="458"/>
      <c r="E697" s="458"/>
      <c r="F697" s="815"/>
      <c r="G697" s="816"/>
      <c r="H697" s="815"/>
      <c r="I697" s="816"/>
      <c r="J697" s="815"/>
      <c r="K697" s="816"/>
      <c r="L697" s="815"/>
      <c r="M697" s="816"/>
      <c r="N697" s="815"/>
      <c r="O697" s="816"/>
      <c r="P697" s="438"/>
      <c r="Q697" s="438"/>
      <c r="R697" s="438"/>
      <c r="S697" s="438"/>
      <c r="T697" s="438"/>
      <c r="U697" s="438"/>
      <c r="V697" s="438"/>
      <c r="W697" s="438"/>
    </row>
    <row r="698" spans="1:23" hidden="1" x14ac:dyDescent="0.25">
      <c r="A698" s="468" t="s">
        <v>586</v>
      </c>
      <c r="B698" s="464"/>
      <c r="C698" s="456" t="s">
        <v>139</v>
      </c>
      <c r="D698" s="458"/>
      <c r="E698" s="458"/>
      <c r="F698" s="815"/>
      <c r="G698" s="816"/>
      <c r="H698" s="815"/>
      <c r="I698" s="816"/>
      <c r="J698" s="815"/>
      <c r="K698" s="816"/>
      <c r="L698" s="815"/>
      <c r="M698" s="816"/>
      <c r="N698" s="815"/>
      <c r="O698" s="816"/>
      <c r="P698" s="438"/>
      <c r="Q698" s="438"/>
      <c r="R698" s="438"/>
      <c r="S698" s="438"/>
      <c r="T698" s="438"/>
      <c r="U698" s="438"/>
      <c r="V698" s="438"/>
      <c r="W698" s="438"/>
    </row>
    <row r="699" spans="1:23" hidden="1" x14ac:dyDescent="0.25">
      <c r="A699" s="468"/>
      <c r="B699" s="465" t="str">
        <f>B698&amp;"KW"</f>
        <v>KW</v>
      </c>
      <c r="C699" s="456" t="s">
        <v>170</v>
      </c>
      <c r="D699" s="458"/>
      <c r="E699" s="458"/>
      <c r="F699" s="815"/>
      <c r="G699" s="816"/>
      <c r="H699" s="815"/>
      <c r="I699" s="816"/>
      <c r="J699" s="815"/>
      <c r="K699" s="816"/>
      <c r="L699" s="815"/>
      <c r="M699" s="816"/>
      <c r="N699" s="815"/>
      <c r="O699" s="816"/>
      <c r="P699" s="438"/>
      <c r="Q699" s="438"/>
      <c r="R699" s="438"/>
      <c r="S699" s="438"/>
      <c r="T699" s="438"/>
      <c r="U699" s="438"/>
      <c r="V699" s="438"/>
      <c r="W699" s="438"/>
    </row>
    <row r="700" spans="1:23" hidden="1" x14ac:dyDescent="0.25">
      <c r="A700" s="468" t="s">
        <v>587</v>
      </c>
      <c r="B700" s="464"/>
      <c r="C700" s="456" t="s">
        <v>139</v>
      </c>
      <c r="D700" s="458"/>
      <c r="E700" s="458"/>
      <c r="F700" s="815"/>
      <c r="G700" s="816"/>
      <c r="H700" s="815"/>
      <c r="I700" s="816"/>
      <c r="J700" s="815"/>
      <c r="K700" s="816"/>
      <c r="L700" s="815"/>
      <c r="M700" s="816"/>
      <c r="N700" s="815"/>
      <c r="O700" s="816"/>
      <c r="P700" s="438"/>
      <c r="Q700" s="438"/>
      <c r="R700" s="438"/>
      <c r="S700" s="438"/>
      <c r="T700" s="438"/>
      <c r="U700" s="438"/>
      <c r="V700" s="438"/>
      <c r="W700" s="438"/>
    </row>
    <row r="701" spans="1:23" hidden="1" x14ac:dyDescent="0.25">
      <c r="A701" s="468"/>
      <c r="B701" s="465" t="str">
        <f>B700&amp;"KW"</f>
        <v>KW</v>
      </c>
      <c r="C701" s="456" t="s">
        <v>170</v>
      </c>
      <c r="D701" s="458"/>
      <c r="E701" s="458"/>
      <c r="F701" s="815"/>
      <c r="G701" s="816"/>
      <c r="H701" s="815"/>
      <c r="I701" s="816"/>
      <c r="J701" s="815"/>
      <c r="K701" s="816"/>
      <c r="L701" s="815"/>
      <c r="M701" s="816"/>
      <c r="N701" s="815"/>
      <c r="O701" s="816"/>
      <c r="P701" s="438"/>
      <c r="Q701" s="438"/>
      <c r="R701" s="438"/>
      <c r="S701" s="438"/>
      <c r="T701" s="438"/>
      <c r="U701" s="438"/>
      <c r="V701" s="438"/>
      <c r="W701" s="438"/>
    </row>
    <row r="702" spans="1:23" hidden="1" x14ac:dyDescent="0.25">
      <c r="A702" s="468" t="s">
        <v>588</v>
      </c>
      <c r="B702" s="464"/>
      <c r="C702" s="456" t="s">
        <v>139</v>
      </c>
      <c r="D702" s="458"/>
      <c r="E702" s="458"/>
      <c r="F702" s="815"/>
      <c r="G702" s="816"/>
      <c r="H702" s="815"/>
      <c r="I702" s="816"/>
      <c r="J702" s="815"/>
      <c r="K702" s="816"/>
      <c r="L702" s="815"/>
      <c r="M702" s="816"/>
      <c r="N702" s="815"/>
      <c r="O702" s="816"/>
      <c r="P702" s="438"/>
      <c r="Q702" s="438"/>
      <c r="R702" s="438"/>
      <c r="S702" s="438"/>
      <c r="T702" s="438"/>
      <c r="U702" s="438"/>
      <c r="V702" s="438"/>
      <c r="W702" s="438"/>
    </row>
    <row r="703" spans="1:23" hidden="1" x14ac:dyDescent="0.25">
      <c r="A703" s="468"/>
      <c r="B703" s="465" t="str">
        <f>B702&amp;"KW"</f>
        <v>KW</v>
      </c>
      <c r="C703" s="456" t="s">
        <v>170</v>
      </c>
      <c r="D703" s="458"/>
      <c r="E703" s="458"/>
      <c r="F703" s="815"/>
      <c r="G703" s="816"/>
      <c r="H703" s="815"/>
      <c r="I703" s="816"/>
      <c r="J703" s="815"/>
      <c r="K703" s="816"/>
      <c r="L703" s="815"/>
      <c r="M703" s="816"/>
      <c r="N703" s="815"/>
      <c r="O703" s="816"/>
      <c r="P703" s="438"/>
      <c r="Q703" s="438"/>
      <c r="R703" s="438"/>
      <c r="S703" s="438"/>
      <c r="T703" s="438"/>
      <c r="U703" s="438"/>
      <c r="V703" s="438"/>
      <c r="W703" s="438"/>
    </row>
    <row r="704" spans="1:23" hidden="1" x14ac:dyDescent="0.25">
      <c r="A704" s="468" t="s">
        <v>589</v>
      </c>
      <c r="B704" s="464"/>
      <c r="C704" s="456" t="s">
        <v>139</v>
      </c>
      <c r="D704" s="458"/>
      <c r="E704" s="458"/>
      <c r="F704" s="815"/>
      <c r="G704" s="816"/>
      <c r="H704" s="815"/>
      <c r="I704" s="816"/>
      <c r="J704" s="815"/>
      <c r="K704" s="816"/>
      <c r="L704" s="815"/>
      <c r="M704" s="816"/>
      <c r="N704" s="815"/>
      <c r="O704" s="816"/>
      <c r="P704" s="438"/>
      <c r="Q704" s="438"/>
      <c r="R704" s="438"/>
      <c r="S704" s="438"/>
      <c r="T704" s="438"/>
      <c r="U704" s="438"/>
      <c r="V704" s="438"/>
      <c r="W704" s="438"/>
    </row>
    <row r="705" spans="1:23" hidden="1" x14ac:dyDescent="0.25">
      <c r="A705" s="468"/>
      <c r="B705" s="465" t="str">
        <f>B704&amp;"KW"</f>
        <v>KW</v>
      </c>
      <c r="C705" s="456" t="s">
        <v>170</v>
      </c>
      <c r="D705" s="458"/>
      <c r="E705" s="458"/>
      <c r="F705" s="815"/>
      <c r="G705" s="816"/>
      <c r="H705" s="815"/>
      <c r="I705" s="816"/>
      <c r="J705" s="815"/>
      <c r="K705" s="816"/>
      <c r="L705" s="815"/>
      <c r="M705" s="816"/>
      <c r="N705" s="815"/>
      <c r="O705" s="816"/>
      <c r="P705" s="438"/>
      <c r="Q705" s="438"/>
      <c r="R705" s="438"/>
      <c r="S705" s="438"/>
      <c r="T705" s="438"/>
      <c r="U705" s="438"/>
      <c r="V705" s="438"/>
      <c r="W705" s="438"/>
    </row>
    <row r="706" spans="1:23" hidden="1" x14ac:dyDescent="0.25">
      <c r="A706" s="468" t="s">
        <v>590</v>
      </c>
      <c r="B706" s="464"/>
      <c r="C706" s="456" t="s">
        <v>139</v>
      </c>
      <c r="D706" s="458"/>
      <c r="E706" s="458"/>
      <c r="F706" s="815"/>
      <c r="G706" s="816"/>
      <c r="H706" s="815"/>
      <c r="I706" s="816"/>
      <c r="J706" s="815"/>
      <c r="K706" s="816"/>
      <c r="L706" s="815"/>
      <c r="M706" s="816"/>
      <c r="N706" s="815"/>
      <c r="O706" s="816"/>
      <c r="P706" s="438"/>
      <c r="Q706" s="438"/>
      <c r="R706" s="438"/>
      <c r="S706" s="438"/>
      <c r="T706" s="438"/>
      <c r="U706" s="438"/>
      <c r="V706" s="438"/>
      <c r="W706" s="438"/>
    </row>
    <row r="707" spans="1:23" hidden="1" x14ac:dyDescent="0.25">
      <c r="A707" s="468"/>
      <c r="B707" s="465" t="str">
        <f>B706&amp;"KW"</f>
        <v>KW</v>
      </c>
      <c r="C707" s="456" t="s">
        <v>170</v>
      </c>
      <c r="D707" s="458"/>
      <c r="E707" s="458"/>
      <c r="F707" s="815"/>
      <c r="G707" s="816"/>
      <c r="H707" s="815"/>
      <c r="I707" s="816"/>
      <c r="J707" s="815"/>
      <c r="K707" s="816"/>
      <c r="L707" s="815"/>
      <c r="M707" s="816"/>
      <c r="N707" s="815"/>
      <c r="O707" s="816"/>
      <c r="P707" s="438"/>
      <c r="Q707" s="438"/>
      <c r="R707" s="438"/>
      <c r="S707" s="438"/>
      <c r="T707" s="438"/>
      <c r="U707" s="438"/>
      <c r="V707" s="438"/>
      <c r="W707" s="438"/>
    </row>
    <row r="708" spans="1:23" hidden="1" x14ac:dyDescent="0.25">
      <c r="A708" s="468" t="s">
        <v>591</v>
      </c>
      <c r="B708" s="464"/>
      <c r="C708" s="456" t="s">
        <v>139</v>
      </c>
      <c r="D708" s="458"/>
      <c r="E708" s="458"/>
      <c r="F708" s="815"/>
      <c r="G708" s="816"/>
      <c r="H708" s="815"/>
      <c r="I708" s="816"/>
      <c r="J708" s="815"/>
      <c r="K708" s="816"/>
      <c r="L708" s="815"/>
      <c r="M708" s="816"/>
      <c r="N708" s="815"/>
      <c r="O708" s="816"/>
      <c r="P708" s="438"/>
      <c r="Q708" s="438"/>
      <c r="R708" s="438"/>
      <c r="S708" s="438"/>
      <c r="T708" s="438"/>
      <c r="U708" s="438"/>
      <c r="V708" s="438"/>
      <c r="W708" s="438"/>
    </row>
    <row r="709" spans="1:23" hidden="1" x14ac:dyDescent="0.25">
      <c r="A709" s="468"/>
      <c r="B709" s="465" t="str">
        <f>B708&amp;"KW"</f>
        <v>KW</v>
      </c>
      <c r="C709" s="456" t="s">
        <v>170</v>
      </c>
      <c r="D709" s="458"/>
      <c r="E709" s="458"/>
      <c r="F709" s="815"/>
      <c r="G709" s="816"/>
      <c r="H709" s="815"/>
      <c r="I709" s="816"/>
      <c r="J709" s="815"/>
      <c r="K709" s="816"/>
      <c r="L709" s="815"/>
      <c r="M709" s="816"/>
      <c r="N709" s="815"/>
      <c r="O709" s="816"/>
      <c r="P709" s="438"/>
      <c r="Q709" s="438"/>
      <c r="R709" s="438"/>
      <c r="S709" s="438"/>
      <c r="T709" s="438"/>
      <c r="U709" s="438"/>
      <c r="V709" s="438"/>
      <c r="W709" s="438"/>
    </row>
    <row r="710" spans="1:23" hidden="1" x14ac:dyDescent="0.25">
      <c r="A710" s="468" t="s">
        <v>592</v>
      </c>
      <c r="B710" s="464"/>
      <c r="C710" s="456" t="s">
        <v>139</v>
      </c>
      <c r="D710" s="458"/>
      <c r="E710" s="458"/>
      <c r="F710" s="815"/>
      <c r="G710" s="816"/>
      <c r="H710" s="815"/>
      <c r="I710" s="816"/>
      <c r="J710" s="815"/>
      <c r="K710" s="816"/>
      <c r="L710" s="815"/>
      <c r="M710" s="816"/>
      <c r="N710" s="815"/>
      <c r="O710" s="816"/>
      <c r="P710" s="438"/>
      <c r="Q710" s="438"/>
      <c r="R710" s="438"/>
      <c r="S710" s="438"/>
      <c r="T710" s="438"/>
      <c r="U710" s="438"/>
      <c r="V710" s="438"/>
      <c r="W710" s="438"/>
    </row>
    <row r="711" spans="1:23" hidden="1" x14ac:dyDescent="0.25">
      <c r="A711" s="468"/>
      <c r="B711" s="465" t="str">
        <f>B710&amp;"KW"</f>
        <v>KW</v>
      </c>
      <c r="C711" s="456" t="s">
        <v>170</v>
      </c>
      <c r="D711" s="458"/>
      <c r="E711" s="458"/>
      <c r="F711" s="815"/>
      <c r="G711" s="816"/>
      <c r="H711" s="815"/>
      <c r="I711" s="816"/>
      <c r="J711" s="815"/>
      <c r="K711" s="816"/>
      <c r="L711" s="815"/>
      <c r="M711" s="816"/>
      <c r="N711" s="815"/>
      <c r="O711" s="816"/>
      <c r="P711" s="438"/>
      <c r="Q711" s="438"/>
      <c r="R711" s="438"/>
      <c r="S711" s="438"/>
      <c r="T711" s="438"/>
      <c r="U711" s="438"/>
      <c r="V711" s="438"/>
      <c r="W711" s="438"/>
    </row>
    <row r="712" spans="1:23" hidden="1" x14ac:dyDescent="0.25">
      <c r="A712" s="468" t="s">
        <v>593</v>
      </c>
      <c r="B712" s="464"/>
      <c r="C712" s="456" t="s">
        <v>139</v>
      </c>
      <c r="D712" s="458"/>
      <c r="E712" s="458"/>
      <c r="F712" s="815"/>
      <c r="G712" s="816"/>
      <c r="H712" s="815"/>
      <c r="I712" s="816"/>
      <c r="J712" s="815"/>
      <c r="K712" s="816"/>
      <c r="L712" s="815"/>
      <c r="M712" s="816"/>
      <c r="N712" s="815"/>
      <c r="O712" s="816"/>
      <c r="P712" s="438"/>
      <c r="Q712" s="438"/>
      <c r="R712" s="438"/>
      <c r="S712" s="438"/>
      <c r="T712" s="438"/>
      <c r="U712" s="438"/>
      <c r="V712" s="438"/>
      <c r="W712" s="438"/>
    </row>
    <row r="713" spans="1:23" hidden="1" x14ac:dyDescent="0.25">
      <c r="A713" s="468"/>
      <c r="B713" s="465" t="str">
        <f>B712&amp;"KW"</f>
        <v>KW</v>
      </c>
      <c r="C713" s="456" t="s">
        <v>170</v>
      </c>
      <c r="D713" s="458"/>
      <c r="E713" s="458"/>
      <c r="F713" s="815"/>
      <c r="G713" s="816"/>
      <c r="H713" s="815"/>
      <c r="I713" s="816"/>
      <c r="J713" s="815"/>
      <c r="K713" s="816"/>
      <c r="L713" s="815"/>
      <c r="M713" s="816"/>
      <c r="N713" s="815"/>
      <c r="O713" s="816"/>
      <c r="P713" s="438"/>
      <c r="Q713" s="438"/>
      <c r="R713" s="438"/>
      <c r="S713" s="438"/>
      <c r="T713" s="438"/>
      <c r="U713" s="438"/>
      <c r="V713" s="438"/>
      <c r="W713" s="438"/>
    </row>
    <row r="714" spans="1:23" hidden="1" x14ac:dyDescent="0.25">
      <c r="A714" s="468" t="s">
        <v>594</v>
      </c>
      <c r="B714" s="464"/>
      <c r="C714" s="456" t="s">
        <v>139</v>
      </c>
      <c r="D714" s="458"/>
      <c r="E714" s="458"/>
      <c r="F714" s="815"/>
      <c r="G714" s="816"/>
      <c r="H714" s="815"/>
      <c r="I714" s="816"/>
      <c r="J714" s="815"/>
      <c r="K714" s="816"/>
      <c r="L714" s="815"/>
      <c r="M714" s="816"/>
      <c r="N714" s="815"/>
      <c r="O714" s="816"/>
      <c r="P714" s="438"/>
      <c r="Q714" s="438"/>
      <c r="R714" s="438"/>
      <c r="S714" s="438"/>
      <c r="T714" s="438"/>
      <c r="U714" s="438"/>
      <c r="V714" s="438"/>
      <c r="W714" s="438"/>
    </row>
    <row r="715" spans="1:23" hidden="1" x14ac:dyDescent="0.25">
      <c r="A715" s="468"/>
      <c r="B715" s="465" t="str">
        <f>B714&amp;"KW"</f>
        <v>KW</v>
      </c>
      <c r="C715" s="456" t="s">
        <v>170</v>
      </c>
      <c r="D715" s="458"/>
      <c r="E715" s="458"/>
      <c r="F715" s="815"/>
      <c r="G715" s="816"/>
      <c r="H715" s="815"/>
      <c r="I715" s="816"/>
      <c r="J715" s="815"/>
      <c r="K715" s="816"/>
      <c r="L715" s="815"/>
      <c r="M715" s="816"/>
      <c r="N715" s="815"/>
      <c r="O715" s="816"/>
      <c r="P715" s="438"/>
      <c r="Q715" s="438"/>
      <c r="R715" s="438"/>
      <c r="S715" s="438"/>
      <c r="T715" s="438"/>
      <c r="U715" s="438"/>
      <c r="V715" s="438"/>
      <c r="W715" s="438"/>
    </row>
    <row r="716" spans="1:23" hidden="1" x14ac:dyDescent="0.25">
      <c r="A716" s="468" t="s">
        <v>595</v>
      </c>
      <c r="B716" s="464"/>
      <c r="C716" s="456" t="s">
        <v>139</v>
      </c>
      <c r="D716" s="458"/>
      <c r="E716" s="458"/>
      <c r="F716" s="815"/>
      <c r="G716" s="816"/>
      <c r="H716" s="815"/>
      <c r="I716" s="816"/>
      <c r="J716" s="815"/>
      <c r="K716" s="816"/>
      <c r="L716" s="815"/>
      <c r="M716" s="816"/>
      <c r="N716" s="815"/>
      <c r="O716" s="816"/>
      <c r="P716" s="438"/>
      <c r="Q716" s="438"/>
      <c r="R716" s="438"/>
      <c r="S716" s="438"/>
      <c r="T716" s="438"/>
      <c r="U716" s="438"/>
      <c r="V716" s="438"/>
      <c r="W716" s="438"/>
    </row>
    <row r="717" spans="1:23" hidden="1" x14ac:dyDescent="0.25">
      <c r="A717" s="468"/>
      <c r="B717" s="465" t="str">
        <f>B716&amp;"KW"</f>
        <v>KW</v>
      </c>
      <c r="C717" s="456" t="s">
        <v>170</v>
      </c>
      <c r="D717" s="458"/>
      <c r="E717" s="458"/>
      <c r="F717" s="815"/>
      <c r="G717" s="816"/>
      <c r="H717" s="815"/>
      <c r="I717" s="816"/>
      <c r="J717" s="815"/>
      <c r="K717" s="816"/>
      <c r="L717" s="815"/>
      <c r="M717" s="816"/>
      <c r="N717" s="815"/>
      <c r="O717" s="816"/>
      <c r="P717" s="438"/>
      <c r="Q717" s="438"/>
      <c r="R717" s="438"/>
      <c r="S717" s="438"/>
      <c r="T717" s="438"/>
      <c r="U717" s="438"/>
      <c r="V717" s="438"/>
      <c r="W717" s="438"/>
    </row>
    <row r="718" spans="1:23" hidden="1" x14ac:dyDescent="0.25">
      <c r="A718" s="468" t="s">
        <v>596</v>
      </c>
      <c r="B718" s="464"/>
      <c r="C718" s="456" t="s">
        <v>139</v>
      </c>
      <c r="D718" s="458"/>
      <c r="E718" s="458"/>
      <c r="F718" s="815"/>
      <c r="G718" s="816"/>
      <c r="H718" s="815"/>
      <c r="I718" s="816"/>
      <c r="J718" s="815"/>
      <c r="K718" s="816"/>
      <c r="L718" s="815"/>
      <c r="M718" s="816"/>
      <c r="N718" s="815"/>
      <c r="O718" s="816"/>
      <c r="P718" s="438"/>
      <c r="Q718" s="438"/>
      <c r="R718" s="438"/>
      <c r="S718" s="438"/>
      <c r="T718" s="438"/>
      <c r="U718" s="438"/>
      <c r="V718" s="438"/>
      <c r="W718" s="438"/>
    </row>
    <row r="719" spans="1:23" hidden="1" x14ac:dyDescent="0.25">
      <c r="A719" s="468"/>
      <c r="B719" s="465" t="str">
        <f>B718&amp;"KW"</f>
        <v>KW</v>
      </c>
      <c r="C719" s="456" t="s">
        <v>170</v>
      </c>
      <c r="D719" s="458"/>
      <c r="E719" s="458"/>
      <c r="F719" s="815"/>
      <c r="G719" s="816"/>
      <c r="H719" s="815"/>
      <c r="I719" s="816"/>
      <c r="J719" s="815"/>
      <c r="K719" s="816"/>
      <c r="L719" s="815"/>
      <c r="M719" s="816"/>
      <c r="N719" s="815"/>
      <c r="O719" s="816"/>
      <c r="P719" s="438"/>
      <c r="Q719" s="438"/>
      <c r="R719" s="438"/>
      <c r="S719" s="438"/>
      <c r="T719" s="438"/>
      <c r="U719" s="438"/>
      <c r="V719" s="438"/>
      <c r="W719" s="438"/>
    </row>
    <row r="720" spans="1:23" hidden="1" x14ac:dyDescent="0.25">
      <c r="A720" s="468" t="s">
        <v>597</v>
      </c>
      <c r="B720" s="464"/>
      <c r="C720" s="456" t="s">
        <v>139</v>
      </c>
      <c r="D720" s="458"/>
      <c r="E720" s="458"/>
      <c r="F720" s="815"/>
      <c r="G720" s="816"/>
      <c r="H720" s="815"/>
      <c r="I720" s="816"/>
      <c r="J720" s="815"/>
      <c r="K720" s="816"/>
      <c r="L720" s="815"/>
      <c r="M720" s="816"/>
      <c r="N720" s="815"/>
      <c r="O720" s="816"/>
      <c r="P720" s="438"/>
      <c r="Q720" s="438"/>
      <c r="R720" s="438"/>
      <c r="S720" s="438"/>
      <c r="T720" s="438"/>
      <c r="U720" s="438"/>
      <c r="V720" s="438"/>
      <c r="W720" s="438"/>
    </row>
    <row r="721" spans="1:23" hidden="1" x14ac:dyDescent="0.25">
      <c r="A721" s="468"/>
      <c r="B721" s="465" t="str">
        <f>B720&amp;"KW"</f>
        <v>KW</v>
      </c>
      <c r="C721" s="456" t="s">
        <v>170</v>
      </c>
      <c r="D721" s="458"/>
      <c r="E721" s="458"/>
      <c r="F721" s="815"/>
      <c r="G721" s="816"/>
      <c r="H721" s="815"/>
      <c r="I721" s="816"/>
      <c r="J721" s="815"/>
      <c r="K721" s="816"/>
      <c r="L721" s="815"/>
      <c r="M721" s="816"/>
      <c r="N721" s="815"/>
      <c r="O721" s="816"/>
      <c r="P721" s="438"/>
      <c r="Q721" s="438"/>
      <c r="R721" s="438"/>
      <c r="S721" s="438"/>
      <c r="T721" s="438"/>
      <c r="U721" s="438"/>
      <c r="V721" s="438"/>
      <c r="W721" s="438"/>
    </row>
    <row r="722" spans="1:23" hidden="1" x14ac:dyDescent="0.25">
      <c r="A722" s="468" t="s">
        <v>598</v>
      </c>
      <c r="B722" s="464"/>
      <c r="C722" s="456" t="s">
        <v>139</v>
      </c>
      <c r="D722" s="458"/>
      <c r="E722" s="458"/>
      <c r="F722" s="815"/>
      <c r="G722" s="816"/>
      <c r="H722" s="815"/>
      <c r="I722" s="816"/>
      <c r="J722" s="815"/>
      <c r="K722" s="816"/>
      <c r="L722" s="815"/>
      <c r="M722" s="816"/>
      <c r="N722" s="815"/>
      <c r="O722" s="816"/>
      <c r="P722" s="438"/>
      <c r="Q722" s="438"/>
      <c r="R722" s="438"/>
      <c r="S722" s="438"/>
      <c r="T722" s="438"/>
      <c r="U722" s="438"/>
      <c r="V722" s="438"/>
      <c r="W722" s="438"/>
    </row>
    <row r="723" spans="1:23" hidden="1" x14ac:dyDescent="0.25">
      <c r="A723" s="468"/>
      <c r="B723" s="465" t="str">
        <f>B722&amp;"KW"</f>
        <v>KW</v>
      </c>
      <c r="C723" s="456" t="s">
        <v>170</v>
      </c>
      <c r="D723" s="458"/>
      <c r="E723" s="458"/>
      <c r="F723" s="815"/>
      <c r="G723" s="816"/>
      <c r="H723" s="815"/>
      <c r="I723" s="816"/>
      <c r="J723" s="815"/>
      <c r="K723" s="816"/>
      <c r="L723" s="815"/>
      <c r="M723" s="816"/>
      <c r="N723" s="815"/>
      <c r="O723" s="816"/>
      <c r="P723" s="438"/>
      <c r="Q723" s="438"/>
      <c r="R723" s="438"/>
      <c r="S723" s="438"/>
      <c r="T723" s="438"/>
      <c r="U723" s="438"/>
      <c r="V723" s="438"/>
      <c r="W723" s="438"/>
    </row>
    <row r="724" spans="1:23" hidden="1" x14ac:dyDescent="0.25">
      <c r="A724" s="468" t="s">
        <v>599</v>
      </c>
      <c r="B724" s="464"/>
      <c r="C724" s="456" t="s">
        <v>139</v>
      </c>
      <c r="D724" s="458"/>
      <c r="E724" s="458"/>
      <c r="F724" s="815"/>
      <c r="G724" s="816"/>
      <c r="H724" s="815"/>
      <c r="I724" s="816"/>
      <c r="J724" s="815"/>
      <c r="K724" s="816"/>
      <c r="L724" s="815"/>
      <c r="M724" s="816"/>
      <c r="N724" s="815"/>
      <c r="O724" s="816"/>
      <c r="P724" s="438"/>
      <c r="Q724" s="438"/>
      <c r="R724" s="438"/>
      <c r="S724" s="438"/>
      <c r="T724" s="438"/>
      <c r="U724" s="438"/>
      <c r="V724" s="438"/>
      <c r="W724" s="438"/>
    </row>
    <row r="725" spans="1:23" hidden="1" x14ac:dyDescent="0.25">
      <c r="A725" s="468"/>
      <c r="B725" s="465" t="str">
        <f>B724&amp;"KW"</f>
        <v>KW</v>
      </c>
      <c r="C725" s="456" t="s">
        <v>170</v>
      </c>
      <c r="D725" s="458"/>
      <c r="E725" s="458"/>
      <c r="F725" s="815"/>
      <c r="G725" s="816"/>
      <c r="H725" s="815"/>
      <c r="I725" s="816"/>
      <c r="J725" s="815"/>
      <c r="K725" s="816"/>
      <c r="L725" s="815"/>
      <c r="M725" s="816"/>
      <c r="N725" s="815"/>
      <c r="O725" s="816"/>
      <c r="P725" s="438"/>
      <c r="Q725" s="438"/>
      <c r="R725" s="438"/>
      <c r="S725" s="438"/>
      <c r="T725" s="438"/>
      <c r="U725" s="438"/>
      <c r="V725" s="438"/>
      <c r="W725" s="438"/>
    </row>
    <row r="726" spans="1:23" hidden="1" x14ac:dyDescent="0.25">
      <c r="A726" s="468" t="s">
        <v>600</v>
      </c>
      <c r="B726" s="464"/>
      <c r="C726" s="456" t="s">
        <v>139</v>
      </c>
      <c r="D726" s="458"/>
      <c r="E726" s="458"/>
      <c r="F726" s="815"/>
      <c r="G726" s="816"/>
      <c r="H726" s="815"/>
      <c r="I726" s="816"/>
      <c r="J726" s="815"/>
      <c r="K726" s="816"/>
      <c r="L726" s="815"/>
      <c r="M726" s="816"/>
      <c r="N726" s="815"/>
      <c r="O726" s="816"/>
      <c r="P726" s="438"/>
      <c r="Q726" s="438"/>
      <c r="R726" s="438"/>
      <c r="S726" s="438"/>
      <c r="T726" s="438"/>
      <c r="U726" s="438"/>
      <c r="V726" s="438"/>
      <c r="W726" s="438"/>
    </row>
    <row r="727" spans="1:23" hidden="1" x14ac:dyDescent="0.25">
      <c r="A727" s="468"/>
      <c r="B727" s="465" t="str">
        <f>B726&amp;"KW"</f>
        <v>KW</v>
      </c>
      <c r="C727" s="456" t="s">
        <v>170</v>
      </c>
      <c r="D727" s="458"/>
      <c r="E727" s="458"/>
      <c r="F727" s="815"/>
      <c r="G727" s="816"/>
      <c r="H727" s="815"/>
      <c r="I727" s="816"/>
      <c r="J727" s="815"/>
      <c r="K727" s="816"/>
      <c r="L727" s="815"/>
      <c r="M727" s="816"/>
      <c r="N727" s="815"/>
      <c r="O727" s="816"/>
      <c r="P727" s="438"/>
      <c r="Q727" s="438"/>
      <c r="R727" s="438"/>
      <c r="S727" s="438"/>
      <c r="T727" s="438"/>
      <c r="U727" s="438"/>
      <c r="V727" s="438"/>
      <c r="W727" s="438"/>
    </row>
    <row r="728" spans="1:23" hidden="1" x14ac:dyDescent="0.25">
      <c r="A728" s="468" t="s">
        <v>601</v>
      </c>
      <c r="B728" s="464"/>
      <c r="C728" s="456" t="s">
        <v>139</v>
      </c>
      <c r="D728" s="458"/>
      <c r="E728" s="458"/>
      <c r="F728" s="815"/>
      <c r="G728" s="816"/>
      <c r="H728" s="815"/>
      <c r="I728" s="816"/>
      <c r="J728" s="815"/>
      <c r="K728" s="816"/>
      <c r="L728" s="815"/>
      <c r="M728" s="816"/>
      <c r="N728" s="815"/>
      <c r="O728" s="816"/>
      <c r="P728" s="438"/>
      <c r="Q728" s="438"/>
      <c r="R728" s="438"/>
      <c r="S728" s="438"/>
      <c r="T728" s="438"/>
      <c r="U728" s="438"/>
      <c r="V728" s="438"/>
      <c r="W728" s="438"/>
    </row>
    <row r="729" spans="1:23" hidden="1" x14ac:dyDescent="0.25">
      <c r="A729" s="468"/>
      <c r="B729" s="465" t="str">
        <f>B728&amp;"KW"</f>
        <v>KW</v>
      </c>
      <c r="C729" s="456" t="s">
        <v>170</v>
      </c>
      <c r="D729" s="458"/>
      <c r="E729" s="458"/>
      <c r="F729" s="815"/>
      <c r="G729" s="816"/>
      <c r="H729" s="815"/>
      <c r="I729" s="816"/>
      <c r="J729" s="815"/>
      <c r="K729" s="816"/>
      <c r="L729" s="815"/>
      <c r="M729" s="816"/>
      <c r="N729" s="815"/>
      <c r="O729" s="816"/>
      <c r="P729" s="438"/>
      <c r="Q729" s="438"/>
      <c r="R729" s="438"/>
      <c r="S729" s="438"/>
      <c r="T729" s="438"/>
      <c r="U729" s="438"/>
      <c r="V729" s="438"/>
      <c r="W729" s="438"/>
    </row>
    <row r="730" spans="1:23" hidden="1" x14ac:dyDescent="0.25">
      <c r="A730" s="468" t="s">
        <v>602</v>
      </c>
      <c r="B730" s="464"/>
      <c r="C730" s="456" t="s">
        <v>139</v>
      </c>
      <c r="D730" s="458"/>
      <c r="E730" s="458"/>
      <c r="F730" s="815"/>
      <c r="G730" s="816"/>
      <c r="H730" s="815"/>
      <c r="I730" s="816"/>
      <c r="J730" s="815"/>
      <c r="K730" s="816"/>
      <c r="L730" s="815"/>
      <c r="M730" s="816"/>
      <c r="N730" s="815"/>
      <c r="O730" s="816"/>
      <c r="P730" s="438"/>
      <c r="Q730" s="438"/>
      <c r="R730" s="438"/>
      <c r="S730" s="438"/>
      <c r="T730" s="438"/>
      <c r="U730" s="438"/>
      <c r="V730" s="438"/>
      <c r="W730" s="438"/>
    </row>
    <row r="731" spans="1:23" hidden="1" x14ac:dyDescent="0.25">
      <c r="A731" s="468"/>
      <c r="B731" s="465" t="str">
        <f>B730&amp;"KW"</f>
        <v>KW</v>
      </c>
      <c r="C731" s="456" t="s">
        <v>170</v>
      </c>
      <c r="D731" s="458"/>
      <c r="E731" s="458"/>
      <c r="F731" s="815"/>
      <c r="G731" s="816"/>
      <c r="H731" s="815"/>
      <c r="I731" s="816"/>
      <c r="J731" s="815"/>
      <c r="K731" s="816"/>
      <c r="L731" s="815"/>
      <c r="M731" s="816"/>
      <c r="N731" s="815"/>
      <c r="O731" s="816"/>
      <c r="P731" s="438"/>
      <c r="Q731" s="438"/>
      <c r="R731" s="438"/>
      <c r="S731" s="438"/>
      <c r="T731" s="438"/>
      <c r="U731" s="438"/>
      <c r="V731" s="438"/>
      <c r="W731" s="438"/>
    </row>
    <row r="732" spans="1:23" hidden="1" x14ac:dyDescent="0.25">
      <c r="A732" s="468" t="s">
        <v>603</v>
      </c>
      <c r="B732" s="464"/>
      <c r="C732" s="456" t="s">
        <v>139</v>
      </c>
      <c r="D732" s="458"/>
      <c r="E732" s="458"/>
      <c r="F732" s="815"/>
      <c r="G732" s="816"/>
      <c r="H732" s="815"/>
      <c r="I732" s="816"/>
      <c r="J732" s="815"/>
      <c r="K732" s="816"/>
      <c r="L732" s="815"/>
      <c r="M732" s="816"/>
      <c r="N732" s="815"/>
      <c r="O732" s="816"/>
      <c r="P732" s="438"/>
      <c r="Q732" s="438"/>
      <c r="R732" s="438"/>
      <c r="S732" s="438"/>
      <c r="T732" s="438"/>
      <c r="U732" s="438"/>
      <c r="V732" s="438"/>
      <c r="W732" s="438"/>
    </row>
    <row r="733" spans="1:23" hidden="1" x14ac:dyDescent="0.25">
      <c r="A733" s="468"/>
      <c r="B733" s="465" t="str">
        <f>B732&amp;"KW"</f>
        <v>KW</v>
      </c>
      <c r="C733" s="456" t="s">
        <v>170</v>
      </c>
      <c r="D733" s="458"/>
      <c r="E733" s="458"/>
      <c r="F733" s="815"/>
      <c r="G733" s="816"/>
      <c r="H733" s="815"/>
      <c r="I733" s="816"/>
      <c r="J733" s="815"/>
      <c r="K733" s="816"/>
      <c r="L733" s="815"/>
      <c r="M733" s="816"/>
      <c r="N733" s="815"/>
      <c r="O733" s="816"/>
      <c r="P733" s="438"/>
      <c r="Q733" s="438"/>
      <c r="R733" s="438"/>
      <c r="S733" s="438"/>
      <c r="T733" s="438"/>
      <c r="U733" s="438"/>
      <c r="V733" s="438"/>
      <c r="W733" s="438"/>
    </row>
    <row r="734" spans="1:23" hidden="1" x14ac:dyDescent="0.25">
      <c r="A734" s="468" t="s">
        <v>604</v>
      </c>
      <c r="B734" s="464"/>
      <c r="C734" s="456" t="s">
        <v>139</v>
      </c>
      <c r="D734" s="458"/>
      <c r="E734" s="458"/>
      <c r="F734" s="815"/>
      <c r="G734" s="816"/>
      <c r="H734" s="815"/>
      <c r="I734" s="816"/>
      <c r="J734" s="815"/>
      <c r="K734" s="816"/>
      <c r="L734" s="815"/>
      <c r="M734" s="816"/>
      <c r="N734" s="815"/>
      <c r="O734" s="816"/>
      <c r="P734" s="438"/>
      <c r="Q734" s="438"/>
      <c r="R734" s="438"/>
      <c r="S734" s="438"/>
      <c r="T734" s="438"/>
      <c r="U734" s="438"/>
      <c r="V734" s="438"/>
      <c r="W734" s="438"/>
    </row>
    <row r="735" spans="1:23" hidden="1" x14ac:dyDescent="0.25">
      <c r="A735" s="468"/>
      <c r="B735" s="465" t="str">
        <f>B734&amp;"KW"</f>
        <v>KW</v>
      </c>
      <c r="C735" s="456" t="s">
        <v>170</v>
      </c>
      <c r="D735" s="458"/>
      <c r="E735" s="458"/>
      <c r="F735" s="815"/>
      <c r="G735" s="816"/>
      <c r="H735" s="815"/>
      <c r="I735" s="816"/>
      <c r="J735" s="815"/>
      <c r="K735" s="816"/>
      <c r="L735" s="815"/>
      <c r="M735" s="816"/>
      <c r="N735" s="815"/>
      <c r="O735" s="816"/>
      <c r="P735" s="438"/>
      <c r="Q735" s="438"/>
      <c r="R735" s="438"/>
      <c r="S735" s="438"/>
      <c r="T735" s="438"/>
      <c r="U735" s="438"/>
      <c r="V735" s="438"/>
      <c r="W735" s="438"/>
    </row>
    <row r="736" spans="1:23" hidden="1" x14ac:dyDescent="0.25">
      <c r="A736" s="468" t="s">
        <v>605</v>
      </c>
      <c r="B736" s="464"/>
      <c r="C736" s="456" t="s">
        <v>139</v>
      </c>
      <c r="D736" s="458"/>
      <c r="E736" s="458"/>
      <c r="F736" s="815"/>
      <c r="G736" s="816"/>
      <c r="H736" s="815"/>
      <c r="I736" s="816"/>
      <c r="J736" s="815"/>
      <c r="K736" s="816"/>
      <c r="L736" s="815"/>
      <c r="M736" s="816"/>
      <c r="N736" s="815"/>
      <c r="O736" s="816"/>
      <c r="P736" s="438"/>
      <c r="Q736" s="438"/>
      <c r="R736" s="438"/>
      <c r="S736" s="438"/>
      <c r="T736" s="438"/>
      <c r="U736" s="438"/>
      <c r="V736" s="438"/>
      <c r="W736" s="438"/>
    </row>
    <row r="737" spans="1:23" hidden="1" x14ac:dyDescent="0.25">
      <c r="A737" s="468"/>
      <c r="B737" s="465" t="str">
        <f>B736&amp;"KW"</f>
        <v>KW</v>
      </c>
      <c r="C737" s="456" t="s">
        <v>170</v>
      </c>
      <c r="D737" s="458"/>
      <c r="E737" s="458"/>
      <c r="F737" s="815"/>
      <c r="G737" s="816"/>
      <c r="H737" s="815"/>
      <c r="I737" s="816"/>
      <c r="J737" s="815"/>
      <c r="K737" s="816"/>
      <c r="L737" s="815"/>
      <c r="M737" s="816"/>
      <c r="N737" s="815"/>
      <c r="O737" s="816"/>
      <c r="P737" s="438"/>
      <c r="Q737" s="438"/>
      <c r="R737" s="438"/>
      <c r="S737" s="438"/>
      <c r="T737" s="438"/>
      <c r="U737" s="438"/>
      <c r="V737" s="438"/>
      <c r="W737" s="438"/>
    </row>
    <row r="738" spans="1:23" hidden="1" x14ac:dyDescent="0.25">
      <c r="A738" s="468" t="s">
        <v>606</v>
      </c>
      <c r="B738" s="464"/>
      <c r="C738" s="456" t="s">
        <v>139</v>
      </c>
      <c r="D738" s="458"/>
      <c r="E738" s="458"/>
      <c r="F738" s="815"/>
      <c r="G738" s="816"/>
      <c r="H738" s="815"/>
      <c r="I738" s="816"/>
      <c r="J738" s="815"/>
      <c r="K738" s="816"/>
      <c r="L738" s="815"/>
      <c r="M738" s="816"/>
      <c r="N738" s="815"/>
      <c r="O738" s="816"/>
      <c r="P738" s="438"/>
      <c r="Q738" s="438"/>
      <c r="R738" s="438"/>
      <c r="S738" s="438"/>
      <c r="T738" s="438"/>
      <c r="U738" s="438"/>
      <c r="V738" s="438"/>
      <c r="W738" s="438"/>
    </row>
    <row r="739" spans="1:23" hidden="1" x14ac:dyDescent="0.25">
      <c r="A739" s="468"/>
      <c r="B739" s="465" t="str">
        <f>B738&amp;"KW"</f>
        <v>KW</v>
      </c>
      <c r="C739" s="456" t="s">
        <v>170</v>
      </c>
      <c r="D739" s="458"/>
      <c r="E739" s="458"/>
      <c r="F739" s="815"/>
      <c r="G739" s="816"/>
      <c r="H739" s="815"/>
      <c r="I739" s="816"/>
      <c r="J739" s="815"/>
      <c r="K739" s="816"/>
      <c r="L739" s="815"/>
      <c r="M739" s="816"/>
      <c r="N739" s="815"/>
      <c r="O739" s="816"/>
      <c r="P739" s="438"/>
      <c r="Q739" s="438"/>
      <c r="R739" s="438"/>
      <c r="S739" s="438"/>
      <c r="T739" s="438"/>
      <c r="U739" s="438"/>
      <c r="V739" s="438"/>
      <c r="W739" s="438"/>
    </row>
    <row r="740" spans="1:23" hidden="1" x14ac:dyDescent="0.25">
      <c r="A740" s="468" t="s">
        <v>607</v>
      </c>
      <c r="B740" s="464"/>
      <c r="C740" s="456" t="s">
        <v>139</v>
      </c>
      <c r="D740" s="458"/>
      <c r="E740" s="458"/>
      <c r="F740" s="815"/>
      <c r="G740" s="816"/>
      <c r="H740" s="815"/>
      <c r="I740" s="816"/>
      <c r="J740" s="815"/>
      <c r="K740" s="816"/>
      <c r="L740" s="815"/>
      <c r="M740" s="816"/>
      <c r="N740" s="815"/>
      <c r="O740" s="816"/>
      <c r="P740" s="438"/>
      <c r="Q740" s="438"/>
      <c r="R740" s="438"/>
      <c r="S740" s="438"/>
      <c r="T740" s="438"/>
      <c r="U740" s="438"/>
      <c r="V740" s="438"/>
      <c r="W740" s="438"/>
    </row>
    <row r="741" spans="1:23" hidden="1" x14ac:dyDescent="0.25">
      <c r="A741" s="468"/>
      <c r="B741" s="465" t="str">
        <f>B740&amp;"KW"</f>
        <v>KW</v>
      </c>
      <c r="C741" s="456" t="s">
        <v>170</v>
      </c>
      <c r="D741" s="458"/>
      <c r="E741" s="458"/>
      <c r="F741" s="815"/>
      <c r="G741" s="816"/>
      <c r="H741" s="815"/>
      <c r="I741" s="816"/>
      <c r="J741" s="815"/>
      <c r="K741" s="816"/>
      <c r="L741" s="815"/>
      <c r="M741" s="816"/>
      <c r="N741" s="815"/>
      <c r="O741" s="816"/>
      <c r="P741" s="438"/>
      <c r="Q741" s="438"/>
      <c r="R741" s="438"/>
      <c r="S741" s="438"/>
      <c r="T741" s="438"/>
      <c r="U741" s="438"/>
      <c r="V741" s="438"/>
      <c r="W741" s="438"/>
    </row>
    <row r="742" spans="1:23" hidden="1" x14ac:dyDescent="0.25">
      <c r="A742" s="468" t="s">
        <v>608</v>
      </c>
      <c r="B742" s="464"/>
      <c r="C742" s="456" t="s">
        <v>139</v>
      </c>
      <c r="D742" s="458"/>
      <c r="E742" s="458"/>
      <c r="F742" s="815"/>
      <c r="G742" s="816"/>
      <c r="H742" s="815"/>
      <c r="I742" s="816"/>
      <c r="J742" s="815"/>
      <c r="K742" s="816"/>
      <c r="L742" s="815"/>
      <c r="M742" s="816"/>
      <c r="N742" s="815"/>
      <c r="O742" s="816"/>
      <c r="P742" s="438"/>
      <c r="Q742" s="438"/>
      <c r="R742" s="438"/>
      <c r="S742" s="438"/>
      <c r="T742" s="438"/>
      <c r="U742" s="438"/>
      <c r="V742" s="438"/>
      <c r="W742" s="438"/>
    </row>
    <row r="743" spans="1:23" hidden="1" x14ac:dyDescent="0.25">
      <c r="A743" s="468"/>
      <c r="B743" s="465" t="str">
        <f>B742&amp;"KW"</f>
        <v>KW</v>
      </c>
      <c r="C743" s="456" t="s">
        <v>170</v>
      </c>
      <c r="D743" s="458"/>
      <c r="E743" s="458"/>
      <c r="F743" s="815"/>
      <c r="G743" s="816"/>
      <c r="H743" s="815"/>
      <c r="I743" s="816"/>
      <c r="J743" s="815"/>
      <c r="K743" s="816"/>
      <c r="L743" s="815"/>
      <c r="M743" s="816"/>
      <c r="N743" s="815"/>
      <c r="O743" s="816"/>
      <c r="P743" s="438"/>
      <c r="Q743" s="438"/>
      <c r="R743" s="438"/>
      <c r="S743" s="438"/>
      <c r="T743" s="438"/>
      <c r="U743" s="438"/>
      <c r="V743" s="438"/>
      <c r="W743" s="438"/>
    </row>
    <row r="744" spans="1:23" hidden="1" x14ac:dyDescent="0.25">
      <c r="A744" s="468" t="s">
        <v>609</v>
      </c>
      <c r="B744" s="464"/>
      <c r="C744" s="456" t="s">
        <v>139</v>
      </c>
      <c r="D744" s="458"/>
      <c r="E744" s="458"/>
      <c r="F744" s="815"/>
      <c r="G744" s="816"/>
      <c r="H744" s="815"/>
      <c r="I744" s="816"/>
      <c r="J744" s="815"/>
      <c r="K744" s="816"/>
      <c r="L744" s="815"/>
      <c r="M744" s="816"/>
      <c r="N744" s="815"/>
      <c r="O744" s="816"/>
      <c r="P744" s="438"/>
      <c r="Q744" s="438"/>
      <c r="R744" s="438"/>
      <c r="S744" s="438"/>
      <c r="T744" s="438"/>
      <c r="U744" s="438"/>
      <c r="V744" s="438"/>
      <c r="W744" s="438"/>
    </row>
    <row r="745" spans="1:23" hidden="1" x14ac:dyDescent="0.25">
      <c r="A745" s="468"/>
      <c r="B745" s="465" t="str">
        <f>B744&amp;"KW"</f>
        <v>KW</v>
      </c>
      <c r="C745" s="456" t="s">
        <v>170</v>
      </c>
      <c r="D745" s="458"/>
      <c r="E745" s="458"/>
      <c r="F745" s="815"/>
      <c r="G745" s="816"/>
      <c r="H745" s="815"/>
      <c r="I745" s="816"/>
      <c r="J745" s="815"/>
      <c r="K745" s="816"/>
      <c r="L745" s="815"/>
      <c r="M745" s="816"/>
      <c r="N745" s="815"/>
      <c r="O745" s="816"/>
      <c r="P745" s="438"/>
      <c r="Q745" s="438"/>
      <c r="R745" s="438"/>
      <c r="S745" s="438"/>
      <c r="T745" s="438"/>
      <c r="U745" s="438"/>
      <c r="V745" s="438"/>
      <c r="W745" s="438"/>
    </row>
    <row r="746" spans="1:23" hidden="1" x14ac:dyDescent="0.25">
      <c r="A746" s="468" t="s">
        <v>610</v>
      </c>
      <c r="B746" s="464"/>
      <c r="C746" s="456" t="s">
        <v>139</v>
      </c>
      <c r="D746" s="458"/>
      <c r="E746" s="458"/>
      <c r="F746" s="815"/>
      <c r="G746" s="816"/>
      <c r="H746" s="815"/>
      <c r="I746" s="816"/>
      <c r="J746" s="815"/>
      <c r="K746" s="816"/>
      <c r="L746" s="815"/>
      <c r="M746" s="816"/>
      <c r="N746" s="815"/>
      <c r="O746" s="816"/>
      <c r="P746" s="438"/>
      <c r="Q746" s="438"/>
      <c r="R746" s="438"/>
      <c r="S746" s="438"/>
      <c r="T746" s="438"/>
      <c r="U746" s="438"/>
      <c r="V746" s="438"/>
      <c r="W746" s="438"/>
    </row>
    <row r="747" spans="1:23" hidden="1" x14ac:dyDescent="0.25">
      <c r="A747" s="468"/>
      <c r="B747" s="465" t="str">
        <f>B746&amp;"KW"</f>
        <v>KW</v>
      </c>
      <c r="C747" s="456" t="s">
        <v>170</v>
      </c>
      <c r="D747" s="458"/>
      <c r="E747" s="458"/>
      <c r="F747" s="815"/>
      <c r="G747" s="816"/>
      <c r="H747" s="815"/>
      <c r="I747" s="816"/>
      <c r="J747" s="815"/>
      <c r="K747" s="816"/>
      <c r="L747" s="815"/>
      <c r="M747" s="816"/>
      <c r="N747" s="815"/>
      <c r="O747" s="816"/>
      <c r="P747" s="438"/>
      <c r="Q747" s="438"/>
      <c r="R747" s="438"/>
      <c r="S747" s="438"/>
      <c r="T747" s="438"/>
      <c r="U747" s="438"/>
      <c r="V747" s="438"/>
      <c r="W747" s="438"/>
    </row>
    <row r="748" spans="1:23" hidden="1" x14ac:dyDescent="0.25">
      <c r="A748" s="468" t="s">
        <v>611</v>
      </c>
      <c r="B748" s="464"/>
      <c r="C748" s="456" t="s">
        <v>139</v>
      </c>
      <c r="D748" s="458"/>
      <c r="E748" s="458"/>
      <c r="F748" s="815"/>
      <c r="G748" s="816"/>
      <c r="H748" s="815"/>
      <c r="I748" s="816"/>
      <c r="J748" s="815"/>
      <c r="K748" s="816"/>
      <c r="L748" s="815"/>
      <c r="M748" s="816"/>
      <c r="N748" s="815"/>
      <c r="O748" s="816"/>
      <c r="P748" s="438"/>
      <c r="Q748" s="438"/>
      <c r="R748" s="438"/>
      <c r="S748" s="438"/>
      <c r="T748" s="438"/>
      <c r="U748" s="438"/>
      <c r="V748" s="438"/>
      <c r="W748" s="438"/>
    </row>
    <row r="749" spans="1:23" hidden="1" x14ac:dyDescent="0.25">
      <c r="A749" s="468"/>
      <c r="B749" s="465" t="str">
        <f>B748&amp;"KW"</f>
        <v>KW</v>
      </c>
      <c r="C749" s="456" t="s">
        <v>170</v>
      </c>
      <c r="D749" s="458"/>
      <c r="E749" s="458"/>
      <c r="F749" s="815"/>
      <c r="G749" s="816"/>
      <c r="H749" s="815"/>
      <c r="I749" s="816"/>
      <c r="J749" s="815"/>
      <c r="K749" s="816"/>
      <c r="L749" s="815"/>
      <c r="M749" s="816"/>
      <c r="N749" s="815"/>
      <c r="O749" s="816"/>
      <c r="P749" s="438"/>
      <c r="Q749" s="438"/>
      <c r="R749" s="438"/>
      <c r="S749" s="438"/>
      <c r="T749" s="438"/>
      <c r="U749" s="438"/>
      <c r="V749" s="438"/>
      <c r="W749" s="438"/>
    </row>
    <row r="750" spans="1:23" hidden="1" x14ac:dyDescent="0.25">
      <c r="A750" s="468" t="s">
        <v>612</v>
      </c>
      <c r="B750" s="464"/>
      <c r="C750" s="456" t="s">
        <v>139</v>
      </c>
      <c r="D750" s="458"/>
      <c r="E750" s="458"/>
      <c r="F750" s="815"/>
      <c r="G750" s="816"/>
      <c r="H750" s="815"/>
      <c r="I750" s="816"/>
      <c r="J750" s="815"/>
      <c r="K750" s="816"/>
      <c r="L750" s="815"/>
      <c r="M750" s="816"/>
      <c r="N750" s="815"/>
      <c r="O750" s="816"/>
      <c r="P750" s="438"/>
      <c r="Q750" s="438"/>
      <c r="R750" s="438"/>
      <c r="S750" s="438"/>
      <c r="T750" s="438"/>
      <c r="U750" s="438"/>
      <c r="V750" s="438"/>
      <c r="W750" s="438"/>
    </row>
    <row r="751" spans="1:23" hidden="1" x14ac:dyDescent="0.25">
      <c r="A751" s="468"/>
      <c r="B751" s="465" t="str">
        <f>B750&amp;"KW"</f>
        <v>KW</v>
      </c>
      <c r="C751" s="456" t="s">
        <v>170</v>
      </c>
      <c r="D751" s="458"/>
      <c r="E751" s="458"/>
      <c r="F751" s="815"/>
      <c r="G751" s="816"/>
      <c r="H751" s="815"/>
      <c r="I751" s="816"/>
      <c r="J751" s="815"/>
      <c r="K751" s="816"/>
      <c r="L751" s="815"/>
      <c r="M751" s="816"/>
      <c r="N751" s="815"/>
      <c r="O751" s="816"/>
      <c r="P751" s="438"/>
      <c r="Q751" s="438"/>
      <c r="R751" s="438"/>
      <c r="S751" s="438"/>
      <c r="T751" s="438"/>
      <c r="U751" s="438"/>
      <c r="V751" s="438"/>
      <c r="W751" s="438"/>
    </row>
    <row r="752" spans="1:23" hidden="1" x14ac:dyDescent="0.25">
      <c r="A752" s="468" t="s">
        <v>613</v>
      </c>
      <c r="B752" s="464"/>
      <c r="C752" s="456" t="s">
        <v>139</v>
      </c>
      <c r="D752" s="458"/>
      <c r="E752" s="458"/>
      <c r="F752" s="815"/>
      <c r="G752" s="816"/>
      <c r="H752" s="815"/>
      <c r="I752" s="816"/>
      <c r="J752" s="815"/>
      <c r="K752" s="816"/>
      <c r="L752" s="815"/>
      <c r="M752" s="816"/>
      <c r="N752" s="815"/>
      <c r="O752" s="816"/>
      <c r="P752" s="438"/>
      <c r="Q752" s="438"/>
      <c r="R752" s="438"/>
      <c r="S752" s="438"/>
      <c r="T752" s="438"/>
      <c r="U752" s="438"/>
      <c r="V752" s="438"/>
      <c r="W752" s="438"/>
    </row>
    <row r="753" spans="1:23" hidden="1" x14ac:dyDescent="0.25">
      <c r="A753" s="468"/>
      <c r="B753" s="465" t="str">
        <f>B752&amp;"KW"</f>
        <v>KW</v>
      </c>
      <c r="C753" s="456" t="s">
        <v>170</v>
      </c>
      <c r="D753" s="458"/>
      <c r="E753" s="458"/>
      <c r="F753" s="815"/>
      <c r="G753" s="816"/>
      <c r="H753" s="815"/>
      <c r="I753" s="816"/>
      <c r="J753" s="815"/>
      <c r="K753" s="816"/>
      <c r="L753" s="815"/>
      <c r="M753" s="816"/>
      <c r="N753" s="815"/>
      <c r="O753" s="816"/>
      <c r="P753" s="438"/>
      <c r="Q753" s="438"/>
      <c r="R753" s="438"/>
      <c r="S753" s="438"/>
      <c r="T753" s="438"/>
      <c r="U753" s="438"/>
      <c r="V753" s="438"/>
      <c r="W753" s="438"/>
    </row>
    <row r="754" spans="1:23" hidden="1" x14ac:dyDescent="0.25">
      <c r="A754" s="468" t="s">
        <v>614</v>
      </c>
      <c r="B754" s="464"/>
      <c r="C754" s="456" t="s">
        <v>139</v>
      </c>
      <c r="D754" s="458"/>
      <c r="E754" s="458"/>
      <c r="F754" s="815"/>
      <c r="G754" s="816"/>
      <c r="H754" s="815"/>
      <c r="I754" s="816"/>
      <c r="J754" s="815"/>
      <c r="K754" s="816"/>
      <c r="L754" s="815"/>
      <c r="M754" s="816"/>
      <c r="N754" s="815"/>
      <c r="O754" s="816"/>
      <c r="P754" s="438"/>
      <c r="Q754" s="438"/>
      <c r="R754" s="438"/>
      <c r="S754" s="438"/>
      <c r="T754" s="438"/>
      <c r="U754" s="438"/>
      <c r="V754" s="438"/>
      <c r="W754" s="438"/>
    </row>
    <row r="755" spans="1:23" hidden="1" x14ac:dyDescent="0.25">
      <c r="A755" s="468"/>
      <c r="B755" s="465" t="str">
        <f>B754&amp;"KW"</f>
        <v>KW</v>
      </c>
      <c r="C755" s="456" t="s">
        <v>170</v>
      </c>
      <c r="D755" s="458"/>
      <c r="E755" s="458"/>
      <c r="F755" s="815"/>
      <c r="G755" s="816"/>
      <c r="H755" s="815"/>
      <c r="I755" s="816"/>
      <c r="J755" s="815"/>
      <c r="K755" s="816"/>
      <c r="L755" s="815"/>
      <c r="M755" s="816"/>
      <c r="N755" s="815"/>
      <c r="O755" s="816"/>
      <c r="P755" s="438"/>
      <c r="Q755" s="438"/>
      <c r="R755" s="438"/>
      <c r="S755" s="438"/>
      <c r="T755" s="438"/>
      <c r="U755" s="438"/>
      <c r="V755" s="438"/>
      <c r="W755" s="438"/>
    </row>
    <row r="756" spans="1:23" hidden="1" x14ac:dyDescent="0.25">
      <c r="A756" s="468" t="s">
        <v>615</v>
      </c>
      <c r="B756" s="464"/>
      <c r="C756" s="456" t="s">
        <v>139</v>
      </c>
      <c r="D756" s="458"/>
      <c r="E756" s="458"/>
      <c r="F756" s="815"/>
      <c r="G756" s="816"/>
      <c r="H756" s="815"/>
      <c r="I756" s="816"/>
      <c r="J756" s="815"/>
      <c r="K756" s="816"/>
      <c r="L756" s="815"/>
      <c r="M756" s="816"/>
      <c r="N756" s="815"/>
      <c r="O756" s="816"/>
      <c r="P756" s="438"/>
      <c r="Q756" s="438"/>
      <c r="R756" s="438"/>
      <c r="S756" s="438"/>
      <c r="T756" s="438"/>
      <c r="U756" s="438"/>
      <c r="V756" s="438"/>
      <c r="W756" s="438"/>
    </row>
    <row r="757" spans="1:23" hidden="1" x14ac:dyDescent="0.25">
      <c r="A757" s="468"/>
      <c r="B757" s="465" t="str">
        <f>B756&amp;"KW"</f>
        <v>KW</v>
      </c>
      <c r="C757" s="456" t="s">
        <v>170</v>
      </c>
      <c r="D757" s="458"/>
      <c r="E757" s="458"/>
      <c r="F757" s="815"/>
      <c r="G757" s="816"/>
      <c r="H757" s="815"/>
      <c r="I757" s="816"/>
      <c r="J757" s="815"/>
      <c r="K757" s="816"/>
      <c r="L757" s="815"/>
      <c r="M757" s="816"/>
      <c r="N757" s="815"/>
      <c r="O757" s="816"/>
      <c r="P757" s="438"/>
      <c r="Q757" s="438"/>
      <c r="R757" s="438"/>
      <c r="S757" s="438"/>
      <c r="T757" s="438"/>
      <c r="U757" s="438"/>
      <c r="V757" s="438"/>
      <c r="W757" s="438"/>
    </row>
    <row r="758" spans="1:23" hidden="1" x14ac:dyDescent="0.25">
      <c r="A758" s="468" t="s">
        <v>616</v>
      </c>
      <c r="B758" s="464"/>
      <c r="C758" s="456" t="s">
        <v>139</v>
      </c>
      <c r="D758" s="458"/>
      <c r="E758" s="458"/>
      <c r="F758" s="815"/>
      <c r="G758" s="816"/>
      <c r="H758" s="815"/>
      <c r="I758" s="816"/>
      <c r="J758" s="815"/>
      <c r="K758" s="816"/>
      <c r="L758" s="815"/>
      <c r="M758" s="816"/>
      <c r="N758" s="815"/>
      <c r="O758" s="816"/>
      <c r="P758" s="438"/>
      <c r="Q758" s="438"/>
      <c r="R758" s="438"/>
      <c r="S758" s="438"/>
      <c r="T758" s="438"/>
      <c r="U758" s="438"/>
      <c r="V758" s="438"/>
      <c r="W758" s="438"/>
    </row>
    <row r="759" spans="1:23" hidden="1" x14ac:dyDescent="0.25">
      <c r="A759" s="468"/>
      <c r="B759" s="465" t="str">
        <f>B758&amp;"KW"</f>
        <v>KW</v>
      </c>
      <c r="C759" s="456" t="s">
        <v>170</v>
      </c>
      <c r="D759" s="458"/>
      <c r="E759" s="458"/>
      <c r="F759" s="815"/>
      <c r="G759" s="816"/>
      <c r="H759" s="815"/>
      <c r="I759" s="816"/>
      <c r="J759" s="815"/>
      <c r="K759" s="816"/>
      <c r="L759" s="815"/>
      <c r="M759" s="816"/>
      <c r="N759" s="815"/>
      <c r="O759" s="816"/>
      <c r="P759" s="438"/>
      <c r="Q759" s="438"/>
      <c r="R759" s="438"/>
      <c r="S759" s="438"/>
      <c r="T759" s="438"/>
      <c r="U759" s="438"/>
      <c r="V759" s="438"/>
      <c r="W759" s="438"/>
    </row>
    <row r="760" spans="1:23" hidden="1" x14ac:dyDescent="0.25">
      <c r="A760" s="468" t="s">
        <v>617</v>
      </c>
      <c r="B760" s="464"/>
      <c r="C760" s="456" t="s">
        <v>139</v>
      </c>
      <c r="D760" s="458"/>
      <c r="E760" s="458"/>
      <c r="F760" s="815"/>
      <c r="G760" s="816"/>
      <c r="H760" s="815"/>
      <c r="I760" s="816"/>
      <c r="J760" s="815"/>
      <c r="K760" s="816"/>
      <c r="L760" s="815"/>
      <c r="M760" s="816"/>
      <c r="N760" s="815"/>
      <c r="O760" s="816"/>
      <c r="P760" s="438"/>
      <c r="Q760" s="438"/>
      <c r="R760" s="438"/>
      <c r="S760" s="438"/>
      <c r="T760" s="438"/>
      <c r="U760" s="438"/>
      <c r="V760" s="438"/>
      <c r="W760" s="438"/>
    </row>
    <row r="761" spans="1:23" hidden="1" x14ac:dyDescent="0.25">
      <c r="A761" s="468"/>
      <c r="B761" s="465" t="str">
        <f>B760&amp;"KW"</f>
        <v>KW</v>
      </c>
      <c r="C761" s="456" t="s">
        <v>170</v>
      </c>
      <c r="D761" s="458"/>
      <c r="E761" s="458"/>
      <c r="F761" s="815"/>
      <c r="G761" s="816"/>
      <c r="H761" s="815"/>
      <c r="I761" s="816"/>
      <c r="J761" s="815"/>
      <c r="K761" s="816"/>
      <c r="L761" s="815"/>
      <c r="M761" s="816"/>
      <c r="N761" s="815"/>
      <c r="O761" s="816"/>
      <c r="P761" s="438"/>
      <c r="Q761" s="438"/>
      <c r="R761" s="438"/>
      <c r="S761" s="438"/>
      <c r="T761" s="438"/>
      <c r="U761" s="438"/>
      <c r="V761" s="438"/>
      <c r="W761" s="438"/>
    </row>
    <row r="762" spans="1:23" hidden="1" x14ac:dyDescent="0.25">
      <c r="A762" s="468" t="s">
        <v>618</v>
      </c>
      <c r="B762" s="464"/>
      <c r="C762" s="456" t="s">
        <v>139</v>
      </c>
      <c r="D762" s="458"/>
      <c r="E762" s="458"/>
      <c r="F762" s="815"/>
      <c r="G762" s="816"/>
      <c r="H762" s="815"/>
      <c r="I762" s="816"/>
      <c r="J762" s="815"/>
      <c r="K762" s="816"/>
      <c r="L762" s="815"/>
      <c r="M762" s="816"/>
      <c r="N762" s="815"/>
      <c r="O762" s="816"/>
      <c r="P762" s="438"/>
      <c r="Q762" s="438"/>
      <c r="R762" s="438"/>
      <c r="S762" s="438"/>
      <c r="T762" s="438"/>
      <c r="U762" s="438"/>
      <c r="V762" s="438"/>
      <c r="W762" s="438"/>
    </row>
    <row r="763" spans="1:23" hidden="1" x14ac:dyDescent="0.25">
      <c r="A763" s="468"/>
      <c r="B763" s="465" t="str">
        <f>B762&amp;"KW"</f>
        <v>KW</v>
      </c>
      <c r="C763" s="456" t="s">
        <v>170</v>
      </c>
      <c r="D763" s="458"/>
      <c r="E763" s="458"/>
      <c r="F763" s="815"/>
      <c r="G763" s="816"/>
      <c r="H763" s="815"/>
      <c r="I763" s="816"/>
      <c r="J763" s="815"/>
      <c r="K763" s="816"/>
      <c r="L763" s="815"/>
      <c r="M763" s="816"/>
      <c r="N763" s="815"/>
      <c r="O763" s="816"/>
      <c r="P763" s="438"/>
      <c r="Q763" s="438"/>
      <c r="R763" s="438"/>
      <c r="S763" s="438"/>
      <c r="T763" s="438"/>
      <c r="U763" s="438"/>
      <c r="V763" s="438"/>
      <c r="W763" s="438"/>
    </row>
    <row r="764" spans="1:23" hidden="1" x14ac:dyDescent="0.25">
      <c r="A764" s="468" t="s">
        <v>619</v>
      </c>
      <c r="B764" s="464"/>
      <c r="C764" s="456" t="s">
        <v>139</v>
      </c>
      <c r="D764" s="458"/>
      <c r="E764" s="458"/>
      <c r="F764" s="815"/>
      <c r="G764" s="816"/>
      <c r="H764" s="815"/>
      <c r="I764" s="816"/>
      <c r="J764" s="815"/>
      <c r="K764" s="816"/>
      <c r="L764" s="815"/>
      <c r="M764" s="816"/>
      <c r="N764" s="815"/>
      <c r="O764" s="816"/>
      <c r="P764" s="438"/>
      <c r="Q764" s="438"/>
      <c r="R764" s="438"/>
      <c r="S764" s="438"/>
      <c r="T764" s="438"/>
      <c r="U764" s="438"/>
      <c r="V764" s="438"/>
      <c r="W764" s="438"/>
    </row>
    <row r="765" spans="1:23" hidden="1" x14ac:dyDescent="0.25">
      <c r="A765" s="468"/>
      <c r="B765" s="465" t="str">
        <f>B764&amp;"KW"</f>
        <v>KW</v>
      </c>
      <c r="C765" s="456" t="s">
        <v>170</v>
      </c>
      <c r="D765" s="458"/>
      <c r="E765" s="458"/>
      <c r="F765" s="815"/>
      <c r="G765" s="816"/>
      <c r="H765" s="815"/>
      <c r="I765" s="816"/>
      <c r="J765" s="815"/>
      <c r="K765" s="816"/>
      <c r="L765" s="815"/>
      <c r="M765" s="816"/>
      <c r="N765" s="815"/>
      <c r="O765" s="816"/>
      <c r="P765" s="438"/>
      <c r="Q765" s="438"/>
      <c r="R765" s="438"/>
      <c r="S765" s="438"/>
      <c r="T765" s="438"/>
      <c r="U765" s="438"/>
      <c r="V765" s="438"/>
      <c r="W765" s="438"/>
    </row>
    <row r="766" spans="1:23" hidden="1" x14ac:dyDescent="0.25">
      <c r="A766" s="468" t="s">
        <v>620</v>
      </c>
      <c r="B766" s="464"/>
      <c r="C766" s="456" t="s">
        <v>139</v>
      </c>
      <c r="D766" s="458"/>
      <c r="E766" s="458"/>
      <c r="F766" s="815"/>
      <c r="G766" s="816"/>
      <c r="H766" s="815"/>
      <c r="I766" s="816"/>
      <c r="J766" s="815"/>
      <c r="K766" s="816"/>
      <c r="L766" s="815"/>
      <c r="M766" s="816"/>
      <c r="N766" s="815"/>
      <c r="O766" s="816"/>
      <c r="P766" s="438"/>
      <c r="Q766" s="438"/>
      <c r="R766" s="438"/>
      <c r="S766" s="438"/>
      <c r="T766" s="438"/>
      <c r="U766" s="438"/>
      <c r="V766" s="438"/>
      <c r="W766" s="438"/>
    </row>
    <row r="767" spans="1:23" hidden="1" x14ac:dyDescent="0.25">
      <c r="A767" s="468"/>
      <c r="B767" s="465" t="str">
        <f>B766&amp;"KW"</f>
        <v>KW</v>
      </c>
      <c r="C767" s="456" t="s">
        <v>170</v>
      </c>
      <c r="D767" s="458"/>
      <c r="E767" s="458"/>
      <c r="F767" s="815"/>
      <c r="G767" s="816"/>
      <c r="H767" s="815"/>
      <c r="I767" s="816"/>
      <c r="J767" s="815"/>
      <c r="K767" s="816"/>
      <c r="L767" s="815"/>
      <c r="M767" s="816"/>
      <c r="N767" s="815"/>
      <c r="O767" s="816"/>
      <c r="P767" s="438"/>
      <c r="Q767" s="438"/>
      <c r="R767" s="438"/>
      <c r="S767" s="438"/>
      <c r="T767" s="438"/>
      <c r="U767" s="438"/>
      <c r="V767" s="438"/>
      <c r="W767" s="438"/>
    </row>
    <row r="768" spans="1:23" hidden="1" x14ac:dyDescent="0.25">
      <c r="A768" s="468" t="s">
        <v>621</v>
      </c>
      <c r="B768" s="464"/>
      <c r="C768" s="456" t="s">
        <v>139</v>
      </c>
      <c r="D768" s="458"/>
      <c r="E768" s="458"/>
      <c r="F768" s="815"/>
      <c r="G768" s="816"/>
      <c r="H768" s="815"/>
      <c r="I768" s="816"/>
      <c r="J768" s="815"/>
      <c r="K768" s="816"/>
      <c r="L768" s="815"/>
      <c r="M768" s="816"/>
      <c r="N768" s="815"/>
      <c r="O768" s="816"/>
      <c r="P768" s="438"/>
      <c r="Q768" s="438"/>
      <c r="R768" s="438"/>
      <c r="S768" s="438"/>
      <c r="T768" s="438"/>
      <c r="U768" s="438"/>
      <c r="V768" s="438"/>
      <c r="W768" s="438"/>
    </row>
    <row r="769" spans="1:23" hidden="1" x14ac:dyDescent="0.25">
      <c r="A769" s="468"/>
      <c r="B769" s="465" t="str">
        <f>B768&amp;"KW"</f>
        <v>KW</v>
      </c>
      <c r="C769" s="456" t="s">
        <v>170</v>
      </c>
      <c r="D769" s="458"/>
      <c r="E769" s="458"/>
      <c r="F769" s="815"/>
      <c r="G769" s="816"/>
      <c r="H769" s="815"/>
      <c r="I769" s="816"/>
      <c r="J769" s="815"/>
      <c r="K769" s="816"/>
      <c r="L769" s="815"/>
      <c r="M769" s="816"/>
      <c r="N769" s="815"/>
      <c r="O769" s="816"/>
      <c r="P769" s="438"/>
      <c r="Q769" s="438"/>
      <c r="R769" s="438"/>
      <c r="S769" s="438"/>
      <c r="T769" s="438"/>
      <c r="U769" s="438"/>
      <c r="V769" s="438"/>
      <c r="W769" s="438"/>
    </row>
    <row r="770" spans="1:23" hidden="1" x14ac:dyDescent="0.25">
      <c r="A770" s="468" t="s">
        <v>622</v>
      </c>
      <c r="B770" s="464"/>
      <c r="C770" s="456" t="s">
        <v>139</v>
      </c>
      <c r="D770" s="458"/>
      <c r="E770" s="458"/>
      <c r="F770" s="815"/>
      <c r="G770" s="816"/>
      <c r="H770" s="815"/>
      <c r="I770" s="816"/>
      <c r="J770" s="815"/>
      <c r="K770" s="816"/>
      <c r="L770" s="815"/>
      <c r="M770" s="816"/>
      <c r="N770" s="815"/>
      <c r="O770" s="816"/>
      <c r="P770" s="438"/>
      <c r="Q770" s="438"/>
      <c r="R770" s="438"/>
      <c r="S770" s="438"/>
      <c r="T770" s="438"/>
      <c r="U770" s="438"/>
      <c r="V770" s="438"/>
      <c r="W770" s="438"/>
    </row>
    <row r="771" spans="1:23" hidden="1" x14ac:dyDescent="0.25">
      <c r="A771" s="468"/>
      <c r="B771" s="465" t="str">
        <f>B770&amp;"KW"</f>
        <v>KW</v>
      </c>
      <c r="C771" s="456" t="s">
        <v>170</v>
      </c>
      <c r="D771" s="458"/>
      <c r="E771" s="458"/>
      <c r="F771" s="815"/>
      <c r="G771" s="816"/>
      <c r="H771" s="815"/>
      <c r="I771" s="816"/>
      <c r="J771" s="815"/>
      <c r="K771" s="816"/>
      <c r="L771" s="815"/>
      <c r="M771" s="816"/>
      <c r="N771" s="815"/>
      <c r="O771" s="816"/>
      <c r="P771" s="438"/>
      <c r="Q771" s="438"/>
      <c r="R771" s="438"/>
      <c r="S771" s="438"/>
      <c r="T771" s="438"/>
      <c r="U771" s="438"/>
      <c r="V771" s="438"/>
      <c r="W771" s="438"/>
    </row>
    <row r="772" spans="1:23" hidden="1" x14ac:dyDescent="0.25">
      <c r="A772" s="468" t="s">
        <v>623</v>
      </c>
      <c r="B772" s="464"/>
      <c r="C772" s="456" t="s">
        <v>139</v>
      </c>
      <c r="D772" s="458"/>
      <c r="E772" s="458"/>
      <c r="F772" s="815"/>
      <c r="G772" s="816"/>
      <c r="H772" s="815"/>
      <c r="I772" s="816"/>
      <c r="J772" s="815"/>
      <c r="K772" s="816"/>
      <c r="L772" s="815"/>
      <c r="M772" s="816"/>
      <c r="N772" s="815"/>
      <c r="O772" s="816"/>
      <c r="P772" s="438"/>
      <c r="Q772" s="438"/>
      <c r="R772" s="438"/>
      <c r="S772" s="438"/>
      <c r="T772" s="438"/>
      <c r="U772" s="438"/>
      <c r="V772" s="438"/>
      <c r="W772" s="438"/>
    </row>
    <row r="773" spans="1:23" hidden="1" x14ac:dyDescent="0.25">
      <c r="A773" s="468"/>
      <c r="B773" s="465" t="str">
        <f>B772&amp;"KW"</f>
        <v>KW</v>
      </c>
      <c r="C773" s="456" t="s">
        <v>170</v>
      </c>
      <c r="D773" s="458"/>
      <c r="E773" s="458"/>
      <c r="F773" s="815"/>
      <c r="G773" s="816"/>
      <c r="H773" s="815"/>
      <c r="I773" s="816"/>
      <c r="J773" s="815"/>
      <c r="K773" s="816"/>
      <c r="L773" s="815"/>
      <c r="M773" s="816"/>
      <c r="N773" s="815"/>
      <c r="O773" s="816"/>
      <c r="P773" s="438"/>
      <c r="Q773" s="438"/>
      <c r="R773" s="438"/>
      <c r="S773" s="438"/>
      <c r="T773" s="438"/>
      <c r="U773" s="438"/>
      <c r="V773" s="438"/>
      <c r="W773" s="438"/>
    </row>
    <row r="774" spans="1:23" hidden="1" x14ac:dyDescent="0.25">
      <c r="A774" s="468" t="s">
        <v>624</v>
      </c>
      <c r="B774" s="464"/>
      <c r="C774" s="456" t="s">
        <v>139</v>
      </c>
      <c r="D774" s="458"/>
      <c r="E774" s="458"/>
      <c r="F774" s="815"/>
      <c r="G774" s="816"/>
      <c r="H774" s="815"/>
      <c r="I774" s="816"/>
      <c r="J774" s="815"/>
      <c r="K774" s="816"/>
      <c r="L774" s="815"/>
      <c r="M774" s="816"/>
      <c r="N774" s="815"/>
      <c r="O774" s="816"/>
      <c r="P774" s="438"/>
      <c r="Q774" s="438"/>
      <c r="R774" s="438"/>
      <c r="S774" s="438"/>
      <c r="T774" s="438"/>
      <c r="U774" s="438"/>
      <c r="V774" s="438"/>
      <c r="W774" s="438"/>
    </row>
    <row r="775" spans="1:23" hidden="1" x14ac:dyDescent="0.25">
      <c r="A775" s="468"/>
      <c r="B775" s="465" t="str">
        <f>B774&amp;"KW"</f>
        <v>KW</v>
      </c>
      <c r="C775" s="456" t="s">
        <v>170</v>
      </c>
      <c r="D775" s="458"/>
      <c r="E775" s="458"/>
      <c r="F775" s="815"/>
      <c r="G775" s="816"/>
      <c r="H775" s="815"/>
      <c r="I775" s="816"/>
      <c r="J775" s="815"/>
      <c r="K775" s="816"/>
      <c r="L775" s="815"/>
      <c r="M775" s="816"/>
      <c r="N775" s="815"/>
      <c r="O775" s="816"/>
      <c r="P775" s="438"/>
      <c r="Q775" s="438"/>
      <c r="R775" s="438"/>
      <c r="S775" s="438"/>
      <c r="T775" s="438"/>
      <c r="U775" s="438"/>
      <c r="V775" s="438"/>
      <c r="W775" s="438"/>
    </row>
    <row r="776" spans="1:23" hidden="1" x14ac:dyDescent="0.25">
      <c r="A776" s="468" t="s">
        <v>625</v>
      </c>
      <c r="B776" s="464"/>
      <c r="C776" s="456" t="s">
        <v>139</v>
      </c>
      <c r="D776" s="458"/>
      <c r="E776" s="458"/>
      <c r="F776" s="815"/>
      <c r="G776" s="816"/>
      <c r="H776" s="815"/>
      <c r="I776" s="816"/>
      <c r="J776" s="815"/>
      <c r="K776" s="816"/>
      <c r="L776" s="815"/>
      <c r="M776" s="816"/>
      <c r="N776" s="815"/>
      <c r="O776" s="816"/>
      <c r="P776" s="438"/>
      <c r="Q776" s="438"/>
      <c r="R776" s="438"/>
      <c r="S776" s="438"/>
      <c r="T776" s="438"/>
      <c r="U776" s="438"/>
      <c r="V776" s="438"/>
      <c r="W776" s="438"/>
    </row>
    <row r="777" spans="1:23" hidden="1" x14ac:dyDescent="0.25">
      <c r="A777" s="468"/>
      <c r="B777" s="465" t="str">
        <f>B776&amp;"KW"</f>
        <v>KW</v>
      </c>
      <c r="C777" s="456" t="s">
        <v>170</v>
      </c>
      <c r="D777" s="458"/>
      <c r="E777" s="458"/>
      <c r="F777" s="815"/>
      <c r="G777" s="816"/>
      <c r="H777" s="815"/>
      <c r="I777" s="816"/>
      <c r="J777" s="815"/>
      <c r="K777" s="816"/>
      <c r="L777" s="815"/>
      <c r="M777" s="816"/>
      <c r="N777" s="815"/>
      <c r="O777" s="816"/>
      <c r="P777" s="438"/>
      <c r="Q777" s="438"/>
      <c r="R777" s="438"/>
      <c r="S777" s="438"/>
      <c r="T777" s="438"/>
      <c r="U777" s="438"/>
      <c r="V777" s="438"/>
      <c r="W777" s="438"/>
    </row>
    <row r="778" spans="1:23" hidden="1" x14ac:dyDescent="0.25">
      <c r="A778" s="468" t="s">
        <v>626</v>
      </c>
      <c r="B778" s="464"/>
      <c r="C778" s="456" t="s">
        <v>139</v>
      </c>
      <c r="D778" s="458"/>
      <c r="E778" s="458"/>
      <c r="F778" s="815"/>
      <c r="G778" s="816"/>
      <c r="H778" s="815"/>
      <c r="I778" s="816"/>
      <c r="J778" s="815"/>
      <c r="K778" s="816"/>
      <c r="L778" s="815"/>
      <c r="M778" s="816"/>
      <c r="N778" s="815"/>
      <c r="O778" s="816"/>
      <c r="P778" s="438"/>
      <c r="Q778" s="438"/>
      <c r="R778" s="438"/>
      <c r="S778" s="438"/>
      <c r="T778" s="438"/>
      <c r="U778" s="438"/>
      <c r="V778" s="438"/>
      <c r="W778" s="438"/>
    </row>
    <row r="779" spans="1:23" hidden="1" x14ac:dyDescent="0.25">
      <c r="A779" s="468"/>
      <c r="B779" s="465" t="str">
        <f>B778&amp;"KW"</f>
        <v>KW</v>
      </c>
      <c r="C779" s="456" t="s">
        <v>170</v>
      </c>
      <c r="D779" s="458"/>
      <c r="E779" s="458"/>
      <c r="F779" s="815"/>
      <c r="G779" s="816"/>
      <c r="H779" s="815"/>
      <c r="I779" s="816"/>
      <c r="J779" s="815"/>
      <c r="K779" s="816"/>
      <c r="L779" s="815"/>
      <c r="M779" s="816"/>
      <c r="N779" s="815"/>
      <c r="O779" s="816"/>
      <c r="P779" s="438"/>
      <c r="Q779" s="438"/>
      <c r="R779" s="438"/>
      <c r="S779" s="438"/>
      <c r="T779" s="438"/>
      <c r="U779" s="438"/>
      <c r="V779" s="438"/>
      <c r="W779" s="438"/>
    </row>
    <row r="780" spans="1:23" hidden="1" x14ac:dyDescent="0.25">
      <c r="A780" s="468" t="s">
        <v>627</v>
      </c>
      <c r="B780" s="464"/>
      <c r="C780" s="456" t="s">
        <v>139</v>
      </c>
      <c r="D780" s="458"/>
      <c r="E780" s="458"/>
      <c r="F780" s="815"/>
      <c r="G780" s="816"/>
      <c r="H780" s="815"/>
      <c r="I780" s="816"/>
      <c r="J780" s="815"/>
      <c r="K780" s="816"/>
      <c r="L780" s="815"/>
      <c r="M780" s="816"/>
      <c r="N780" s="815"/>
      <c r="O780" s="816"/>
      <c r="P780" s="438"/>
      <c r="Q780" s="438"/>
      <c r="R780" s="438"/>
      <c r="S780" s="438"/>
      <c r="T780" s="438"/>
      <c r="U780" s="438"/>
      <c r="V780" s="438"/>
      <c r="W780" s="438"/>
    </row>
    <row r="781" spans="1:23" hidden="1" x14ac:dyDescent="0.25">
      <c r="A781" s="468"/>
      <c r="B781" s="465" t="str">
        <f>B780&amp;"KW"</f>
        <v>KW</v>
      </c>
      <c r="C781" s="456" t="s">
        <v>170</v>
      </c>
      <c r="D781" s="458"/>
      <c r="E781" s="458"/>
      <c r="F781" s="815"/>
      <c r="G781" s="816"/>
      <c r="H781" s="815"/>
      <c r="I781" s="816"/>
      <c r="J781" s="815"/>
      <c r="K781" s="816"/>
      <c r="L781" s="815"/>
      <c r="M781" s="816"/>
      <c r="N781" s="815"/>
      <c r="O781" s="816"/>
      <c r="P781" s="438"/>
      <c r="Q781" s="438"/>
      <c r="R781" s="438"/>
      <c r="S781" s="438"/>
      <c r="T781" s="438"/>
      <c r="U781" s="438"/>
      <c r="V781" s="438"/>
      <c r="W781" s="438"/>
    </row>
    <row r="782" spans="1:23" hidden="1" x14ac:dyDescent="0.25">
      <c r="A782" s="468" t="s">
        <v>628</v>
      </c>
      <c r="B782" s="464"/>
      <c r="C782" s="456" t="s">
        <v>139</v>
      </c>
      <c r="D782" s="458"/>
      <c r="E782" s="458"/>
      <c r="F782" s="815"/>
      <c r="G782" s="816"/>
      <c r="H782" s="815"/>
      <c r="I782" s="816"/>
      <c r="J782" s="815"/>
      <c r="K782" s="816"/>
      <c r="L782" s="815"/>
      <c r="M782" s="816"/>
      <c r="N782" s="815"/>
      <c r="O782" s="816"/>
      <c r="P782" s="438"/>
      <c r="Q782" s="438"/>
      <c r="R782" s="438"/>
      <c r="S782" s="438"/>
      <c r="T782" s="438"/>
      <c r="U782" s="438"/>
      <c r="V782" s="438"/>
      <c r="W782" s="438"/>
    </row>
    <row r="783" spans="1:23" hidden="1" x14ac:dyDescent="0.25">
      <c r="A783" s="468"/>
      <c r="B783" s="465" t="str">
        <f>B782&amp;"KW"</f>
        <v>KW</v>
      </c>
      <c r="C783" s="456" t="s">
        <v>170</v>
      </c>
      <c r="D783" s="458"/>
      <c r="E783" s="458"/>
      <c r="F783" s="815"/>
      <c r="G783" s="816"/>
      <c r="H783" s="815"/>
      <c r="I783" s="816"/>
      <c r="J783" s="815"/>
      <c r="K783" s="816"/>
      <c r="L783" s="815"/>
      <c r="M783" s="816"/>
      <c r="N783" s="815"/>
      <c r="O783" s="816"/>
      <c r="P783" s="438"/>
      <c r="Q783" s="438"/>
      <c r="R783" s="438"/>
      <c r="S783" s="438"/>
      <c r="T783" s="438"/>
      <c r="U783" s="438"/>
      <c r="V783" s="438"/>
      <c r="W783" s="438"/>
    </row>
    <row r="784" spans="1:23" hidden="1" x14ac:dyDescent="0.25">
      <c r="A784" s="468" t="s">
        <v>629</v>
      </c>
      <c r="B784" s="464"/>
      <c r="C784" s="456" t="s">
        <v>139</v>
      </c>
      <c r="D784" s="458"/>
      <c r="E784" s="458"/>
      <c r="F784" s="815"/>
      <c r="G784" s="816"/>
      <c r="H784" s="815"/>
      <c r="I784" s="816"/>
      <c r="J784" s="815"/>
      <c r="K784" s="816"/>
      <c r="L784" s="815"/>
      <c r="M784" s="816"/>
      <c r="N784" s="815"/>
      <c r="O784" s="816"/>
      <c r="P784" s="438"/>
      <c r="Q784" s="438"/>
      <c r="R784" s="438"/>
      <c r="S784" s="438"/>
      <c r="T784" s="438"/>
      <c r="U784" s="438"/>
      <c r="V784" s="438"/>
      <c r="W784" s="438"/>
    </row>
    <row r="785" spans="1:23" hidden="1" x14ac:dyDescent="0.25">
      <c r="A785" s="468"/>
      <c r="B785" s="465" t="str">
        <f>B784&amp;"KW"</f>
        <v>KW</v>
      </c>
      <c r="C785" s="456" t="s">
        <v>170</v>
      </c>
      <c r="D785" s="458"/>
      <c r="E785" s="458"/>
      <c r="F785" s="815"/>
      <c r="G785" s="816"/>
      <c r="H785" s="815"/>
      <c r="I785" s="816"/>
      <c r="J785" s="815"/>
      <c r="K785" s="816"/>
      <c r="L785" s="815"/>
      <c r="M785" s="816"/>
      <c r="N785" s="815"/>
      <c r="O785" s="816"/>
      <c r="P785" s="438"/>
      <c r="Q785" s="438"/>
      <c r="R785" s="438"/>
      <c r="S785" s="438"/>
      <c r="T785" s="438"/>
      <c r="U785" s="438"/>
      <c r="V785" s="438"/>
      <c r="W785" s="438"/>
    </row>
    <row r="786" spans="1:23" hidden="1" x14ac:dyDescent="0.25">
      <c r="A786" s="468" t="s">
        <v>630</v>
      </c>
      <c r="B786" s="464"/>
      <c r="C786" s="456" t="s">
        <v>139</v>
      </c>
      <c r="D786" s="458"/>
      <c r="E786" s="458"/>
      <c r="F786" s="815"/>
      <c r="G786" s="816"/>
      <c r="H786" s="815"/>
      <c r="I786" s="816"/>
      <c r="J786" s="815"/>
      <c r="K786" s="816"/>
      <c r="L786" s="815"/>
      <c r="M786" s="816"/>
      <c r="N786" s="815"/>
      <c r="O786" s="816"/>
      <c r="P786" s="438"/>
      <c r="Q786" s="438"/>
      <c r="R786" s="438"/>
      <c r="S786" s="438"/>
      <c r="T786" s="438"/>
      <c r="U786" s="438"/>
      <c r="V786" s="438"/>
      <c r="W786" s="438"/>
    </row>
    <row r="787" spans="1:23" hidden="1" x14ac:dyDescent="0.25">
      <c r="A787" s="468"/>
      <c r="B787" s="465" t="str">
        <f>B786&amp;"KW"</f>
        <v>KW</v>
      </c>
      <c r="C787" s="456" t="s">
        <v>170</v>
      </c>
      <c r="D787" s="458"/>
      <c r="E787" s="458"/>
      <c r="F787" s="815"/>
      <c r="G787" s="816"/>
      <c r="H787" s="815"/>
      <c r="I787" s="816"/>
      <c r="J787" s="815"/>
      <c r="K787" s="816"/>
      <c r="L787" s="815"/>
      <c r="M787" s="816"/>
      <c r="N787" s="815"/>
      <c r="O787" s="816"/>
      <c r="P787" s="438"/>
      <c r="Q787" s="438"/>
      <c r="R787" s="438"/>
      <c r="S787" s="438"/>
      <c r="T787" s="438"/>
      <c r="U787" s="438"/>
      <c r="V787" s="438"/>
      <c r="W787" s="438"/>
    </row>
    <row r="788" spans="1:23" hidden="1" x14ac:dyDescent="0.25">
      <c r="A788" s="468" t="s">
        <v>631</v>
      </c>
      <c r="B788" s="464"/>
      <c r="C788" s="456" t="s">
        <v>139</v>
      </c>
      <c r="D788" s="458"/>
      <c r="E788" s="458"/>
      <c r="F788" s="815"/>
      <c r="G788" s="816"/>
      <c r="H788" s="815"/>
      <c r="I788" s="816"/>
      <c r="J788" s="815"/>
      <c r="K788" s="816"/>
      <c r="L788" s="815"/>
      <c r="M788" s="816"/>
      <c r="N788" s="815"/>
      <c r="O788" s="816"/>
      <c r="P788" s="438"/>
      <c r="Q788" s="438"/>
      <c r="R788" s="438"/>
      <c r="S788" s="438"/>
      <c r="T788" s="438"/>
      <c r="U788" s="438"/>
      <c r="V788" s="438"/>
      <c r="W788" s="438"/>
    </row>
    <row r="789" spans="1:23" hidden="1" x14ac:dyDescent="0.25">
      <c r="A789" s="468"/>
      <c r="B789" s="465" t="str">
        <f>B788&amp;"KW"</f>
        <v>KW</v>
      </c>
      <c r="C789" s="456" t="s">
        <v>170</v>
      </c>
      <c r="D789" s="458"/>
      <c r="E789" s="458"/>
      <c r="F789" s="815"/>
      <c r="G789" s="816"/>
      <c r="H789" s="815"/>
      <c r="I789" s="816"/>
      <c r="J789" s="815"/>
      <c r="K789" s="816"/>
      <c r="L789" s="815"/>
      <c r="M789" s="816"/>
      <c r="N789" s="815"/>
      <c r="O789" s="816"/>
      <c r="P789" s="438"/>
      <c r="Q789" s="438"/>
      <c r="R789" s="438"/>
      <c r="S789" s="438"/>
      <c r="T789" s="438"/>
      <c r="U789" s="438"/>
      <c r="V789" s="438"/>
      <c r="W789" s="438"/>
    </row>
    <row r="790" spans="1:23" hidden="1" x14ac:dyDescent="0.25">
      <c r="A790" s="468" t="s">
        <v>632</v>
      </c>
      <c r="B790" s="464"/>
      <c r="C790" s="456" t="s">
        <v>139</v>
      </c>
      <c r="D790" s="458"/>
      <c r="E790" s="458"/>
      <c r="F790" s="815"/>
      <c r="G790" s="816"/>
      <c r="H790" s="815"/>
      <c r="I790" s="816"/>
      <c r="J790" s="815"/>
      <c r="K790" s="816"/>
      <c r="L790" s="815"/>
      <c r="M790" s="816"/>
      <c r="N790" s="815"/>
      <c r="O790" s="816"/>
      <c r="P790" s="438"/>
      <c r="Q790" s="438"/>
      <c r="R790" s="438"/>
      <c r="S790" s="438"/>
      <c r="T790" s="438"/>
      <c r="U790" s="438"/>
      <c r="V790" s="438"/>
      <c r="W790" s="438"/>
    </row>
    <row r="791" spans="1:23" hidden="1" x14ac:dyDescent="0.25">
      <c r="A791" s="468"/>
      <c r="B791" s="465" t="str">
        <f>B790&amp;"KW"</f>
        <v>KW</v>
      </c>
      <c r="C791" s="456" t="s">
        <v>170</v>
      </c>
      <c r="D791" s="458"/>
      <c r="E791" s="458"/>
      <c r="F791" s="815"/>
      <c r="G791" s="816"/>
      <c r="H791" s="815"/>
      <c r="I791" s="816"/>
      <c r="J791" s="815"/>
      <c r="K791" s="816"/>
      <c r="L791" s="815"/>
      <c r="M791" s="816"/>
      <c r="N791" s="815"/>
      <c r="O791" s="816"/>
      <c r="P791" s="438"/>
      <c r="Q791" s="438"/>
      <c r="R791" s="438"/>
      <c r="S791" s="438"/>
      <c r="T791" s="438"/>
      <c r="U791" s="438"/>
      <c r="V791" s="438"/>
      <c r="W791" s="438"/>
    </row>
  </sheetData>
  <sheetProtection algorithmName="SHA-512" hashValue="dmT7KYPULnrNPc4VGlAK8qFXWO8JDHX9mrDFnaRQshX0zBYtsZ8Fh4cvUmYsrI8D6Xoi2T+pjuIaM4AL0q39og==" saltValue="ysNH14wc8jKCICS9mdtu0w==" spinCount="100000" sheet="1" objects="1" scenarios="1"/>
  <mergeCells count="1520">
    <mergeCell ref="N16:O16"/>
    <mergeCell ref="C28:C29"/>
    <mergeCell ref="D28:D29"/>
    <mergeCell ref="F28:G28"/>
    <mergeCell ref="H28:I28"/>
    <mergeCell ref="J28:K28"/>
    <mergeCell ref="L28:M28"/>
    <mergeCell ref="N28:O28"/>
    <mergeCell ref="D14:K14"/>
    <mergeCell ref="C16:E16"/>
    <mergeCell ref="F16:G16"/>
    <mergeCell ref="H16:I16"/>
    <mergeCell ref="J16:K16"/>
    <mergeCell ref="L16:M16"/>
    <mergeCell ref="F493:G493"/>
    <mergeCell ref="H493:I493"/>
    <mergeCell ref="J493:K493"/>
    <mergeCell ref="L493:M493"/>
    <mergeCell ref="N493:O493"/>
    <mergeCell ref="E490:O490"/>
    <mergeCell ref="F494:G494"/>
    <mergeCell ref="H494:I494"/>
    <mergeCell ref="J494:K494"/>
    <mergeCell ref="L494:M494"/>
    <mergeCell ref="N494:O494"/>
    <mergeCell ref="F491:G491"/>
    <mergeCell ref="H491:I491"/>
    <mergeCell ref="J491:K491"/>
    <mergeCell ref="L491:M491"/>
    <mergeCell ref="N491:O491"/>
    <mergeCell ref="F492:G492"/>
    <mergeCell ref="H492:I492"/>
    <mergeCell ref="J492:K492"/>
    <mergeCell ref="L492:M492"/>
    <mergeCell ref="N492:O492"/>
    <mergeCell ref="F497:G497"/>
    <mergeCell ref="H497:I497"/>
    <mergeCell ref="J497:K497"/>
    <mergeCell ref="L497:M497"/>
    <mergeCell ref="N497:O497"/>
    <mergeCell ref="F498:G498"/>
    <mergeCell ref="H498:I498"/>
    <mergeCell ref="J498:K498"/>
    <mergeCell ref="L498:M498"/>
    <mergeCell ref="N498:O498"/>
    <mergeCell ref="F495:G495"/>
    <mergeCell ref="H495:I495"/>
    <mergeCell ref="J495:K495"/>
    <mergeCell ref="L495:M495"/>
    <mergeCell ref="N495:O495"/>
    <mergeCell ref="F496:G496"/>
    <mergeCell ref="H496:I496"/>
    <mergeCell ref="J496:K496"/>
    <mergeCell ref="L496:M496"/>
    <mergeCell ref="N496:O496"/>
    <mergeCell ref="F501:G501"/>
    <mergeCell ref="H501:I501"/>
    <mergeCell ref="J501:K501"/>
    <mergeCell ref="L501:M501"/>
    <mergeCell ref="N501:O501"/>
    <mergeCell ref="F502:G502"/>
    <mergeCell ref="H502:I502"/>
    <mergeCell ref="J502:K502"/>
    <mergeCell ref="L502:M502"/>
    <mergeCell ref="N502:O502"/>
    <mergeCell ref="F499:G499"/>
    <mergeCell ref="H499:I499"/>
    <mergeCell ref="J499:K499"/>
    <mergeCell ref="L499:M499"/>
    <mergeCell ref="N499:O499"/>
    <mergeCell ref="F500:G500"/>
    <mergeCell ref="H500:I500"/>
    <mergeCell ref="J500:K500"/>
    <mergeCell ref="L500:M500"/>
    <mergeCell ref="N500:O500"/>
    <mergeCell ref="F505:G505"/>
    <mergeCell ref="H505:I505"/>
    <mergeCell ref="J505:K505"/>
    <mergeCell ref="L505:M505"/>
    <mergeCell ref="N505:O505"/>
    <mergeCell ref="F506:G506"/>
    <mergeCell ref="H506:I506"/>
    <mergeCell ref="J506:K506"/>
    <mergeCell ref="L506:M506"/>
    <mergeCell ref="N506:O506"/>
    <mergeCell ref="F503:G503"/>
    <mergeCell ref="H503:I503"/>
    <mergeCell ref="J503:K503"/>
    <mergeCell ref="L503:M503"/>
    <mergeCell ref="N503:O503"/>
    <mergeCell ref="F504:G504"/>
    <mergeCell ref="H504:I504"/>
    <mergeCell ref="J504:K504"/>
    <mergeCell ref="L504:M504"/>
    <mergeCell ref="N504:O504"/>
    <mergeCell ref="F509:G509"/>
    <mergeCell ref="H509:I509"/>
    <mergeCell ref="J509:K509"/>
    <mergeCell ref="L509:M509"/>
    <mergeCell ref="N509:O509"/>
    <mergeCell ref="F510:G510"/>
    <mergeCell ref="H510:I510"/>
    <mergeCell ref="J510:K510"/>
    <mergeCell ref="L510:M510"/>
    <mergeCell ref="N510:O510"/>
    <mergeCell ref="F507:G507"/>
    <mergeCell ref="H507:I507"/>
    <mergeCell ref="J507:K507"/>
    <mergeCell ref="L507:M507"/>
    <mergeCell ref="N507:O507"/>
    <mergeCell ref="F508:G508"/>
    <mergeCell ref="H508:I508"/>
    <mergeCell ref="J508:K508"/>
    <mergeCell ref="L508:M508"/>
    <mergeCell ref="N508:O508"/>
    <mergeCell ref="F513:G513"/>
    <mergeCell ref="H513:I513"/>
    <mergeCell ref="J513:K513"/>
    <mergeCell ref="L513:M513"/>
    <mergeCell ref="N513:O513"/>
    <mergeCell ref="F514:G514"/>
    <mergeCell ref="H514:I514"/>
    <mergeCell ref="J514:K514"/>
    <mergeCell ref="L514:M514"/>
    <mergeCell ref="N514:O514"/>
    <mergeCell ref="F511:G511"/>
    <mergeCell ref="H511:I511"/>
    <mergeCell ref="J511:K511"/>
    <mergeCell ref="L511:M511"/>
    <mergeCell ref="N511:O511"/>
    <mergeCell ref="F512:G512"/>
    <mergeCell ref="H512:I512"/>
    <mergeCell ref="J512:K512"/>
    <mergeCell ref="L512:M512"/>
    <mergeCell ref="N512:O512"/>
    <mergeCell ref="F517:G517"/>
    <mergeCell ref="H517:I517"/>
    <mergeCell ref="J517:K517"/>
    <mergeCell ref="L517:M517"/>
    <mergeCell ref="N517:O517"/>
    <mergeCell ref="F518:G518"/>
    <mergeCell ref="H518:I518"/>
    <mergeCell ref="J518:K518"/>
    <mergeCell ref="L518:M518"/>
    <mergeCell ref="N518:O518"/>
    <mergeCell ref="F515:G515"/>
    <mergeCell ref="H515:I515"/>
    <mergeCell ref="J515:K515"/>
    <mergeCell ref="L515:M515"/>
    <mergeCell ref="N515:O515"/>
    <mergeCell ref="F516:G516"/>
    <mergeCell ref="H516:I516"/>
    <mergeCell ref="J516:K516"/>
    <mergeCell ref="L516:M516"/>
    <mergeCell ref="N516:O516"/>
    <mergeCell ref="F521:G521"/>
    <mergeCell ref="H521:I521"/>
    <mergeCell ref="J521:K521"/>
    <mergeCell ref="L521:M521"/>
    <mergeCell ref="N521:O521"/>
    <mergeCell ref="F522:G522"/>
    <mergeCell ref="H522:I522"/>
    <mergeCell ref="J522:K522"/>
    <mergeCell ref="L522:M522"/>
    <mergeCell ref="N522:O522"/>
    <mergeCell ref="F519:G519"/>
    <mergeCell ref="H519:I519"/>
    <mergeCell ref="J519:K519"/>
    <mergeCell ref="L519:M519"/>
    <mergeCell ref="N519:O519"/>
    <mergeCell ref="F520:G520"/>
    <mergeCell ref="H520:I520"/>
    <mergeCell ref="J520:K520"/>
    <mergeCell ref="L520:M520"/>
    <mergeCell ref="N520:O520"/>
    <mergeCell ref="F525:G525"/>
    <mergeCell ref="H525:I525"/>
    <mergeCell ref="J525:K525"/>
    <mergeCell ref="L525:M525"/>
    <mergeCell ref="N525:O525"/>
    <mergeCell ref="F526:G526"/>
    <mergeCell ref="H526:I526"/>
    <mergeCell ref="J526:K526"/>
    <mergeCell ref="L526:M526"/>
    <mergeCell ref="N526:O526"/>
    <mergeCell ref="F523:G523"/>
    <mergeCell ref="H523:I523"/>
    <mergeCell ref="J523:K523"/>
    <mergeCell ref="L523:M523"/>
    <mergeCell ref="N523:O523"/>
    <mergeCell ref="F524:G524"/>
    <mergeCell ref="H524:I524"/>
    <mergeCell ref="J524:K524"/>
    <mergeCell ref="L524:M524"/>
    <mergeCell ref="N524:O524"/>
    <mergeCell ref="F529:G529"/>
    <mergeCell ref="H529:I529"/>
    <mergeCell ref="J529:K529"/>
    <mergeCell ref="L529:M529"/>
    <mergeCell ref="N529:O529"/>
    <mergeCell ref="F530:G530"/>
    <mergeCell ref="H530:I530"/>
    <mergeCell ref="J530:K530"/>
    <mergeCell ref="L530:M530"/>
    <mergeCell ref="N530:O530"/>
    <mergeCell ref="F527:G527"/>
    <mergeCell ref="H527:I527"/>
    <mergeCell ref="J527:K527"/>
    <mergeCell ref="L527:M527"/>
    <mergeCell ref="N527:O527"/>
    <mergeCell ref="F528:G528"/>
    <mergeCell ref="H528:I528"/>
    <mergeCell ref="J528:K528"/>
    <mergeCell ref="L528:M528"/>
    <mergeCell ref="N528:O528"/>
    <mergeCell ref="F533:G533"/>
    <mergeCell ref="H533:I533"/>
    <mergeCell ref="J533:K533"/>
    <mergeCell ref="L533:M533"/>
    <mergeCell ref="N533:O533"/>
    <mergeCell ref="F534:G534"/>
    <mergeCell ref="H534:I534"/>
    <mergeCell ref="J534:K534"/>
    <mergeCell ref="L534:M534"/>
    <mergeCell ref="N534:O534"/>
    <mergeCell ref="F531:G531"/>
    <mergeCell ref="H531:I531"/>
    <mergeCell ref="J531:K531"/>
    <mergeCell ref="L531:M531"/>
    <mergeCell ref="N531:O531"/>
    <mergeCell ref="F532:G532"/>
    <mergeCell ref="H532:I532"/>
    <mergeCell ref="J532:K532"/>
    <mergeCell ref="L532:M532"/>
    <mergeCell ref="N532:O532"/>
    <mergeCell ref="F537:G537"/>
    <mergeCell ref="H537:I537"/>
    <mergeCell ref="J537:K537"/>
    <mergeCell ref="L537:M537"/>
    <mergeCell ref="N537:O537"/>
    <mergeCell ref="F538:G538"/>
    <mergeCell ref="H538:I538"/>
    <mergeCell ref="J538:K538"/>
    <mergeCell ref="L538:M538"/>
    <mergeCell ref="N538:O538"/>
    <mergeCell ref="F535:G535"/>
    <mergeCell ref="H535:I535"/>
    <mergeCell ref="J535:K535"/>
    <mergeCell ref="L535:M535"/>
    <mergeCell ref="N535:O535"/>
    <mergeCell ref="F536:G536"/>
    <mergeCell ref="H536:I536"/>
    <mergeCell ref="J536:K536"/>
    <mergeCell ref="L536:M536"/>
    <mergeCell ref="N536:O536"/>
    <mergeCell ref="F541:G541"/>
    <mergeCell ref="H541:I541"/>
    <mergeCell ref="J541:K541"/>
    <mergeCell ref="L541:M541"/>
    <mergeCell ref="N541:O541"/>
    <mergeCell ref="F542:G542"/>
    <mergeCell ref="H542:I542"/>
    <mergeCell ref="J542:K542"/>
    <mergeCell ref="L542:M542"/>
    <mergeCell ref="N542:O542"/>
    <mergeCell ref="F539:G539"/>
    <mergeCell ref="H539:I539"/>
    <mergeCell ref="J539:K539"/>
    <mergeCell ref="L539:M539"/>
    <mergeCell ref="N539:O539"/>
    <mergeCell ref="F540:G540"/>
    <mergeCell ref="H540:I540"/>
    <mergeCell ref="J540:K540"/>
    <mergeCell ref="L540:M540"/>
    <mergeCell ref="N540:O540"/>
    <mergeCell ref="F545:G545"/>
    <mergeCell ref="H545:I545"/>
    <mergeCell ref="J545:K545"/>
    <mergeCell ref="L545:M545"/>
    <mergeCell ref="N545:O545"/>
    <mergeCell ref="F546:G546"/>
    <mergeCell ref="H546:I546"/>
    <mergeCell ref="J546:K546"/>
    <mergeCell ref="L546:M546"/>
    <mergeCell ref="N546:O546"/>
    <mergeCell ref="F543:G543"/>
    <mergeCell ref="H543:I543"/>
    <mergeCell ref="J543:K543"/>
    <mergeCell ref="L543:M543"/>
    <mergeCell ref="N543:O543"/>
    <mergeCell ref="F544:G544"/>
    <mergeCell ref="H544:I544"/>
    <mergeCell ref="J544:K544"/>
    <mergeCell ref="L544:M544"/>
    <mergeCell ref="N544:O544"/>
    <mergeCell ref="F549:G549"/>
    <mergeCell ref="H549:I549"/>
    <mergeCell ref="J549:K549"/>
    <mergeCell ref="L549:M549"/>
    <mergeCell ref="N549:O549"/>
    <mergeCell ref="F550:G550"/>
    <mergeCell ref="H550:I550"/>
    <mergeCell ref="J550:K550"/>
    <mergeCell ref="L550:M550"/>
    <mergeCell ref="N550:O550"/>
    <mergeCell ref="F547:G547"/>
    <mergeCell ref="H547:I547"/>
    <mergeCell ref="J547:K547"/>
    <mergeCell ref="L547:M547"/>
    <mergeCell ref="N547:O547"/>
    <mergeCell ref="F548:G548"/>
    <mergeCell ref="H548:I548"/>
    <mergeCell ref="J548:K548"/>
    <mergeCell ref="L548:M548"/>
    <mergeCell ref="N548:O548"/>
    <mergeCell ref="F553:G553"/>
    <mergeCell ref="H553:I553"/>
    <mergeCell ref="J553:K553"/>
    <mergeCell ref="L553:M553"/>
    <mergeCell ref="N553:O553"/>
    <mergeCell ref="F554:G554"/>
    <mergeCell ref="H554:I554"/>
    <mergeCell ref="J554:K554"/>
    <mergeCell ref="L554:M554"/>
    <mergeCell ref="N554:O554"/>
    <mergeCell ref="F551:G551"/>
    <mergeCell ref="H551:I551"/>
    <mergeCell ref="J551:K551"/>
    <mergeCell ref="L551:M551"/>
    <mergeCell ref="N551:O551"/>
    <mergeCell ref="F552:G552"/>
    <mergeCell ref="H552:I552"/>
    <mergeCell ref="J552:K552"/>
    <mergeCell ref="L552:M552"/>
    <mergeCell ref="N552:O552"/>
    <mergeCell ref="F557:G557"/>
    <mergeCell ref="H557:I557"/>
    <mergeCell ref="J557:K557"/>
    <mergeCell ref="L557:M557"/>
    <mergeCell ref="N557:O557"/>
    <mergeCell ref="F558:G558"/>
    <mergeCell ref="H558:I558"/>
    <mergeCell ref="J558:K558"/>
    <mergeCell ref="L558:M558"/>
    <mergeCell ref="N558:O558"/>
    <mergeCell ref="F555:G555"/>
    <mergeCell ref="H555:I555"/>
    <mergeCell ref="J555:K555"/>
    <mergeCell ref="L555:M555"/>
    <mergeCell ref="N555:O555"/>
    <mergeCell ref="F556:G556"/>
    <mergeCell ref="H556:I556"/>
    <mergeCell ref="J556:K556"/>
    <mergeCell ref="L556:M556"/>
    <mergeCell ref="N556:O556"/>
    <mergeCell ref="F561:G561"/>
    <mergeCell ref="H561:I561"/>
    <mergeCell ref="J561:K561"/>
    <mergeCell ref="L561:M561"/>
    <mergeCell ref="N561:O561"/>
    <mergeCell ref="F562:G562"/>
    <mergeCell ref="H562:I562"/>
    <mergeCell ref="J562:K562"/>
    <mergeCell ref="L562:M562"/>
    <mergeCell ref="N562:O562"/>
    <mergeCell ref="F559:G559"/>
    <mergeCell ref="H559:I559"/>
    <mergeCell ref="J559:K559"/>
    <mergeCell ref="L559:M559"/>
    <mergeCell ref="N559:O559"/>
    <mergeCell ref="F560:G560"/>
    <mergeCell ref="H560:I560"/>
    <mergeCell ref="J560:K560"/>
    <mergeCell ref="L560:M560"/>
    <mergeCell ref="N560:O560"/>
    <mergeCell ref="F565:G565"/>
    <mergeCell ref="H565:I565"/>
    <mergeCell ref="J565:K565"/>
    <mergeCell ref="L565:M565"/>
    <mergeCell ref="N565:O565"/>
    <mergeCell ref="F566:G566"/>
    <mergeCell ref="H566:I566"/>
    <mergeCell ref="J566:K566"/>
    <mergeCell ref="L566:M566"/>
    <mergeCell ref="N566:O566"/>
    <mergeCell ref="F563:G563"/>
    <mergeCell ref="H563:I563"/>
    <mergeCell ref="J563:K563"/>
    <mergeCell ref="L563:M563"/>
    <mergeCell ref="N563:O563"/>
    <mergeCell ref="F564:G564"/>
    <mergeCell ref="H564:I564"/>
    <mergeCell ref="J564:K564"/>
    <mergeCell ref="L564:M564"/>
    <mergeCell ref="N564:O564"/>
    <mergeCell ref="F569:G569"/>
    <mergeCell ref="H569:I569"/>
    <mergeCell ref="J569:K569"/>
    <mergeCell ref="L569:M569"/>
    <mergeCell ref="N569:O569"/>
    <mergeCell ref="F570:G570"/>
    <mergeCell ref="H570:I570"/>
    <mergeCell ref="J570:K570"/>
    <mergeCell ref="L570:M570"/>
    <mergeCell ref="N570:O570"/>
    <mergeCell ref="F567:G567"/>
    <mergeCell ref="H567:I567"/>
    <mergeCell ref="J567:K567"/>
    <mergeCell ref="L567:M567"/>
    <mergeCell ref="N567:O567"/>
    <mergeCell ref="F568:G568"/>
    <mergeCell ref="H568:I568"/>
    <mergeCell ref="J568:K568"/>
    <mergeCell ref="L568:M568"/>
    <mergeCell ref="N568:O568"/>
    <mergeCell ref="F573:G573"/>
    <mergeCell ref="H573:I573"/>
    <mergeCell ref="J573:K573"/>
    <mergeCell ref="L573:M573"/>
    <mergeCell ref="N573:O573"/>
    <mergeCell ref="F574:G574"/>
    <mergeCell ref="H574:I574"/>
    <mergeCell ref="J574:K574"/>
    <mergeCell ref="L574:M574"/>
    <mergeCell ref="N574:O574"/>
    <mergeCell ref="F571:G571"/>
    <mergeCell ref="H571:I571"/>
    <mergeCell ref="J571:K571"/>
    <mergeCell ref="L571:M571"/>
    <mergeCell ref="N571:O571"/>
    <mergeCell ref="F572:G572"/>
    <mergeCell ref="H572:I572"/>
    <mergeCell ref="J572:K572"/>
    <mergeCell ref="L572:M572"/>
    <mergeCell ref="N572:O572"/>
    <mergeCell ref="F577:G577"/>
    <mergeCell ref="H577:I577"/>
    <mergeCell ref="J577:K577"/>
    <mergeCell ref="L577:M577"/>
    <mergeCell ref="N577:O577"/>
    <mergeCell ref="F578:G578"/>
    <mergeCell ref="H578:I578"/>
    <mergeCell ref="J578:K578"/>
    <mergeCell ref="L578:M578"/>
    <mergeCell ref="N578:O578"/>
    <mergeCell ref="F575:G575"/>
    <mergeCell ref="H575:I575"/>
    <mergeCell ref="J575:K575"/>
    <mergeCell ref="L575:M575"/>
    <mergeCell ref="N575:O575"/>
    <mergeCell ref="F576:G576"/>
    <mergeCell ref="H576:I576"/>
    <mergeCell ref="J576:K576"/>
    <mergeCell ref="L576:M576"/>
    <mergeCell ref="N576:O576"/>
    <mergeCell ref="F581:G581"/>
    <mergeCell ref="H581:I581"/>
    <mergeCell ref="J581:K581"/>
    <mergeCell ref="L581:M581"/>
    <mergeCell ref="N581:O581"/>
    <mergeCell ref="F582:G582"/>
    <mergeCell ref="H582:I582"/>
    <mergeCell ref="J582:K582"/>
    <mergeCell ref="L582:M582"/>
    <mergeCell ref="N582:O582"/>
    <mergeCell ref="F579:G579"/>
    <mergeCell ref="H579:I579"/>
    <mergeCell ref="J579:K579"/>
    <mergeCell ref="L579:M579"/>
    <mergeCell ref="N579:O579"/>
    <mergeCell ref="F580:G580"/>
    <mergeCell ref="H580:I580"/>
    <mergeCell ref="J580:K580"/>
    <mergeCell ref="L580:M580"/>
    <mergeCell ref="N580:O580"/>
    <mergeCell ref="F585:G585"/>
    <mergeCell ref="H585:I585"/>
    <mergeCell ref="J585:K585"/>
    <mergeCell ref="L585:M585"/>
    <mergeCell ref="N585:O585"/>
    <mergeCell ref="F586:G586"/>
    <mergeCell ref="H586:I586"/>
    <mergeCell ref="J586:K586"/>
    <mergeCell ref="L586:M586"/>
    <mergeCell ref="N586:O586"/>
    <mergeCell ref="F583:G583"/>
    <mergeCell ref="H583:I583"/>
    <mergeCell ref="J583:K583"/>
    <mergeCell ref="L583:M583"/>
    <mergeCell ref="N583:O583"/>
    <mergeCell ref="F584:G584"/>
    <mergeCell ref="H584:I584"/>
    <mergeCell ref="J584:K584"/>
    <mergeCell ref="L584:M584"/>
    <mergeCell ref="N584:O584"/>
    <mergeCell ref="F589:G589"/>
    <mergeCell ref="H589:I589"/>
    <mergeCell ref="J589:K589"/>
    <mergeCell ref="L589:M589"/>
    <mergeCell ref="N589:O589"/>
    <mergeCell ref="F590:G590"/>
    <mergeCell ref="H590:I590"/>
    <mergeCell ref="J590:K590"/>
    <mergeCell ref="L590:M590"/>
    <mergeCell ref="N590:O590"/>
    <mergeCell ref="F587:G587"/>
    <mergeCell ref="H587:I587"/>
    <mergeCell ref="J587:K587"/>
    <mergeCell ref="L587:M587"/>
    <mergeCell ref="N587:O587"/>
    <mergeCell ref="F588:G588"/>
    <mergeCell ref="H588:I588"/>
    <mergeCell ref="J588:K588"/>
    <mergeCell ref="L588:M588"/>
    <mergeCell ref="N588:O588"/>
    <mergeCell ref="F593:G593"/>
    <mergeCell ref="H593:I593"/>
    <mergeCell ref="J593:K593"/>
    <mergeCell ref="L593:M593"/>
    <mergeCell ref="N593:O593"/>
    <mergeCell ref="F594:G594"/>
    <mergeCell ref="H594:I594"/>
    <mergeCell ref="J594:K594"/>
    <mergeCell ref="L594:M594"/>
    <mergeCell ref="N594:O594"/>
    <mergeCell ref="F591:G591"/>
    <mergeCell ref="H591:I591"/>
    <mergeCell ref="J591:K591"/>
    <mergeCell ref="L591:M591"/>
    <mergeCell ref="N591:O591"/>
    <mergeCell ref="F592:G592"/>
    <mergeCell ref="H592:I592"/>
    <mergeCell ref="J592:K592"/>
    <mergeCell ref="L592:M592"/>
    <mergeCell ref="N592:O592"/>
    <mergeCell ref="F597:G597"/>
    <mergeCell ref="H597:I597"/>
    <mergeCell ref="J597:K597"/>
    <mergeCell ref="L597:M597"/>
    <mergeCell ref="N597:O597"/>
    <mergeCell ref="F598:G598"/>
    <mergeCell ref="H598:I598"/>
    <mergeCell ref="J598:K598"/>
    <mergeCell ref="L598:M598"/>
    <mergeCell ref="N598:O598"/>
    <mergeCell ref="F595:G595"/>
    <mergeCell ref="H595:I595"/>
    <mergeCell ref="J595:K595"/>
    <mergeCell ref="L595:M595"/>
    <mergeCell ref="N595:O595"/>
    <mergeCell ref="F596:G596"/>
    <mergeCell ref="H596:I596"/>
    <mergeCell ref="J596:K596"/>
    <mergeCell ref="L596:M596"/>
    <mergeCell ref="N596:O596"/>
    <mergeCell ref="F601:G601"/>
    <mergeCell ref="H601:I601"/>
    <mergeCell ref="J601:K601"/>
    <mergeCell ref="L601:M601"/>
    <mergeCell ref="N601:O601"/>
    <mergeCell ref="F602:G602"/>
    <mergeCell ref="H602:I602"/>
    <mergeCell ref="J602:K602"/>
    <mergeCell ref="L602:M602"/>
    <mergeCell ref="N602:O602"/>
    <mergeCell ref="F599:G599"/>
    <mergeCell ref="H599:I599"/>
    <mergeCell ref="J599:K599"/>
    <mergeCell ref="L599:M599"/>
    <mergeCell ref="N599:O599"/>
    <mergeCell ref="F600:G600"/>
    <mergeCell ref="H600:I600"/>
    <mergeCell ref="J600:K600"/>
    <mergeCell ref="L600:M600"/>
    <mergeCell ref="N600:O600"/>
    <mergeCell ref="F605:G605"/>
    <mergeCell ref="H605:I605"/>
    <mergeCell ref="J605:K605"/>
    <mergeCell ref="L605:M605"/>
    <mergeCell ref="N605:O605"/>
    <mergeCell ref="F606:G606"/>
    <mergeCell ref="H606:I606"/>
    <mergeCell ref="J606:K606"/>
    <mergeCell ref="L606:M606"/>
    <mergeCell ref="N606:O606"/>
    <mergeCell ref="F603:G603"/>
    <mergeCell ref="H603:I603"/>
    <mergeCell ref="J603:K603"/>
    <mergeCell ref="L603:M603"/>
    <mergeCell ref="N603:O603"/>
    <mergeCell ref="F604:G604"/>
    <mergeCell ref="H604:I604"/>
    <mergeCell ref="J604:K604"/>
    <mergeCell ref="L604:M604"/>
    <mergeCell ref="N604:O604"/>
    <mergeCell ref="F609:G609"/>
    <mergeCell ref="H609:I609"/>
    <mergeCell ref="J609:K609"/>
    <mergeCell ref="L609:M609"/>
    <mergeCell ref="N609:O609"/>
    <mergeCell ref="F610:G610"/>
    <mergeCell ref="H610:I610"/>
    <mergeCell ref="J610:K610"/>
    <mergeCell ref="L610:M610"/>
    <mergeCell ref="N610:O610"/>
    <mergeCell ref="F607:G607"/>
    <mergeCell ref="H607:I607"/>
    <mergeCell ref="J607:K607"/>
    <mergeCell ref="L607:M607"/>
    <mergeCell ref="N607:O607"/>
    <mergeCell ref="F608:G608"/>
    <mergeCell ref="H608:I608"/>
    <mergeCell ref="J608:K608"/>
    <mergeCell ref="L608:M608"/>
    <mergeCell ref="N608:O608"/>
    <mergeCell ref="F613:G613"/>
    <mergeCell ref="H613:I613"/>
    <mergeCell ref="J613:K613"/>
    <mergeCell ref="L613:M613"/>
    <mergeCell ref="N613:O613"/>
    <mergeCell ref="F614:G614"/>
    <mergeCell ref="H614:I614"/>
    <mergeCell ref="J614:K614"/>
    <mergeCell ref="L614:M614"/>
    <mergeCell ref="N614:O614"/>
    <mergeCell ref="F611:G611"/>
    <mergeCell ref="H611:I611"/>
    <mergeCell ref="J611:K611"/>
    <mergeCell ref="L611:M611"/>
    <mergeCell ref="N611:O611"/>
    <mergeCell ref="F612:G612"/>
    <mergeCell ref="H612:I612"/>
    <mergeCell ref="J612:K612"/>
    <mergeCell ref="L612:M612"/>
    <mergeCell ref="N612:O612"/>
    <mergeCell ref="F617:G617"/>
    <mergeCell ref="H617:I617"/>
    <mergeCell ref="J617:K617"/>
    <mergeCell ref="L617:M617"/>
    <mergeCell ref="N617:O617"/>
    <mergeCell ref="F618:G618"/>
    <mergeCell ref="H618:I618"/>
    <mergeCell ref="J618:K618"/>
    <mergeCell ref="L618:M618"/>
    <mergeCell ref="N618:O618"/>
    <mergeCell ref="F615:G615"/>
    <mergeCell ref="H615:I615"/>
    <mergeCell ref="J615:K615"/>
    <mergeCell ref="L615:M615"/>
    <mergeCell ref="N615:O615"/>
    <mergeCell ref="F616:G616"/>
    <mergeCell ref="H616:I616"/>
    <mergeCell ref="J616:K616"/>
    <mergeCell ref="L616:M616"/>
    <mergeCell ref="N616:O616"/>
    <mergeCell ref="F621:G621"/>
    <mergeCell ref="H621:I621"/>
    <mergeCell ref="J621:K621"/>
    <mergeCell ref="L621:M621"/>
    <mergeCell ref="N621:O621"/>
    <mergeCell ref="F622:G622"/>
    <mergeCell ref="H622:I622"/>
    <mergeCell ref="J622:K622"/>
    <mergeCell ref="L622:M622"/>
    <mergeCell ref="N622:O622"/>
    <mergeCell ref="F619:G619"/>
    <mergeCell ref="H619:I619"/>
    <mergeCell ref="J619:K619"/>
    <mergeCell ref="L619:M619"/>
    <mergeCell ref="N619:O619"/>
    <mergeCell ref="F620:G620"/>
    <mergeCell ref="H620:I620"/>
    <mergeCell ref="J620:K620"/>
    <mergeCell ref="L620:M620"/>
    <mergeCell ref="N620:O620"/>
    <mergeCell ref="F625:G625"/>
    <mergeCell ref="H625:I625"/>
    <mergeCell ref="J625:K625"/>
    <mergeCell ref="L625:M625"/>
    <mergeCell ref="N625:O625"/>
    <mergeCell ref="F626:G626"/>
    <mergeCell ref="H626:I626"/>
    <mergeCell ref="J626:K626"/>
    <mergeCell ref="L626:M626"/>
    <mergeCell ref="N626:O626"/>
    <mergeCell ref="F623:G623"/>
    <mergeCell ref="H623:I623"/>
    <mergeCell ref="J623:K623"/>
    <mergeCell ref="L623:M623"/>
    <mergeCell ref="N623:O623"/>
    <mergeCell ref="F624:G624"/>
    <mergeCell ref="H624:I624"/>
    <mergeCell ref="J624:K624"/>
    <mergeCell ref="L624:M624"/>
    <mergeCell ref="N624:O624"/>
    <mergeCell ref="F629:G629"/>
    <mergeCell ref="H629:I629"/>
    <mergeCell ref="J629:K629"/>
    <mergeCell ref="L629:M629"/>
    <mergeCell ref="N629:O629"/>
    <mergeCell ref="F630:G630"/>
    <mergeCell ref="H630:I630"/>
    <mergeCell ref="J630:K630"/>
    <mergeCell ref="L630:M630"/>
    <mergeCell ref="N630:O630"/>
    <mergeCell ref="F627:G627"/>
    <mergeCell ref="H627:I627"/>
    <mergeCell ref="J627:K627"/>
    <mergeCell ref="L627:M627"/>
    <mergeCell ref="N627:O627"/>
    <mergeCell ref="F628:G628"/>
    <mergeCell ref="H628:I628"/>
    <mergeCell ref="J628:K628"/>
    <mergeCell ref="L628:M628"/>
    <mergeCell ref="N628:O628"/>
    <mergeCell ref="F633:G633"/>
    <mergeCell ref="H633:I633"/>
    <mergeCell ref="J633:K633"/>
    <mergeCell ref="L633:M633"/>
    <mergeCell ref="N633:O633"/>
    <mergeCell ref="F634:G634"/>
    <mergeCell ref="H634:I634"/>
    <mergeCell ref="J634:K634"/>
    <mergeCell ref="L634:M634"/>
    <mergeCell ref="N634:O634"/>
    <mergeCell ref="F631:G631"/>
    <mergeCell ref="H631:I631"/>
    <mergeCell ref="J631:K631"/>
    <mergeCell ref="L631:M631"/>
    <mergeCell ref="N631:O631"/>
    <mergeCell ref="F632:G632"/>
    <mergeCell ref="H632:I632"/>
    <mergeCell ref="J632:K632"/>
    <mergeCell ref="L632:M632"/>
    <mergeCell ref="N632:O632"/>
    <mergeCell ref="F637:G637"/>
    <mergeCell ref="H637:I637"/>
    <mergeCell ref="J637:K637"/>
    <mergeCell ref="L637:M637"/>
    <mergeCell ref="N637:O637"/>
    <mergeCell ref="F638:G638"/>
    <mergeCell ref="H638:I638"/>
    <mergeCell ref="J638:K638"/>
    <mergeCell ref="L638:M638"/>
    <mergeCell ref="N638:O638"/>
    <mergeCell ref="F635:G635"/>
    <mergeCell ref="H635:I635"/>
    <mergeCell ref="J635:K635"/>
    <mergeCell ref="L635:M635"/>
    <mergeCell ref="N635:O635"/>
    <mergeCell ref="F636:G636"/>
    <mergeCell ref="H636:I636"/>
    <mergeCell ref="J636:K636"/>
    <mergeCell ref="L636:M636"/>
    <mergeCell ref="N636:O636"/>
    <mergeCell ref="F641:G641"/>
    <mergeCell ref="H641:I641"/>
    <mergeCell ref="J641:K641"/>
    <mergeCell ref="L641:M641"/>
    <mergeCell ref="N641:O641"/>
    <mergeCell ref="F642:G642"/>
    <mergeCell ref="H642:I642"/>
    <mergeCell ref="J642:K642"/>
    <mergeCell ref="L642:M642"/>
    <mergeCell ref="N642:O642"/>
    <mergeCell ref="F639:G639"/>
    <mergeCell ref="H639:I639"/>
    <mergeCell ref="J639:K639"/>
    <mergeCell ref="L639:M639"/>
    <mergeCell ref="N639:O639"/>
    <mergeCell ref="F640:G640"/>
    <mergeCell ref="H640:I640"/>
    <mergeCell ref="J640:K640"/>
    <mergeCell ref="L640:M640"/>
    <mergeCell ref="N640:O640"/>
    <mergeCell ref="F645:G645"/>
    <mergeCell ref="H645:I645"/>
    <mergeCell ref="J645:K645"/>
    <mergeCell ref="L645:M645"/>
    <mergeCell ref="N645:O645"/>
    <mergeCell ref="F646:G646"/>
    <mergeCell ref="H646:I646"/>
    <mergeCell ref="J646:K646"/>
    <mergeCell ref="L646:M646"/>
    <mergeCell ref="N646:O646"/>
    <mergeCell ref="F643:G643"/>
    <mergeCell ref="H643:I643"/>
    <mergeCell ref="J643:K643"/>
    <mergeCell ref="L643:M643"/>
    <mergeCell ref="N643:O643"/>
    <mergeCell ref="F644:G644"/>
    <mergeCell ref="H644:I644"/>
    <mergeCell ref="J644:K644"/>
    <mergeCell ref="L644:M644"/>
    <mergeCell ref="N644:O644"/>
    <mergeCell ref="F649:G649"/>
    <mergeCell ref="H649:I649"/>
    <mergeCell ref="J649:K649"/>
    <mergeCell ref="L649:M649"/>
    <mergeCell ref="N649:O649"/>
    <mergeCell ref="F650:G650"/>
    <mergeCell ref="H650:I650"/>
    <mergeCell ref="J650:K650"/>
    <mergeCell ref="L650:M650"/>
    <mergeCell ref="N650:O650"/>
    <mergeCell ref="F647:G647"/>
    <mergeCell ref="H647:I647"/>
    <mergeCell ref="J647:K647"/>
    <mergeCell ref="L647:M647"/>
    <mergeCell ref="N647:O647"/>
    <mergeCell ref="F648:G648"/>
    <mergeCell ref="H648:I648"/>
    <mergeCell ref="J648:K648"/>
    <mergeCell ref="L648:M648"/>
    <mergeCell ref="N648:O648"/>
    <mergeCell ref="F653:G653"/>
    <mergeCell ref="H653:I653"/>
    <mergeCell ref="J653:K653"/>
    <mergeCell ref="L653:M653"/>
    <mergeCell ref="N653:O653"/>
    <mergeCell ref="F654:G654"/>
    <mergeCell ref="H654:I654"/>
    <mergeCell ref="J654:K654"/>
    <mergeCell ref="L654:M654"/>
    <mergeCell ref="N654:O654"/>
    <mergeCell ref="F651:G651"/>
    <mergeCell ref="H651:I651"/>
    <mergeCell ref="J651:K651"/>
    <mergeCell ref="L651:M651"/>
    <mergeCell ref="N651:O651"/>
    <mergeCell ref="F652:G652"/>
    <mergeCell ref="H652:I652"/>
    <mergeCell ref="J652:K652"/>
    <mergeCell ref="L652:M652"/>
    <mergeCell ref="N652:O652"/>
    <mergeCell ref="F657:G657"/>
    <mergeCell ref="H657:I657"/>
    <mergeCell ref="J657:K657"/>
    <mergeCell ref="L657:M657"/>
    <mergeCell ref="N657:O657"/>
    <mergeCell ref="F658:G658"/>
    <mergeCell ref="H658:I658"/>
    <mergeCell ref="J658:K658"/>
    <mergeCell ref="L658:M658"/>
    <mergeCell ref="N658:O658"/>
    <mergeCell ref="F655:G655"/>
    <mergeCell ref="H655:I655"/>
    <mergeCell ref="J655:K655"/>
    <mergeCell ref="L655:M655"/>
    <mergeCell ref="N655:O655"/>
    <mergeCell ref="F656:G656"/>
    <mergeCell ref="H656:I656"/>
    <mergeCell ref="J656:K656"/>
    <mergeCell ref="L656:M656"/>
    <mergeCell ref="N656:O656"/>
    <mergeCell ref="F661:G661"/>
    <mergeCell ref="H661:I661"/>
    <mergeCell ref="J661:K661"/>
    <mergeCell ref="L661:M661"/>
    <mergeCell ref="N661:O661"/>
    <mergeCell ref="F662:G662"/>
    <mergeCell ref="H662:I662"/>
    <mergeCell ref="J662:K662"/>
    <mergeCell ref="L662:M662"/>
    <mergeCell ref="N662:O662"/>
    <mergeCell ref="F659:G659"/>
    <mergeCell ref="H659:I659"/>
    <mergeCell ref="J659:K659"/>
    <mergeCell ref="L659:M659"/>
    <mergeCell ref="N659:O659"/>
    <mergeCell ref="F660:G660"/>
    <mergeCell ref="H660:I660"/>
    <mergeCell ref="J660:K660"/>
    <mergeCell ref="L660:M660"/>
    <mergeCell ref="N660:O660"/>
    <mergeCell ref="F665:G665"/>
    <mergeCell ref="H665:I665"/>
    <mergeCell ref="J665:K665"/>
    <mergeCell ref="L665:M665"/>
    <mergeCell ref="N665:O665"/>
    <mergeCell ref="F666:G666"/>
    <mergeCell ref="H666:I666"/>
    <mergeCell ref="J666:K666"/>
    <mergeCell ref="L666:M666"/>
    <mergeCell ref="N666:O666"/>
    <mergeCell ref="F663:G663"/>
    <mergeCell ref="H663:I663"/>
    <mergeCell ref="J663:K663"/>
    <mergeCell ref="L663:M663"/>
    <mergeCell ref="N663:O663"/>
    <mergeCell ref="F664:G664"/>
    <mergeCell ref="H664:I664"/>
    <mergeCell ref="J664:K664"/>
    <mergeCell ref="L664:M664"/>
    <mergeCell ref="N664:O664"/>
    <mergeCell ref="F669:G669"/>
    <mergeCell ref="H669:I669"/>
    <mergeCell ref="J669:K669"/>
    <mergeCell ref="L669:M669"/>
    <mergeCell ref="N669:O669"/>
    <mergeCell ref="F670:G670"/>
    <mergeCell ref="H670:I670"/>
    <mergeCell ref="J670:K670"/>
    <mergeCell ref="L670:M670"/>
    <mergeCell ref="N670:O670"/>
    <mergeCell ref="F667:G667"/>
    <mergeCell ref="H667:I667"/>
    <mergeCell ref="J667:K667"/>
    <mergeCell ref="L667:M667"/>
    <mergeCell ref="N667:O667"/>
    <mergeCell ref="F668:G668"/>
    <mergeCell ref="H668:I668"/>
    <mergeCell ref="J668:K668"/>
    <mergeCell ref="L668:M668"/>
    <mergeCell ref="N668:O668"/>
    <mergeCell ref="F673:G673"/>
    <mergeCell ref="H673:I673"/>
    <mergeCell ref="J673:K673"/>
    <mergeCell ref="L673:M673"/>
    <mergeCell ref="N673:O673"/>
    <mergeCell ref="F674:G674"/>
    <mergeCell ref="H674:I674"/>
    <mergeCell ref="J674:K674"/>
    <mergeCell ref="L674:M674"/>
    <mergeCell ref="N674:O674"/>
    <mergeCell ref="F671:G671"/>
    <mergeCell ref="H671:I671"/>
    <mergeCell ref="J671:K671"/>
    <mergeCell ref="L671:M671"/>
    <mergeCell ref="N671:O671"/>
    <mergeCell ref="F672:G672"/>
    <mergeCell ref="H672:I672"/>
    <mergeCell ref="J672:K672"/>
    <mergeCell ref="L672:M672"/>
    <mergeCell ref="N672:O672"/>
    <mergeCell ref="F677:G677"/>
    <mergeCell ref="H677:I677"/>
    <mergeCell ref="J677:K677"/>
    <mergeCell ref="L677:M677"/>
    <mergeCell ref="N677:O677"/>
    <mergeCell ref="F678:G678"/>
    <mergeCell ref="H678:I678"/>
    <mergeCell ref="J678:K678"/>
    <mergeCell ref="L678:M678"/>
    <mergeCell ref="N678:O678"/>
    <mergeCell ref="F675:G675"/>
    <mergeCell ref="H675:I675"/>
    <mergeCell ref="J675:K675"/>
    <mergeCell ref="L675:M675"/>
    <mergeCell ref="N675:O675"/>
    <mergeCell ref="F676:G676"/>
    <mergeCell ref="H676:I676"/>
    <mergeCell ref="J676:K676"/>
    <mergeCell ref="L676:M676"/>
    <mergeCell ref="N676:O676"/>
    <mergeCell ref="F681:G681"/>
    <mergeCell ref="H681:I681"/>
    <mergeCell ref="J681:K681"/>
    <mergeCell ref="L681:M681"/>
    <mergeCell ref="N681:O681"/>
    <mergeCell ref="F682:G682"/>
    <mergeCell ref="H682:I682"/>
    <mergeCell ref="J682:K682"/>
    <mergeCell ref="L682:M682"/>
    <mergeCell ref="N682:O682"/>
    <mergeCell ref="F679:G679"/>
    <mergeCell ref="H679:I679"/>
    <mergeCell ref="J679:K679"/>
    <mergeCell ref="L679:M679"/>
    <mergeCell ref="N679:O679"/>
    <mergeCell ref="F680:G680"/>
    <mergeCell ref="H680:I680"/>
    <mergeCell ref="J680:K680"/>
    <mergeCell ref="L680:M680"/>
    <mergeCell ref="N680:O680"/>
    <mergeCell ref="F685:G685"/>
    <mergeCell ref="H685:I685"/>
    <mergeCell ref="J685:K685"/>
    <mergeCell ref="L685:M685"/>
    <mergeCell ref="N685:O685"/>
    <mergeCell ref="F686:G686"/>
    <mergeCell ref="H686:I686"/>
    <mergeCell ref="J686:K686"/>
    <mergeCell ref="L686:M686"/>
    <mergeCell ref="N686:O686"/>
    <mergeCell ref="F683:G683"/>
    <mergeCell ref="H683:I683"/>
    <mergeCell ref="J683:K683"/>
    <mergeCell ref="L683:M683"/>
    <mergeCell ref="N683:O683"/>
    <mergeCell ref="F684:G684"/>
    <mergeCell ref="H684:I684"/>
    <mergeCell ref="J684:K684"/>
    <mergeCell ref="L684:M684"/>
    <mergeCell ref="N684:O684"/>
    <mergeCell ref="F689:G689"/>
    <mergeCell ref="H689:I689"/>
    <mergeCell ref="J689:K689"/>
    <mergeCell ref="L689:M689"/>
    <mergeCell ref="N689:O689"/>
    <mergeCell ref="F690:G690"/>
    <mergeCell ref="H690:I690"/>
    <mergeCell ref="J690:K690"/>
    <mergeCell ref="L690:M690"/>
    <mergeCell ref="N690:O690"/>
    <mergeCell ref="F687:G687"/>
    <mergeCell ref="H687:I687"/>
    <mergeCell ref="J687:K687"/>
    <mergeCell ref="L687:M687"/>
    <mergeCell ref="N687:O687"/>
    <mergeCell ref="F688:G688"/>
    <mergeCell ref="H688:I688"/>
    <mergeCell ref="J688:K688"/>
    <mergeCell ref="L688:M688"/>
    <mergeCell ref="N688:O688"/>
    <mergeCell ref="F693:G693"/>
    <mergeCell ref="H693:I693"/>
    <mergeCell ref="J693:K693"/>
    <mergeCell ref="L693:M693"/>
    <mergeCell ref="N693:O693"/>
    <mergeCell ref="F694:G694"/>
    <mergeCell ref="H694:I694"/>
    <mergeCell ref="J694:K694"/>
    <mergeCell ref="L694:M694"/>
    <mergeCell ref="N694:O694"/>
    <mergeCell ref="F691:G691"/>
    <mergeCell ref="H691:I691"/>
    <mergeCell ref="J691:K691"/>
    <mergeCell ref="L691:M691"/>
    <mergeCell ref="N691:O691"/>
    <mergeCell ref="F692:G692"/>
    <mergeCell ref="H692:I692"/>
    <mergeCell ref="J692:K692"/>
    <mergeCell ref="L692:M692"/>
    <mergeCell ref="N692:O692"/>
    <mergeCell ref="F697:G697"/>
    <mergeCell ref="H697:I697"/>
    <mergeCell ref="J697:K697"/>
    <mergeCell ref="L697:M697"/>
    <mergeCell ref="N697:O697"/>
    <mergeCell ref="F698:G698"/>
    <mergeCell ref="H698:I698"/>
    <mergeCell ref="J698:K698"/>
    <mergeCell ref="L698:M698"/>
    <mergeCell ref="N698:O698"/>
    <mergeCell ref="F695:G695"/>
    <mergeCell ref="H695:I695"/>
    <mergeCell ref="J695:K695"/>
    <mergeCell ref="L695:M695"/>
    <mergeCell ref="N695:O695"/>
    <mergeCell ref="F696:G696"/>
    <mergeCell ref="H696:I696"/>
    <mergeCell ref="J696:K696"/>
    <mergeCell ref="L696:M696"/>
    <mergeCell ref="N696:O696"/>
    <mergeCell ref="F701:G701"/>
    <mergeCell ref="H701:I701"/>
    <mergeCell ref="J701:K701"/>
    <mergeCell ref="L701:M701"/>
    <mergeCell ref="N701:O701"/>
    <mergeCell ref="F702:G702"/>
    <mergeCell ref="H702:I702"/>
    <mergeCell ref="J702:K702"/>
    <mergeCell ref="L702:M702"/>
    <mergeCell ref="N702:O702"/>
    <mergeCell ref="F699:G699"/>
    <mergeCell ref="H699:I699"/>
    <mergeCell ref="J699:K699"/>
    <mergeCell ref="L699:M699"/>
    <mergeCell ref="N699:O699"/>
    <mergeCell ref="F700:G700"/>
    <mergeCell ref="H700:I700"/>
    <mergeCell ref="J700:K700"/>
    <mergeCell ref="L700:M700"/>
    <mergeCell ref="N700:O700"/>
    <mergeCell ref="F705:G705"/>
    <mergeCell ref="H705:I705"/>
    <mergeCell ref="J705:K705"/>
    <mergeCell ref="L705:M705"/>
    <mergeCell ref="N705:O705"/>
    <mergeCell ref="F706:G706"/>
    <mergeCell ref="H706:I706"/>
    <mergeCell ref="J706:K706"/>
    <mergeCell ref="L706:M706"/>
    <mergeCell ref="N706:O706"/>
    <mergeCell ref="F703:G703"/>
    <mergeCell ref="H703:I703"/>
    <mergeCell ref="J703:K703"/>
    <mergeCell ref="L703:M703"/>
    <mergeCell ref="N703:O703"/>
    <mergeCell ref="F704:G704"/>
    <mergeCell ref="H704:I704"/>
    <mergeCell ref="J704:K704"/>
    <mergeCell ref="L704:M704"/>
    <mergeCell ref="N704:O704"/>
    <mergeCell ref="F709:G709"/>
    <mergeCell ref="H709:I709"/>
    <mergeCell ref="J709:K709"/>
    <mergeCell ref="L709:M709"/>
    <mergeCell ref="N709:O709"/>
    <mergeCell ref="F710:G710"/>
    <mergeCell ref="H710:I710"/>
    <mergeCell ref="J710:K710"/>
    <mergeCell ref="L710:M710"/>
    <mergeCell ref="N710:O710"/>
    <mergeCell ref="F707:G707"/>
    <mergeCell ref="H707:I707"/>
    <mergeCell ref="J707:K707"/>
    <mergeCell ref="L707:M707"/>
    <mergeCell ref="N707:O707"/>
    <mergeCell ref="F708:G708"/>
    <mergeCell ref="H708:I708"/>
    <mergeCell ref="J708:K708"/>
    <mergeCell ref="L708:M708"/>
    <mergeCell ref="N708:O708"/>
    <mergeCell ref="F713:G713"/>
    <mergeCell ref="H713:I713"/>
    <mergeCell ref="J713:K713"/>
    <mergeCell ref="L713:M713"/>
    <mergeCell ref="N713:O713"/>
    <mergeCell ref="F714:G714"/>
    <mergeCell ref="H714:I714"/>
    <mergeCell ref="J714:K714"/>
    <mergeCell ref="L714:M714"/>
    <mergeCell ref="N714:O714"/>
    <mergeCell ref="F711:G711"/>
    <mergeCell ref="H711:I711"/>
    <mergeCell ref="J711:K711"/>
    <mergeCell ref="L711:M711"/>
    <mergeCell ref="N711:O711"/>
    <mergeCell ref="F712:G712"/>
    <mergeCell ref="H712:I712"/>
    <mergeCell ref="J712:K712"/>
    <mergeCell ref="L712:M712"/>
    <mergeCell ref="N712:O712"/>
    <mergeCell ref="F717:G717"/>
    <mergeCell ref="H717:I717"/>
    <mergeCell ref="J717:K717"/>
    <mergeCell ref="L717:M717"/>
    <mergeCell ref="N717:O717"/>
    <mergeCell ref="F718:G718"/>
    <mergeCell ref="H718:I718"/>
    <mergeCell ref="J718:K718"/>
    <mergeCell ref="L718:M718"/>
    <mergeCell ref="N718:O718"/>
    <mergeCell ref="F715:G715"/>
    <mergeCell ref="H715:I715"/>
    <mergeCell ref="J715:K715"/>
    <mergeCell ref="L715:M715"/>
    <mergeCell ref="N715:O715"/>
    <mergeCell ref="F716:G716"/>
    <mergeCell ref="H716:I716"/>
    <mergeCell ref="J716:K716"/>
    <mergeCell ref="L716:M716"/>
    <mergeCell ref="N716:O716"/>
    <mergeCell ref="F721:G721"/>
    <mergeCell ref="H721:I721"/>
    <mergeCell ref="J721:K721"/>
    <mergeCell ref="L721:M721"/>
    <mergeCell ref="N721:O721"/>
    <mergeCell ref="F722:G722"/>
    <mergeCell ref="H722:I722"/>
    <mergeCell ref="J722:K722"/>
    <mergeCell ref="L722:M722"/>
    <mergeCell ref="N722:O722"/>
    <mergeCell ref="F719:G719"/>
    <mergeCell ref="H719:I719"/>
    <mergeCell ref="J719:K719"/>
    <mergeCell ref="L719:M719"/>
    <mergeCell ref="N719:O719"/>
    <mergeCell ref="F720:G720"/>
    <mergeCell ref="H720:I720"/>
    <mergeCell ref="J720:K720"/>
    <mergeCell ref="L720:M720"/>
    <mergeCell ref="N720:O720"/>
    <mergeCell ref="F725:G725"/>
    <mergeCell ref="H725:I725"/>
    <mergeCell ref="J725:K725"/>
    <mergeCell ref="L725:M725"/>
    <mergeCell ref="N725:O725"/>
    <mergeCell ref="F726:G726"/>
    <mergeCell ref="H726:I726"/>
    <mergeCell ref="J726:K726"/>
    <mergeCell ref="L726:M726"/>
    <mergeCell ref="N726:O726"/>
    <mergeCell ref="F723:G723"/>
    <mergeCell ref="H723:I723"/>
    <mergeCell ref="J723:K723"/>
    <mergeCell ref="L723:M723"/>
    <mergeCell ref="N723:O723"/>
    <mergeCell ref="F724:G724"/>
    <mergeCell ref="H724:I724"/>
    <mergeCell ref="J724:K724"/>
    <mergeCell ref="L724:M724"/>
    <mergeCell ref="N724:O724"/>
    <mergeCell ref="F729:G729"/>
    <mergeCell ref="H729:I729"/>
    <mergeCell ref="J729:K729"/>
    <mergeCell ref="L729:M729"/>
    <mergeCell ref="N729:O729"/>
    <mergeCell ref="F730:G730"/>
    <mergeCell ref="H730:I730"/>
    <mergeCell ref="J730:K730"/>
    <mergeCell ref="L730:M730"/>
    <mergeCell ref="N730:O730"/>
    <mergeCell ref="F727:G727"/>
    <mergeCell ref="H727:I727"/>
    <mergeCell ref="J727:K727"/>
    <mergeCell ref="L727:M727"/>
    <mergeCell ref="N727:O727"/>
    <mergeCell ref="F728:G728"/>
    <mergeCell ref="H728:I728"/>
    <mergeCell ref="J728:K728"/>
    <mergeCell ref="L728:M728"/>
    <mergeCell ref="N728:O728"/>
    <mergeCell ref="F733:G733"/>
    <mergeCell ref="H733:I733"/>
    <mergeCell ref="J733:K733"/>
    <mergeCell ref="L733:M733"/>
    <mergeCell ref="N733:O733"/>
    <mergeCell ref="F734:G734"/>
    <mergeCell ref="H734:I734"/>
    <mergeCell ref="J734:K734"/>
    <mergeCell ref="L734:M734"/>
    <mergeCell ref="N734:O734"/>
    <mergeCell ref="F731:G731"/>
    <mergeCell ref="H731:I731"/>
    <mergeCell ref="J731:K731"/>
    <mergeCell ref="L731:M731"/>
    <mergeCell ref="N731:O731"/>
    <mergeCell ref="F732:G732"/>
    <mergeCell ref="H732:I732"/>
    <mergeCell ref="J732:K732"/>
    <mergeCell ref="L732:M732"/>
    <mergeCell ref="N732:O732"/>
    <mergeCell ref="F737:G737"/>
    <mergeCell ref="H737:I737"/>
    <mergeCell ref="J737:K737"/>
    <mergeCell ref="L737:M737"/>
    <mergeCell ref="N737:O737"/>
    <mergeCell ref="F738:G738"/>
    <mergeCell ref="H738:I738"/>
    <mergeCell ref="J738:K738"/>
    <mergeCell ref="L738:M738"/>
    <mergeCell ref="N738:O738"/>
    <mergeCell ref="F735:G735"/>
    <mergeCell ref="H735:I735"/>
    <mergeCell ref="J735:K735"/>
    <mergeCell ref="L735:M735"/>
    <mergeCell ref="N735:O735"/>
    <mergeCell ref="F736:G736"/>
    <mergeCell ref="H736:I736"/>
    <mergeCell ref="J736:K736"/>
    <mergeCell ref="L736:M736"/>
    <mergeCell ref="N736:O736"/>
    <mergeCell ref="F741:G741"/>
    <mergeCell ref="H741:I741"/>
    <mergeCell ref="J741:K741"/>
    <mergeCell ref="L741:M741"/>
    <mergeCell ref="N741:O741"/>
    <mergeCell ref="F742:G742"/>
    <mergeCell ref="H742:I742"/>
    <mergeCell ref="J742:K742"/>
    <mergeCell ref="L742:M742"/>
    <mergeCell ref="N742:O742"/>
    <mergeCell ref="F739:G739"/>
    <mergeCell ref="H739:I739"/>
    <mergeCell ref="J739:K739"/>
    <mergeCell ref="L739:M739"/>
    <mergeCell ref="N739:O739"/>
    <mergeCell ref="F740:G740"/>
    <mergeCell ref="H740:I740"/>
    <mergeCell ref="J740:K740"/>
    <mergeCell ref="L740:M740"/>
    <mergeCell ref="N740:O740"/>
    <mergeCell ref="F745:G745"/>
    <mergeCell ref="H745:I745"/>
    <mergeCell ref="J745:K745"/>
    <mergeCell ref="L745:M745"/>
    <mergeCell ref="N745:O745"/>
    <mergeCell ref="F746:G746"/>
    <mergeCell ref="H746:I746"/>
    <mergeCell ref="J746:K746"/>
    <mergeCell ref="L746:M746"/>
    <mergeCell ref="N746:O746"/>
    <mergeCell ref="F743:G743"/>
    <mergeCell ref="H743:I743"/>
    <mergeCell ref="J743:K743"/>
    <mergeCell ref="L743:M743"/>
    <mergeCell ref="N743:O743"/>
    <mergeCell ref="F744:G744"/>
    <mergeCell ref="H744:I744"/>
    <mergeCell ref="J744:K744"/>
    <mergeCell ref="L744:M744"/>
    <mergeCell ref="N744:O744"/>
    <mergeCell ref="F749:G749"/>
    <mergeCell ref="H749:I749"/>
    <mergeCell ref="J749:K749"/>
    <mergeCell ref="L749:M749"/>
    <mergeCell ref="N749:O749"/>
    <mergeCell ref="F750:G750"/>
    <mergeCell ref="H750:I750"/>
    <mergeCell ref="J750:K750"/>
    <mergeCell ref="L750:M750"/>
    <mergeCell ref="N750:O750"/>
    <mergeCell ref="F747:G747"/>
    <mergeCell ref="H747:I747"/>
    <mergeCell ref="J747:K747"/>
    <mergeCell ref="L747:M747"/>
    <mergeCell ref="N747:O747"/>
    <mergeCell ref="F748:G748"/>
    <mergeCell ref="H748:I748"/>
    <mergeCell ref="J748:K748"/>
    <mergeCell ref="L748:M748"/>
    <mergeCell ref="N748:O748"/>
    <mergeCell ref="F753:G753"/>
    <mergeCell ref="H753:I753"/>
    <mergeCell ref="J753:K753"/>
    <mergeCell ref="L753:M753"/>
    <mergeCell ref="N753:O753"/>
    <mergeCell ref="F754:G754"/>
    <mergeCell ref="H754:I754"/>
    <mergeCell ref="J754:K754"/>
    <mergeCell ref="L754:M754"/>
    <mergeCell ref="N754:O754"/>
    <mergeCell ref="F751:G751"/>
    <mergeCell ref="H751:I751"/>
    <mergeCell ref="J751:K751"/>
    <mergeCell ref="L751:M751"/>
    <mergeCell ref="N751:O751"/>
    <mergeCell ref="F752:G752"/>
    <mergeCell ref="H752:I752"/>
    <mergeCell ref="J752:K752"/>
    <mergeCell ref="L752:M752"/>
    <mergeCell ref="N752:O752"/>
    <mergeCell ref="F757:G757"/>
    <mergeCell ref="H757:I757"/>
    <mergeCell ref="J757:K757"/>
    <mergeCell ref="L757:M757"/>
    <mergeCell ref="N757:O757"/>
    <mergeCell ref="F758:G758"/>
    <mergeCell ref="H758:I758"/>
    <mergeCell ref="J758:K758"/>
    <mergeCell ref="L758:M758"/>
    <mergeCell ref="N758:O758"/>
    <mergeCell ref="F755:G755"/>
    <mergeCell ref="H755:I755"/>
    <mergeCell ref="J755:K755"/>
    <mergeCell ref="L755:M755"/>
    <mergeCell ref="N755:O755"/>
    <mergeCell ref="F756:G756"/>
    <mergeCell ref="H756:I756"/>
    <mergeCell ref="J756:K756"/>
    <mergeCell ref="L756:M756"/>
    <mergeCell ref="N756:O756"/>
    <mergeCell ref="F761:G761"/>
    <mergeCell ref="H761:I761"/>
    <mergeCell ref="J761:K761"/>
    <mergeCell ref="L761:M761"/>
    <mergeCell ref="N761:O761"/>
    <mergeCell ref="F762:G762"/>
    <mergeCell ref="H762:I762"/>
    <mergeCell ref="J762:K762"/>
    <mergeCell ref="L762:M762"/>
    <mergeCell ref="N762:O762"/>
    <mergeCell ref="F759:G759"/>
    <mergeCell ref="H759:I759"/>
    <mergeCell ref="J759:K759"/>
    <mergeCell ref="L759:M759"/>
    <mergeCell ref="N759:O759"/>
    <mergeCell ref="F760:G760"/>
    <mergeCell ref="H760:I760"/>
    <mergeCell ref="J760:K760"/>
    <mergeCell ref="L760:M760"/>
    <mergeCell ref="N760:O760"/>
    <mergeCell ref="F765:G765"/>
    <mergeCell ref="H765:I765"/>
    <mergeCell ref="J765:K765"/>
    <mergeCell ref="L765:M765"/>
    <mergeCell ref="N765:O765"/>
    <mergeCell ref="F766:G766"/>
    <mergeCell ref="H766:I766"/>
    <mergeCell ref="J766:K766"/>
    <mergeCell ref="L766:M766"/>
    <mergeCell ref="N766:O766"/>
    <mergeCell ref="F763:G763"/>
    <mergeCell ref="H763:I763"/>
    <mergeCell ref="J763:K763"/>
    <mergeCell ref="L763:M763"/>
    <mergeCell ref="N763:O763"/>
    <mergeCell ref="F764:G764"/>
    <mergeCell ref="H764:I764"/>
    <mergeCell ref="J764:K764"/>
    <mergeCell ref="L764:M764"/>
    <mergeCell ref="N764:O764"/>
    <mergeCell ref="F769:G769"/>
    <mergeCell ref="H769:I769"/>
    <mergeCell ref="J769:K769"/>
    <mergeCell ref="L769:M769"/>
    <mergeCell ref="N769:O769"/>
    <mergeCell ref="F770:G770"/>
    <mergeCell ref="H770:I770"/>
    <mergeCell ref="J770:K770"/>
    <mergeCell ref="L770:M770"/>
    <mergeCell ref="N770:O770"/>
    <mergeCell ref="F767:G767"/>
    <mergeCell ref="H767:I767"/>
    <mergeCell ref="J767:K767"/>
    <mergeCell ref="L767:M767"/>
    <mergeCell ref="N767:O767"/>
    <mergeCell ref="F768:G768"/>
    <mergeCell ref="H768:I768"/>
    <mergeCell ref="J768:K768"/>
    <mergeCell ref="L768:M768"/>
    <mergeCell ref="N768:O768"/>
    <mergeCell ref="F773:G773"/>
    <mergeCell ref="H773:I773"/>
    <mergeCell ref="J773:K773"/>
    <mergeCell ref="L773:M773"/>
    <mergeCell ref="N773:O773"/>
    <mergeCell ref="F774:G774"/>
    <mergeCell ref="H774:I774"/>
    <mergeCell ref="J774:K774"/>
    <mergeCell ref="L774:M774"/>
    <mergeCell ref="N774:O774"/>
    <mergeCell ref="F771:G771"/>
    <mergeCell ref="H771:I771"/>
    <mergeCell ref="J771:K771"/>
    <mergeCell ref="L771:M771"/>
    <mergeCell ref="N771:O771"/>
    <mergeCell ref="F772:G772"/>
    <mergeCell ref="H772:I772"/>
    <mergeCell ref="J772:K772"/>
    <mergeCell ref="L772:M772"/>
    <mergeCell ref="N772:O772"/>
    <mergeCell ref="F777:G777"/>
    <mergeCell ref="H777:I777"/>
    <mergeCell ref="J777:K777"/>
    <mergeCell ref="L777:M777"/>
    <mergeCell ref="N777:O777"/>
    <mergeCell ref="F786:G786"/>
    <mergeCell ref="H786:I786"/>
    <mergeCell ref="J786:K786"/>
    <mergeCell ref="L786:M786"/>
    <mergeCell ref="N786:O786"/>
    <mergeCell ref="F783:G783"/>
    <mergeCell ref="H783:I783"/>
    <mergeCell ref="J783:K783"/>
    <mergeCell ref="F778:G778"/>
    <mergeCell ref="H778:I778"/>
    <mergeCell ref="J778:K778"/>
    <mergeCell ref="L778:M778"/>
    <mergeCell ref="N778:O778"/>
    <mergeCell ref="F775:G775"/>
    <mergeCell ref="H775:I775"/>
    <mergeCell ref="J775:K775"/>
    <mergeCell ref="L775:M775"/>
    <mergeCell ref="N775:O775"/>
    <mergeCell ref="F776:G776"/>
    <mergeCell ref="H776:I776"/>
    <mergeCell ref="J776:K776"/>
    <mergeCell ref="L776:M776"/>
    <mergeCell ref="N776:O776"/>
    <mergeCell ref="F781:G781"/>
    <mergeCell ref="H781:I781"/>
    <mergeCell ref="J781:K781"/>
    <mergeCell ref="L781:M781"/>
    <mergeCell ref="N781:O781"/>
    <mergeCell ref="F782:G782"/>
    <mergeCell ref="H782:I782"/>
    <mergeCell ref="J782:K782"/>
    <mergeCell ref="L782:M782"/>
    <mergeCell ref="N782:O782"/>
    <mergeCell ref="F779:G779"/>
    <mergeCell ref="H779:I779"/>
    <mergeCell ref="J779:K779"/>
    <mergeCell ref="L779:M779"/>
    <mergeCell ref="N779:O779"/>
    <mergeCell ref="F780:G780"/>
    <mergeCell ref="H780:I780"/>
    <mergeCell ref="J780:K780"/>
    <mergeCell ref="L780:M780"/>
    <mergeCell ref="N780:O780"/>
    <mergeCell ref="F785:G785"/>
    <mergeCell ref="H785:I785"/>
    <mergeCell ref="J785:K785"/>
    <mergeCell ref="L785:M785"/>
    <mergeCell ref="N785:O785"/>
    <mergeCell ref="L783:M783"/>
    <mergeCell ref="N783:O783"/>
    <mergeCell ref="F784:G784"/>
    <mergeCell ref="H784:I784"/>
    <mergeCell ref="J784:K784"/>
    <mergeCell ref="L784:M784"/>
    <mergeCell ref="N784:O784"/>
    <mergeCell ref="F791:G791"/>
    <mergeCell ref="H791:I791"/>
    <mergeCell ref="J791:K791"/>
    <mergeCell ref="L791:M791"/>
    <mergeCell ref="N791:O791"/>
    <mergeCell ref="F789:G789"/>
    <mergeCell ref="H789:I789"/>
    <mergeCell ref="J789:K789"/>
    <mergeCell ref="L789:M789"/>
    <mergeCell ref="N789:O789"/>
    <mergeCell ref="F790:G790"/>
    <mergeCell ref="H790:I790"/>
    <mergeCell ref="J790:K790"/>
    <mergeCell ref="L790:M790"/>
    <mergeCell ref="N790:O790"/>
    <mergeCell ref="F787:G787"/>
    <mergeCell ref="H787:I787"/>
    <mergeCell ref="J787:K787"/>
    <mergeCell ref="L787:M787"/>
    <mergeCell ref="N787:O787"/>
    <mergeCell ref="F788:G788"/>
    <mergeCell ref="H788:I788"/>
    <mergeCell ref="J788:K788"/>
    <mergeCell ref="L788:M788"/>
    <mergeCell ref="N788:O788"/>
  </mergeCells>
  <dataValidations count="3">
    <dataValidation type="list" allowBlank="1" showInputMessage="1" showErrorMessage="1" sqref="F473:O473 F479:O479 F476:O476 F38:O38 F32:O32 F41:O41 F44:O44 F47:O47 F50:O50 F53:O53 F56:O56 F59:O59 F62:O62 F65:O65 F68:O68 F71:O71 F74:O74 F77:O77 F80:O80 F83:O83 F86:O86 F89:O89 F92:O92 F95:O95 F98:O98 F101:O101 F104:O104 F107:O107 F110:O110 F113:O113 F116:O116 F119:O119 F122:O122 F125:O125 F128:O128 F131:O131 F134:O134 F137:O137 F140:O140 F143:O143 F146:O146 F149:O149 F152:O152 F155:O155 F158:O158 F161:O161 F164:O164 F167:O167 F170:O170 F173:O173 F176:O176 F179:O179 F182:O182 F185:O185 F188:O188 F191:O191 F194:O194 F197:O197 F200:O200 F203:O203 F206:O206 F209:O209 F212:O212 F215:O215 F218:O218 F221:O221 F224:O224 F227:O227 F230:O230 F233:O233 F236:O236 F239:O239 F242:O242 F245:O245 F248:O248 F251:O251 F254:O254 F257:O257 F260:O260 F263:O263 F266:O266 F269:O269 F272:O272 F275:O275 F278:O278 F281:O281 F284:O284 F287:O287 F290:O290 F293:O293 F296:O296 F299:O299 F302:O302 F305:O305 F308:O308 F311:O311 F314:O314 F317:O317 F320:O320 F323:O323 F326:O326 F329:O329 F332:O332 F335:O335 F338:O338 F341:O341 F344:O344 F347:O347 F350:O350 F353:O353 F356:O356 F359:O359 F362:O362 F365:O365 F368:O368 F371:O371 F374:O374 F377:O377 F380:O380 F383:O383 F386:O386 F389:O389 F392:O392 F395:O395 F398:O398 F401:O401 F404:O404 F407:O407 F410:O410 F413:O413 F416:O416 F419:O419 F422:O422 F425:O425 F428:O428 F431:O431 F434:O434 F437:O437 F440:O440 F443:O443 F446:O446 F449:O449 F452:O452 F455:O455 F458:O458 F461:O461 F464:O464 F467:O467 F470:O470 F35:O35" xr:uid="{00000000-0002-0000-0900-000000000000}">
      <formula1>"A,B"</formula1>
    </dataValidation>
    <dataValidation type="list" allowBlank="1" showInputMessage="1" showErrorMessage="1" sqref="C19 C21" xr:uid="{00000000-0002-0000-0900-000001000000}">
      <formula1>"Yes,No"</formula1>
    </dataValidation>
    <dataValidation type="list" allowBlank="1" showInputMessage="1" showErrorMessage="1" sqref="B764 B766 B768 B770 B772 B774 B776 B778 B780 B782 B784 B786 B788 D30 D33 D36 D39 D42 D45 D48 D51 D54 D57 D60 D63 D66 D69 D72 D75 D78 D81 D84 D87 D90 D93 D96 D99 D102 D105 D108 D111 D114 D117 D120 D123 D126 D129 D132 D135 D138 D141 D144 D147 D150 D153 D156 D159 D162 D165 D168 D171 D174 D177 D180 D183 D186 D189 D192 D195 D198 D201 D204 D207 D210 D213 D216 D219 D222 D225 D228 D231 D234 D237 D240 D243 D246 D249 D252 D255 D258 D261 D264 D267 D270 D273 D276 D279 D282 D285 D288 D291 D294 D297 D300 D303 D306 D309 D312 D315 D318 D321 D324 D327 D330 D333 D336 D339 D342 D345 D348 D351 D354 D357 D360 D363 D366 D369 D372 D375 D378 D381 D384 D387 D390 D393 D396 D399 D402 D405 D408 D411 D414 D417 D420 D423 D426 D429 D432 D435 D438 D441 D444 D447 D450 D453 D456 D459 D462 D465 D468 D471 D474 D477 B492 B494 B496 B498 B500 B502 B504 B506 B508 B510 B512 B514 B516 B518 B520 B522 B524 B526 B528 B530 B532 B534 B536 B538 B540 B542 B544 B546 B548 B550 B552 B554 B556 B558 B560 B562 B564 B566 B568 B570 B572 B574 B576 B578 B580 B582 B584 B586 B588 B590 B592 B594 B596 B598 B600 B602 B604 B606 B608 B610 B612 B614 B616 B618 B620 B622 B624 B626 B628 B630 B632 B634 B636 B638 B640 B642 B644 B646 B648 B650 B652 B654 B656 B658 B660 B662 B664 B666 B668 B670 B672 B674 B676 B678 B680 B682 B684 B686 B688 B690 B692 B694 B696 B698 B700 B702 B704 B706 B708 B710 B712 B714 B716 B718 B720 B722 B724 B726 B728 B730 B732 B734 B736 B738 B740 B742 B744 B746 B748 B750 B752 B754 B756 B758 B760 B762 B790" xr:uid="{203AECF0-96F3-4902-9CBB-27A93AE4497A}">
      <formula1>listdata</formula1>
    </dataValidation>
  </dataValidations>
  <pageMargins left="0.70866141732283472" right="0.70866141732283472" top="0.74803149606299213" bottom="0.74803149606299213" header="0.31496062992125984" footer="0.31496062992125984"/>
  <pageSetup paperSize="17" scale="8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4817" r:id="rId4" name="Button 1">
              <controlPr defaultSize="0" print="0" autoFill="0" autoPict="0" macro="[0]!ClrAll3a_Click">
                <anchor moveWithCells="1" sizeWithCells="1">
                  <from>
                    <xdr:col>3</xdr:col>
                    <xdr:colOff>400050</xdr:colOff>
                    <xdr:row>24</xdr:row>
                    <xdr:rowOff>19050</xdr:rowOff>
                  </from>
                  <to>
                    <xdr:col>3</xdr:col>
                    <xdr:colOff>1771650</xdr:colOff>
                    <xdr:row>25</xdr:row>
                    <xdr:rowOff>0</xdr:rowOff>
                  </to>
                </anchor>
              </controlPr>
            </control>
          </mc:Choice>
        </mc:AlternateContent>
        <mc:AlternateContent xmlns:mc="http://schemas.openxmlformats.org/markup-compatibility/2006">
          <mc:Choice Requires="x14">
            <control shapeId="34818" r:id="rId5" name="Button 2">
              <controlPr defaultSize="0" print="0" autoFill="0" autoPict="0" macro="[0]!ClrAll3b_Click">
                <anchor moveWithCells="1" sizeWithCells="1">
                  <from>
                    <xdr:col>3</xdr:col>
                    <xdr:colOff>381000</xdr:colOff>
                    <xdr:row>486</xdr:row>
                    <xdr:rowOff>142875</xdr:rowOff>
                  </from>
                  <to>
                    <xdr:col>3</xdr:col>
                    <xdr:colOff>1752600</xdr:colOff>
                    <xdr:row>486</xdr:row>
                    <xdr:rowOff>428625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8"/>
  <dimension ref="A13:N184"/>
  <sheetViews>
    <sheetView showGridLines="0" topLeftCell="A3" zoomScaleNormal="100" workbookViewId="0">
      <selection activeCell="D20" sqref="D20"/>
    </sheetView>
  </sheetViews>
  <sheetFormatPr defaultColWidth="9" defaultRowHeight="15" x14ac:dyDescent="0.25"/>
  <cols>
    <col min="1" max="1" width="55.85546875" style="349" customWidth="1"/>
    <col min="2" max="2" width="9.85546875" style="349" customWidth="1"/>
    <col min="3" max="3" width="31" style="349" bestFit="1" customWidth="1"/>
    <col min="4" max="4" width="31" style="349" customWidth="1"/>
    <col min="5" max="5" width="27.28515625" style="349" customWidth="1"/>
    <col min="6" max="6" width="28.7109375" style="349" customWidth="1"/>
    <col min="7" max="8" width="28.28515625" style="349" hidden="1" customWidth="1"/>
    <col min="9" max="9" width="30.28515625" style="349" customWidth="1"/>
    <col min="10" max="10" width="24.85546875" style="349" customWidth="1"/>
    <col min="11" max="11" width="10" style="349" customWidth="1"/>
    <col min="12" max="13" width="9" style="349"/>
    <col min="14" max="14" width="32.28515625" style="349" customWidth="1"/>
    <col min="15" max="16384" width="9" style="349"/>
  </cols>
  <sheetData>
    <row r="13" spans="1:9" ht="19.149999999999999" customHeight="1" x14ac:dyDescent="0.25"/>
    <row r="14" spans="1:9" ht="111" customHeight="1" x14ac:dyDescent="0.25">
      <c r="A14" s="833" t="s">
        <v>456</v>
      </c>
      <c r="B14" s="833"/>
      <c r="C14" s="833"/>
      <c r="D14" s="833"/>
      <c r="E14" s="834"/>
      <c r="F14" s="834"/>
    </row>
    <row r="15" spans="1:9" x14ac:dyDescent="0.25">
      <c r="A15" s="350"/>
      <c r="B15" s="350"/>
      <c r="C15" s="350"/>
      <c r="D15" s="350"/>
      <c r="E15" s="351"/>
      <c r="F15" s="351"/>
    </row>
    <row r="16" spans="1:9" ht="30" customHeight="1" x14ac:dyDescent="0.25">
      <c r="A16" s="352" t="s">
        <v>2873</v>
      </c>
      <c r="B16" s="353">
        <f>'1. Information Sheet'!L33</f>
        <v>2020</v>
      </c>
      <c r="C16" s="835"/>
      <c r="D16" s="836"/>
      <c r="E16" s="836"/>
      <c r="F16" s="836"/>
      <c r="G16" s="836"/>
      <c r="H16" s="836"/>
      <c r="I16" s="836"/>
    </row>
    <row r="17" spans="1:14" ht="39.75" customHeight="1" x14ac:dyDescent="0.25">
      <c r="A17" s="833" t="s">
        <v>360</v>
      </c>
      <c r="B17" s="833"/>
      <c r="C17" s="833"/>
      <c r="D17" s="833"/>
      <c r="E17" s="833"/>
      <c r="F17" s="833"/>
    </row>
    <row r="18" spans="1:14" x14ac:dyDescent="0.25">
      <c r="B18" s="354"/>
      <c r="C18" s="355" t="s">
        <v>52</v>
      </c>
      <c r="D18" s="356">
        <v>2021</v>
      </c>
      <c r="E18" s="356">
        <v>2020</v>
      </c>
      <c r="F18" s="356">
        <v>2019</v>
      </c>
      <c r="G18" s="356">
        <v>2018</v>
      </c>
      <c r="H18" s="357">
        <v>2017</v>
      </c>
    </row>
    <row r="19" spans="1:14" ht="17.25" customHeight="1" x14ac:dyDescent="0.25">
      <c r="A19" s="358" t="s">
        <v>457</v>
      </c>
      <c r="B19" s="359" t="s">
        <v>186</v>
      </c>
      <c r="C19" s="360">
        <f>SUM(D19:F19)</f>
        <v>0</v>
      </c>
      <c r="D19" s="361"/>
      <c r="E19" s="361"/>
      <c r="F19" s="361"/>
      <c r="G19" s="361"/>
      <c r="H19" s="361"/>
    </row>
    <row r="20" spans="1:14" s="364" customFormat="1" ht="15" customHeight="1" x14ac:dyDescent="0.25">
      <c r="A20" s="362" t="s">
        <v>458</v>
      </c>
      <c r="B20" s="359" t="s">
        <v>187</v>
      </c>
      <c r="C20" s="360">
        <f>SUM(D20:F20)</f>
        <v>0</v>
      </c>
      <c r="D20" s="363"/>
      <c r="E20" s="363"/>
      <c r="F20" s="363"/>
      <c r="G20" s="363"/>
      <c r="H20" s="363"/>
    </row>
    <row r="21" spans="1:14" s="364" customFormat="1" x14ac:dyDescent="0.25">
      <c r="A21" s="362" t="s">
        <v>459</v>
      </c>
      <c r="B21" s="359" t="s">
        <v>192</v>
      </c>
      <c r="C21" s="360">
        <f>SUM(D21:F21)</f>
        <v>0</v>
      </c>
      <c r="D21" s="363">
        <f t="array" ref="D21">SUM(IF('6. Class A Consumption Data'!C492:C791="kWh",'6. Class A Consumption Data'!F492:F791))</f>
        <v>0</v>
      </c>
      <c r="E21" s="363">
        <f t="array" ref="E21">SUM(IF('6. Class A Consumption Data'!C492:C791="kWh",'6. Class A Consumption Data'!H492:H791))</f>
        <v>0</v>
      </c>
      <c r="F21" s="363">
        <f t="array" ref="F21">SUM(IF('6. Class A Consumption Data'!C492:C791="kWh",'6. Class A Consumption Data'!J492:J791))</f>
        <v>0</v>
      </c>
      <c r="G21" s="363">
        <f t="array" ref="G21">SUM(IF('6. Class A Consumption Data'!C492:C791="kWh",'6. Class A Consumption Data'!L492:L791))</f>
        <v>0</v>
      </c>
      <c r="H21" s="363">
        <f t="array" ref="H21">SUM(IF('6. Class A Consumption Data'!C492:C791="kWh",'6. Class A Consumption Data'!N492:N791))</f>
        <v>0</v>
      </c>
    </row>
    <row r="22" spans="1:14" s="364" customFormat="1" ht="26.25" x14ac:dyDescent="0.25">
      <c r="A22" s="365" t="s">
        <v>460</v>
      </c>
      <c r="B22" s="359" t="s">
        <v>461</v>
      </c>
      <c r="C22" s="360">
        <f>SUM(D22:F22)</f>
        <v>0</v>
      </c>
      <c r="D22" s="366">
        <f>D19-D20-D21</f>
        <v>0</v>
      </c>
      <c r="E22" s="366">
        <f>E19-E20-E21</f>
        <v>0</v>
      </c>
      <c r="F22" s="366">
        <f>F19-F20-F21</f>
        <v>0</v>
      </c>
      <c r="G22" s="366">
        <f>G19-G20-G21</f>
        <v>0</v>
      </c>
      <c r="H22" s="366">
        <f>H19-H20-H21</f>
        <v>0</v>
      </c>
    </row>
    <row r="23" spans="1:14" x14ac:dyDescent="0.25">
      <c r="A23" s="358" t="s">
        <v>462</v>
      </c>
      <c r="B23" s="359" t="s">
        <v>194</v>
      </c>
      <c r="C23" s="360">
        <f>SUM(D23:F23)</f>
        <v>0</v>
      </c>
      <c r="D23" s="367">
        <f>D184</f>
        <v>0</v>
      </c>
      <c r="E23" s="367">
        <f>E184</f>
        <v>0</v>
      </c>
      <c r="F23" s="367">
        <f>F184</f>
        <v>0</v>
      </c>
      <c r="G23" s="367">
        <f>G184</f>
        <v>0</v>
      </c>
      <c r="H23" s="367">
        <f>H184</f>
        <v>0</v>
      </c>
    </row>
    <row r="24" spans="1:14" ht="15.75" customHeight="1" x14ac:dyDescent="0.25">
      <c r="A24" s="368" t="s">
        <v>361</v>
      </c>
      <c r="B24" s="359" t="s">
        <v>463</v>
      </c>
      <c r="C24" s="369">
        <f>IFERROR(+C23/C22,0)</f>
        <v>0</v>
      </c>
      <c r="D24" s="369"/>
      <c r="E24" s="369"/>
      <c r="F24" s="369"/>
      <c r="G24" s="370"/>
      <c r="H24" s="370"/>
    </row>
    <row r="25" spans="1:14" ht="39.75" customHeight="1" x14ac:dyDescent="0.25">
      <c r="A25" s="837" t="s">
        <v>176</v>
      </c>
      <c r="B25" s="837"/>
      <c r="C25" s="837"/>
      <c r="D25" s="371"/>
      <c r="F25" s="372"/>
    </row>
    <row r="26" spans="1:14" ht="15.75" hidden="1" thickBot="1" x14ac:dyDescent="0.3">
      <c r="A26" s="373"/>
      <c r="B26" s="373"/>
      <c r="C26" s="374"/>
      <c r="D26" s="374"/>
      <c r="N26" s="372"/>
    </row>
    <row r="27" spans="1:14" x14ac:dyDescent="0.25">
      <c r="A27" s="375" t="s">
        <v>177</v>
      </c>
      <c r="B27" s="490" t="s">
        <v>2908</v>
      </c>
      <c r="C27" s="491">
        <f>'2a. Continuity Schedule'!BT32</f>
        <v>-73878.999364249437</v>
      </c>
      <c r="D27" s="376"/>
    </row>
    <row r="28" spans="1:14" x14ac:dyDescent="0.25">
      <c r="A28" s="377" t="s">
        <v>362</v>
      </c>
      <c r="B28" s="476" t="s">
        <v>2909</v>
      </c>
      <c r="C28" s="492">
        <f>+C24*C27</f>
        <v>0</v>
      </c>
      <c r="D28" s="378"/>
      <c r="E28" s="379"/>
    </row>
    <row r="29" spans="1:14" ht="32.25" customHeight="1" x14ac:dyDescent="0.25">
      <c r="A29" s="377" t="s">
        <v>363</v>
      </c>
      <c r="B29" s="476" t="s">
        <v>2910</v>
      </c>
      <c r="C29" s="491">
        <f>+C27-C28</f>
        <v>-73878.999364249437</v>
      </c>
      <c r="D29" s="376"/>
    </row>
    <row r="31" spans="1:14" x14ac:dyDescent="0.25">
      <c r="A31" s="838" t="s">
        <v>364</v>
      </c>
      <c r="B31" s="838"/>
      <c r="C31" s="833"/>
      <c r="D31" s="833"/>
      <c r="E31" s="833"/>
    </row>
    <row r="32" spans="1:14" x14ac:dyDescent="0.25">
      <c r="A32" s="380" t="s">
        <v>365</v>
      </c>
      <c r="B32" s="380"/>
      <c r="C32" s="381">
        <f>COUNTIF(C34:C183,"&lt;&gt;0")</f>
        <v>0</v>
      </c>
      <c r="D32" s="382"/>
      <c r="E32" s="382"/>
      <c r="F32" s="382"/>
      <c r="G32" s="382"/>
      <c r="H32" s="382"/>
      <c r="K32" s="383"/>
    </row>
    <row r="33" spans="1:11" ht="65.25" customHeight="1" x14ac:dyDescent="0.25">
      <c r="A33" s="472" t="s">
        <v>188</v>
      </c>
      <c r="B33" s="472"/>
      <c r="C33" s="473" t="s">
        <v>464</v>
      </c>
      <c r="D33" s="473" t="s">
        <v>3468</v>
      </c>
      <c r="E33" s="473" t="s">
        <v>3056</v>
      </c>
      <c r="F33" s="473" t="s">
        <v>3026</v>
      </c>
      <c r="G33" s="473" t="s">
        <v>465</v>
      </c>
      <c r="H33" s="473" t="s">
        <v>466</v>
      </c>
      <c r="I33" s="474" t="s">
        <v>189</v>
      </c>
      <c r="J33" s="475" t="s">
        <v>467</v>
      </c>
      <c r="K33" s="384" t="s">
        <v>190</v>
      </c>
    </row>
    <row r="34" spans="1:11" hidden="1" x14ac:dyDescent="0.25">
      <c r="A34" s="399" t="s">
        <v>195</v>
      </c>
      <c r="B34" s="399"/>
      <c r="C34" s="400">
        <f t="shared" ref="C34:C65" si="0">SUM(D34:F34)</f>
        <v>0</v>
      </c>
      <c r="D34" s="400">
        <v>0</v>
      </c>
      <c r="E34" s="400">
        <v>0</v>
      </c>
      <c r="F34" s="400">
        <v>0</v>
      </c>
      <c r="G34" s="400">
        <f t="array" ref="G34">SUM(IF('6. Class A Consumption Data'!L32:M32="B",'6. Class A Consumption Data'!L30:M30))</f>
        <v>0</v>
      </c>
      <c r="H34" s="400">
        <f t="array" ref="H34">SUM(IF('6. Class A Consumption Data'!N32:O32="B",'6. Class A Consumption Data'!N30:O30))</f>
        <v>0</v>
      </c>
      <c r="I34" s="401">
        <f>IFERROR(+C34/$C$184,0)</f>
        <v>0</v>
      </c>
      <c r="J34" s="402">
        <f>+I34*$C$28</f>
        <v>0</v>
      </c>
      <c r="K34" s="389">
        <f>+J34/12</f>
        <v>0</v>
      </c>
    </row>
    <row r="35" spans="1:11" hidden="1" x14ac:dyDescent="0.25">
      <c r="A35" s="385" t="s">
        <v>196</v>
      </c>
      <c r="B35" s="385"/>
      <c r="C35" s="386">
        <f t="shared" si="0"/>
        <v>0</v>
      </c>
      <c r="D35" s="386">
        <v>0</v>
      </c>
      <c r="E35" s="386">
        <v>0</v>
      </c>
      <c r="F35" s="386">
        <v>0</v>
      </c>
      <c r="G35" s="386">
        <f t="array" ref="G35">SUM(IF('6. Class A Consumption Data'!L35:M35="B",'6. Class A Consumption Data'!L33:M33))</f>
        <v>0</v>
      </c>
      <c r="H35" s="386">
        <f t="array" ref="H35">SUM(IF('6. Class A Consumption Data'!N35:O35="B",'6. Class A Consumption Data'!N33:O33))</f>
        <v>0</v>
      </c>
      <c r="I35" s="387">
        <f t="shared" ref="I35:I98" si="1">IFERROR(+C35/$C$184,0)</f>
        <v>0</v>
      </c>
      <c r="J35" s="388">
        <f>+I35*$C$28</f>
        <v>0</v>
      </c>
      <c r="K35" s="389">
        <f>+J35/12</f>
        <v>0</v>
      </c>
    </row>
    <row r="36" spans="1:11" hidden="1" x14ac:dyDescent="0.25">
      <c r="A36" s="390" t="s">
        <v>211</v>
      </c>
      <c r="B36" s="390"/>
      <c r="C36" s="391">
        <f t="shared" si="0"/>
        <v>0</v>
      </c>
      <c r="D36" s="391">
        <v>0</v>
      </c>
      <c r="E36" s="391">
        <v>0</v>
      </c>
      <c r="F36" s="391">
        <v>0</v>
      </c>
      <c r="G36" s="391">
        <f t="array" ref="G36">SUM(IF('6. Class A Consumption Data'!L38:M38="B",'6. Class A Consumption Data'!L36:M36))</f>
        <v>0</v>
      </c>
      <c r="H36" s="391">
        <f t="array" ref="H36">SUM(IF('6. Class A Consumption Data'!N38:O38="B",'6. Class A Consumption Data'!N36:O36))</f>
        <v>0</v>
      </c>
      <c r="I36" s="392">
        <f t="shared" si="1"/>
        <v>0</v>
      </c>
      <c r="J36" s="389">
        <f>+I36*$C$28</f>
        <v>0</v>
      </c>
      <c r="K36" s="403">
        <f>+J36/12</f>
        <v>0</v>
      </c>
    </row>
    <row r="37" spans="1:11" hidden="1" x14ac:dyDescent="0.25">
      <c r="A37" s="395" t="s">
        <v>212</v>
      </c>
      <c r="B37" s="395"/>
      <c r="C37" s="400">
        <f t="shared" si="0"/>
        <v>0</v>
      </c>
      <c r="D37" s="396">
        <v>0</v>
      </c>
      <c r="E37" s="396">
        <v>0</v>
      </c>
      <c r="F37" s="396">
        <v>0</v>
      </c>
      <c r="G37" s="396">
        <f t="array" ref="G37">SUM(IF('6. Class A Consumption Data'!L41:M41="B",'6. Class A Consumption Data'!L39:M39))</f>
        <v>0</v>
      </c>
      <c r="H37" s="396">
        <f t="array" ref="H37">SUM(IF('6. Class A Consumption Data'!N41:O41="B",'6. Class A Consumption Data'!N39:O39))</f>
        <v>0</v>
      </c>
      <c r="I37" s="397">
        <f t="shared" si="1"/>
        <v>0</v>
      </c>
      <c r="J37" s="398">
        <f>+I37*$C$28</f>
        <v>0</v>
      </c>
      <c r="K37" s="394">
        <f>+J37/12</f>
        <v>0</v>
      </c>
    </row>
    <row r="38" spans="1:11" hidden="1" x14ac:dyDescent="0.25">
      <c r="A38" s="399" t="s">
        <v>213</v>
      </c>
      <c r="B38" s="399"/>
      <c r="C38" s="386">
        <f t="shared" si="0"/>
        <v>0</v>
      </c>
      <c r="D38" s="400">
        <v>0</v>
      </c>
      <c r="E38" s="400">
        <v>0</v>
      </c>
      <c r="F38" s="400">
        <v>0</v>
      </c>
      <c r="G38" s="400">
        <f t="array" ref="G38">SUM(IF('6. Class A Consumption Data'!L44:M44="B",'6. Class A Consumption Data'!L42:M42))</f>
        <v>0</v>
      </c>
      <c r="H38" s="400">
        <f t="array" ref="H38">SUM(IF('6. Class A Consumption Data'!N44:O44="B",'6. Class A Consumption Data'!N42:O42))</f>
        <v>0</v>
      </c>
      <c r="I38" s="401">
        <f t="shared" si="1"/>
        <v>0</v>
      </c>
      <c r="J38" s="402">
        <f t="shared" ref="J38:J101" si="2">+I38*$C$28</f>
        <v>0</v>
      </c>
      <c r="K38" s="394">
        <f t="shared" ref="K38:K101" si="3">+J38/12</f>
        <v>0</v>
      </c>
    </row>
    <row r="39" spans="1:11" hidden="1" x14ac:dyDescent="0.25">
      <c r="A39" s="390" t="s">
        <v>214</v>
      </c>
      <c r="B39" s="390"/>
      <c r="C39" s="386">
        <f t="shared" si="0"/>
        <v>0</v>
      </c>
      <c r="D39" s="391">
        <v>0</v>
      </c>
      <c r="E39" s="391">
        <v>0</v>
      </c>
      <c r="F39" s="391">
        <v>0</v>
      </c>
      <c r="G39" s="391">
        <f t="array" ref="G39">SUM(IF('6. Class A Consumption Data'!L47:M47="B",'6. Class A Consumption Data'!L45:M45))</f>
        <v>0</v>
      </c>
      <c r="H39" s="391">
        <f t="array" ref="H39">SUM(IF('6. Class A Consumption Data'!N47:O47="B",'6. Class A Consumption Data'!N45:O45))</f>
        <v>0</v>
      </c>
      <c r="I39" s="392">
        <f t="shared" si="1"/>
        <v>0</v>
      </c>
      <c r="J39" s="389">
        <f t="shared" si="2"/>
        <v>0</v>
      </c>
      <c r="K39" s="403">
        <f t="shared" si="3"/>
        <v>0</v>
      </c>
    </row>
    <row r="40" spans="1:11" hidden="1" x14ac:dyDescent="0.25">
      <c r="A40" s="395" t="s">
        <v>215</v>
      </c>
      <c r="B40" s="395"/>
      <c r="C40" s="386">
        <f t="shared" si="0"/>
        <v>0</v>
      </c>
      <c r="D40" s="396">
        <v>0</v>
      </c>
      <c r="E40" s="396">
        <v>0</v>
      </c>
      <c r="F40" s="396">
        <v>0</v>
      </c>
      <c r="G40" s="396">
        <f t="array" ref="G40">SUM(IF('6. Class A Consumption Data'!L50:M50="B",'6. Class A Consumption Data'!L48:M48))</f>
        <v>0</v>
      </c>
      <c r="H40" s="396">
        <f t="array" ref="H40">SUM(IF('6. Class A Consumption Data'!N50:O50="B",'6. Class A Consumption Data'!N48:O48))</f>
        <v>0</v>
      </c>
      <c r="I40" s="397">
        <f t="shared" si="1"/>
        <v>0</v>
      </c>
      <c r="J40" s="398">
        <f t="shared" si="2"/>
        <v>0</v>
      </c>
      <c r="K40" s="394">
        <f t="shared" si="3"/>
        <v>0</v>
      </c>
    </row>
    <row r="41" spans="1:11" hidden="1" x14ac:dyDescent="0.25">
      <c r="A41" s="390" t="s">
        <v>216</v>
      </c>
      <c r="B41" s="390"/>
      <c r="C41" s="386">
        <f t="shared" si="0"/>
        <v>0</v>
      </c>
      <c r="D41" s="391">
        <v>0</v>
      </c>
      <c r="E41" s="391">
        <v>0</v>
      </c>
      <c r="F41" s="391">
        <v>0</v>
      </c>
      <c r="G41" s="391">
        <f t="array" ref="G41">SUM(IF('6. Class A Consumption Data'!L53:M53="B",'6. Class A Consumption Data'!L51:M51))</f>
        <v>0</v>
      </c>
      <c r="H41" s="391">
        <f t="array" ref="H41">SUM(IF('6. Class A Consumption Data'!N53:O53="B",'6. Class A Consumption Data'!N51:O51))</f>
        <v>0</v>
      </c>
      <c r="I41" s="392">
        <f t="shared" si="1"/>
        <v>0</v>
      </c>
      <c r="J41" s="393">
        <f t="shared" si="2"/>
        <v>0</v>
      </c>
      <c r="K41" s="389">
        <f t="shared" si="3"/>
        <v>0</v>
      </c>
    </row>
    <row r="42" spans="1:11" hidden="1" x14ac:dyDescent="0.25">
      <c r="A42" s="390" t="s">
        <v>217</v>
      </c>
      <c r="B42" s="390"/>
      <c r="C42" s="386">
        <f t="shared" si="0"/>
        <v>0</v>
      </c>
      <c r="D42" s="391">
        <v>0</v>
      </c>
      <c r="E42" s="391">
        <v>0</v>
      </c>
      <c r="F42" s="391">
        <v>0</v>
      </c>
      <c r="G42" s="391">
        <f t="array" ref="G42">SUM(IF('6. Class A Consumption Data'!L56:M56="B",'6. Class A Consumption Data'!L54:M54))</f>
        <v>0</v>
      </c>
      <c r="H42" s="391">
        <f t="array" ref="H42">SUM(IF('6. Class A Consumption Data'!N56:O56="B",'6. Class A Consumption Data'!N54:O54))</f>
        <v>0</v>
      </c>
      <c r="I42" s="392">
        <f t="shared" si="1"/>
        <v>0</v>
      </c>
      <c r="J42" s="393">
        <f t="shared" si="2"/>
        <v>0</v>
      </c>
      <c r="K42" s="389">
        <f t="shared" si="3"/>
        <v>0</v>
      </c>
    </row>
    <row r="43" spans="1:11" hidden="1" x14ac:dyDescent="0.25">
      <c r="A43" s="390" t="s">
        <v>218</v>
      </c>
      <c r="B43" s="390"/>
      <c r="C43" s="386">
        <f t="shared" si="0"/>
        <v>0</v>
      </c>
      <c r="D43" s="391">
        <v>0</v>
      </c>
      <c r="E43" s="391">
        <v>0</v>
      </c>
      <c r="F43" s="391">
        <v>0</v>
      </c>
      <c r="G43" s="391">
        <f t="array" ref="G43">SUM(IF('6. Class A Consumption Data'!L59:M59="B",'6. Class A Consumption Data'!L57:M57))</f>
        <v>0</v>
      </c>
      <c r="H43" s="391">
        <f t="array" ref="H43">SUM(IF('6. Class A Consumption Data'!N59:O59="B",'6. Class A Consumption Data'!N57:O57))</f>
        <v>0</v>
      </c>
      <c r="I43" s="392">
        <f t="shared" si="1"/>
        <v>0</v>
      </c>
      <c r="J43" s="393">
        <f t="shared" si="2"/>
        <v>0</v>
      </c>
      <c r="K43" s="389">
        <f t="shared" si="3"/>
        <v>0</v>
      </c>
    </row>
    <row r="44" spans="1:11" hidden="1" x14ac:dyDescent="0.25">
      <c r="A44" s="390" t="s">
        <v>219</v>
      </c>
      <c r="B44" s="390"/>
      <c r="C44" s="386">
        <f t="shared" si="0"/>
        <v>0</v>
      </c>
      <c r="D44" s="391">
        <v>0</v>
      </c>
      <c r="E44" s="391">
        <v>0</v>
      </c>
      <c r="F44" s="391">
        <v>0</v>
      </c>
      <c r="G44" s="391">
        <f t="array" ref="G44">SUM(IF('6. Class A Consumption Data'!L62:M62="B",'6. Class A Consumption Data'!L60:M60))</f>
        <v>0</v>
      </c>
      <c r="H44" s="391">
        <f t="array" ref="H44">SUM(IF('6. Class A Consumption Data'!N62:O62="B",'6. Class A Consumption Data'!N60:O60))</f>
        <v>0</v>
      </c>
      <c r="I44" s="392">
        <f t="shared" si="1"/>
        <v>0</v>
      </c>
      <c r="J44" s="393">
        <f t="shared" si="2"/>
        <v>0</v>
      </c>
      <c r="K44" s="389">
        <f t="shared" si="3"/>
        <v>0</v>
      </c>
    </row>
    <row r="45" spans="1:11" hidden="1" x14ac:dyDescent="0.25">
      <c r="A45" s="390" t="s">
        <v>220</v>
      </c>
      <c r="B45" s="390"/>
      <c r="C45" s="386">
        <f t="shared" si="0"/>
        <v>0</v>
      </c>
      <c r="D45" s="391">
        <v>0</v>
      </c>
      <c r="E45" s="391">
        <v>0</v>
      </c>
      <c r="F45" s="391">
        <v>0</v>
      </c>
      <c r="G45" s="391">
        <f t="array" ref="G45">SUM(IF('6. Class A Consumption Data'!L65:M65="B",'6. Class A Consumption Data'!L63:M63))</f>
        <v>0</v>
      </c>
      <c r="H45" s="391">
        <f t="array" ref="H45">SUM(IF('6. Class A Consumption Data'!N65:O65="B",'6. Class A Consumption Data'!N63:O63))</f>
        <v>0</v>
      </c>
      <c r="I45" s="392">
        <f t="shared" si="1"/>
        <v>0</v>
      </c>
      <c r="J45" s="393">
        <f t="shared" si="2"/>
        <v>0</v>
      </c>
      <c r="K45" s="389">
        <f t="shared" si="3"/>
        <v>0</v>
      </c>
    </row>
    <row r="46" spans="1:11" hidden="1" x14ac:dyDescent="0.25">
      <c r="A46" s="390" t="s">
        <v>221</v>
      </c>
      <c r="B46" s="390"/>
      <c r="C46" s="386">
        <f t="shared" si="0"/>
        <v>0</v>
      </c>
      <c r="D46" s="391">
        <v>0</v>
      </c>
      <c r="E46" s="391">
        <v>0</v>
      </c>
      <c r="F46" s="391">
        <v>0</v>
      </c>
      <c r="G46" s="391">
        <f t="array" ref="G46">SUM(IF('6. Class A Consumption Data'!L68:M68="B",'6. Class A Consumption Data'!L66:M66))</f>
        <v>0</v>
      </c>
      <c r="H46" s="391">
        <f t="array" ref="H46">SUM(IF('6. Class A Consumption Data'!N68:O68="B",'6. Class A Consumption Data'!N66:O66))</f>
        <v>0</v>
      </c>
      <c r="I46" s="392">
        <f t="shared" si="1"/>
        <v>0</v>
      </c>
      <c r="J46" s="393">
        <f t="shared" si="2"/>
        <v>0</v>
      </c>
      <c r="K46" s="389">
        <f t="shared" si="3"/>
        <v>0</v>
      </c>
    </row>
    <row r="47" spans="1:11" hidden="1" x14ac:dyDescent="0.25">
      <c r="A47" s="390" t="s">
        <v>222</v>
      </c>
      <c r="B47" s="390"/>
      <c r="C47" s="386">
        <f t="shared" si="0"/>
        <v>0</v>
      </c>
      <c r="D47" s="391">
        <v>0</v>
      </c>
      <c r="E47" s="391">
        <v>0</v>
      </c>
      <c r="F47" s="391">
        <v>0</v>
      </c>
      <c r="G47" s="391">
        <f t="array" ref="G47">SUM(IF('6. Class A Consumption Data'!L71:M71="B",'6. Class A Consumption Data'!L69:M69))</f>
        <v>0</v>
      </c>
      <c r="H47" s="391">
        <f t="array" ref="H47">SUM(IF('6. Class A Consumption Data'!N71:O71="B",'6. Class A Consumption Data'!N69:O69))</f>
        <v>0</v>
      </c>
      <c r="I47" s="392">
        <f t="shared" si="1"/>
        <v>0</v>
      </c>
      <c r="J47" s="393">
        <f t="shared" si="2"/>
        <v>0</v>
      </c>
      <c r="K47" s="389">
        <f t="shared" si="3"/>
        <v>0</v>
      </c>
    </row>
    <row r="48" spans="1:11" hidden="1" x14ac:dyDescent="0.25">
      <c r="A48" s="390" t="s">
        <v>223</v>
      </c>
      <c r="B48" s="390"/>
      <c r="C48" s="386">
        <f t="shared" si="0"/>
        <v>0</v>
      </c>
      <c r="D48" s="391">
        <v>0</v>
      </c>
      <c r="E48" s="391">
        <v>0</v>
      </c>
      <c r="F48" s="391">
        <v>0</v>
      </c>
      <c r="G48" s="391">
        <f t="array" ref="G48">SUM(IF('6. Class A Consumption Data'!L74:M74="B",'6. Class A Consumption Data'!L72:M72))</f>
        <v>0</v>
      </c>
      <c r="H48" s="391">
        <f t="array" ref="H48">SUM(IF('6. Class A Consumption Data'!N74:O74="B",'6. Class A Consumption Data'!N72:O72))</f>
        <v>0</v>
      </c>
      <c r="I48" s="392">
        <f t="shared" si="1"/>
        <v>0</v>
      </c>
      <c r="J48" s="393">
        <f t="shared" si="2"/>
        <v>0</v>
      </c>
      <c r="K48" s="389">
        <f t="shared" si="3"/>
        <v>0</v>
      </c>
    </row>
    <row r="49" spans="1:11" hidden="1" x14ac:dyDescent="0.25">
      <c r="A49" s="390" t="s">
        <v>224</v>
      </c>
      <c r="B49" s="390"/>
      <c r="C49" s="386">
        <f t="shared" si="0"/>
        <v>0</v>
      </c>
      <c r="D49" s="391">
        <v>0</v>
      </c>
      <c r="E49" s="391">
        <v>0</v>
      </c>
      <c r="F49" s="391">
        <v>0</v>
      </c>
      <c r="G49" s="391">
        <f t="array" ref="G49">SUM(IF('6. Class A Consumption Data'!L77:M77="B",'6. Class A Consumption Data'!L75:M75))</f>
        <v>0</v>
      </c>
      <c r="H49" s="391">
        <f t="array" ref="H49">SUM(IF('6. Class A Consumption Data'!N77:O77="B",'6. Class A Consumption Data'!N75:O75))</f>
        <v>0</v>
      </c>
      <c r="I49" s="392">
        <f t="shared" si="1"/>
        <v>0</v>
      </c>
      <c r="J49" s="393">
        <f t="shared" si="2"/>
        <v>0</v>
      </c>
      <c r="K49" s="389">
        <f t="shared" si="3"/>
        <v>0</v>
      </c>
    </row>
    <row r="50" spans="1:11" hidden="1" x14ac:dyDescent="0.25">
      <c r="A50" s="390" t="s">
        <v>225</v>
      </c>
      <c r="B50" s="390"/>
      <c r="C50" s="386">
        <f t="shared" si="0"/>
        <v>0</v>
      </c>
      <c r="D50" s="391">
        <v>0</v>
      </c>
      <c r="E50" s="391">
        <v>0</v>
      </c>
      <c r="F50" s="391">
        <v>0</v>
      </c>
      <c r="G50" s="391">
        <f t="array" ref="G50">SUM(IF('6. Class A Consumption Data'!L80:M80="B",'6. Class A Consumption Data'!L78:M78))</f>
        <v>0</v>
      </c>
      <c r="H50" s="391">
        <f t="array" ref="H50">SUM(IF('6. Class A Consumption Data'!N80:O80="B",'6. Class A Consumption Data'!N78:O78))</f>
        <v>0</v>
      </c>
      <c r="I50" s="392">
        <f t="shared" si="1"/>
        <v>0</v>
      </c>
      <c r="J50" s="393">
        <f t="shared" si="2"/>
        <v>0</v>
      </c>
      <c r="K50" s="389">
        <f t="shared" si="3"/>
        <v>0</v>
      </c>
    </row>
    <row r="51" spans="1:11" hidden="1" x14ac:dyDescent="0.25">
      <c r="A51" s="390" t="s">
        <v>226</v>
      </c>
      <c r="B51" s="390"/>
      <c r="C51" s="386">
        <f t="shared" si="0"/>
        <v>0</v>
      </c>
      <c r="D51" s="391">
        <v>0</v>
      </c>
      <c r="E51" s="391">
        <v>0</v>
      </c>
      <c r="F51" s="391">
        <v>0</v>
      </c>
      <c r="G51" s="391">
        <f t="array" ref="G51">SUM(IF('6. Class A Consumption Data'!L83:M83="B",'6. Class A Consumption Data'!L81:M81))</f>
        <v>0</v>
      </c>
      <c r="H51" s="391">
        <f t="array" ref="H51">SUM(IF('6. Class A Consumption Data'!N83:O83="B",'6. Class A Consumption Data'!N81:O81))</f>
        <v>0</v>
      </c>
      <c r="I51" s="392">
        <f t="shared" si="1"/>
        <v>0</v>
      </c>
      <c r="J51" s="393">
        <f t="shared" si="2"/>
        <v>0</v>
      </c>
      <c r="K51" s="389">
        <f t="shared" si="3"/>
        <v>0</v>
      </c>
    </row>
    <row r="52" spans="1:11" hidden="1" x14ac:dyDescent="0.25">
      <c r="A52" s="390" t="s">
        <v>227</v>
      </c>
      <c r="B52" s="390"/>
      <c r="C52" s="386">
        <f t="shared" si="0"/>
        <v>0</v>
      </c>
      <c r="D52" s="391">
        <v>0</v>
      </c>
      <c r="E52" s="391">
        <v>0</v>
      </c>
      <c r="F52" s="391">
        <v>0</v>
      </c>
      <c r="G52" s="391">
        <f t="array" ref="G52">SUM(IF('6. Class A Consumption Data'!L86:M86="B",'6. Class A Consumption Data'!L84:M84))</f>
        <v>0</v>
      </c>
      <c r="H52" s="391">
        <f t="array" ref="H52">SUM(IF('6. Class A Consumption Data'!N86:O86="B",'6. Class A Consumption Data'!N84:O84))</f>
        <v>0</v>
      </c>
      <c r="I52" s="392">
        <f t="shared" si="1"/>
        <v>0</v>
      </c>
      <c r="J52" s="393">
        <f t="shared" si="2"/>
        <v>0</v>
      </c>
      <c r="K52" s="389">
        <f t="shared" si="3"/>
        <v>0</v>
      </c>
    </row>
    <row r="53" spans="1:11" hidden="1" x14ac:dyDescent="0.25">
      <c r="A53" s="390" t="s">
        <v>228</v>
      </c>
      <c r="B53" s="390"/>
      <c r="C53" s="386">
        <f t="shared" si="0"/>
        <v>0</v>
      </c>
      <c r="D53" s="391">
        <v>0</v>
      </c>
      <c r="E53" s="391">
        <v>0</v>
      </c>
      <c r="F53" s="391">
        <v>0</v>
      </c>
      <c r="G53" s="391">
        <f t="array" ref="G53">SUM(IF('6. Class A Consumption Data'!L89:M89="B",'6. Class A Consumption Data'!L87:M87))</f>
        <v>0</v>
      </c>
      <c r="H53" s="391">
        <f t="array" ref="H53">SUM(IF('6. Class A Consumption Data'!N89:O89="B",'6. Class A Consumption Data'!N87:O87))</f>
        <v>0</v>
      </c>
      <c r="I53" s="392">
        <f t="shared" si="1"/>
        <v>0</v>
      </c>
      <c r="J53" s="393">
        <f t="shared" si="2"/>
        <v>0</v>
      </c>
      <c r="K53" s="389">
        <f t="shared" si="3"/>
        <v>0</v>
      </c>
    </row>
    <row r="54" spans="1:11" hidden="1" x14ac:dyDescent="0.25">
      <c r="A54" s="390" t="s">
        <v>229</v>
      </c>
      <c r="B54" s="390"/>
      <c r="C54" s="386">
        <f t="shared" si="0"/>
        <v>0</v>
      </c>
      <c r="D54" s="391">
        <v>0</v>
      </c>
      <c r="E54" s="391">
        <v>0</v>
      </c>
      <c r="F54" s="391">
        <v>0</v>
      </c>
      <c r="G54" s="391">
        <f t="array" ref="G54">SUM(IF('6. Class A Consumption Data'!L92:M92="B",'6. Class A Consumption Data'!L90:M90))</f>
        <v>0</v>
      </c>
      <c r="H54" s="391">
        <f t="array" ref="H54">SUM(IF('6. Class A Consumption Data'!N92:O92="B",'6. Class A Consumption Data'!N90:O90))</f>
        <v>0</v>
      </c>
      <c r="I54" s="392">
        <f t="shared" si="1"/>
        <v>0</v>
      </c>
      <c r="J54" s="393">
        <f t="shared" si="2"/>
        <v>0</v>
      </c>
      <c r="K54" s="389">
        <f t="shared" si="3"/>
        <v>0</v>
      </c>
    </row>
    <row r="55" spans="1:11" hidden="1" x14ac:dyDescent="0.25">
      <c r="A55" s="390" t="s">
        <v>230</v>
      </c>
      <c r="B55" s="390"/>
      <c r="C55" s="386">
        <f t="shared" si="0"/>
        <v>0</v>
      </c>
      <c r="D55" s="391">
        <v>0</v>
      </c>
      <c r="E55" s="391">
        <v>0</v>
      </c>
      <c r="F55" s="391">
        <v>0</v>
      </c>
      <c r="G55" s="391">
        <f t="array" ref="G55">SUM(IF('6. Class A Consumption Data'!L95:M95="B",'6. Class A Consumption Data'!L93:M93))</f>
        <v>0</v>
      </c>
      <c r="H55" s="391">
        <f t="array" ref="H55">SUM(IF('6. Class A Consumption Data'!N95:O95="B",'6. Class A Consumption Data'!N93:O93))</f>
        <v>0</v>
      </c>
      <c r="I55" s="392">
        <f t="shared" si="1"/>
        <v>0</v>
      </c>
      <c r="J55" s="393">
        <f t="shared" si="2"/>
        <v>0</v>
      </c>
      <c r="K55" s="389">
        <f t="shared" si="3"/>
        <v>0</v>
      </c>
    </row>
    <row r="56" spans="1:11" hidden="1" x14ac:dyDescent="0.25">
      <c r="A56" s="390" t="s">
        <v>231</v>
      </c>
      <c r="B56" s="390"/>
      <c r="C56" s="386">
        <f t="shared" si="0"/>
        <v>0</v>
      </c>
      <c r="D56" s="391">
        <v>0</v>
      </c>
      <c r="E56" s="391">
        <v>0</v>
      </c>
      <c r="F56" s="391">
        <v>0</v>
      </c>
      <c r="G56" s="391">
        <f t="array" ref="G56">SUM(IF('6. Class A Consumption Data'!L98:M98="B",'6. Class A Consumption Data'!L96:M96))</f>
        <v>0</v>
      </c>
      <c r="H56" s="391">
        <f t="array" ref="H56">SUM(IF('6. Class A Consumption Data'!N98:O98="B",'6. Class A Consumption Data'!N96:O96))</f>
        <v>0</v>
      </c>
      <c r="I56" s="392">
        <f t="shared" si="1"/>
        <v>0</v>
      </c>
      <c r="J56" s="393">
        <f t="shared" si="2"/>
        <v>0</v>
      </c>
      <c r="K56" s="389">
        <f t="shared" si="3"/>
        <v>0</v>
      </c>
    </row>
    <row r="57" spans="1:11" hidden="1" x14ac:dyDescent="0.25">
      <c r="A57" s="390" t="s">
        <v>232</v>
      </c>
      <c r="B57" s="390"/>
      <c r="C57" s="386">
        <f t="shared" si="0"/>
        <v>0</v>
      </c>
      <c r="D57" s="391">
        <v>0</v>
      </c>
      <c r="E57" s="391">
        <v>0</v>
      </c>
      <c r="F57" s="391">
        <v>0</v>
      </c>
      <c r="G57" s="391">
        <f t="array" ref="G57">SUM(IF('6. Class A Consumption Data'!L101:M101="B",'6. Class A Consumption Data'!L99:M99))</f>
        <v>0</v>
      </c>
      <c r="H57" s="391">
        <f t="array" ref="H57">SUM(IF('6. Class A Consumption Data'!N101:O101="B",'6. Class A Consumption Data'!N99:O99))</f>
        <v>0</v>
      </c>
      <c r="I57" s="392">
        <f t="shared" si="1"/>
        <v>0</v>
      </c>
      <c r="J57" s="393">
        <f t="shared" si="2"/>
        <v>0</v>
      </c>
      <c r="K57" s="389">
        <f t="shared" si="3"/>
        <v>0</v>
      </c>
    </row>
    <row r="58" spans="1:11" hidden="1" x14ac:dyDescent="0.25">
      <c r="A58" s="390" t="s">
        <v>233</v>
      </c>
      <c r="B58" s="390"/>
      <c r="C58" s="386">
        <f t="shared" si="0"/>
        <v>0</v>
      </c>
      <c r="D58" s="391">
        <v>0</v>
      </c>
      <c r="E58" s="391">
        <v>0</v>
      </c>
      <c r="F58" s="391">
        <v>0</v>
      </c>
      <c r="G58" s="391">
        <f t="array" ref="G58">SUM(IF('6. Class A Consumption Data'!L104:M104="B",'6. Class A Consumption Data'!L102:M102))</f>
        <v>0</v>
      </c>
      <c r="H58" s="391">
        <f t="array" ref="H58">SUM(IF('6. Class A Consumption Data'!N104:O104="B",'6. Class A Consumption Data'!N102:O102))</f>
        <v>0</v>
      </c>
      <c r="I58" s="392">
        <f t="shared" si="1"/>
        <v>0</v>
      </c>
      <c r="J58" s="393">
        <f t="shared" si="2"/>
        <v>0</v>
      </c>
      <c r="K58" s="389">
        <f t="shared" si="3"/>
        <v>0</v>
      </c>
    </row>
    <row r="59" spans="1:11" hidden="1" x14ac:dyDescent="0.25">
      <c r="A59" s="390" t="s">
        <v>234</v>
      </c>
      <c r="B59" s="390"/>
      <c r="C59" s="386">
        <f t="shared" si="0"/>
        <v>0</v>
      </c>
      <c r="D59" s="391">
        <v>0</v>
      </c>
      <c r="E59" s="391">
        <v>0</v>
      </c>
      <c r="F59" s="391">
        <v>0</v>
      </c>
      <c r="G59" s="391">
        <f t="array" ref="G59">SUM(IF('6. Class A Consumption Data'!L107:M107="B",'6. Class A Consumption Data'!L105:M105))</f>
        <v>0</v>
      </c>
      <c r="H59" s="391">
        <f t="array" ref="H59">SUM(IF('6. Class A Consumption Data'!N107:O107="B",'6. Class A Consumption Data'!N105:O105))</f>
        <v>0</v>
      </c>
      <c r="I59" s="392">
        <f t="shared" si="1"/>
        <v>0</v>
      </c>
      <c r="J59" s="393">
        <f t="shared" si="2"/>
        <v>0</v>
      </c>
      <c r="K59" s="389">
        <f t="shared" si="3"/>
        <v>0</v>
      </c>
    </row>
    <row r="60" spans="1:11" hidden="1" x14ac:dyDescent="0.25">
      <c r="A60" s="390" t="s">
        <v>235</v>
      </c>
      <c r="B60" s="390"/>
      <c r="C60" s="386">
        <f t="shared" si="0"/>
        <v>0</v>
      </c>
      <c r="D60" s="391">
        <v>0</v>
      </c>
      <c r="E60" s="391">
        <v>0</v>
      </c>
      <c r="F60" s="391">
        <v>0</v>
      </c>
      <c r="G60" s="391">
        <f t="array" ref="G60">SUM(IF('6. Class A Consumption Data'!L110:M110="B",'6. Class A Consumption Data'!L108:M108))</f>
        <v>0</v>
      </c>
      <c r="H60" s="391">
        <f t="array" ref="H60">SUM(IF('6. Class A Consumption Data'!N110:O110="B",'6. Class A Consumption Data'!N108:O108))</f>
        <v>0</v>
      </c>
      <c r="I60" s="392">
        <f t="shared" si="1"/>
        <v>0</v>
      </c>
      <c r="J60" s="393">
        <f t="shared" si="2"/>
        <v>0</v>
      </c>
      <c r="K60" s="389">
        <f t="shared" si="3"/>
        <v>0</v>
      </c>
    </row>
    <row r="61" spans="1:11" hidden="1" x14ac:dyDescent="0.25">
      <c r="A61" s="390" t="s">
        <v>236</v>
      </c>
      <c r="B61" s="390"/>
      <c r="C61" s="386">
        <f t="shared" si="0"/>
        <v>0</v>
      </c>
      <c r="D61" s="391">
        <v>0</v>
      </c>
      <c r="E61" s="391">
        <v>0</v>
      </c>
      <c r="F61" s="391">
        <v>0</v>
      </c>
      <c r="G61" s="391">
        <f t="array" ref="G61">SUM(IF('6. Class A Consumption Data'!L113:M113="B",'6. Class A Consumption Data'!L111:M111))</f>
        <v>0</v>
      </c>
      <c r="H61" s="391">
        <f t="array" ref="H61">SUM(IF('6. Class A Consumption Data'!N113:O113="B",'6. Class A Consumption Data'!N111:O111))</f>
        <v>0</v>
      </c>
      <c r="I61" s="392">
        <f t="shared" si="1"/>
        <v>0</v>
      </c>
      <c r="J61" s="393">
        <f t="shared" si="2"/>
        <v>0</v>
      </c>
      <c r="K61" s="389">
        <f t="shared" si="3"/>
        <v>0</v>
      </c>
    </row>
    <row r="62" spans="1:11" hidden="1" x14ac:dyDescent="0.25">
      <c r="A62" s="390" t="s">
        <v>237</v>
      </c>
      <c r="B62" s="390"/>
      <c r="C62" s="386">
        <f t="shared" si="0"/>
        <v>0</v>
      </c>
      <c r="D62" s="391">
        <v>0</v>
      </c>
      <c r="E62" s="391">
        <v>0</v>
      </c>
      <c r="F62" s="391">
        <v>0</v>
      </c>
      <c r="G62" s="391">
        <f t="array" ref="G62">SUM(IF('6. Class A Consumption Data'!L116:M116="B",'6. Class A Consumption Data'!L114:M114))</f>
        <v>0</v>
      </c>
      <c r="H62" s="391">
        <f t="array" ref="H62">SUM(IF('6. Class A Consumption Data'!N116:O116="B",'6. Class A Consumption Data'!N114:O114))</f>
        <v>0</v>
      </c>
      <c r="I62" s="392">
        <f t="shared" si="1"/>
        <v>0</v>
      </c>
      <c r="J62" s="393">
        <f t="shared" si="2"/>
        <v>0</v>
      </c>
      <c r="K62" s="389">
        <f t="shared" si="3"/>
        <v>0</v>
      </c>
    </row>
    <row r="63" spans="1:11" hidden="1" x14ac:dyDescent="0.25">
      <c r="A63" s="390" t="s">
        <v>238</v>
      </c>
      <c r="B63" s="390"/>
      <c r="C63" s="386">
        <f t="shared" si="0"/>
        <v>0</v>
      </c>
      <c r="D63" s="391">
        <v>0</v>
      </c>
      <c r="E63" s="391">
        <v>0</v>
      </c>
      <c r="F63" s="391">
        <v>0</v>
      </c>
      <c r="G63" s="391">
        <f t="array" ref="G63">SUM(IF('6. Class A Consumption Data'!L119:M119="B",'6. Class A Consumption Data'!L117:M117))</f>
        <v>0</v>
      </c>
      <c r="H63" s="391">
        <f t="array" ref="H63">SUM(IF('6. Class A Consumption Data'!N119:O119="B",'6. Class A Consumption Data'!N117:O117))</f>
        <v>0</v>
      </c>
      <c r="I63" s="392">
        <f t="shared" si="1"/>
        <v>0</v>
      </c>
      <c r="J63" s="393">
        <f t="shared" si="2"/>
        <v>0</v>
      </c>
      <c r="K63" s="389">
        <f t="shared" si="3"/>
        <v>0</v>
      </c>
    </row>
    <row r="64" spans="1:11" hidden="1" x14ac:dyDescent="0.25">
      <c r="A64" s="390" t="s">
        <v>239</v>
      </c>
      <c r="B64" s="390"/>
      <c r="C64" s="386">
        <f t="shared" si="0"/>
        <v>0</v>
      </c>
      <c r="D64" s="391">
        <v>0</v>
      </c>
      <c r="E64" s="391">
        <v>0</v>
      </c>
      <c r="F64" s="391">
        <v>0</v>
      </c>
      <c r="G64" s="391">
        <f t="array" ref="G64">SUM(IF('6. Class A Consumption Data'!L122:M122="B",'6. Class A Consumption Data'!L120:M120))</f>
        <v>0</v>
      </c>
      <c r="H64" s="391">
        <f t="array" ref="H64">SUM(IF('6. Class A Consumption Data'!N122:O122="B",'6. Class A Consumption Data'!N120:O120))</f>
        <v>0</v>
      </c>
      <c r="I64" s="392">
        <f t="shared" si="1"/>
        <v>0</v>
      </c>
      <c r="J64" s="393">
        <f t="shared" si="2"/>
        <v>0</v>
      </c>
      <c r="K64" s="389">
        <f t="shared" si="3"/>
        <v>0</v>
      </c>
    </row>
    <row r="65" spans="1:11" hidden="1" x14ac:dyDescent="0.25">
      <c r="A65" s="390" t="s">
        <v>240</v>
      </c>
      <c r="B65" s="390"/>
      <c r="C65" s="386">
        <f t="shared" si="0"/>
        <v>0</v>
      </c>
      <c r="D65" s="391">
        <v>0</v>
      </c>
      <c r="E65" s="391">
        <v>0</v>
      </c>
      <c r="F65" s="391">
        <v>0</v>
      </c>
      <c r="G65" s="391">
        <f t="array" ref="G65">SUM(IF('6. Class A Consumption Data'!L125:M125="B",'6. Class A Consumption Data'!L123:M123))</f>
        <v>0</v>
      </c>
      <c r="H65" s="391">
        <f t="array" ref="H65">SUM(IF('6. Class A Consumption Data'!N125:O125="B",'6. Class A Consumption Data'!N123:O123))</f>
        <v>0</v>
      </c>
      <c r="I65" s="392">
        <f t="shared" si="1"/>
        <v>0</v>
      </c>
      <c r="J65" s="393">
        <f t="shared" si="2"/>
        <v>0</v>
      </c>
      <c r="K65" s="389">
        <f t="shared" si="3"/>
        <v>0</v>
      </c>
    </row>
    <row r="66" spans="1:11" hidden="1" x14ac:dyDescent="0.25">
      <c r="A66" s="390" t="s">
        <v>241</v>
      </c>
      <c r="B66" s="390"/>
      <c r="C66" s="386">
        <f t="shared" ref="C66:C97" si="4">SUM(D66:F66)</f>
        <v>0</v>
      </c>
      <c r="D66" s="391">
        <v>0</v>
      </c>
      <c r="E66" s="391">
        <v>0</v>
      </c>
      <c r="F66" s="391">
        <v>0</v>
      </c>
      <c r="G66" s="391">
        <f t="array" ref="G66">SUM(IF('6. Class A Consumption Data'!L128:M128="B",'6. Class A Consumption Data'!L126:M126))</f>
        <v>0</v>
      </c>
      <c r="H66" s="391">
        <f t="array" ref="H66">SUM(IF('6. Class A Consumption Data'!N128:O128="B",'6. Class A Consumption Data'!N126:O126))</f>
        <v>0</v>
      </c>
      <c r="I66" s="392">
        <f t="shared" si="1"/>
        <v>0</v>
      </c>
      <c r="J66" s="393">
        <f t="shared" si="2"/>
        <v>0</v>
      </c>
      <c r="K66" s="389">
        <f t="shared" si="3"/>
        <v>0</v>
      </c>
    </row>
    <row r="67" spans="1:11" hidden="1" x14ac:dyDescent="0.25">
      <c r="A67" s="390" t="s">
        <v>242</v>
      </c>
      <c r="B67" s="390"/>
      <c r="C67" s="386">
        <f t="shared" si="4"/>
        <v>0</v>
      </c>
      <c r="D67" s="391">
        <v>0</v>
      </c>
      <c r="E67" s="391">
        <v>0</v>
      </c>
      <c r="F67" s="391">
        <v>0</v>
      </c>
      <c r="G67" s="391">
        <f t="array" ref="G67">SUM(IF('6. Class A Consumption Data'!L131:M131="B",'6. Class A Consumption Data'!L129:M129))</f>
        <v>0</v>
      </c>
      <c r="H67" s="391">
        <f t="array" ref="H67">SUM(IF('6. Class A Consumption Data'!N131:O131="B",'6. Class A Consumption Data'!N129:O129))</f>
        <v>0</v>
      </c>
      <c r="I67" s="392">
        <f t="shared" si="1"/>
        <v>0</v>
      </c>
      <c r="J67" s="393">
        <f t="shared" si="2"/>
        <v>0</v>
      </c>
      <c r="K67" s="389">
        <f t="shared" si="3"/>
        <v>0</v>
      </c>
    </row>
    <row r="68" spans="1:11" hidden="1" x14ac:dyDescent="0.25">
      <c r="A68" s="390" t="s">
        <v>243</v>
      </c>
      <c r="B68" s="390"/>
      <c r="C68" s="386">
        <f t="shared" si="4"/>
        <v>0</v>
      </c>
      <c r="D68" s="391">
        <v>0</v>
      </c>
      <c r="E68" s="391">
        <v>0</v>
      </c>
      <c r="F68" s="391">
        <v>0</v>
      </c>
      <c r="G68" s="391">
        <f t="array" ref="G68">SUM(IF('6. Class A Consumption Data'!L134:M134="B",'6. Class A Consumption Data'!L132:M132))</f>
        <v>0</v>
      </c>
      <c r="H68" s="391">
        <f t="array" ref="H68">SUM(IF('6. Class A Consumption Data'!N134:O134="B",'6. Class A Consumption Data'!N132:O132))</f>
        <v>0</v>
      </c>
      <c r="I68" s="392">
        <f t="shared" si="1"/>
        <v>0</v>
      </c>
      <c r="J68" s="393">
        <f t="shared" si="2"/>
        <v>0</v>
      </c>
      <c r="K68" s="389">
        <f t="shared" si="3"/>
        <v>0</v>
      </c>
    </row>
    <row r="69" spans="1:11" hidden="1" x14ac:dyDescent="0.25">
      <c r="A69" s="390" t="s">
        <v>244</v>
      </c>
      <c r="B69" s="390"/>
      <c r="C69" s="386">
        <f t="shared" si="4"/>
        <v>0</v>
      </c>
      <c r="D69" s="391">
        <v>0</v>
      </c>
      <c r="E69" s="391">
        <v>0</v>
      </c>
      <c r="F69" s="391">
        <v>0</v>
      </c>
      <c r="G69" s="391">
        <f t="array" ref="G69">SUM(IF('6. Class A Consumption Data'!L137:M137="B",'6. Class A Consumption Data'!L135:M135))</f>
        <v>0</v>
      </c>
      <c r="H69" s="391">
        <f t="array" ref="H69">SUM(IF('6. Class A Consumption Data'!N137:O137="B",'6. Class A Consumption Data'!N135:O135))</f>
        <v>0</v>
      </c>
      <c r="I69" s="392">
        <f t="shared" si="1"/>
        <v>0</v>
      </c>
      <c r="J69" s="393">
        <f t="shared" si="2"/>
        <v>0</v>
      </c>
      <c r="K69" s="389">
        <f t="shared" si="3"/>
        <v>0</v>
      </c>
    </row>
    <row r="70" spans="1:11" hidden="1" x14ac:dyDescent="0.25">
      <c r="A70" s="390" t="s">
        <v>245</v>
      </c>
      <c r="B70" s="390"/>
      <c r="C70" s="386">
        <f t="shared" si="4"/>
        <v>0</v>
      </c>
      <c r="D70" s="391">
        <v>0</v>
      </c>
      <c r="E70" s="391">
        <v>0</v>
      </c>
      <c r="F70" s="391">
        <v>0</v>
      </c>
      <c r="G70" s="391">
        <f t="array" ref="G70">SUM(IF('6. Class A Consumption Data'!L140:M140="B",'6. Class A Consumption Data'!L138:M138))</f>
        <v>0</v>
      </c>
      <c r="H70" s="391">
        <f t="array" ref="H70">SUM(IF('6. Class A Consumption Data'!N140:O140="B",'6. Class A Consumption Data'!N138:O138))</f>
        <v>0</v>
      </c>
      <c r="I70" s="392">
        <f t="shared" si="1"/>
        <v>0</v>
      </c>
      <c r="J70" s="393">
        <f t="shared" si="2"/>
        <v>0</v>
      </c>
      <c r="K70" s="389">
        <f t="shared" si="3"/>
        <v>0</v>
      </c>
    </row>
    <row r="71" spans="1:11" hidden="1" x14ac:dyDescent="0.25">
      <c r="A71" s="390" t="s">
        <v>246</v>
      </c>
      <c r="B71" s="390"/>
      <c r="C71" s="386">
        <f t="shared" si="4"/>
        <v>0</v>
      </c>
      <c r="D71" s="391">
        <v>0</v>
      </c>
      <c r="E71" s="391">
        <v>0</v>
      </c>
      <c r="F71" s="391">
        <v>0</v>
      </c>
      <c r="G71" s="391">
        <f t="array" ref="G71">SUM(IF('6. Class A Consumption Data'!L143:M143="B",'6. Class A Consumption Data'!L141:M141))</f>
        <v>0</v>
      </c>
      <c r="H71" s="391">
        <f t="array" ref="H71">SUM(IF('6. Class A Consumption Data'!N143:O143="B",'6. Class A Consumption Data'!N141:O141))</f>
        <v>0</v>
      </c>
      <c r="I71" s="392">
        <f t="shared" si="1"/>
        <v>0</v>
      </c>
      <c r="J71" s="393">
        <f t="shared" si="2"/>
        <v>0</v>
      </c>
      <c r="K71" s="389">
        <f t="shared" si="3"/>
        <v>0</v>
      </c>
    </row>
    <row r="72" spans="1:11" hidden="1" x14ac:dyDescent="0.25">
      <c r="A72" s="390" t="s">
        <v>247</v>
      </c>
      <c r="B72" s="390"/>
      <c r="C72" s="386">
        <f t="shared" si="4"/>
        <v>0</v>
      </c>
      <c r="D72" s="391">
        <v>0</v>
      </c>
      <c r="E72" s="391">
        <v>0</v>
      </c>
      <c r="F72" s="391">
        <v>0</v>
      </c>
      <c r="G72" s="391">
        <f t="array" ref="G72">SUM(IF('6. Class A Consumption Data'!L146:M146="B",'6. Class A Consumption Data'!L144:M144))</f>
        <v>0</v>
      </c>
      <c r="H72" s="391">
        <f t="array" ref="H72">SUM(IF('6. Class A Consumption Data'!N146:O146="B",'6. Class A Consumption Data'!N144:O144))</f>
        <v>0</v>
      </c>
      <c r="I72" s="392">
        <f t="shared" si="1"/>
        <v>0</v>
      </c>
      <c r="J72" s="393">
        <f t="shared" si="2"/>
        <v>0</v>
      </c>
      <c r="K72" s="389">
        <f t="shared" si="3"/>
        <v>0</v>
      </c>
    </row>
    <row r="73" spans="1:11" hidden="1" x14ac:dyDescent="0.25">
      <c r="A73" s="390" t="s">
        <v>248</v>
      </c>
      <c r="B73" s="390"/>
      <c r="C73" s="386">
        <f t="shared" si="4"/>
        <v>0</v>
      </c>
      <c r="D73" s="391">
        <v>0</v>
      </c>
      <c r="E73" s="391">
        <v>0</v>
      </c>
      <c r="F73" s="391">
        <v>0</v>
      </c>
      <c r="G73" s="391">
        <f t="array" ref="G73">SUM(IF('6. Class A Consumption Data'!L149:M149="B",'6. Class A Consumption Data'!L147:M147))</f>
        <v>0</v>
      </c>
      <c r="H73" s="391">
        <f t="array" ref="H73">SUM(IF('6. Class A Consumption Data'!N149:O149="B",'6. Class A Consumption Data'!N147:O147))</f>
        <v>0</v>
      </c>
      <c r="I73" s="392">
        <f t="shared" si="1"/>
        <v>0</v>
      </c>
      <c r="J73" s="393">
        <f t="shared" si="2"/>
        <v>0</v>
      </c>
      <c r="K73" s="389">
        <f t="shared" si="3"/>
        <v>0</v>
      </c>
    </row>
    <row r="74" spans="1:11" hidden="1" x14ac:dyDescent="0.25">
      <c r="A74" s="390" t="s">
        <v>249</v>
      </c>
      <c r="B74" s="390"/>
      <c r="C74" s="386">
        <f t="shared" si="4"/>
        <v>0</v>
      </c>
      <c r="D74" s="391">
        <v>0</v>
      </c>
      <c r="E74" s="391">
        <v>0</v>
      </c>
      <c r="F74" s="391">
        <v>0</v>
      </c>
      <c r="G74" s="391">
        <f t="array" ref="G74">SUM(IF('6. Class A Consumption Data'!L152:M152="B",'6. Class A Consumption Data'!L150:M150))</f>
        <v>0</v>
      </c>
      <c r="H74" s="391">
        <f t="array" ref="H74">SUM(IF('6. Class A Consumption Data'!N152:O152="B",'6. Class A Consumption Data'!N150:O150))</f>
        <v>0</v>
      </c>
      <c r="I74" s="392">
        <f t="shared" si="1"/>
        <v>0</v>
      </c>
      <c r="J74" s="393">
        <f t="shared" si="2"/>
        <v>0</v>
      </c>
      <c r="K74" s="389">
        <f t="shared" si="3"/>
        <v>0</v>
      </c>
    </row>
    <row r="75" spans="1:11" hidden="1" x14ac:dyDescent="0.25">
      <c r="A75" s="390" t="s">
        <v>250</v>
      </c>
      <c r="B75" s="390"/>
      <c r="C75" s="386">
        <f t="shared" si="4"/>
        <v>0</v>
      </c>
      <c r="D75" s="391">
        <v>0</v>
      </c>
      <c r="E75" s="391">
        <v>0</v>
      </c>
      <c r="F75" s="391">
        <v>0</v>
      </c>
      <c r="G75" s="391">
        <f t="array" ref="G75">SUM(IF('6. Class A Consumption Data'!L155:M155="B",'6. Class A Consumption Data'!L153:M153))</f>
        <v>0</v>
      </c>
      <c r="H75" s="391">
        <f t="array" ref="H75">SUM(IF('6. Class A Consumption Data'!N155:O155="B",'6. Class A Consumption Data'!N153:O153))</f>
        <v>0</v>
      </c>
      <c r="I75" s="392">
        <f t="shared" si="1"/>
        <v>0</v>
      </c>
      <c r="J75" s="393">
        <f t="shared" si="2"/>
        <v>0</v>
      </c>
      <c r="K75" s="389">
        <f t="shared" si="3"/>
        <v>0</v>
      </c>
    </row>
    <row r="76" spans="1:11" hidden="1" x14ac:dyDescent="0.25">
      <c r="A76" s="390" t="s">
        <v>251</v>
      </c>
      <c r="B76" s="390"/>
      <c r="C76" s="386">
        <f t="shared" si="4"/>
        <v>0</v>
      </c>
      <c r="D76" s="391">
        <v>0</v>
      </c>
      <c r="E76" s="391">
        <v>0</v>
      </c>
      <c r="F76" s="391">
        <v>0</v>
      </c>
      <c r="G76" s="391">
        <f t="array" ref="G76">SUM(IF('6. Class A Consumption Data'!L158:M158="B",'6. Class A Consumption Data'!L156:M156))</f>
        <v>0</v>
      </c>
      <c r="H76" s="391">
        <f t="array" ref="H76">SUM(IF('6. Class A Consumption Data'!N158:O158="B",'6. Class A Consumption Data'!N156:O156))</f>
        <v>0</v>
      </c>
      <c r="I76" s="392">
        <f t="shared" si="1"/>
        <v>0</v>
      </c>
      <c r="J76" s="393">
        <f t="shared" si="2"/>
        <v>0</v>
      </c>
      <c r="K76" s="389">
        <f t="shared" si="3"/>
        <v>0</v>
      </c>
    </row>
    <row r="77" spans="1:11" hidden="1" x14ac:dyDescent="0.25">
      <c r="A77" s="390" t="s">
        <v>252</v>
      </c>
      <c r="B77" s="390"/>
      <c r="C77" s="386">
        <f t="shared" si="4"/>
        <v>0</v>
      </c>
      <c r="D77" s="391">
        <v>0</v>
      </c>
      <c r="E77" s="391">
        <v>0</v>
      </c>
      <c r="F77" s="391">
        <v>0</v>
      </c>
      <c r="G77" s="391">
        <f t="array" ref="G77">SUM(IF('6. Class A Consumption Data'!L161:M161="B",'6. Class A Consumption Data'!L159:M159))</f>
        <v>0</v>
      </c>
      <c r="H77" s="391">
        <f t="array" ref="H77">SUM(IF('6. Class A Consumption Data'!N161:O161="B",'6. Class A Consumption Data'!N159:O159))</f>
        <v>0</v>
      </c>
      <c r="I77" s="392">
        <f t="shared" si="1"/>
        <v>0</v>
      </c>
      <c r="J77" s="393">
        <f t="shared" si="2"/>
        <v>0</v>
      </c>
      <c r="K77" s="389">
        <f t="shared" si="3"/>
        <v>0</v>
      </c>
    </row>
    <row r="78" spans="1:11" hidden="1" x14ac:dyDescent="0.25">
      <c r="A78" s="390" t="s">
        <v>253</v>
      </c>
      <c r="B78" s="390"/>
      <c r="C78" s="386">
        <f t="shared" si="4"/>
        <v>0</v>
      </c>
      <c r="D78" s="391">
        <v>0</v>
      </c>
      <c r="E78" s="391">
        <v>0</v>
      </c>
      <c r="F78" s="391">
        <v>0</v>
      </c>
      <c r="G78" s="391">
        <f t="array" ref="G78">SUM(IF('6. Class A Consumption Data'!L164:M164="B",'6. Class A Consumption Data'!L162:M162))</f>
        <v>0</v>
      </c>
      <c r="H78" s="391">
        <f t="array" ref="H78">SUM(IF('6. Class A Consumption Data'!N164:O164="B",'6. Class A Consumption Data'!N162:O162))</f>
        <v>0</v>
      </c>
      <c r="I78" s="392">
        <f t="shared" si="1"/>
        <v>0</v>
      </c>
      <c r="J78" s="393">
        <f t="shared" si="2"/>
        <v>0</v>
      </c>
      <c r="K78" s="389">
        <f t="shared" si="3"/>
        <v>0</v>
      </c>
    </row>
    <row r="79" spans="1:11" hidden="1" x14ac:dyDescent="0.25">
      <c r="A79" s="390" t="s">
        <v>254</v>
      </c>
      <c r="B79" s="390"/>
      <c r="C79" s="386">
        <f t="shared" si="4"/>
        <v>0</v>
      </c>
      <c r="D79" s="391">
        <v>0</v>
      </c>
      <c r="E79" s="391">
        <v>0</v>
      </c>
      <c r="F79" s="391">
        <v>0</v>
      </c>
      <c r="G79" s="391">
        <f t="array" ref="G79">SUM(IF('6. Class A Consumption Data'!L167:M167="B",'6. Class A Consumption Data'!L165:M165))</f>
        <v>0</v>
      </c>
      <c r="H79" s="391">
        <f t="array" ref="H79">SUM(IF('6. Class A Consumption Data'!N167:O167="B",'6. Class A Consumption Data'!N165:O165))</f>
        <v>0</v>
      </c>
      <c r="I79" s="392">
        <f t="shared" si="1"/>
        <v>0</v>
      </c>
      <c r="J79" s="393">
        <f t="shared" si="2"/>
        <v>0</v>
      </c>
      <c r="K79" s="389">
        <f t="shared" si="3"/>
        <v>0</v>
      </c>
    </row>
    <row r="80" spans="1:11" hidden="1" x14ac:dyDescent="0.25">
      <c r="A80" s="390" t="s">
        <v>255</v>
      </c>
      <c r="B80" s="390"/>
      <c r="C80" s="386">
        <f t="shared" si="4"/>
        <v>0</v>
      </c>
      <c r="D80" s="391">
        <v>0</v>
      </c>
      <c r="E80" s="391">
        <v>0</v>
      </c>
      <c r="F80" s="391">
        <v>0</v>
      </c>
      <c r="G80" s="391">
        <f t="array" ref="G80">SUM(IF('6. Class A Consumption Data'!L170:M170="B",'6. Class A Consumption Data'!L168:M168))</f>
        <v>0</v>
      </c>
      <c r="H80" s="391">
        <f t="array" ref="H80">SUM(IF('6. Class A Consumption Data'!N170:O170="B",'6. Class A Consumption Data'!N168:O168))</f>
        <v>0</v>
      </c>
      <c r="I80" s="392">
        <f t="shared" si="1"/>
        <v>0</v>
      </c>
      <c r="J80" s="393">
        <f t="shared" si="2"/>
        <v>0</v>
      </c>
      <c r="K80" s="389">
        <f t="shared" si="3"/>
        <v>0</v>
      </c>
    </row>
    <row r="81" spans="1:11" hidden="1" x14ac:dyDescent="0.25">
      <c r="A81" s="390" t="s">
        <v>256</v>
      </c>
      <c r="B81" s="390"/>
      <c r="C81" s="386">
        <f t="shared" si="4"/>
        <v>0</v>
      </c>
      <c r="D81" s="391">
        <v>0</v>
      </c>
      <c r="E81" s="391">
        <v>0</v>
      </c>
      <c r="F81" s="391">
        <v>0</v>
      </c>
      <c r="G81" s="391">
        <f t="array" ref="G81">SUM(IF('6. Class A Consumption Data'!L173:M173="B",'6. Class A Consumption Data'!L171:M171))</f>
        <v>0</v>
      </c>
      <c r="H81" s="391">
        <f t="array" ref="H81">SUM(IF('6. Class A Consumption Data'!N173:O173="B",'6. Class A Consumption Data'!N171:O171))</f>
        <v>0</v>
      </c>
      <c r="I81" s="392">
        <f t="shared" si="1"/>
        <v>0</v>
      </c>
      <c r="J81" s="393">
        <f t="shared" si="2"/>
        <v>0</v>
      </c>
      <c r="K81" s="389">
        <f t="shared" si="3"/>
        <v>0</v>
      </c>
    </row>
    <row r="82" spans="1:11" hidden="1" x14ac:dyDescent="0.25">
      <c r="A82" s="390" t="s">
        <v>257</v>
      </c>
      <c r="B82" s="390"/>
      <c r="C82" s="386">
        <f t="shared" si="4"/>
        <v>0</v>
      </c>
      <c r="D82" s="391">
        <v>0</v>
      </c>
      <c r="E82" s="391">
        <v>0</v>
      </c>
      <c r="F82" s="391">
        <v>0</v>
      </c>
      <c r="G82" s="391">
        <f t="array" ref="G82">SUM(IF('6. Class A Consumption Data'!L176:M176="B",'6. Class A Consumption Data'!L174:M174))</f>
        <v>0</v>
      </c>
      <c r="H82" s="391">
        <f t="array" ref="H82">SUM(IF('6. Class A Consumption Data'!N176:O176="B",'6. Class A Consumption Data'!N174:O174))</f>
        <v>0</v>
      </c>
      <c r="I82" s="392">
        <f t="shared" si="1"/>
        <v>0</v>
      </c>
      <c r="J82" s="393">
        <f t="shared" si="2"/>
        <v>0</v>
      </c>
      <c r="K82" s="389">
        <f t="shared" si="3"/>
        <v>0</v>
      </c>
    </row>
    <row r="83" spans="1:11" hidden="1" x14ac:dyDescent="0.25">
      <c r="A83" s="390" t="s">
        <v>258</v>
      </c>
      <c r="B83" s="390"/>
      <c r="C83" s="386">
        <f t="shared" si="4"/>
        <v>0</v>
      </c>
      <c r="D83" s="391">
        <v>0</v>
      </c>
      <c r="E83" s="391">
        <v>0</v>
      </c>
      <c r="F83" s="391">
        <v>0</v>
      </c>
      <c r="G83" s="391">
        <f t="array" ref="G83">SUM(IF('6. Class A Consumption Data'!L179:M179="B",'6. Class A Consumption Data'!L177:M177))</f>
        <v>0</v>
      </c>
      <c r="H83" s="391">
        <f t="array" ref="H83">SUM(IF('6. Class A Consumption Data'!N179:O179="B",'6. Class A Consumption Data'!N177:O177))</f>
        <v>0</v>
      </c>
      <c r="I83" s="392">
        <f t="shared" si="1"/>
        <v>0</v>
      </c>
      <c r="J83" s="393">
        <f t="shared" si="2"/>
        <v>0</v>
      </c>
      <c r="K83" s="389">
        <f t="shared" si="3"/>
        <v>0</v>
      </c>
    </row>
    <row r="84" spans="1:11" hidden="1" x14ac:dyDescent="0.25">
      <c r="A84" s="390" t="s">
        <v>259</v>
      </c>
      <c r="B84" s="390"/>
      <c r="C84" s="386">
        <f t="shared" si="4"/>
        <v>0</v>
      </c>
      <c r="D84" s="391">
        <v>0</v>
      </c>
      <c r="E84" s="391">
        <v>0</v>
      </c>
      <c r="F84" s="391">
        <v>0</v>
      </c>
      <c r="G84" s="391">
        <f t="array" ref="G84">SUM(IF('6. Class A Consumption Data'!L182:M182="B",'6. Class A Consumption Data'!L180:M180))</f>
        <v>0</v>
      </c>
      <c r="H84" s="391">
        <f t="array" ref="H84">SUM(IF('6. Class A Consumption Data'!N182:O182="B",'6. Class A Consumption Data'!N180:O180))</f>
        <v>0</v>
      </c>
      <c r="I84" s="392">
        <f t="shared" si="1"/>
        <v>0</v>
      </c>
      <c r="J84" s="393">
        <f t="shared" si="2"/>
        <v>0</v>
      </c>
      <c r="K84" s="389">
        <f t="shared" si="3"/>
        <v>0</v>
      </c>
    </row>
    <row r="85" spans="1:11" hidden="1" x14ac:dyDescent="0.25">
      <c r="A85" s="390" t="s">
        <v>260</v>
      </c>
      <c r="B85" s="390"/>
      <c r="C85" s="386">
        <f t="shared" si="4"/>
        <v>0</v>
      </c>
      <c r="D85" s="391">
        <v>0</v>
      </c>
      <c r="E85" s="391">
        <v>0</v>
      </c>
      <c r="F85" s="391">
        <v>0</v>
      </c>
      <c r="G85" s="391">
        <f t="array" ref="G85">SUM(IF('6. Class A Consumption Data'!L185:M185="B",'6. Class A Consumption Data'!L183:M183))</f>
        <v>0</v>
      </c>
      <c r="H85" s="391">
        <f t="array" ref="H85">SUM(IF('6. Class A Consumption Data'!N185:O185="B",'6. Class A Consumption Data'!N183:O183))</f>
        <v>0</v>
      </c>
      <c r="I85" s="392">
        <f t="shared" si="1"/>
        <v>0</v>
      </c>
      <c r="J85" s="393">
        <f t="shared" si="2"/>
        <v>0</v>
      </c>
      <c r="K85" s="389">
        <f t="shared" si="3"/>
        <v>0</v>
      </c>
    </row>
    <row r="86" spans="1:11" hidden="1" x14ac:dyDescent="0.25">
      <c r="A86" s="390" t="s">
        <v>261</v>
      </c>
      <c r="B86" s="390"/>
      <c r="C86" s="386">
        <f t="shared" si="4"/>
        <v>0</v>
      </c>
      <c r="D86" s="391">
        <v>0</v>
      </c>
      <c r="E86" s="391">
        <v>0</v>
      </c>
      <c r="F86" s="391">
        <v>0</v>
      </c>
      <c r="G86" s="391">
        <f t="array" ref="G86">SUM(IF('6. Class A Consumption Data'!L188:M188="B",'6. Class A Consumption Data'!L186:M186))</f>
        <v>0</v>
      </c>
      <c r="H86" s="391">
        <f t="array" ref="H86">SUM(IF('6. Class A Consumption Data'!N188:O188="B",'6. Class A Consumption Data'!N186:O186))</f>
        <v>0</v>
      </c>
      <c r="I86" s="392">
        <f t="shared" si="1"/>
        <v>0</v>
      </c>
      <c r="J86" s="393">
        <f t="shared" si="2"/>
        <v>0</v>
      </c>
      <c r="K86" s="389">
        <f t="shared" si="3"/>
        <v>0</v>
      </c>
    </row>
    <row r="87" spans="1:11" hidden="1" x14ac:dyDescent="0.25">
      <c r="A87" s="390" t="s">
        <v>262</v>
      </c>
      <c r="B87" s="390"/>
      <c r="C87" s="386">
        <f t="shared" si="4"/>
        <v>0</v>
      </c>
      <c r="D87" s="391">
        <v>0</v>
      </c>
      <c r="E87" s="391">
        <v>0</v>
      </c>
      <c r="F87" s="391">
        <v>0</v>
      </c>
      <c r="G87" s="391">
        <f t="array" ref="G87">SUM(IF('6. Class A Consumption Data'!L191:M191="B",'6. Class A Consumption Data'!L189:M189))</f>
        <v>0</v>
      </c>
      <c r="H87" s="391">
        <f t="array" ref="H87">SUM(IF('6. Class A Consumption Data'!N191:O191="B",'6. Class A Consumption Data'!N189:O189))</f>
        <v>0</v>
      </c>
      <c r="I87" s="392">
        <f t="shared" si="1"/>
        <v>0</v>
      </c>
      <c r="J87" s="393">
        <f t="shared" si="2"/>
        <v>0</v>
      </c>
      <c r="K87" s="389">
        <f t="shared" si="3"/>
        <v>0</v>
      </c>
    </row>
    <row r="88" spans="1:11" hidden="1" x14ac:dyDescent="0.25">
      <c r="A88" s="390" t="s">
        <v>263</v>
      </c>
      <c r="B88" s="390"/>
      <c r="C88" s="386">
        <f t="shared" si="4"/>
        <v>0</v>
      </c>
      <c r="D88" s="391">
        <v>0</v>
      </c>
      <c r="E88" s="391">
        <v>0</v>
      </c>
      <c r="F88" s="391">
        <v>0</v>
      </c>
      <c r="G88" s="391">
        <f t="array" ref="G88">SUM(IF('6. Class A Consumption Data'!L194:M194="B",'6. Class A Consumption Data'!L192:M192))</f>
        <v>0</v>
      </c>
      <c r="H88" s="391">
        <f t="array" ref="H88">SUM(IF('6. Class A Consumption Data'!N194:O194="B",'6. Class A Consumption Data'!N192:O192))</f>
        <v>0</v>
      </c>
      <c r="I88" s="392">
        <f t="shared" si="1"/>
        <v>0</v>
      </c>
      <c r="J88" s="393">
        <f t="shared" si="2"/>
        <v>0</v>
      </c>
      <c r="K88" s="389">
        <f t="shared" si="3"/>
        <v>0</v>
      </c>
    </row>
    <row r="89" spans="1:11" hidden="1" x14ac:dyDescent="0.25">
      <c r="A89" s="390" t="s">
        <v>264</v>
      </c>
      <c r="B89" s="390"/>
      <c r="C89" s="386">
        <f t="shared" si="4"/>
        <v>0</v>
      </c>
      <c r="D89" s="391">
        <v>0</v>
      </c>
      <c r="E89" s="391">
        <v>0</v>
      </c>
      <c r="F89" s="391">
        <v>0</v>
      </c>
      <c r="G89" s="391">
        <f t="array" ref="G89">SUM(IF('6. Class A Consumption Data'!L197:M197="B",'6. Class A Consumption Data'!L195:M195))</f>
        <v>0</v>
      </c>
      <c r="H89" s="391">
        <f t="array" ref="H89">SUM(IF('6. Class A Consumption Data'!N197:O197="B",'6. Class A Consumption Data'!N195:O195))</f>
        <v>0</v>
      </c>
      <c r="I89" s="392">
        <f t="shared" si="1"/>
        <v>0</v>
      </c>
      <c r="J89" s="393">
        <f t="shared" si="2"/>
        <v>0</v>
      </c>
      <c r="K89" s="389">
        <f t="shared" si="3"/>
        <v>0</v>
      </c>
    </row>
    <row r="90" spans="1:11" hidden="1" x14ac:dyDescent="0.25">
      <c r="A90" s="390" t="s">
        <v>265</v>
      </c>
      <c r="B90" s="390"/>
      <c r="C90" s="386">
        <f t="shared" si="4"/>
        <v>0</v>
      </c>
      <c r="D90" s="391">
        <v>0</v>
      </c>
      <c r="E90" s="391">
        <v>0</v>
      </c>
      <c r="F90" s="391">
        <v>0</v>
      </c>
      <c r="G90" s="391">
        <f t="array" ref="G90">SUM(IF('6. Class A Consumption Data'!L200:M200="B",'6. Class A Consumption Data'!L198:M198))</f>
        <v>0</v>
      </c>
      <c r="H90" s="391">
        <f t="array" ref="H90">SUM(IF('6. Class A Consumption Data'!N200:O200="B",'6. Class A Consumption Data'!N198:O198))</f>
        <v>0</v>
      </c>
      <c r="I90" s="392">
        <f t="shared" si="1"/>
        <v>0</v>
      </c>
      <c r="J90" s="393">
        <f t="shared" si="2"/>
        <v>0</v>
      </c>
      <c r="K90" s="389">
        <f t="shared" si="3"/>
        <v>0</v>
      </c>
    </row>
    <row r="91" spans="1:11" hidden="1" x14ac:dyDescent="0.25">
      <c r="A91" s="390" t="s">
        <v>266</v>
      </c>
      <c r="B91" s="390"/>
      <c r="C91" s="386">
        <f t="shared" si="4"/>
        <v>0</v>
      </c>
      <c r="D91" s="391">
        <v>0</v>
      </c>
      <c r="E91" s="391">
        <v>0</v>
      </c>
      <c r="F91" s="391">
        <v>0</v>
      </c>
      <c r="G91" s="391">
        <f t="array" ref="G91">SUM(IF('6. Class A Consumption Data'!L203:M203="B",'6. Class A Consumption Data'!L201:M201))</f>
        <v>0</v>
      </c>
      <c r="H91" s="391">
        <f t="array" ref="H91">SUM(IF('6. Class A Consumption Data'!N203:O203="B",'6. Class A Consumption Data'!N201:O201))</f>
        <v>0</v>
      </c>
      <c r="I91" s="392">
        <f t="shared" si="1"/>
        <v>0</v>
      </c>
      <c r="J91" s="393">
        <f t="shared" si="2"/>
        <v>0</v>
      </c>
      <c r="K91" s="389">
        <f t="shared" si="3"/>
        <v>0</v>
      </c>
    </row>
    <row r="92" spans="1:11" hidden="1" x14ac:dyDescent="0.25">
      <c r="A92" s="390" t="s">
        <v>267</v>
      </c>
      <c r="B92" s="390"/>
      <c r="C92" s="386">
        <f t="shared" si="4"/>
        <v>0</v>
      </c>
      <c r="D92" s="391">
        <v>0</v>
      </c>
      <c r="E92" s="391">
        <v>0</v>
      </c>
      <c r="F92" s="391">
        <v>0</v>
      </c>
      <c r="G92" s="391">
        <f t="array" ref="G92">SUM(IF('6. Class A Consumption Data'!L206:M206="B",'6. Class A Consumption Data'!L204:M204))</f>
        <v>0</v>
      </c>
      <c r="H92" s="391">
        <f t="array" ref="H92">SUM(IF('6. Class A Consumption Data'!N206:O206="B",'6. Class A Consumption Data'!N204:O204))</f>
        <v>0</v>
      </c>
      <c r="I92" s="392">
        <f t="shared" si="1"/>
        <v>0</v>
      </c>
      <c r="J92" s="393">
        <f t="shared" si="2"/>
        <v>0</v>
      </c>
      <c r="K92" s="389">
        <f t="shared" si="3"/>
        <v>0</v>
      </c>
    </row>
    <row r="93" spans="1:11" hidden="1" x14ac:dyDescent="0.25">
      <c r="A93" s="390" t="s">
        <v>268</v>
      </c>
      <c r="B93" s="390"/>
      <c r="C93" s="386">
        <f t="shared" si="4"/>
        <v>0</v>
      </c>
      <c r="D93" s="391">
        <v>0</v>
      </c>
      <c r="E93" s="391">
        <v>0</v>
      </c>
      <c r="F93" s="391">
        <v>0</v>
      </c>
      <c r="G93" s="391">
        <f t="array" ref="G93">SUM(IF('6. Class A Consumption Data'!L209:M209="B",'6. Class A Consumption Data'!L207:M207))</f>
        <v>0</v>
      </c>
      <c r="H93" s="391">
        <f t="array" ref="H93">SUM(IF('6. Class A Consumption Data'!N209:O209="B",'6. Class A Consumption Data'!N207:O207))</f>
        <v>0</v>
      </c>
      <c r="I93" s="392">
        <f t="shared" si="1"/>
        <v>0</v>
      </c>
      <c r="J93" s="393">
        <f t="shared" si="2"/>
        <v>0</v>
      </c>
      <c r="K93" s="389">
        <f t="shared" si="3"/>
        <v>0</v>
      </c>
    </row>
    <row r="94" spans="1:11" hidden="1" x14ac:dyDescent="0.25">
      <c r="A94" s="390" t="s">
        <v>269</v>
      </c>
      <c r="B94" s="390"/>
      <c r="C94" s="386">
        <f t="shared" si="4"/>
        <v>0</v>
      </c>
      <c r="D94" s="391">
        <v>0</v>
      </c>
      <c r="E94" s="391">
        <v>0</v>
      </c>
      <c r="F94" s="391">
        <v>0</v>
      </c>
      <c r="G94" s="391">
        <f t="array" ref="G94">SUM(IF('6. Class A Consumption Data'!L212:M212="B",'6. Class A Consumption Data'!L210:M210))</f>
        <v>0</v>
      </c>
      <c r="H94" s="391">
        <f t="array" ref="H94">SUM(IF('6. Class A Consumption Data'!N212:O212="B",'6. Class A Consumption Data'!N210:O210))</f>
        <v>0</v>
      </c>
      <c r="I94" s="392">
        <f t="shared" si="1"/>
        <v>0</v>
      </c>
      <c r="J94" s="393">
        <f t="shared" si="2"/>
        <v>0</v>
      </c>
      <c r="K94" s="389">
        <f t="shared" si="3"/>
        <v>0</v>
      </c>
    </row>
    <row r="95" spans="1:11" hidden="1" x14ac:dyDescent="0.25">
      <c r="A95" s="390" t="s">
        <v>270</v>
      </c>
      <c r="B95" s="390"/>
      <c r="C95" s="386">
        <f t="shared" si="4"/>
        <v>0</v>
      </c>
      <c r="D95" s="391">
        <v>0</v>
      </c>
      <c r="E95" s="391">
        <v>0</v>
      </c>
      <c r="F95" s="391">
        <v>0</v>
      </c>
      <c r="G95" s="391">
        <f t="array" ref="G95">SUM(IF('6. Class A Consumption Data'!L215:M215="B",'6. Class A Consumption Data'!L213:M213))</f>
        <v>0</v>
      </c>
      <c r="H95" s="391">
        <f t="array" ref="H95">SUM(IF('6. Class A Consumption Data'!N215:O215="B",'6. Class A Consumption Data'!N213:O213))</f>
        <v>0</v>
      </c>
      <c r="I95" s="392">
        <f t="shared" si="1"/>
        <v>0</v>
      </c>
      <c r="J95" s="393">
        <f t="shared" si="2"/>
        <v>0</v>
      </c>
      <c r="K95" s="389">
        <f t="shared" si="3"/>
        <v>0</v>
      </c>
    </row>
    <row r="96" spans="1:11" hidden="1" x14ac:dyDescent="0.25">
      <c r="A96" s="390" t="s">
        <v>271</v>
      </c>
      <c r="B96" s="390"/>
      <c r="C96" s="386">
        <f t="shared" si="4"/>
        <v>0</v>
      </c>
      <c r="D96" s="391">
        <v>0</v>
      </c>
      <c r="E96" s="391">
        <v>0</v>
      </c>
      <c r="F96" s="391">
        <v>0</v>
      </c>
      <c r="G96" s="391">
        <f t="array" ref="G96">SUM(IF('6. Class A Consumption Data'!L218:M218="B",'6. Class A Consumption Data'!L216:M216))</f>
        <v>0</v>
      </c>
      <c r="H96" s="391">
        <f t="array" ref="H96">SUM(IF('6. Class A Consumption Data'!N218:O218="B",'6. Class A Consumption Data'!N216:O216))</f>
        <v>0</v>
      </c>
      <c r="I96" s="392">
        <f t="shared" si="1"/>
        <v>0</v>
      </c>
      <c r="J96" s="393">
        <f t="shared" si="2"/>
        <v>0</v>
      </c>
      <c r="K96" s="389">
        <f t="shared" si="3"/>
        <v>0</v>
      </c>
    </row>
    <row r="97" spans="1:11" hidden="1" x14ac:dyDescent="0.25">
      <c r="A97" s="390" t="s">
        <v>272</v>
      </c>
      <c r="B97" s="390"/>
      <c r="C97" s="386">
        <f t="shared" si="4"/>
        <v>0</v>
      </c>
      <c r="D97" s="391">
        <v>0</v>
      </c>
      <c r="E97" s="391">
        <v>0</v>
      </c>
      <c r="F97" s="391">
        <v>0</v>
      </c>
      <c r="G97" s="391">
        <f t="array" ref="G97">SUM(IF('6. Class A Consumption Data'!L221:M221="B",'6. Class A Consumption Data'!L219:M219))</f>
        <v>0</v>
      </c>
      <c r="H97" s="391">
        <f t="array" ref="H97">SUM(IF('6. Class A Consumption Data'!N221:O221="B",'6. Class A Consumption Data'!N219:O219))</f>
        <v>0</v>
      </c>
      <c r="I97" s="392">
        <f t="shared" si="1"/>
        <v>0</v>
      </c>
      <c r="J97" s="393">
        <f t="shared" si="2"/>
        <v>0</v>
      </c>
      <c r="K97" s="389">
        <f t="shared" si="3"/>
        <v>0</v>
      </c>
    </row>
    <row r="98" spans="1:11" hidden="1" x14ac:dyDescent="0.25">
      <c r="A98" s="390" t="s">
        <v>273</v>
      </c>
      <c r="B98" s="390"/>
      <c r="C98" s="386">
        <f t="shared" ref="C98:C129" si="5">SUM(D98:F98)</f>
        <v>0</v>
      </c>
      <c r="D98" s="391">
        <v>0</v>
      </c>
      <c r="E98" s="391">
        <v>0</v>
      </c>
      <c r="F98" s="391">
        <v>0</v>
      </c>
      <c r="G98" s="391">
        <f t="array" ref="G98">SUM(IF('6. Class A Consumption Data'!L224:M224="B",'6. Class A Consumption Data'!L222:M222))</f>
        <v>0</v>
      </c>
      <c r="H98" s="391">
        <f t="array" ref="H98">SUM(IF('6. Class A Consumption Data'!N224:O224="B",'6. Class A Consumption Data'!N222:O222))</f>
        <v>0</v>
      </c>
      <c r="I98" s="392">
        <f t="shared" si="1"/>
        <v>0</v>
      </c>
      <c r="J98" s="393">
        <f t="shared" si="2"/>
        <v>0</v>
      </c>
      <c r="K98" s="389">
        <f t="shared" si="3"/>
        <v>0</v>
      </c>
    </row>
    <row r="99" spans="1:11" hidden="1" x14ac:dyDescent="0.25">
      <c r="A99" s="390" t="s">
        <v>274</v>
      </c>
      <c r="B99" s="390"/>
      <c r="C99" s="386">
        <f t="shared" si="5"/>
        <v>0</v>
      </c>
      <c r="D99" s="391">
        <v>0</v>
      </c>
      <c r="E99" s="391">
        <v>0</v>
      </c>
      <c r="F99" s="391">
        <v>0</v>
      </c>
      <c r="G99" s="391">
        <f t="array" ref="G99">SUM(IF('6. Class A Consumption Data'!L227:M227="B",'6. Class A Consumption Data'!L225:M225))</f>
        <v>0</v>
      </c>
      <c r="H99" s="391">
        <f t="array" ref="H99">SUM(IF('6. Class A Consumption Data'!N227:O227="B",'6. Class A Consumption Data'!N225:O225))</f>
        <v>0</v>
      </c>
      <c r="I99" s="392">
        <f t="shared" ref="I99:I162" si="6">IFERROR(+C99/$C$184,0)</f>
        <v>0</v>
      </c>
      <c r="J99" s="393">
        <f t="shared" si="2"/>
        <v>0</v>
      </c>
      <c r="K99" s="389">
        <f t="shared" si="3"/>
        <v>0</v>
      </c>
    </row>
    <row r="100" spans="1:11" hidden="1" x14ac:dyDescent="0.25">
      <c r="A100" s="390" t="s">
        <v>275</v>
      </c>
      <c r="B100" s="390"/>
      <c r="C100" s="386">
        <f t="shared" si="5"/>
        <v>0</v>
      </c>
      <c r="D100" s="391">
        <v>0</v>
      </c>
      <c r="E100" s="391">
        <v>0</v>
      </c>
      <c r="F100" s="391">
        <v>0</v>
      </c>
      <c r="G100" s="391">
        <f t="array" ref="G100">SUM(IF('6. Class A Consumption Data'!L230:M230="B",'6. Class A Consumption Data'!L228:M228))</f>
        <v>0</v>
      </c>
      <c r="H100" s="391">
        <f t="array" ref="H100">SUM(IF('6. Class A Consumption Data'!N230:O230="B",'6. Class A Consumption Data'!N228:O228))</f>
        <v>0</v>
      </c>
      <c r="I100" s="392">
        <f t="shared" si="6"/>
        <v>0</v>
      </c>
      <c r="J100" s="393">
        <f t="shared" si="2"/>
        <v>0</v>
      </c>
      <c r="K100" s="389">
        <f t="shared" si="3"/>
        <v>0</v>
      </c>
    </row>
    <row r="101" spans="1:11" hidden="1" x14ac:dyDescent="0.25">
      <c r="A101" s="390" t="s">
        <v>276</v>
      </c>
      <c r="B101" s="390"/>
      <c r="C101" s="386">
        <f t="shared" si="5"/>
        <v>0</v>
      </c>
      <c r="D101" s="391">
        <v>0</v>
      </c>
      <c r="E101" s="391">
        <v>0</v>
      </c>
      <c r="F101" s="391">
        <v>0</v>
      </c>
      <c r="G101" s="391">
        <f t="array" ref="G101">SUM(IF('6. Class A Consumption Data'!L233:M233="B",'6. Class A Consumption Data'!L231:M231))</f>
        <v>0</v>
      </c>
      <c r="H101" s="391">
        <f t="array" ref="H101">SUM(IF('6. Class A Consumption Data'!N233:O233="B",'6. Class A Consumption Data'!N231:O231))</f>
        <v>0</v>
      </c>
      <c r="I101" s="392">
        <f t="shared" si="6"/>
        <v>0</v>
      </c>
      <c r="J101" s="393">
        <f t="shared" si="2"/>
        <v>0</v>
      </c>
      <c r="K101" s="389">
        <f t="shared" si="3"/>
        <v>0</v>
      </c>
    </row>
    <row r="102" spans="1:11" hidden="1" x14ac:dyDescent="0.25">
      <c r="A102" s="390" t="s">
        <v>277</v>
      </c>
      <c r="B102" s="390"/>
      <c r="C102" s="386">
        <f t="shared" si="5"/>
        <v>0</v>
      </c>
      <c r="D102" s="391">
        <v>0</v>
      </c>
      <c r="E102" s="391">
        <v>0</v>
      </c>
      <c r="F102" s="391">
        <v>0</v>
      </c>
      <c r="G102" s="391">
        <f t="array" ref="G102">SUM(IF('6. Class A Consumption Data'!L236:M236="B",'6. Class A Consumption Data'!L234:M234))</f>
        <v>0</v>
      </c>
      <c r="H102" s="391">
        <f t="array" ref="H102">SUM(IF('6. Class A Consumption Data'!N236:O236="B",'6. Class A Consumption Data'!N234:O234))</f>
        <v>0</v>
      </c>
      <c r="I102" s="392">
        <f t="shared" si="6"/>
        <v>0</v>
      </c>
      <c r="J102" s="393">
        <f t="shared" ref="J102:J165" si="7">+I102*$C$28</f>
        <v>0</v>
      </c>
      <c r="K102" s="389">
        <f t="shared" ref="K102:K165" si="8">+J102/12</f>
        <v>0</v>
      </c>
    </row>
    <row r="103" spans="1:11" hidden="1" x14ac:dyDescent="0.25">
      <c r="A103" s="390" t="s">
        <v>278</v>
      </c>
      <c r="B103" s="390"/>
      <c r="C103" s="386">
        <f t="shared" si="5"/>
        <v>0</v>
      </c>
      <c r="D103" s="391">
        <v>0</v>
      </c>
      <c r="E103" s="391">
        <v>0</v>
      </c>
      <c r="F103" s="391">
        <v>0</v>
      </c>
      <c r="G103" s="391">
        <f t="array" ref="G103">SUM(IF('6. Class A Consumption Data'!L239:M239="B",'6. Class A Consumption Data'!L237:M237))</f>
        <v>0</v>
      </c>
      <c r="H103" s="391">
        <f t="array" ref="H103">SUM(IF('6. Class A Consumption Data'!N239:O239="B",'6. Class A Consumption Data'!N237:O237))</f>
        <v>0</v>
      </c>
      <c r="I103" s="392">
        <f t="shared" si="6"/>
        <v>0</v>
      </c>
      <c r="J103" s="393">
        <f t="shared" si="7"/>
        <v>0</v>
      </c>
      <c r="K103" s="389">
        <f t="shared" si="8"/>
        <v>0</v>
      </c>
    </row>
    <row r="104" spans="1:11" hidden="1" x14ac:dyDescent="0.25">
      <c r="A104" s="390" t="s">
        <v>279</v>
      </c>
      <c r="B104" s="390"/>
      <c r="C104" s="386">
        <f t="shared" si="5"/>
        <v>0</v>
      </c>
      <c r="D104" s="391">
        <v>0</v>
      </c>
      <c r="E104" s="391">
        <v>0</v>
      </c>
      <c r="F104" s="391">
        <v>0</v>
      </c>
      <c r="G104" s="391">
        <f t="array" ref="G104">SUM(IF('6. Class A Consumption Data'!L242:M242="B",'6. Class A Consumption Data'!L240:M240))</f>
        <v>0</v>
      </c>
      <c r="H104" s="391">
        <f t="array" ref="H104">SUM(IF('6. Class A Consumption Data'!N242:O242="B",'6. Class A Consumption Data'!N240:O240))</f>
        <v>0</v>
      </c>
      <c r="I104" s="392">
        <f t="shared" si="6"/>
        <v>0</v>
      </c>
      <c r="J104" s="393">
        <f t="shared" si="7"/>
        <v>0</v>
      </c>
      <c r="K104" s="389">
        <f t="shared" si="8"/>
        <v>0</v>
      </c>
    </row>
    <row r="105" spans="1:11" hidden="1" x14ac:dyDescent="0.25">
      <c r="A105" s="390" t="s">
        <v>280</v>
      </c>
      <c r="B105" s="390"/>
      <c r="C105" s="386">
        <f t="shared" si="5"/>
        <v>0</v>
      </c>
      <c r="D105" s="391">
        <v>0</v>
      </c>
      <c r="E105" s="391">
        <v>0</v>
      </c>
      <c r="F105" s="391">
        <v>0</v>
      </c>
      <c r="G105" s="391">
        <f t="array" ref="G105">SUM(IF('6. Class A Consumption Data'!L245:M245="B",'6. Class A Consumption Data'!L243:M243))</f>
        <v>0</v>
      </c>
      <c r="H105" s="391">
        <f t="array" ref="H105">SUM(IF('6. Class A Consumption Data'!N245:O245="B",'6. Class A Consumption Data'!N243:O243))</f>
        <v>0</v>
      </c>
      <c r="I105" s="392">
        <f t="shared" si="6"/>
        <v>0</v>
      </c>
      <c r="J105" s="393">
        <f t="shared" si="7"/>
        <v>0</v>
      </c>
      <c r="K105" s="389">
        <f t="shared" si="8"/>
        <v>0</v>
      </c>
    </row>
    <row r="106" spans="1:11" hidden="1" x14ac:dyDescent="0.25">
      <c r="A106" s="390" t="s">
        <v>281</v>
      </c>
      <c r="B106" s="390"/>
      <c r="C106" s="386">
        <f t="shared" si="5"/>
        <v>0</v>
      </c>
      <c r="D106" s="391">
        <v>0</v>
      </c>
      <c r="E106" s="391">
        <v>0</v>
      </c>
      <c r="F106" s="391">
        <v>0</v>
      </c>
      <c r="G106" s="391">
        <f t="array" ref="G106">SUM(IF('6. Class A Consumption Data'!L248:M248="B",'6. Class A Consumption Data'!L246:M246))</f>
        <v>0</v>
      </c>
      <c r="H106" s="391">
        <f t="array" ref="H106">SUM(IF('6. Class A Consumption Data'!N248:O248="B",'6. Class A Consumption Data'!N246:O246))</f>
        <v>0</v>
      </c>
      <c r="I106" s="392">
        <f t="shared" si="6"/>
        <v>0</v>
      </c>
      <c r="J106" s="393">
        <f t="shared" si="7"/>
        <v>0</v>
      </c>
      <c r="K106" s="389">
        <f t="shared" si="8"/>
        <v>0</v>
      </c>
    </row>
    <row r="107" spans="1:11" hidden="1" x14ac:dyDescent="0.25">
      <c r="A107" s="390" t="s">
        <v>282</v>
      </c>
      <c r="B107" s="390"/>
      <c r="C107" s="386">
        <f t="shared" si="5"/>
        <v>0</v>
      </c>
      <c r="D107" s="391">
        <v>0</v>
      </c>
      <c r="E107" s="391">
        <v>0</v>
      </c>
      <c r="F107" s="391">
        <v>0</v>
      </c>
      <c r="G107" s="391">
        <f t="array" ref="G107">SUM(IF('6. Class A Consumption Data'!L251:M251="B",'6. Class A Consumption Data'!L249:M249))</f>
        <v>0</v>
      </c>
      <c r="H107" s="391">
        <f t="array" ref="H107">SUM(IF('6. Class A Consumption Data'!N251:O251="B",'6. Class A Consumption Data'!N249:O249))</f>
        <v>0</v>
      </c>
      <c r="I107" s="392">
        <f t="shared" si="6"/>
        <v>0</v>
      </c>
      <c r="J107" s="393">
        <f t="shared" si="7"/>
        <v>0</v>
      </c>
      <c r="K107" s="389">
        <f t="shared" si="8"/>
        <v>0</v>
      </c>
    </row>
    <row r="108" spans="1:11" hidden="1" x14ac:dyDescent="0.25">
      <c r="A108" s="390" t="s">
        <v>283</v>
      </c>
      <c r="B108" s="390"/>
      <c r="C108" s="386">
        <f t="shared" si="5"/>
        <v>0</v>
      </c>
      <c r="D108" s="391">
        <v>0</v>
      </c>
      <c r="E108" s="391">
        <v>0</v>
      </c>
      <c r="F108" s="391">
        <v>0</v>
      </c>
      <c r="G108" s="391">
        <f t="array" ref="G108">SUM(IF('6. Class A Consumption Data'!L254:M254="B",'6. Class A Consumption Data'!L252:M252))</f>
        <v>0</v>
      </c>
      <c r="H108" s="391">
        <f t="array" ref="H108">SUM(IF('6. Class A Consumption Data'!N254:O254="B",'6. Class A Consumption Data'!N252:O252))</f>
        <v>0</v>
      </c>
      <c r="I108" s="392">
        <f t="shared" si="6"/>
        <v>0</v>
      </c>
      <c r="J108" s="393">
        <f t="shared" si="7"/>
        <v>0</v>
      </c>
      <c r="K108" s="389">
        <f t="shared" si="8"/>
        <v>0</v>
      </c>
    </row>
    <row r="109" spans="1:11" hidden="1" x14ac:dyDescent="0.25">
      <c r="A109" s="390" t="s">
        <v>284</v>
      </c>
      <c r="B109" s="390"/>
      <c r="C109" s="386">
        <f t="shared" si="5"/>
        <v>0</v>
      </c>
      <c r="D109" s="391">
        <v>0</v>
      </c>
      <c r="E109" s="391">
        <v>0</v>
      </c>
      <c r="F109" s="391">
        <v>0</v>
      </c>
      <c r="G109" s="391">
        <f t="array" ref="G109">SUM(IF('6. Class A Consumption Data'!L257:M257="B",'6. Class A Consumption Data'!L255:M255))</f>
        <v>0</v>
      </c>
      <c r="H109" s="391">
        <f t="array" ref="H109">SUM(IF('6. Class A Consumption Data'!N257:O257="B",'6. Class A Consumption Data'!N255:O255))</f>
        <v>0</v>
      </c>
      <c r="I109" s="392">
        <f t="shared" si="6"/>
        <v>0</v>
      </c>
      <c r="J109" s="393">
        <f t="shared" si="7"/>
        <v>0</v>
      </c>
      <c r="K109" s="389">
        <f t="shared" si="8"/>
        <v>0</v>
      </c>
    </row>
    <row r="110" spans="1:11" hidden="1" x14ac:dyDescent="0.25">
      <c r="A110" s="390" t="s">
        <v>285</v>
      </c>
      <c r="B110" s="390"/>
      <c r="C110" s="386">
        <f t="shared" si="5"/>
        <v>0</v>
      </c>
      <c r="D110" s="391">
        <v>0</v>
      </c>
      <c r="E110" s="391">
        <v>0</v>
      </c>
      <c r="F110" s="391">
        <v>0</v>
      </c>
      <c r="G110" s="391">
        <f t="array" ref="G110">SUM(IF('6. Class A Consumption Data'!L260:M260="B",'6. Class A Consumption Data'!L258:M258))</f>
        <v>0</v>
      </c>
      <c r="H110" s="391">
        <f t="array" ref="H110">SUM(IF('6. Class A Consumption Data'!N260:O260="B",'6. Class A Consumption Data'!N258:O258))</f>
        <v>0</v>
      </c>
      <c r="I110" s="392">
        <f t="shared" si="6"/>
        <v>0</v>
      </c>
      <c r="J110" s="393">
        <f t="shared" si="7"/>
        <v>0</v>
      </c>
      <c r="K110" s="389">
        <f t="shared" si="8"/>
        <v>0</v>
      </c>
    </row>
    <row r="111" spans="1:11" hidden="1" x14ac:dyDescent="0.25">
      <c r="A111" s="390" t="s">
        <v>286</v>
      </c>
      <c r="B111" s="390"/>
      <c r="C111" s="386">
        <f t="shared" si="5"/>
        <v>0</v>
      </c>
      <c r="D111" s="391">
        <v>0</v>
      </c>
      <c r="E111" s="391">
        <v>0</v>
      </c>
      <c r="F111" s="391">
        <v>0</v>
      </c>
      <c r="G111" s="391">
        <f t="array" ref="G111">SUM(IF('6. Class A Consumption Data'!L263:M263="B",'6. Class A Consumption Data'!L261:M261))</f>
        <v>0</v>
      </c>
      <c r="H111" s="391">
        <f t="array" ref="H111">SUM(IF('6. Class A Consumption Data'!N263:O263="B",'6. Class A Consumption Data'!N261:O261))</f>
        <v>0</v>
      </c>
      <c r="I111" s="392">
        <f t="shared" si="6"/>
        <v>0</v>
      </c>
      <c r="J111" s="393">
        <f t="shared" si="7"/>
        <v>0</v>
      </c>
      <c r="K111" s="389">
        <f t="shared" si="8"/>
        <v>0</v>
      </c>
    </row>
    <row r="112" spans="1:11" hidden="1" x14ac:dyDescent="0.25">
      <c r="A112" s="390" t="s">
        <v>287</v>
      </c>
      <c r="B112" s="390"/>
      <c r="C112" s="386">
        <f t="shared" si="5"/>
        <v>0</v>
      </c>
      <c r="D112" s="391">
        <v>0</v>
      </c>
      <c r="E112" s="391">
        <v>0</v>
      </c>
      <c r="F112" s="391">
        <v>0</v>
      </c>
      <c r="G112" s="391">
        <f t="array" ref="G112">SUM(IF('6. Class A Consumption Data'!L266:M266="B",'6. Class A Consumption Data'!L264:M264))</f>
        <v>0</v>
      </c>
      <c r="H112" s="391">
        <f t="array" ref="H112">SUM(IF('6. Class A Consumption Data'!N266:O266="B",'6. Class A Consumption Data'!N264:O264))</f>
        <v>0</v>
      </c>
      <c r="I112" s="392">
        <f t="shared" si="6"/>
        <v>0</v>
      </c>
      <c r="J112" s="393">
        <f t="shared" si="7"/>
        <v>0</v>
      </c>
      <c r="K112" s="389">
        <f t="shared" si="8"/>
        <v>0</v>
      </c>
    </row>
    <row r="113" spans="1:11" hidden="1" x14ac:dyDescent="0.25">
      <c r="A113" s="390" t="s">
        <v>288</v>
      </c>
      <c r="B113" s="390"/>
      <c r="C113" s="386">
        <f t="shared" si="5"/>
        <v>0</v>
      </c>
      <c r="D113" s="391">
        <v>0</v>
      </c>
      <c r="E113" s="391">
        <v>0</v>
      </c>
      <c r="F113" s="391">
        <v>0</v>
      </c>
      <c r="G113" s="391">
        <f t="array" ref="G113">SUM(IF('6. Class A Consumption Data'!L269:M269="B",'6. Class A Consumption Data'!L267:M267))</f>
        <v>0</v>
      </c>
      <c r="H113" s="391">
        <f t="array" ref="H113">SUM(IF('6. Class A Consumption Data'!N269:O269="B",'6. Class A Consumption Data'!N267:O267))</f>
        <v>0</v>
      </c>
      <c r="I113" s="392">
        <f t="shared" si="6"/>
        <v>0</v>
      </c>
      <c r="J113" s="393">
        <f t="shared" si="7"/>
        <v>0</v>
      </c>
      <c r="K113" s="389">
        <f t="shared" si="8"/>
        <v>0</v>
      </c>
    </row>
    <row r="114" spans="1:11" hidden="1" x14ac:dyDescent="0.25">
      <c r="A114" s="390" t="s">
        <v>289</v>
      </c>
      <c r="B114" s="390"/>
      <c r="C114" s="386">
        <f t="shared" si="5"/>
        <v>0</v>
      </c>
      <c r="D114" s="391">
        <v>0</v>
      </c>
      <c r="E114" s="391">
        <v>0</v>
      </c>
      <c r="F114" s="391">
        <v>0</v>
      </c>
      <c r="G114" s="391">
        <f t="array" ref="G114">SUM(IF('6. Class A Consumption Data'!L272:M272="B",'6. Class A Consumption Data'!L270:M270))</f>
        <v>0</v>
      </c>
      <c r="H114" s="391">
        <f t="array" ref="H114">SUM(IF('6. Class A Consumption Data'!N272:O272="B",'6. Class A Consumption Data'!N270:O270))</f>
        <v>0</v>
      </c>
      <c r="I114" s="392">
        <f t="shared" si="6"/>
        <v>0</v>
      </c>
      <c r="J114" s="393">
        <f t="shared" si="7"/>
        <v>0</v>
      </c>
      <c r="K114" s="389">
        <f t="shared" si="8"/>
        <v>0</v>
      </c>
    </row>
    <row r="115" spans="1:11" hidden="1" x14ac:dyDescent="0.25">
      <c r="A115" s="390" t="s">
        <v>290</v>
      </c>
      <c r="B115" s="390"/>
      <c r="C115" s="386">
        <f t="shared" si="5"/>
        <v>0</v>
      </c>
      <c r="D115" s="391">
        <v>0</v>
      </c>
      <c r="E115" s="391">
        <v>0</v>
      </c>
      <c r="F115" s="391">
        <v>0</v>
      </c>
      <c r="G115" s="391">
        <f t="array" ref="G115">SUM(IF('6. Class A Consumption Data'!L275:M275="B",'6. Class A Consumption Data'!L273:M273))</f>
        <v>0</v>
      </c>
      <c r="H115" s="391">
        <f t="array" ref="H115">SUM(IF('6. Class A Consumption Data'!N275:O275="B",'6. Class A Consumption Data'!N273:O273))</f>
        <v>0</v>
      </c>
      <c r="I115" s="392">
        <f t="shared" si="6"/>
        <v>0</v>
      </c>
      <c r="J115" s="393">
        <f t="shared" si="7"/>
        <v>0</v>
      </c>
      <c r="K115" s="389">
        <f t="shared" si="8"/>
        <v>0</v>
      </c>
    </row>
    <row r="116" spans="1:11" hidden="1" x14ac:dyDescent="0.25">
      <c r="A116" s="390" t="s">
        <v>291</v>
      </c>
      <c r="B116" s="390"/>
      <c r="C116" s="386">
        <f t="shared" si="5"/>
        <v>0</v>
      </c>
      <c r="D116" s="391">
        <v>0</v>
      </c>
      <c r="E116" s="391">
        <v>0</v>
      </c>
      <c r="F116" s="391">
        <v>0</v>
      </c>
      <c r="G116" s="391">
        <f t="array" ref="G116">SUM(IF('6. Class A Consumption Data'!L278:M278="B",'6. Class A Consumption Data'!L276:M276))</f>
        <v>0</v>
      </c>
      <c r="H116" s="391">
        <f t="array" ref="H116">SUM(IF('6. Class A Consumption Data'!N278:O278="B",'6. Class A Consumption Data'!N276:O276))</f>
        <v>0</v>
      </c>
      <c r="I116" s="392">
        <f t="shared" si="6"/>
        <v>0</v>
      </c>
      <c r="J116" s="393">
        <f t="shared" si="7"/>
        <v>0</v>
      </c>
      <c r="K116" s="389">
        <f t="shared" si="8"/>
        <v>0</v>
      </c>
    </row>
    <row r="117" spans="1:11" hidden="1" x14ac:dyDescent="0.25">
      <c r="A117" s="390" t="s">
        <v>292</v>
      </c>
      <c r="B117" s="390"/>
      <c r="C117" s="386">
        <f t="shared" si="5"/>
        <v>0</v>
      </c>
      <c r="D117" s="391">
        <v>0</v>
      </c>
      <c r="E117" s="391">
        <v>0</v>
      </c>
      <c r="F117" s="391">
        <v>0</v>
      </c>
      <c r="G117" s="391">
        <f t="array" ref="G117">SUM(IF('6. Class A Consumption Data'!L281:M281="B",'6. Class A Consumption Data'!L279:M279))</f>
        <v>0</v>
      </c>
      <c r="H117" s="391">
        <f t="array" ref="H117">SUM(IF('6. Class A Consumption Data'!N281:O281="B",'6. Class A Consumption Data'!N279:O279))</f>
        <v>0</v>
      </c>
      <c r="I117" s="392">
        <f t="shared" si="6"/>
        <v>0</v>
      </c>
      <c r="J117" s="393">
        <f t="shared" si="7"/>
        <v>0</v>
      </c>
      <c r="K117" s="389">
        <f t="shared" si="8"/>
        <v>0</v>
      </c>
    </row>
    <row r="118" spans="1:11" hidden="1" x14ac:dyDescent="0.25">
      <c r="A118" s="390" t="s">
        <v>293</v>
      </c>
      <c r="B118" s="390"/>
      <c r="C118" s="386">
        <f t="shared" si="5"/>
        <v>0</v>
      </c>
      <c r="D118" s="391">
        <v>0</v>
      </c>
      <c r="E118" s="391">
        <v>0</v>
      </c>
      <c r="F118" s="391">
        <v>0</v>
      </c>
      <c r="G118" s="391">
        <f t="array" ref="G118">SUM(IF('6. Class A Consumption Data'!L284:M284="B",'6. Class A Consumption Data'!L282:M282))</f>
        <v>0</v>
      </c>
      <c r="H118" s="391">
        <f t="array" ref="H118">SUM(IF('6. Class A Consumption Data'!N284:O284="B",'6. Class A Consumption Data'!N282:O282))</f>
        <v>0</v>
      </c>
      <c r="I118" s="392">
        <f t="shared" si="6"/>
        <v>0</v>
      </c>
      <c r="J118" s="393">
        <f t="shared" si="7"/>
        <v>0</v>
      </c>
      <c r="K118" s="389">
        <f t="shared" si="8"/>
        <v>0</v>
      </c>
    </row>
    <row r="119" spans="1:11" hidden="1" x14ac:dyDescent="0.25">
      <c r="A119" s="390" t="s">
        <v>294</v>
      </c>
      <c r="B119" s="390"/>
      <c r="C119" s="386">
        <f t="shared" si="5"/>
        <v>0</v>
      </c>
      <c r="D119" s="391">
        <v>0</v>
      </c>
      <c r="E119" s="391">
        <v>0</v>
      </c>
      <c r="F119" s="391">
        <v>0</v>
      </c>
      <c r="G119" s="391">
        <f t="array" ref="G119">SUM(IF('6. Class A Consumption Data'!L287:M287="B",'6. Class A Consumption Data'!L285:M285))</f>
        <v>0</v>
      </c>
      <c r="H119" s="391">
        <f t="array" ref="H119">SUM(IF('6. Class A Consumption Data'!N287:O287="B",'6. Class A Consumption Data'!N285:O285))</f>
        <v>0</v>
      </c>
      <c r="I119" s="392">
        <f t="shared" si="6"/>
        <v>0</v>
      </c>
      <c r="J119" s="393">
        <f t="shared" si="7"/>
        <v>0</v>
      </c>
      <c r="K119" s="389">
        <f t="shared" si="8"/>
        <v>0</v>
      </c>
    </row>
    <row r="120" spans="1:11" hidden="1" x14ac:dyDescent="0.25">
      <c r="A120" s="390" t="s">
        <v>295</v>
      </c>
      <c r="B120" s="390"/>
      <c r="C120" s="386">
        <f t="shared" si="5"/>
        <v>0</v>
      </c>
      <c r="D120" s="391">
        <v>0</v>
      </c>
      <c r="E120" s="391">
        <v>0</v>
      </c>
      <c r="F120" s="391">
        <v>0</v>
      </c>
      <c r="G120" s="391">
        <f t="array" ref="G120">SUM(IF('6. Class A Consumption Data'!L290:M290="B",'6. Class A Consumption Data'!L288:M288))</f>
        <v>0</v>
      </c>
      <c r="H120" s="391">
        <f t="array" ref="H120">SUM(IF('6. Class A Consumption Data'!N290:O290="B",'6. Class A Consumption Data'!N288:O288))</f>
        <v>0</v>
      </c>
      <c r="I120" s="392">
        <f t="shared" si="6"/>
        <v>0</v>
      </c>
      <c r="J120" s="393">
        <f t="shared" si="7"/>
        <v>0</v>
      </c>
      <c r="K120" s="389">
        <f t="shared" si="8"/>
        <v>0</v>
      </c>
    </row>
    <row r="121" spans="1:11" hidden="1" x14ac:dyDescent="0.25">
      <c r="A121" s="390" t="s">
        <v>296</v>
      </c>
      <c r="B121" s="390"/>
      <c r="C121" s="386">
        <f t="shared" si="5"/>
        <v>0</v>
      </c>
      <c r="D121" s="391">
        <v>0</v>
      </c>
      <c r="E121" s="391">
        <v>0</v>
      </c>
      <c r="F121" s="391">
        <v>0</v>
      </c>
      <c r="G121" s="391">
        <f t="array" ref="G121">SUM(IF('6. Class A Consumption Data'!L293:M293="B",'6. Class A Consumption Data'!L291:M291))</f>
        <v>0</v>
      </c>
      <c r="H121" s="391">
        <f t="array" ref="H121">SUM(IF('6. Class A Consumption Data'!N293:O293="B",'6. Class A Consumption Data'!N291:O291))</f>
        <v>0</v>
      </c>
      <c r="I121" s="392">
        <f t="shared" si="6"/>
        <v>0</v>
      </c>
      <c r="J121" s="393">
        <f t="shared" si="7"/>
        <v>0</v>
      </c>
      <c r="K121" s="389">
        <f t="shared" si="8"/>
        <v>0</v>
      </c>
    </row>
    <row r="122" spans="1:11" hidden="1" x14ac:dyDescent="0.25">
      <c r="A122" s="390" t="s">
        <v>297</v>
      </c>
      <c r="B122" s="390"/>
      <c r="C122" s="386">
        <f t="shared" si="5"/>
        <v>0</v>
      </c>
      <c r="D122" s="391">
        <v>0</v>
      </c>
      <c r="E122" s="391">
        <v>0</v>
      </c>
      <c r="F122" s="391">
        <v>0</v>
      </c>
      <c r="G122" s="391">
        <f t="array" ref="G122">SUM(IF('6. Class A Consumption Data'!L296:M296="B",'6. Class A Consumption Data'!L294:M294))</f>
        <v>0</v>
      </c>
      <c r="H122" s="391">
        <f t="array" ref="H122">SUM(IF('6. Class A Consumption Data'!N296:O296="B",'6. Class A Consumption Data'!N294:O294))</f>
        <v>0</v>
      </c>
      <c r="I122" s="392">
        <f t="shared" si="6"/>
        <v>0</v>
      </c>
      <c r="J122" s="393">
        <f t="shared" si="7"/>
        <v>0</v>
      </c>
      <c r="K122" s="389">
        <f t="shared" si="8"/>
        <v>0</v>
      </c>
    </row>
    <row r="123" spans="1:11" hidden="1" x14ac:dyDescent="0.25">
      <c r="A123" s="390" t="s">
        <v>298</v>
      </c>
      <c r="B123" s="390"/>
      <c r="C123" s="386">
        <f t="shared" si="5"/>
        <v>0</v>
      </c>
      <c r="D123" s="391">
        <v>0</v>
      </c>
      <c r="E123" s="391">
        <v>0</v>
      </c>
      <c r="F123" s="391">
        <v>0</v>
      </c>
      <c r="G123" s="391">
        <f t="array" ref="G123">SUM(IF('6. Class A Consumption Data'!L299:M299="B",'6. Class A Consumption Data'!L297:M297))</f>
        <v>0</v>
      </c>
      <c r="H123" s="391">
        <f t="array" ref="H123">SUM(IF('6. Class A Consumption Data'!N299:O299="B",'6. Class A Consumption Data'!N297:O297))</f>
        <v>0</v>
      </c>
      <c r="I123" s="392">
        <f t="shared" si="6"/>
        <v>0</v>
      </c>
      <c r="J123" s="393">
        <f t="shared" si="7"/>
        <v>0</v>
      </c>
      <c r="K123" s="389">
        <f t="shared" si="8"/>
        <v>0</v>
      </c>
    </row>
    <row r="124" spans="1:11" hidden="1" x14ac:dyDescent="0.25">
      <c r="A124" s="390" t="s">
        <v>299</v>
      </c>
      <c r="B124" s="390"/>
      <c r="C124" s="386">
        <f t="shared" si="5"/>
        <v>0</v>
      </c>
      <c r="D124" s="391">
        <v>0</v>
      </c>
      <c r="E124" s="391">
        <v>0</v>
      </c>
      <c r="F124" s="391">
        <v>0</v>
      </c>
      <c r="G124" s="391">
        <f t="array" ref="G124">SUM(IF('6. Class A Consumption Data'!L302:M302="B",'6. Class A Consumption Data'!L300:M300))</f>
        <v>0</v>
      </c>
      <c r="H124" s="391">
        <f t="array" ref="H124">SUM(IF('6. Class A Consumption Data'!N302:O302="B",'6. Class A Consumption Data'!N300:O300))</f>
        <v>0</v>
      </c>
      <c r="I124" s="392">
        <f t="shared" si="6"/>
        <v>0</v>
      </c>
      <c r="J124" s="393">
        <f t="shared" si="7"/>
        <v>0</v>
      </c>
      <c r="K124" s="389">
        <f t="shared" si="8"/>
        <v>0</v>
      </c>
    </row>
    <row r="125" spans="1:11" hidden="1" x14ac:dyDescent="0.25">
      <c r="A125" s="390" t="s">
        <v>300</v>
      </c>
      <c r="B125" s="390"/>
      <c r="C125" s="386">
        <f t="shared" si="5"/>
        <v>0</v>
      </c>
      <c r="D125" s="391">
        <v>0</v>
      </c>
      <c r="E125" s="391">
        <v>0</v>
      </c>
      <c r="F125" s="391">
        <v>0</v>
      </c>
      <c r="G125" s="391">
        <f t="array" ref="G125">SUM(IF('6. Class A Consumption Data'!L305:M305="B",'6. Class A Consumption Data'!L303:M303))</f>
        <v>0</v>
      </c>
      <c r="H125" s="391">
        <f t="array" ref="H125">SUM(IF('6. Class A Consumption Data'!N305:O305="B",'6. Class A Consumption Data'!N303:O303))</f>
        <v>0</v>
      </c>
      <c r="I125" s="392">
        <f t="shared" si="6"/>
        <v>0</v>
      </c>
      <c r="J125" s="393">
        <f t="shared" si="7"/>
        <v>0</v>
      </c>
      <c r="K125" s="389">
        <f t="shared" si="8"/>
        <v>0</v>
      </c>
    </row>
    <row r="126" spans="1:11" hidden="1" x14ac:dyDescent="0.25">
      <c r="A126" s="390" t="s">
        <v>301</v>
      </c>
      <c r="B126" s="390"/>
      <c r="C126" s="386">
        <f t="shared" si="5"/>
        <v>0</v>
      </c>
      <c r="D126" s="391">
        <v>0</v>
      </c>
      <c r="E126" s="391">
        <v>0</v>
      </c>
      <c r="F126" s="391">
        <v>0</v>
      </c>
      <c r="G126" s="391">
        <f t="array" ref="G126">SUM(IF('6. Class A Consumption Data'!L308:M308="B",'6. Class A Consumption Data'!L306:M306))</f>
        <v>0</v>
      </c>
      <c r="H126" s="391">
        <f t="array" ref="H126">SUM(IF('6. Class A Consumption Data'!N308:O308="B",'6. Class A Consumption Data'!N306:O306))</f>
        <v>0</v>
      </c>
      <c r="I126" s="392">
        <f t="shared" si="6"/>
        <v>0</v>
      </c>
      <c r="J126" s="393">
        <f t="shared" si="7"/>
        <v>0</v>
      </c>
      <c r="K126" s="389">
        <f t="shared" si="8"/>
        <v>0</v>
      </c>
    </row>
    <row r="127" spans="1:11" hidden="1" x14ac:dyDescent="0.25">
      <c r="A127" s="390" t="s">
        <v>302</v>
      </c>
      <c r="B127" s="390"/>
      <c r="C127" s="386">
        <f t="shared" si="5"/>
        <v>0</v>
      </c>
      <c r="D127" s="391">
        <v>0</v>
      </c>
      <c r="E127" s="391">
        <v>0</v>
      </c>
      <c r="F127" s="391">
        <v>0</v>
      </c>
      <c r="G127" s="391">
        <f t="array" ref="G127">SUM(IF('6. Class A Consumption Data'!L311:M311="B",'6. Class A Consumption Data'!L309:M309))</f>
        <v>0</v>
      </c>
      <c r="H127" s="391">
        <f t="array" ref="H127">SUM(IF('6. Class A Consumption Data'!N311:O311="B",'6. Class A Consumption Data'!N309:O309))</f>
        <v>0</v>
      </c>
      <c r="I127" s="392">
        <f t="shared" si="6"/>
        <v>0</v>
      </c>
      <c r="J127" s="393">
        <f t="shared" si="7"/>
        <v>0</v>
      </c>
      <c r="K127" s="389">
        <f t="shared" si="8"/>
        <v>0</v>
      </c>
    </row>
    <row r="128" spans="1:11" hidden="1" x14ac:dyDescent="0.25">
      <c r="A128" s="390" t="s">
        <v>303</v>
      </c>
      <c r="B128" s="390"/>
      <c r="C128" s="386">
        <f t="shared" si="5"/>
        <v>0</v>
      </c>
      <c r="D128" s="391">
        <v>0</v>
      </c>
      <c r="E128" s="391">
        <v>0</v>
      </c>
      <c r="F128" s="391">
        <v>0</v>
      </c>
      <c r="G128" s="391">
        <f t="array" ref="G128">SUM(IF('6. Class A Consumption Data'!L314:M314="B",'6. Class A Consumption Data'!L312:M312))</f>
        <v>0</v>
      </c>
      <c r="H128" s="391">
        <f t="array" ref="H128">SUM(IF('6. Class A Consumption Data'!N314:O314="B",'6. Class A Consumption Data'!N312:O312))</f>
        <v>0</v>
      </c>
      <c r="I128" s="392">
        <f t="shared" si="6"/>
        <v>0</v>
      </c>
      <c r="J128" s="393">
        <f t="shared" si="7"/>
        <v>0</v>
      </c>
      <c r="K128" s="389">
        <f t="shared" si="8"/>
        <v>0</v>
      </c>
    </row>
    <row r="129" spans="1:11" hidden="1" x14ac:dyDescent="0.25">
      <c r="A129" s="390" t="s">
        <v>304</v>
      </c>
      <c r="B129" s="390"/>
      <c r="C129" s="386">
        <f t="shared" si="5"/>
        <v>0</v>
      </c>
      <c r="D129" s="391">
        <v>0</v>
      </c>
      <c r="E129" s="391">
        <v>0</v>
      </c>
      <c r="F129" s="391">
        <v>0</v>
      </c>
      <c r="G129" s="391">
        <f t="array" ref="G129">SUM(IF('6. Class A Consumption Data'!L317:M317="B",'6. Class A Consumption Data'!L315:M315))</f>
        <v>0</v>
      </c>
      <c r="H129" s="391">
        <f t="array" ref="H129">SUM(IF('6. Class A Consumption Data'!N317:O317="B",'6. Class A Consumption Data'!N315:O315))</f>
        <v>0</v>
      </c>
      <c r="I129" s="392">
        <f t="shared" si="6"/>
        <v>0</v>
      </c>
      <c r="J129" s="393">
        <f t="shared" si="7"/>
        <v>0</v>
      </c>
      <c r="K129" s="389">
        <f t="shared" si="8"/>
        <v>0</v>
      </c>
    </row>
    <row r="130" spans="1:11" hidden="1" x14ac:dyDescent="0.25">
      <c r="A130" s="390" t="s">
        <v>305</v>
      </c>
      <c r="B130" s="390"/>
      <c r="C130" s="386">
        <f t="shared" ref="C130:C161" si="9">SUM(D130:F130)</f>
        <v>0</v>
      </c>
      <c r="D130" s="391">
        <v>0</v>
      </c>
      <c r="E130" s="391">
        <v>0</v>
      </c>
      <c r="F130" s="391">
        <v>0</v>
      </c>
      <c r="G130" s="391">
        <f t="array" ref="G130">SUM(IF('6. Class A Consumption Data'!L320:M320="B",'6. Class A Consumption Data'!L318:M318))</f>
        <v>0</v>
      </c>
      <c r="H130" s="391">
        <f t="array" ref="H130">SUM(IF('6. Class A Consumption Data'!N320:O320="B",'6. Class A Consumption Data'!N318:O318))</f>
        <v>0</v>
      </c>
      <c r="I130" s="392">
        <f t="shared" si="6"/>
        <v>0</v>
      </c>
      <c r="J130" s="393">
        <f t="shared" si="7"/>
        <v>0</v>
      </c>
      <c r="K130" s="389">
        <f t="shared" si="8"/>
        <v>0</v>
      </c>
    </row>
    <row r="131" spans="1:11" hidden="1" x14ac:dyDescent="0.25">
      <c r="A131" s="390" t="s">
        <v>306</v>
      </c>
      <c r="B131" s="390"/>
      <c r="C131" s="386">
        <f t="shared" si="9"/>
        <v>0</v>
      </c>
      <c r="D131" s="391">
        <v>0</v>
      </c>
      <c r="E131" s="391">
        <v>0</v>
      </c>
      <c r="F131" s="391">
        <v>0</v>
      </c>
      <c r="G131" s="391">
        <f t="array" ref="G131">SUM(IF('6. Class A Consumption Data'!L323:M323="B",'6. Class A Consumption Data'!L321:M321))</f>
        <v>0</v>
      </c>
      <c r="H131" s="391">
        <f t="array" ref="H131">SUM(IF('6. Class A Consumption Data'!N323:O323="B",'6. Class A Consumption Data'!N321:O321))</f>
        <v>0</v>
      </c>
      <c r="I131" s="392">
        <f t="shared" si="6"/>
        <v>0</v>
      </c>
      <c r="J131" s="393">
        <f t="shared" si="7"/>
        <v>0</v>
      </c>
      <c r="K131" s="389">
        <f t="shared" si="8"/>
        <v>0</v>
      </c>
    </row>
    <row r="132" spans="1:11" hidden="1" x14ac:dyDescent="0.25">
      <c r="A132" s="390" t="s">
        <v>307</v>
      </c>
      <c r="B132" s="390"/>
      <c r="C132" s="386">
        <f t="shared" si="9"/>
        <v>0</v>
      </c>
      <c r="D132" s="391">
        <v>0</v>
      </c>
      <c r="E132" s="391">
        <v>0</v>
      </c>
      <c r="F132" s="391">
        <v>0</v>
      </c>
      <c r="G132" s="391">
        <f t="array" ref="G132">SUM(IF('6. Class A Consumption Data'!L326:M326="B",'6. Class A Consumption Data'!L324:M324))</f>
        <v>0</v>
      </c>
      <c r="H132" s="391">
        <f t="array" ref="H132">SUM(IF('6. Class A Consumption Data'!N326:O326="B",'6. Class A Consumption Data'!N324:O324))</f>
        <v>0</v>
      </c>
      <c r="I132" s="392">
        <f t="shared" si="6"/>
        <v>0</v>
      </c>
      <c r="J132" s="393">
        <f t="shared" si="7"/>
        <v>0</v>
      </c>
      <c r="K132" s="389">
        <f t="shared" si="8"/>
        <v>0</v>
      </c>
    </row>
    <row r="133" spans="1:11" hidden="1" x14ac:dyDescent="0.25">
      <c r="A133" s="390" t="s">
        <v>308</v>
      </c>
      <c r="B133" s="390"/>
      <c r="C133" s="386">
        <f t="shared" si="9"/>
        <v>0</v>
      </c>
      <c r="D133" s="391">
        <v>0</v>
      </c>
      <c r="E133" s="391">
        <v>0</v>
      </c>
      <c r="F133" s="391">
        <v>0</v>
      </c>
      <c r="G133" s="391">
        <f t="array" ref="G133">SUM(IF('6. Class A Consumption Data'!L329:M329="B",'6. Class A Consumption Data'!L327:M327))</f>
        <v>0</v>
      </c>
      <c r="H133" s="391">
        <f t="array" ref="H133">SUM(IF('6. Class A Consumption Data'!N329:O329="B",'6. Class A Consumption Data'!N327:O327))</f>
        <v>0</v>
      </c>
      <c r="I133" s="392">
        <f t="shared" si="6"/>
        <v>0</v>
      </c>
      <c r="J133" s="393">
        <f t="shared" si="7"/>
        <v>0</v>
      </c>
      <c r="K133" s="389">
        <f t="shared" si="8"/>
        <v>0</v>
      </c>
    </row>
    <row r="134" spans="1:11" hidden="1" x14ac:dyDescent="0.25">
      <c r="A134" s="390" t="s">
        <v>309</v>
      </c>
      <c r="B134" s="390"/>
      <c r="C134" s="386">
        <f t="shared" si="9"/>
        <v>0</v>
      </c>
      <c r="D134" s="391">
        <v>0</v>
      </c>
      <c r="E134" s="391">
        <v>0</v>
      </c>
      <c r="F134" s="391">
        <v>0</v>
      </c>
      <c r="G134" s="391">
        <f t="array" ref="G134">SUM(IF('6. Class A Consumption Data'!L332:M332="B",'6. Class A Consumption Data'!L330:M330))</f>
        <v>0</v>
      </c>
      <c r="H134" s="391">
        <f t="array" ref="H134">SUM(IF('6. Class A Consumption Data'!N332:O332="B",'6. Class A Consumption Data'!N330:O330))</f>
        <v>0</v>
      </c>
      <c r="I134" s="392">
        <f t="shared" si="6"/>
        <v>0</v>
      </c>
      <c r="J134" s="393">
        <f t="shared" si="7"/>
        <v>0</v>
      </c>
      <c r="K134" s="389">
        <f t="shared" si="8"/>
        <v>0</v>
      </c>
    </row>
    <row r="135" spans="1:11" hidden="1" x14ac:dyDescent="0.25">
      <c r="A135" s="390" t="s">
        <v>310</v>
      </c>
      <c r="B135" s="390"/>
      <c r="C135" s="386">
        <f t="shared" si="9"/>
        <v>0</v>
      </c>
      <c r="D135" s="391">
        <v>0</v>
      </c>
      <c r="E135" s="391">
        <v>0</v>
      </c>
      <c r="F135" s="391">
        <v>0</v>
      </c>
      <c r="G135" s="391">
        <f t="array" ref="G135">SUM(IF('6. Class A Consumption Data'!L335:M335="B",'6. Class A Consumption Data'!L333:M333))</f>
        <v>0</v>
      </c>
      <c r="H135" s="391">
        <f t="array" ref="H135">SUM(IF('6. Class A Consumption Data'!N335:O335="B",'6. Class A Consumption Data'!N333:O333))</f>
        <v>0</v>
      </c>
      <c r="I135" s="392">
        <f t="shared" si="6"/>
        <v>0</v>
      </c>
      <c r="J135" s="393">
        <f t="shared" si="7"/>
        <v>0</v>
      </c>
      <c r="K135" s="389">
        <f t="shared" si="8"/>
        <v>0</v>
      </c>
    </row>
    <row r="136" spans="1:11" hidden="1" x14ac:dyDescent="0.25">
      <c r="A136" s="390" t="s">
        <v>311</v>
      </c>
      <c r="B136" s="390"/>
      <c r="C136" s="386">
        <f t="shared" si="9"/>
        <v>0</v>
      </c>
      <c r="D136" s="391">
        <v>0</v>
      </c>
      <c r="E136" s="391">
        <v>0</v>
      </c>
      <c r="F136" s="391">
        <v>0</v>
      </c>
      <c r="G136" s="391">
        <f t="array" ref="G136">SUM(IF('6. Class A Consumption Data'!L338:M338="B",'6. Class A Consumption Data'!L336:M336))</f>
        <v>0</v>
      </c>
      <c r="H136" s="391">
        <f t="array" ref="H136">SUM(IF('6. Class A Consumption Data'!N338:O338="B",'6. Class A Consumption Data'!N336:O336))</f>
        <v>0</v>
      </c>
      <c r="I136" s="392">
        <f t="shared" si="6"/>
        <v>0</v>
      </c>
      <c r="J136" s="393">
        <f t="shared" si="7"/>
        <v>0</v>
      </c>
      <c r="K136" s="389">
        <f t="shared" si="8"/>
        <v>0</v>
      </c>
    </row>
    <row r="137" spans="1:11" hidden="1" x14ac:dyDescent="0.25">
      <c r="A137" s="390" t="s">
        <v>312</v>
      </c>
      <c r="B137" s="390"/>
      <c r="C137" s="386">
        <f t="shared" si="9"/>
        <v>0</v>
      </c>
      <c r="D137" s="391">
        <v>0</v>
      </c>
      <c r="E137" s="391">
        <v>0</v>
      </c>
      <c r="F137" s="391">
        <v>0</v>
      </c>
      <c r="G137" s="391">
        <f t="array" ref="G137">SUM(IF('6. Class A Consumption Data'!L341:M341="B",'6. Class A Consumption Data'!L339:M339))</f>
        <v>0</v>
      </c>
      <c r="H137" s="391">
        <f t="array" ref="H137">SUM(IF('6. Class A Consumption Data'!N341:O341="B",'6. Class A Consumption Data'!N339:O339))</f>
        <v>0</v>
      </c>
      <c r="I137" s="392">
        <f t="shared" si="6"/>
        <v>0</v>
      </c>
      <c r="J137" s="393">
        <f t="shared" si="7"/>
        <v>0</v>
      </c>
      <c r="K137" s="389">
        <f t="shared" si="8"/>
        <v>0</v>
      </c>
    </row>
    <row r="138" spans="1:11" hidden="1" x14ac:dyDescent="0.25">
      <c r="A138" s="390" t="s">
        <v>313</v>
      </c>
      <c r="B138" s="390"/>
      <c r="C138" s="386">
        <f t="shared" si="9"/>
        <v>0</v>
      </c>
      <c r="D138" s="391">
        <v>0</v>
      </c>
      <c r="E138" s="391">
        <v>0</v>
      </c>
      <c r="F138" s="391">
        <v>0</v>
      </c>
      <c r="G138" s="391">
        <f t="array" ref="G138">SUM(IF('6. Class A Consumption Data'!L344:M344="B",'6. Class A Consumption Data'!L342:M342))</f>
        <v>0</v>
      </c>
      <c r="H138" s="391">
        <f t="array" ref="H138">SUM(IF('6. Class A Consumption Data'!N344:O344="B",'6. Class A Consumption Data'!N342:O342))</f>
        <v>0</v>
      </c>
      <c r="I138" s="392">
        <f t="shared" si="6"/>
        <v>0</v>
      </c>
      <c r="J138" s="393">
        <f t="shared" si="7"/>
        <v>0</v>
      </c>
      <c r="K138" s="389">
        <f t="shared" si="8"/>
        <v>0</v>
      </c>
    </row>
    <row r="139" spans="1:11" hidden="1" x14ac:dyDescent="0.25">
      <c r="A139" s="390" t="s">
        <v>314</v>
      </c>
      <c r="B139" s="390"/>
      <c r="C139" s="386">
        <f t="shared" si="9"/>
        <v>0</v>
      </c>
      <c r="D139" s="391">
        <v>0</v>
      </c>
      <c r="E139" s="391">
        <v>0</v>
      </c>
      <c r="F139" s="391">
        <v>0</v>
      </c>
      <c r="G139" s="391">
        <f t="array" ref="G139">SUM(IF('6. Class A Consumption Data'!L347:M347="B",'6. Class A Consumption Data'!L345:M345))</f>
        <v>0</v>
      </c>
      <c r="H139" s="391">
        <f t="array" ref="H139">SUM(IF('6. Class A Consumption Data'!N347:O347="B",'6. Class A Consumption Data'!N345:O345))</f>
        <v>0</v>
      </c>
      <c r="I139" s="392">
        <f t="shared" si="6"/>
        <v>0</v>
      </c>
      <c r="J139" s="393">
        <f t="shared" si="7"/>
        <v>0</v>
      </c>
      <c r="K139" s="389">
        <f t="shared" si="8"/>
        <v>0</v>
      </c>
    </row>
    <row r="140" spans="1:11" hidden="1" x14ac:dyDescent="0.25">
      <c r="A140" s="390" t="s">
        <v>315</v>
      </c>
      <c r="B140" s="390"/>
      <c r="C140" s="386">
        <f t="shared" si="9"/>
        <v>0</v>
      </c>
      <c r="D140" s="391">
        <v>0</v>
      </c>
      <c r="E140" s="391">
        <v>0</v>
      </c>
      <c r="F140" s="391">
        <v>0</v>
      </c>
      <c r="G140" s="391">
        <f t="array" ref="G140">SUM(IF('6. Class A Consumption Data'!L350:M350="B",'6. Class A Consumption Data'!L348:M348))</f>
        <v>0</v>
      </c>
      <c r="H140" s="391">
        <f t="array" ref="H140">SUM(IF('6. Class A Consumption Data'!N350:O350="B",'6. Class A Consumption Data'!N348:O348))</f>
        <v>0</v>
      </c>
      <c r="I140" s="392">
        <f t="shared" si="6"/>
        <v>0</v>
      </c>
      <c r="J140" s="393">
        <f t="shared" si="7"/>
        <v>0</v>
      </c>
      <c r="K140" s="389">
        <f t="shared" si="8"/>
        <v>0</v>
      </c>
    </row>
    <row r="141" spans="1:11" hidden="1" x14ac:dyDescent="0.25">
      <c r="A141" s="390" t="s">
        <v>316</v>
      </c>
      <c r="B141" s="390"/>
      <c r="C141" s="386">
        <f t="shared" si="9"/>
        <v>0</v>
      </c>
      <c r="D141" s="391">
        <v>0</v>
      </c>
      <c r="E141" s="391">
        <v>0</v>
      </c>
      <c r="F141" s="391">
        <v>0</v>
      </c>
      <c r="G141" s="391">
        <f t="array" ref="G141">SUM(IF('6. Class A Consumption Data'!L353:M353="B",'6. Class A Consumption Data'!L351:M351))</f>
        <v>0</v>
      </c>
      <c r="H141" s="391">
        <f t="array" ref="H141">SUM(IF('6. Class A Consumption Data'!N353:O353="B",'6. Class A Consumption Data'!N351:O351))</f>
        <v>0</v>
      </c>
      <c r="I141" s="392">
        <f t="shared" si="6"/>
        <v>0</v>
      </c>
      <c r="J141" s="393">
        <f t="shared" si="7"/>
        <v>0</v>
      </c>
      <c r="K141" s="389">
        <f t="shared" si="8"/>
        <v>0</v>
      </c>
    </row>
    <row r="142" spans="1:11" hidden="1" x14ac:dyDescent="0.25">
      <c r="A142" s="390" t="s">
        <v>317</v>
      </c>
      <c r="B142" s="390"/>
      <c r="C142" s="386">
        <f t="shared" si="9"/>
        <v>0</v>
      </c>
      <c r="D142" s="391">
        <v>0</v>
      </c>
      <c r="E142" s="391">
        <v>0</v>
      </c>
      <c r="F142" s="391">
        <v>0</v>
      </c>
      <c r="G142" s="391">
        <f t="array" ref="G142">SUM(IF('6. Class A Consumption Data'!L356:M356="B",'6. Class A Consumption Data'!L354:M354))</f>
        <v>0</v>
      </c>
      <c r="H142" s="391">
        <f t="array" ref="H142">SUM(IF('6. Class A Consumption Data'!N356:O356="B",'6. Class A Consumption Data'!N354:O354))</f>
        <v>0</v>
      </c>
      <c r="I142" s="392">
        <f t="shared" si="6"/>
        <v>0</v>
      </c>
      <c r="J142" s="393">
        <f t="shared" si="7"/>
        <v>0</v>
      </c>
      <c r="K142" s="389">
        <f t="shared" si="8"/>
        <v>0</v>
      </c>
    </row>
    <row r="143" spans="1:11" hidden="1" x14ac:dyDescent="0.25">
      <c r="A143" s="390" t="s">
        <v>318</v>
      </c>
      <c r="B143" s="390"/>
      <c r="C143" s="386">
        <f t="shared" si="9"/>
        <v>0</v>
      </c>
      <c r="D143" s="391">
        <v>0</v>
      </c>
      <c r="E143" s="391">
        <v>0</v>
      </c>
      <c r="F143" s="391">
        <v>0</v>
      </c>
      <c r="G143" s="391">
        <f t="array" ref="G143">SUM(IF('6. Class A Consumption Data'!L359:M359="B",'6. Class A Consumption Data'!L357:M357))</f>
        <v>0</v>
      </c>
      <c r="H143" s="391">
        <f t="array" ref="H143">SUM(IF('6. Class A Consumption Data'!N359:O359="B",'6. Class A Consumption Data'!N357:O357))</f>
        <v>0</v>
      </c>
      <c r="I143" s="392">
        <f t="shared" si="6"/>
        <v>0</v>
      </c>
      <c r="J143" s="393">
        <f t="shared" si="7"/>
        <v>0</v>
      </c>
      <c r="K143" s="389">
        <f t="shared" si="8"/>
        <v>0</v>
      </c>
    </row>
    <row r="144" spans="1:11" hidden="1" x14ac:dyDescent="0.25">
      <c r="A144" s="390" t="s">
        <v>319</v>
      </c>
      <c r="B144" s="390"/>
      <c r="C144" s="386">
        <f t="shared" si="9"/>
        <v>0</v>
      </c>
      <c r="D144" s="391">
        <v>0</v>
      </c>
      <c r="E144" s="391">
        <v>0</v>
      </c>
      <c r="F144" s="391">
        <v>0</v>
      </c>
      <c r="G144" s="391">
        <f t="array" ref="G144">SUM(IF('6. Class A Consumption Data'!L362:M362="B",'6. Class A Consumption Data'!L360:M360))</f>
        <v>0</v>
      </c>
      <c r="H144" s="391">
        <f t="array" ref="H144">SUM(IF('6. Class A Consumption Data'!N362:O362="B",'6. Class A Consumption Data'!N360:O360))</f>
        <v>0</v>
      </c>
      <c r="I144" s="392">
        <f t="shared" si="6"/>
        <v>0</v>
      </c>
      <c r="J144" s="393">
        <f t="shared" si="7"/>
        <v>0</v>
      </c>
      <c r="K144" s="389">
        <f t="shared" si="8"/>
        <v>0</v>
      </c>
    </row>
    <row r="145" spans="1:11" hidden="1" x14ac:dyDescent="0.25">
      <c r="A145" s="390" t="s">
        <v>320</v>
      </c>
      <c r="B145" s="390"/>
      <c r="C145" s="386">
        <f t="shared" si="9"/>
        <v>0</v>
      </c>
      <c r="D145" s="391">
        <v>0</v>
      </c>
      <c r="E145" s="391">
        <v>0</v>
      </c>
      <c r="F145" s="391">
        <v>0</v>
      </c>
      <c r="G145" s="391">
        <f t="array" ref="G145">SUM(IF('6. Class A Consumption Data'!L365:M365="B",'6. Class A Consumption Data'!L363:M363))</f>
        <v>0</v>
      </c>
      <c r="H145" s="391">
        <f t="array" ref="H145">SUM(IF('6. Class A Consumption Data'!N365:O365="B",'6. Class A Consumption Data'!N363:O363))</f>
        <v>0</v>
      </c>
      <c r="I145" s="392">
        <f t="shared" si="6"/>
        <v>0</v>
      </c>
      <c r="J145" s="393">
        <f t="shared" si="7"/>
        <v>0</v>
      </c>
      <c r="K145" s="389">
        <f t="shared" si="8"/>
        <v>0</v>
      </c>
    </row>
    <row r="146" spans="1:11" hidden="1" x14ac:dyDescent="0.25">
      <c r="A146" s="390" t="s">
        <v>321</v>
      </c>
      <c r="B146" s="390"/>
      <c r="C146" s="386">
        <f t="shared" si="9"/>
        <v>0</v>
      </c>
      <c r="D146" s="391">
        <v>0</v>
      </c>
      <c r="E146" s="391">
        <v>0</v>
      </c>
      <c r="F146" s="391">
        <v>0</v>
      </c>
      <c r="G146" s="391">
        <f t="array" ref="G146">SUM(IF('6. Class A Consumption Data'!L368:M368="B",'6. Class A Consumption Data'!L366:M366))</f>
        <v>0</v>
      </c>
      <c r="H146" s="391">
        <f t="array" ref="H146">SUM(IF('6. Class A Consumption Data'!N368:O368="B",'6. Class A Consumption Data'!N366:O366))</f>
        <v>0</v>
      </c>
      <c r="I146" s="392">
        <f t="shared" si="6"/>
        <v>0</v>
      </c>
      <c r="J146" s="393">
        <f t="shared" si="7"/>
        <v>0</v>
      </c>
      <c r="K146" s="389">
        <f t="shared" si="8"/>
        <v>0</v>
      </c>
    </row>
    <row r="147" spans="1:11" hidden="1" x14ac:dyDescent="0.25">
      <c r="A147" s="390" t="s">
        <v>322</v>
      </c>
      <c r="B147" s="390"/>
      <c r="C147" s="386">
        <f t="shared" si="9"/>
        <v>0</v>
      </c>
      <c r="D147" s="391">
        <v>0</v>
      </c>
      <c r="E147" s="391">
        <v>0</v>
      </c>
      <c r="F147" s="391">
        <v>0</v>
      </c>
      <c r="G147" s="391">
        <f t="array" ref="G147">SUM(IF('6. Class A Consumption Data'!L371:M371="B",'6. Class A Consumption Data'!L369:M369))</f>
        <v>0</v>
      </c>
      <c r="H147" s="391">
        <f t="array" ref="H147">SUM(IF('6. Class A Consumption Data'!N371:O371="B",'6. Class A Consumption Data'!N369:O369))</f>
        <v>0</v>
      </c>
      <c r="I147" s="392">
        <f t="shared" si="6"/>
        <v>0</v>
      </c>
      <c r="J147" s="393">
        <f t="shared" si="7"/>
        <v>0</v>
      </c>
      <c r="K147" s="389">
        <f t="shared" si="8"/>
        <v>0</v>
      </c>
    </row>
    <row r="148" spans="1:11" hidden="1" x14ac:dyDescent="0.25">
      <c r="A148" s="390" t="s">
        <v>323</v>
      </c>
      <c r="B148" s="390"/>
      <c r="C148" s="386">
        <f t="shared" si="9"/>
        <v>0</v>
      </c>
      <c r="D148" s="391">
        <v>0</v>
      </c>
      <c r="E148" s="391">
        <v>0</v>
      </c>
      <c r="F148" s="391">
        <v>0</v>
      </c>
      <c r="G148" s="391">
        <f t="array" ref="G148">SUM(IF('6. Class A Consumption Data'!L374:M374="B",'6. Class A Consumption Data'!L372:M372))</f>
        <v>0</v>
      </c>
      <c r="H148" s="391">
        <f t="array" ref="H148">SUM(IF('6. Class A Consumption Data'!N374:O374="B",'6. Class A Consumption Data'!N372:O372))</f>
        <v>0</v>
      </c>
      <c r="I148" s="392">
        <f t="shared" si="6"/>
        <v>0</v>
      </c>
      <c r="J148" s="393">
        <f t="shared" si="7"/>
        <v>0</v>
      </c>
      <c r="K148" s="389">
        <f t="shared" si="8"/>
        <v>0</v>
      </c>
    </row>
    <row r="149" spans="1:11" hidden="1" x14ac:dyDescent="0.25">
      <c r="A149" s="390" t="s">
        <v>324</v>
      </c>
      <c r="B149" s="390"/>
      <c r="C149" s="386">
        <f t="shared" si="9"/>
        <v>0</v>
      </c>
      <c r="D149" s="391">
        <v>0</v>
      </c>
      <c r="E149" s="391">
        <v>0</v>
      </c>
      <c r="F149" s="391">
        <v>0</v>
      </c>
      <c r="G149" s="391">
        <f t="array" ref="G149">SUM(IF('6. Class A Consumption Data'!L377:M377="B",'6. Class A Consumption Data'!L375:M375))</f>
        <v>0</v>
      </c>
      <c r="H149" s="391">
        <f t="array" ref="H149">SUM(IF('6. Class A Consumption Data'!N377:O377="B",'6. Class A Consumption Data'!N375:O375))</f>
        <v>0</v>
      </c>
      <c r="I149" s="392">
        <f t="shared" si="6"/>
        <v>0</v>
      </c>
      <c r="J149" s="393">
        <f t="shared" si="7"/>
        <v>0</v>
      </c>
      <c r="K149" s="389">
        <f t="shared" si="8"/>
        <v>0</v>
      </c>
    </row>
    <row r="150" spans="1:11" hidden="1" x14ac:dyDescent="0.25">
      <c r="A150" s="390" t="s">
        <v>325</v>
      </c>
      <c r="B150" s="390"/>
      <c r="C150" s="386">
        <f t="shared" si="9"/>
        <v>0</v>
      </c>
      <c r="D150" s="391">
        <v>0</v>
      </c>
      <c r="E150" s="391">
        <v>0</v>
      </c>
      <c r="F150" s="391">
        <v>0</v>
      </c>
      <c r="G150" s="391">
        <f t="array" ref="G150">SUM(IF('6. Class A Consumption Data'!L380:M380="B",'6. Class A Consumption Data'!L378:M378))</f>
        <v>0</v>
      </c>
      <c r="H150" s="391">
        <f t="array" ref="H150">SUM(IF('6. Class A Consumption Data'!N380:O380="B",'6. Class A Consumption Data'!N378:O378))</f>
        <v>0</v>
      </c>
      <c r="I150" s="392">
        <f t="shared" si="6"/>
        <v>0</v>
      </c>
      <c r="J150" s="393">
        <f t="shared" si="7"/>
        <v>0</v>
      </c>
      <c r="K150" s="389">
        <f t="shared" si="8"/>
        <v>0</v>
      </c>
    </row>
    <row r="151" spans="1:11" hidden="1" x14ac:dyDescent="0.25">
      <c r="A151" s="390" t="s">
        <v>326</v>
      </c>
      <c r="B151" s="390"/>
      <c r="C151" s="386">
        <f t="shared" si="9"/>
        <v>0</v>
      </c>
      <c r="D151" s="391">
        <v>0</v>
      </c>
      <c r="E151" s="391">
        <v>0</v>
      </c>
      <c r="F151" s="391">
        <v>0</v>
      </c>
      <c r="G151" s="391">
        <f t="array" ref="G151">SUM(IF('6. Class A Consumption Data'!L383:M383="B",'6. Class A Consumption Data'!L381:M381))</f>
        <v>0</v>
      </c>
      <c r="H151" s="391">
        <f t="array" ref="H151">SUM(IF('6. Class A Consumption Data'!N383:O383="B",'6. Class A Consumption Data'!N381:O381))</f>
        <v>0</v>
      </c>
      <c r="I151" s="392">
        <f t="shared" si="6"/>
        <v>0</v>
      </c>
      <c r="J151" s="393">
        <f t="shared" si="7"/>
        <v>0</v>
      </c>
      <c r="K151" s="389">
        <f t="shared" si="8"/>
        <v>0</v>
      </c>
    </row>
    <row r="152" spans="1:11" hidden="1" x14ac:dyDescent="0.25">
      <c r="A152" s="390" t="s">
        <v>327</v>
      </c>
      <c r="B152" s="390"/>
      <c r="C152" s="386">
        <f t="shared" si="9"/>
        <v>0</v>
      </c>
      <c r="D152" s="391">
        <v>0</v>
      </c>
      <c r="E152" s="391">
        <v>0</v>
      </c>
      <c r="F152" s="391">
        <v>0</v>
      </c>
      <c r="G152" s="391">
        <f t="array" ref="G152">SUM(IF('6. Class A Consumption Data'!L386:M386="B",'6. Class A Consumption Data'!L384:M384))</f>
        <v>0</v>
      </c>
      <c r="H152" s="391">
        <f t="array" ref="H152">SUM(IF('6. Class A Consumption Data'!N386:O386="B",'6. Class A Consumption Data'!N384:O384))</f>
        <v>0</v>
      </c>
      <c r="I152" s="392">
        <f t="shared" si="6"/>
        <v>0</v>
      </c>
      <c r="J152" s="393">
        <f t="shared" si="7"/>
        <v>0</v>
      </c>
      <c r="K152" s="389">
        <f t="shared" si="8"/>
        <v>0</v>
      </c>
    </row>
    <row r="153" spans="1:11" hidden="1" x14ac:dyDescent="0.25">
      <c r="A153" s="390" t="s">
        <v>328</v>
      </c>
      <c r="B153" s="390"/>
      <c r="C153" s="386">
        <f t="shared" si="9"/>
        <v>0</v>
      </c>
      <c r="D153" s="391">
        <v>0</v>
      </c>
      <c r="E153" s="391">
        <v>0</v>
      </c>
      <c r="F153" s="391">
        <v>0</v>
      </c>
      <c r="G153" s="391">
        <f t="array" ref="G153">SUM(IF('6. Class A Consumption Data'!L389:M389="B",'6. Class A Consumption Data'!L387:M387))</f>
        <v>0</v>
      </c>
      <c r="H153" s="391">
        <f t="array" ref="H153">SUM(IF('6. Class A Consumption Data'!N389:O389="B",'6. Class A Consumption Data'!N387:O387))</f>
        <v>0</v>
      </c>
      <c r="I153" s="392">
        <f t="shared" si="6"/>
        <v>0</v>
      </c>
      <c r="J153" s="393">
        <f t="shared" si="7"/>
        <v>0</v>
      </c>
      <c r="K153" s="389">
        <f t="shared" si="8"/>
        <v>0</v>
      </c>
    </row>
    <row r="154" spans="1:11" hidden="1" x14ac:dyDescent="0.25">
      <c r="A154" s="390" t="s">
        <v>329</v>
      </c>
      <c r="B154" s="390"/>
      <c r="C154" s="386">
        <f t="shared" si="9"/>
        <v>0</v>
      </c>
      <c r="D154" s="391">
        <v>0</v>
      </c>
      <c r="E154" s="391">
        <v>0</v>
      </c>
      <c r="F154" s="391">
        <v>0</v>
      </c>
      <c r="G154" s="391">
        <f t="array" ref="G154">SUM(IF('6. Class A Consumption Data'!L392:M392="B",'6. Class A Consumption Data'!L390:M390))</f>
        <v>0</v>
      </c>
      <c r="H154" s="391">
        <f t="array" ref="H154">SUM(IF('6. Class A Consumption Data'!N392:O392="B",'6. Class A Consumption Data'!N390:O390))</f>
        <v>0</v>
      </c>
      <c r="I154" s="392">
        <f t="shared" si="6"/>
        <v>0</v>
      </c>
      <c r="J154" s="393">
        <f t="shared" si="7"/>
        <v>0</v>
      </c>
      <c r="K154" s="389">
        <f t="shared" si="8"/>
        <v>0</v>
      </c>
    </row>
    <row r="155" spans="1:11" hidden="1" x14ac:dyDescent="0.25">
      <c r="A155" s="390" t="s">
        <v>330</v>
      </c>
      <c r="B155" s="390"/>
      <c r="C155" s="386">
        <f t="shared" si="9"/>
        <v>0</v>
      </c>
      <c r="D155" s="391">
        <v>0</v>
      </c>
      <c r="E155" s="391">
        <v>0</v>
      </c>
      <c r="F155" s="391">
        <v>0</v>
      </c>
      <c r="G155" s="391">
        <f t="array" ref="G155">SUM(IF('6. Class A Consumption Data'!L395:M395="B",'6. Class A Consumption Data'!L393:M393))</f>
        <v>0</v>
      </c>
      <c r="H155" s="391">
        <f t="array" ref="H155">SUM(IF('6. Class A Consumption Data'!N395:O395="B",'6. Class A Consumption Data'!N393:O393))</f>
        <v>0</v>
      </c>
      <c r="I155" s="392">
        <f t="shared" si="6"/>
        <v>0</v>
      </c>
      <c r="J155" s="393">
        <f t="shared" si="7"/>
        <v>0</v>
      </c>
      <c r="K155" s="389">
        <f t="shared" si="8"/>
        <v>0</v>
      </c>
    </row>
    <row r="156" spans="1:11" hidden="1" x14ac:dyDescent="0.25">
      <c r="A156" s="390" t="s">
        <v>331</v>
      </c>
      <c r="B156" s="390"/>
      <c r="C156" s="386">
        <f t="shared" si="9"/>
        <v>0</v>
      </c>
      <c r="D156" s="391">
        <v>0</v>
      </c>
      <c r="E156" s="391">
        <v>0</v>
      </c>
      <c r="F156" s="391">
        <v>0</v>
      </c>
      <c r="G156" s="391">
        <f t="array" ref="G156">SUM(IF('6. Class A Consumption Data'!L398:M398="B",'6. Class A Consumption Data'!L396:M396))</f>
        <v>0</v>
      </c>
      <c r="H156" s="391">
        <f t="array" ref="H156">SUM(IF('6. Class A Consumption Data'!N398:O398="B",'6. Class A Consumption Data'!N396:O396))</f>
        <v>0</v>
      </c>
      <c r="I156" s="392">
        <f t="shared" si="6"/>
        <v>0</v>
      </c>
      <c r="J156" s="393">
        <f t="shared" si="7"/>
        <v>0</v>
      </c>
      <c r="K156" s="389">
        <f t="shared" si="8"/>
        <v>0</v>
      </c>
    </row>
    <row r="157" spans="1:11" hidden="1" x14ac:dyDescent="0.25">
      <c r="A157" s="390" t="s">
        <v>332</v>
      </c>
      <c r="B157" s="390"/>
      <c r="C157" s="386">
        <f t="shared" si="9"/>
        <v>0</v>
      </c>
      <c r="D157" s="391">
        <v>0</v>
      </c>
      <c r="E157" s="391">
        <v>0</v>
      </c>
      <c r="F157" s="391">
        <v>0</v>
      </c>
      <c r="G157" s="391">
        <f t="array" ref="G157">SUM(IF('6. Class A Consumption Data'!L401:M401="B",'6. Class A Consumption Data'!L399:M399))</f>
        <v>0</v>
      </c>
      <c r="H157" s="391">
        <f t="array" ref="H157">SUM(IF('6. Class A Consumption Data'!N401:O401="B",'6. Class A Consumption Data'!N399:O399))</f>
        <v>0</v>
      </c>
      <c r="I157" s="392">
        <f t="shared" si="6"/>
        <v>0</v>
      </c>
      <c r="J157" s="393">
        <f t="shared" si="7"/>
        <v>0</v>
      </c>
      <c r="K157" s="389">
        <f t="shared" si="8"/>
        <v>0</v>
      </c>
    </row>
    <row r="158" spans="1:11" hidden="1" x14ac:dyDescent="0.25">
      <c r="A158" s="390" t="s">
        <v>333</v>
      </c>
      <c r="B158" s="390"/>
      <c r="C158" s="386">
        <f t="shared" si="9"/>
        <v>0</v>
      </c>
      <c r="D158" s="391">
        <v>0</v>
      </c>
      <c r="E158" s="391">
        <v>0</v>
      </c>
      <c r="F158" s="391">
        <v>0</v>
      </c>
      <c r="G158" s="391">
        <f t="array" ref="G158">SUM(IF('6. Class A Consumption Data'!L404:M404="B",'6. Class A Consumption Data'!L402:M402))</f>
        <v>0</v>
      </c>
      <c r="H158" s="391">
        <f t="array" ref="H158">SUM(IF('6. Class A Consumption Data'!N404:O404="B",'6. Class A Consumption Data'!N402:O402))</f>
        <v>0</v>
      </c>
      <c r="I158" s="392">
        <f t="shared" si="6"/>
        <v>0</v>
      </c>
      <c r="J158" s="393">
        <f t="shared" si="7"/>
        <v>0</v>
      </c>
      <c r="K158" s="389">
        <f t="shared" si="8"/>
        <v>0</v>
      </c>
    </row>
    <row r="159" spans="1:11" hidden="1" x14ac:dyDescent="0.25">
      <c r="A159" s="390" t="s">
        <v>334</v>
      </c>
      <c r="B159" s="390"/>
      <c r="C159" s="386">
        <f t="shared" si="9"/>
        <v>0</v>
      </c>
      <c r="D159" s="391">
        <v>0</v>
      </c>
      <c r="E159" s="391">
        <v>0</v>
      </c>
      <c r="F159" s="391">
        <v>0</v>
      </c>
      <c r="G159" s="391">
        <f t="array" ref="G159">SUM(IF('6. Class A Consumption Data'!L407:M407="B",'6. Class A Consumption Data'!L405:M405))</f>
        <v>0</v>
      </c>
      <c r="H159" s="391">
        <f t="array" ref="H159">SUM(IF('6. Class A Consumption Data'!N407:O407="B",'6. Class A Consumption Data'!N405:O405))</f>
        <v>0</v>
      </c>
      <c r="I159" s="392">
        <f t="shared" si="6"/>
        <v>0</v>
      </c>
      <c r="J159" s="393">
        <f t="shared" si="7"/>
        <v>0</v>
      </c>
      <c r="K159" s="389">
        <f t="shared" si="8"/>
        <v>0</v>
      </c>
    </row>
    <row r="160" spans="1:11" hidden="1" x14ac:dyDescent="0.25">
      <c r="A160" s="390" t="s">
        <v>335</v>
      </c>
      <c r="B160" s="390"/>
      <c r="C160" s="386">
        <f t="shared" si="9"/>
        <v>0</v>
      </c>
      <c r="D160" s="391">
        <v>0</v>
      </c>
      <c r="E160" s="391">
        <v>0</v>
      </c>
      <c r="F160" s="391">
        <v>0</v>
      </c>
      <c r="G160" s="391">
        <f t="array" ref="G160">SUM(IF('6. Class A Consumption Data'!L410:M410="B",'6. Class A Consumption Data'!L408:M408))</f>
        <v>0</v>
      </c>
      <c r="H160" s="391">
        <f t="array" ref="H160">SUM(IF('6. Class A Consumption Data'!N410:O410="B",'6. Class A Consumption Data'!N408:O408))</f>
        <v>0</v>
      </c>
      <c r="I160" s="392">
        <f t="shared" si="6"/>
        <v>0</v>
      </c>
      <c r="J160" s="393">
        <f t="shared" si="7"/>
        <v>0</v>
      </c>
      <c r="K160" s="389">
        <f t="shared" si="8"/>
        <v>0</v>
      </c>
    </row>
    <row r="161" spans="1:11" hidden="1" x14ac:dyDescent="0.25">
      <c r="A161" s="390" t="s">
        <v>336</v>
      </c>
      <c r="B161" s="390"/>
      <c r="C161" s="386">
        <f t="shared" si="9"/>
        <v>0</v>
      </c>
      <c r="D161" s="391">
        <v>0</v>
      </c>
      <c r="E161" s="391">
        <v>0</v>
      </c>
      <c r="F161" s="391">
        <v>0</v>
      </c>
      <c r="G161" s="391">
        <f t="array" ref="G161">SUM(IF('6. Class A Consumption Data'!L413:M413="B",'6. Class A Consumption Data'!L411:M411))</f>
        <v>0</v>
      </c>
      <c r="H161" s="391">
        <f t="array" ref="H161">SUM(IF('6. Class A Consumption Data'!N413:O413="B",'6. Class A Consumption Data'!N411:O411))</f>
        <v>0</v>
      </c>
      <c r="I161" s="392">
        <f t="shared" si="6"/>
        <v>0</v>
      </c>
      <c r="J161" s="393">
        <f t="shared" si="7"/>
        <v>0</v>
      </c>
      <c r="K161" s="389">
        <f t="shared" si="8"/>
        <v>0</v>
      </c>
    </row>
    <row r="162" spans="1:11" hidden="1" x14ac:dyDescent="0.25">
      <c r="A162" s="390" t="s">
        <v>337</v>
      </c>
      <c r="B162" s="390"/>
      <c r="C162" s="386">
        <f t="shared" ref="C162:C183" si="10">SUM(D162:F162)</f>
        <v>0</v>
      </c>
      <c r="D162" s="391">
        <v>0</v>
      </c>
      <c r="E162" s="391">
        <v>0</v>
      </c>
      <c r="F162" s="391">
        <v>0</v>
      </c>
      <c r="G162" s="391">
        <f t="array" ref="G162">SUM(IF('6. Class A Consumption Data'!L416:M416="B",'6. Class A Consumption Data'!L414:M414))</f>
        <v>0</v>
      </c>
      <c r="H162" s="391">
        <f t="array" ref="H162">SUM(IF('6. Class A Consumption Data'!N416:O416="B",'6. Class A Consumption Data'!N414:O414))</f>
        <v>0</v>
      </c>
      <c r="I162" s="392">
        <f t="shared" si="6"/>
        <v>0</v>
      </c>
      <c r="J162" s="393">
        <f t="shared" si="7"/>
        <v>0</v>
      </c>
      <c r="K162" s="389">
        <f t="shared" si="8"/>
        <v>0</v>
      </c>
    </row>
    <row r="163" spans="1:11" hidden="1" x14ac:dyDescent="0.25">
      <c r="A163" s="390" t="s">
        <v>338</v>
      </c>
      <c r="B163" s="390"/>
      <c r="C163" s="386">
        <f t="shared" si="10"/>
        <v>0</v>
      </c>
      <c r="D163" s="391">
        <v>0</v>
      </c>
      <c r="E163" s="391">
        <v>0</v>
      </c>
      <c r="F163" s="391">
        <v>0</v>
      </c>
      <c r="G163" s="391">
        <f t="array" ref="G163">SUM(IF('6. Class A Consumption Data'!L419:M419="B",'6. Class A Consumption Data'!L417:M417))</f>
        <v>0</v>
      </c>
      <c r="H163" s="391">
        <f t="array" ref="H163">SUM(IF('6. Class A Consumption Data'!N419:O419="B",'6. Class A Consumption Data'!N417:O417))</f>
        <v>0</v>
      </c>
      <c r="I163" s="392">
        <f t="shared" ref="I163:I183" si="11">IFERROR(+C163/$C$184,0)</f>
        <v>0</v>
      </c>
      <c r="J163" s="393">
        <f t="shared" si="7"/>
        <v>0</v>
      </c>
      <c r="K163" s="389">
        <f t="shared" si="8"/>
        <v>0</v>
      </c>
    </row>
    <row r="164" spans="1:11" hidden="1" x14ac:dyDescent="0.25">
      <c r="A164" s="390" t="s">
        <v>339</v>
      </c>
      <c r="B164" s="390"/>
      <c r="C164" s="386">
        <f t="shared" si="10"/>
        <v>0</v>
      </c>
      <c r="D164" s="391">
        <v>0</v>
      </c>
      <c r="E164" s="391">
        <v>0</v>
      </c>
      <c r="F164" s="391">
        <v>0</v>
      </c>
      <c r="G164" s="391">
        <f t="array" ref="G164">SUM(IF('6. Class A Consumption Data'!L422:M422="B",'6. Class A Consumption Data'!L420:M420))</f>
        <v>0</v>
      </c>
      <c r="H164" s="391">
        <f t="array" ref="H164">SUM(IF('6. Class A Consumption Data'!N422:O422="B",'6. Class A Consumption Data'!N420:O420))</f>
        <v>0</v>
      </c>
      <c r="I164" s="392">
        <f t="shared" si="11"/>
        <v>0</v>
      </c>
      <c r="J164" s="393">
        <f t="shared" si="7"/>
        <v>0</v>
      </c>
      <c r="K164" s="389">
        <f t="shared" si="8"/>
        <v>0</v>
      </c>
    </row>
    <row r="165" spans="1:11" hidden="1" x14ac:dyDescent="0.25">
      <c r="A165" s="390" t="s">
        <v>340</v>
      </c>
      <c r="B165" s="390"/>
      <c r="C165" s="386">
        <f t="shared" si="10"/>
        <v>0</v>
      </c>
      <c r="D165" s="391">
        <v>0</v>
      </c>
      <c r="E165" s="391">
        <v>0</v>
      </c>
      <c r="F165" s="391">
        <v>0</v>
      </c>
      <c r="G165" s="391">
        <f t="array" ref="G165">SUM(IF('6. Class A Consumption Data'!L425:M425="B",'6. Class A Consumption Data'!L423:M423))</f>
        <v>0</v>
      </c>
      <c r="H165" s="391">
        <f t="array" ref="H165">SUM(IF('6. Class A Consumption Data'!N425:O425="B",'6. Class A Consumption Data'!N423:O423))</f>
        <v>0</v>
      </c>
      <c r="I165" s="392">
        <f t="shared" si="11"/>
        <v>0</v>
      </c>
      <c r="J165" s="393">
        <f t="shared" si="7"/>
        <v>0</v>
      </c>
      <c r="K165" s="389">
        <f t="shared" si="8"/>
        <v>0</v>
      </c>
    </row>
    <row r="166" spans="1:11" hidden="1" x14ac:dyDescent="0.25">
      <c r="A166" s="390" t="s">
        <v>341</v>
      </c>
      <c r="B166" s="390"/>
      <c r="C166" s="386">
        <f t="shared" si="10"/>
        <v>0</v>
      </c>
      <c r="D166" s="391">
        <v>0</v>
      </c>
      <c r="E166" s="391">
        <v>0</v>
      </c>
      <c r="F166" s="391">
        <v>0</v>
      </c>
      <c r="G166" s="391">
        <f t="array" ref="G166">SUM(IF('6. Class A Consumption Data'!L428:M428="B",'6. Class A Consumption Data'!L426:M426))</f>
        <v>0</v>
      </c>
      <c r="H166" s="391">
        <f t="array" ref="H166">SUM(IF('6. Class A Consumption Data'!N428:O428="B",'6. Class A Consumption Data'!N426:O426))</f>
        <v>0</v>
      </c>
      <c r="I166" s="392">
        <f t="shared" si="11"/>
        <v>0</v>
      </c>
      <c r="J166" s="393">
        <f t="shared" ref="J166:J183" si="12">+I166*$C$28</f>
        <v>0</v>
      </c>
      <c r="K166" s="389">
        <f t="shared" ref="K166:K183" si="13">+J166/12</f>
        <v>0</v>
      </c>
    </row>
    <row r="167" spans="1:11" hidden="1" x14ac:dyDescent="0.25">
      <c r="A167" s="390" t="s">
        <v>342</v>
      </c>
      <c r="B167" s="390"/>
      <c r="C167" s="386">
        <f t="shared" si="10"/>
        <v>0</v>
      </c>
      <c r="D167" s="391">
        <v>0</v>
      </c>
      <c r="E167" s="391">
        <v>0</v>
      </c>
      <c r="F167" s="391">
        <v>0</v>
      </c>
      <c r="G167" s="391">
        <f t="array" ref="G167">SUM(IF('6. Class A Consumption Data'!L431:M431="B",'6. Class A Consumption Data'!L429:M429))</f>
        <v>0</v>
      </c>
      <c r="H167" s="391">
        <f t="array" ref="H167">SUM(IF('6. Class A Consumption Data'!N431:O431="B",'6. Class A Consumption Data'!N429:O429))</f>
        <v>0</v>
      </c>
      <c r="I167" s="392">
        <f t="shared" si="11"/>
        <v>0</v>
      </c>
      <c r="J167" s="393">
        <f t="shared" si="12"/>
        <v>0</v>
      </c>
      <c r="K167" s="389">
        <f t="shared" si="13"/>
        <v>0</v>
      </c>
    </row>
    <row r="168" spans="1:11" hidden="1" x14ac:dyDescent="0.25">
      <c r="A168" s="390" t="s">
        <v>343</v>
      </c>
      <c r="B168" s="390"/>
      <c r="C168" s="386">
        <f t="shared" si="10"/>
        <v>0</v>
      </c>
      <c r="D168" s="391">
        <v>0</v>
      </c>
      <c r="E168" s="391">
        <v>0</v>
      </c>
      <c r="F168" s="391">
        <v>0</v>
      </c>
      <c r="G168" s="391">
        <f t="array" ref="G168">SUM(IF('6. Class A Consumption Data'!L434:M434="B",'6. Class A Consumption Data'!L432:M432))</f>
        <v>0</v>
      </c>
      <c r="H168" s="391">
        <f t="array" ref="H168">SUM(IF('6. Class A Consumption Data'!N434:O434="B",'6. Class A Consumption Data'!N432:O432))</f>
        <v>0</v>
      </c>
      <c r="I168" s="392">
        <f t="shared" si="11"/>
        <v>0</v>
      </c>
      <c r="J168" s="393">
        <f t="shared" si="12"/>
        <v>0</v>
      </c>
      <c r="K168" s="389">
        <f t="shared" si="13"/>
        <v>0</v>
      </c>
    </row>
    <row r="169" spans="1:11" hidden="1" x14ac:dyDescent="0.25">
      <c r="A169" s="390" t="s">
        <v>344</v>
      </c>
      <c r="B169" s="390"/>
      <c r="C169" s="386">
        <f t="shared" si="10"/>
        <v>0</v>
      </c>
      <c r="D169" s="391">
        <v>0</v>
      </c>
      <c r="E169" s="391">
        <v>0</v>
      </c>
      <c r="F169" s="391">
        <v>0</v>
      </c>
      <c r="G169" s="391">
        <f t="array" ref="G169">SUM(IF('6. Class A Consumption Data'!L437:M437="B",'6. Class A Consumption Data'!L435:M435))</f>
        <v>0</v>
      </c>
      <c r="H169" s="391">
        <f t="array" ref="H169">SUM(IF('6. Class A Consumption Data'!N437:O437="B",'6. Class A Consumption Data'!N435:O435))</f>
        <v>0</v>
      </c>
      <c r="I169" s="392">
        <f t="shared" si="11"/>
        <v>0</v>
      </c>
      <c r="J169" s="393">
        <f t="shared" si="12"/>
        <v>0</v>
      </c>
      <c r="K169" s="389">
        <f t="shared" si="13"/>
        <v>0</v>
      </c>
    </row>
    <row r="170" spans="1:11" hidden="1" x14ac:dyDescent="0.25">
      <c r="A170" s="390" t="s">
        <v>345</v>
      </c>
      <c r="B170" s="390"/>
      <c r="C170" s="386">
        <f t="shared" si="10"/>
        <v>0</v>
      </c>
      <c r="D170" s="391">
        <v>0</v>
      </c>
      <c r="E170" s="391">
        <v>0</v>
      </c>
      <c r="F170" s="391">
        <v>0</v>
      </c>
      <c r="G170" s="391">
        <f t="array" ref="G170">SUM(IF('6. Class A Consumption Data'!L440:M440="B",'6. Class A Consumption Data'!L438:M438))</f>
        <v>0</v>
      </c>
      <c r="H170" s="391">
        <f t="array" ref="H170">SUM(IF('6. Class A Consumption Data'!N440:O440="B",'6. Class A Consumption Data'!N438:O438))</f>
        <v>0</v>
      </c>
      <c r="I170" s="392">
        <f t="shared" si="11"/>
        <v>0</v>
      </c>
      <c r="J170" s="393">
        <f t="shared" si="12"/>
        <v>0</v>
      </c>
      <c r="K170" s="389">
        <f t="shared" si="13"/>
        <v>0</v>
      </c>
    </row>
    <row r="171" spans="1:11" hidden="1" x14ac:dyDescent="0.25">
      <c r="A171" s="390" t="s">
        <v>346</v>
      </c>
      <c r="B171" s="390"/>
      <c r="C171" s="386">
        <f t="shared" si="10"/>
        <v>0</v>
      </c>
      <c r="D171" s="391">
        <v>0</v>
      </c>
      <c r="E171" s="391">
        <v>0</v>
      </c>
      <c r="F171" s="391">
        <v>0</v>
      </c>
      <c r="G171" s="391">
        <f t="array" ref="G171">SUM(IF('6. Class A Consumption Data'!L443:M443="B",'6. Class A Consumption Data'!L441:M441))</f>
        <v>0</v>
      </c>
      <c r="H171" s="391">
        <f t="array" ref="H171">SUM(IF('6. Class A Consumption Data'!N443:O443="B",'6. Class A Consumption Data'!N441:O441))</f>
        <v>0</v>
      </c>
      <c r="I171" s="392">
        <f t="shared" si="11"/>
        <v>0</v>
      </c>
      <c r="J171" s="393">
        <f t="shared" si="12"/>
        <v>0</v>
      </c>
      <c r="K171" s="389">
        <f t="shared" si="13"/>
        <v>0</v>
      </c>
    </row>
    <row r="172" spans="1:11" hidden="1" x14ac:dyDescent="0.25">
      <c r="A172" s="390" t="s">
        <v>347</v>
      </c>
      <c r="B172" s="390"/>
      <c r="C172" s="386">
        <f t="shared" si="10"/>
        <v>0</v>
      </c>
      <c r="D172" s="391">
        <v>0</v>
      </c>
      <c r="E172" s="391">
        <v>0</v>
      </c>
      <c r="F172" s="391">
        <v>0</v>
      </c>
      <c r="G172" s="391">
        <f t="array" ref="G172">SUM(IF('6. Class A Consumption Data'!L446:M446="B",'6. Class A Consumption Data'!L444:M444))</f>
        <v>0</v>
      </c>
      <c r="H172" s="391">
        <f t="array" ref="H172">SUM(IF('6. Class A Consumption Data'!N446:O446="B",'6. Class A Consumption Data'!N444:O444))</f>
        <v>0</v>
      </c>
      <c r="I172" s="392">
        <f t="shared" si="11"/>
        <v>0</v>
      </c>
      <c r="J172" s="393">
        <f t="shared" si="12"/>
        <v>0</v>
      </c>
      <c r="K172" s="389">
        <f t="shared" si="13"/>
        <v>0</v>
      </c>
    </row>
    <row r="173" spans="1:11" hidden="1" x14ac:dyDescent="0.25">
      <c r="A173" s="390" t="s">
        <v>348</v>
      </c>
      <c r="B173" s="390"/>
      <c r="C173" s="386">
        <f t="shared" si="10"/>
        <v>0</v>
      </c>
      <c r="D173" s="391">
        <v>0</v>
      </c>
      <c r="E173" s="391">
        <v>0</v>
      </c>
      <c r="F173" s="391">
        <v>0</v>
      </c>
      <c r="G173" s="391">
        <f t="array" ref="G173">SUM(IF('6. Class A Consumption Data'!L449:M449="B",'6. Class A Consumption Data'!L447:M447))</f>
        <v>0</v>
      </c>
      <c r="H173" s="391">
        <f t="array" ref="H173">SUM(IF('6. Class A Consumption Data'!N449:O449="B",'6. Class A Consumption Data'!N447:O447))</f>
        <v>0</v>
      </c>
      <c r="I173" s="392">
        <f t="shared" si="11"/>
        <v>0</v>
      </c>
      <c r="J173" s="393">
        <f t="shared" si="12"/>
        <v>0</v>
      </c>
      <c r="K173" s="389">
        <f t="shared" si="13"/>
        <v>0</v>
      </c>
    </row>
    <row r="174" spans="1:11" hidden="1" x14ac:dyDescent="0.25">
      <c r="A174" s="390" t="s">
        <v>349</v>
      </c>
      <c r="B174" s="390"/>
      <c r="C174" s="386">
        <f t="shared" si="10"/>
        <v>0</v>
      </c>
      <c r="D174" s="391">
        <v>0</v>
      </c>
      <c r="E174" s="391">
        <v>0</v>
      </c>
      <c r="F174" s="391">
        <v>0</v>
      </c>
      <c r="G174" s="391">
        <f t="array" ref="G174">SUM(IF('6. Class A Consumption Data'!L452:M452="B",'6. Class A Consumption Data'!L450:M450))</f>
        <v>0</v>
      </c>
      <c r="H174" s="391">
        <f t="array" ref="H174">SUM(IF('6. Class A Consumption Data'!N452:O452="B",'6. Class A Consumption Data'!N450:O450))</f>
        <v>0</v>
      </c>
      <c r="I174" s="392">
        <f t="shared" si="11"/>
        <v>0</v>
      </c>
      <c r="J174" s="393">
        <f t="shared" si="12"/>
        <v>0</v>
      </c>
      <c r="K174" s="389">
        <f t="shared" si="13"/>
        <v>0</v>
      </c>
    </row>
    <row r="175" spans="1:11" hidden="1" x14ac:dyDescent="0.25">
      <c r="A175" s="390" t="s">
        <v>350</v>
      </c>
      <c r="B175" s="390"/>
      <c r="C175" s="386">
        <f t="shared" si="10"/>
        <v>0</v>
      </c>
      <c r="D175" s="391">
        <v>0</v>
      </c>
      <c r="E175" s="391">
        <v>0</v>
      </c>
      <c r="F175" s="391">
        <v>0</v>
      </c>
      <c r="G175" s="391">
        <f t="array" ref="G175">SUM(IF('6. Class A Consumption Data'!L455:M455="B",'6. Class A Consumption Data'!L453:M453))</f>
        <v>0</v>
      </c>
      <c r="H175" s="391">
        <f t="array" ref="H175">SUM(IF('6. Class A Consumption Data'!N455:O455="B",'6. Class A Consumption Data'!N453:O453))</f>
        <v>0</v>
      </c>
      <c r="I175" s="392">
        <f t="shared" si="11"/>
        <v>0</v>
      </c>
      <c r="J175" s="393">
        <f t="shared" si="12"/>
        <v>0</v>
      </c>
      <c r="K175" s="389">
        <f t="shared" si="13"/>
        <v>0</v>
      </c>
    </row>
    <row r="176" spans="1:11" hidden="1" x14ac:dyDescent="0.25">
      <c r="A176" s="390" t="s">
        <v>351</v>
      </c>
      <c r="B176" s="390"/>
      <c r="C176" s="386">
        <f t="shared" si="10"/>
        <v>0</v>
      </c>
      <c r="D176" s="391">
        <v>0</v>
      </c>
      <c r="E176" s="391">
        <v>0</v>
      </c>
      <c r="F176" s="391">
        <v>0</v>
      </c>
      <c r="G176" s="391">
        <f t="array" ref="G176">SUM(IF('6. Class A Consumption Data'!L458:M458="B",'6. Class A Consumption Data'!L456:M456))</f>
        <v>0</v>
      </c>
      <c r="H176" s="391">
        <f t="array" ref="H176">SUM(IF('6. Class A Consumption Data'!N458:O458="B",'6. Class A Consumption Data'!N456:O456))</f>
        <v>0</v>
      </c>
      <c r="I176" s="392">
        <f t="shared" si="11"/>
        <v>0</v>
      </c>
      <c r="J176" s="393">
        <f t="shared" si="12"/>
        <v>0</v>
      </c>
      <c r="K176" s="389">
        <f t="shared" si="13"/>
        <v>0</v>
      </c>
    </row>
    <row r="177" spans="1:11" hidden="1" x14ac:dyDescent="0.25">
      <c r="A177" s="390" t="s">
        <v>352</v>
      </c>
      <c r="B177" s="390"/>
      <c r="C177" s="386">
        <f t="shared" si="10"/>
        <v>0</v>
      </c>
      <c r="D177" s="391">
        <v>0</v>
      </c>
      <c r="E177" s="391">
        <v>0</v>
      </c>
      <c r="F177" s="391">
        <v>0</v>
      </c>
      <c r="G177" s="391">
        <f t="array" ref="G177">SUM(IF('6. Class A Consumption Data'!L461:M461="B",'6. Class A Consumption Data'!L459:M459))</f>
        <v>0</v>
      </c>
      <c r="H177" s="391">
        <f t="array" ref="H177">SUM(IF('6. Class A Consumption Data'!N461:O461="B",'6. Class A Consumption Data'!N459:O459))</f>
        <v>0</v>
      </c>
      <c r="I177" s="392">
        <f t="shared" si="11"/>
        <v>0</v>
      </c>
      <c r="J177" s="393">
        <f t="shared" si="12"/>
        <v>0</v>
      </c>
      <c r="K177" s="389">
        <f t="shared" si="13"/>
        <v>0</v>
      </c>
    </row>
    <row r="178" spans="1:11" hidden="1" x14ac:dyDescent="0.25">
      <c r="A178" s="390" t="s">
        <v>353</v>
      </c>
      <c r="B178" s="390"/>
      <c r="C178" s="386">
        <f t="shared" si="10"/>
        <v>0</v>
      </c>
      <c r="D178" s="391">
        <v>0</v>
      </c>
      <c r="E178" s="391">
        <v>0</v>
      </c>
      <c r="F178" s="391">
        <v>0</v>
      </c>
      <c r="G178" s="391">
        <f t="array" ref="G178">SUM(IF('6. Class A Consumption Data'!L464:M464="B",'6. Class A Consumption Data'!L462:M462))</f>
        <v>0</v>
      </c>
      <c r="H178" s="391">
        <f t="array" ref="H178">SUM(IF('6. Class A Consumption Data'!N464:O464="B",'6. Class A Consumption Data'!N462:O462))</f>
        <v>0</v>
      </c>
      <c r="I178" s="392">
        <f t="shared" si="11"/>
        <v>0</v>
      </c>
      <c r="J178" s="393">
        <f t="shared" si="12"/>
        <v>0</v>
      </c>
      <c r="K178" s="389">
        <f t="shared" si="13"/>
        <v>0</v>
      </c>
    </row>
    <row r="179" spans="1:11" hidden="1" x14ac:dyDescent="0.25">
      <c r="A179" s="390" t="s">
        <v>354</v>
      </c>
      <c r="B179" s="390"/>
      <c r="C179" s="386">
        <f t="shared" si="10"/>
        <v>0</v>
      </c>
      <c r="D179" s="391">
        <v>0</v>
      </c>
      <c r="E179" s="391">
        <v>0</v>
      </c>
      <c r="F179" s="391">
        <v>0</v>
      </c>
      <c r="G179" s="391">
        <f t="array" ref="G179">SUM(IF('6. Class A Consumption Data'!L467:M467="B",'6. Class A Consumption Data'!L465:M465))</f>
        <v>0</v>
      </c>
      <c r="H179" s="391">
        <f t="array" ref="H179">SUM(IF('6. Class A Consumption Data'!N467:O467="B",'6. Class A Consumption Data'!N465:O465))</f>
        <v>0</v>
      </c>
      <c r="I179" s="392">
        <f t="shared" si="11"/>
        <v>0</v>
      </c>
      <c r="J179" s="393">
        <f t="shared" si="12"/>
        <v>0</v>
      </c>
      <c r="K179" s="389">
        <f t="shared" si="13"/>
        <v>0</v>
      </c>
    </row>
    <row r="180" spans="1:11" hidden="1" x14ac:dyDescent="0.25">
      <c r="A180" s="390" t="s">
        <v>355</v>
      </c>
      <c r="B180" s="390"/>
      <c r="C180" s="386">
        <f t="shared" si="10"/>
        <v>0</v>
      </c>
      <c r="D180" s="391">
        <v>0</v>
      </c>
      <c r="E180" s="391">
        <v>0</v>
      </c>
      <c r="F180" s="391">
        <v>0</v>
      </c>
      <c r="G180" s="391">
        <f t="array" ref="G180">SUM(IF('6. Class A Consumption Data'!L470:M470="B",'6. Class A Consumption Data'!L468:M468))</f>
        <v>0</v>
      </c>
      <c r="H180" s="391">
        <f t="array" ref="H180">SUM(IF('6. Class A Consumption Data'!N470:O470="B",'6. Class A Consumption Data'!N468:O468))</f>
        <v>0</v>
      </c>
      <c r="I180" s="392">
        <f t="shared" si="11"/>
        <v>0</v>
      </c>
      <c r="J180" s="393">
        <f t="shared" si="12"/>
        <v>0</v>
      </c>
      <c r="K180" s="389">
        <f t="shared" si="13"/>
        <v>0</v>
      </c>
    </row>
    <row r="181" spans="1:11" hidden="1" x14ac:dyDescent="0.25">
      <c r="A181" s="390" t="s">
        <v>356</v>
      </c>
      <c r="B181" s="390"/>
      <c r="C181" s="386">
        <f t="shared" si="10"/>
        <v>0</v>
      </c>
      <c r="D181" s="391">
        <v>0</v>
      </c>
      <c r="E181" s="391">
        <v>0</v>
      </c>
      <c r="F181" s="391">
        <v>0</v>
      </c>
      <c r="G181" s="391">
        <f t="array" ref="G181">SUM(IF('6. Class A Consumption Data'!L473:M473="B",'6. Class A Consumption Data'!L471:M471))</f>
        <v>0</v>
      </c>
      <c r="H181" s="391">
        <f t="array" ref="H181">SUM(IF('6. Class A Consumption Data'!N473:O473="B",'6. Class A Consumption Data'!N471:O471))</f>
        <v>0</v>
      </c>
      <c r="I181" s="392">
        <f t="shared" si="11"/>
        <v>0</v>
      </c>
      <c r="J181" s="393">
        <f t="shared" si="12"/>
        <v>0</v>
      </c>
      <c r="K181" s="389">
        <f t="shared" si="13"/>
        <v>0</v>
      </c>
    </row>
    <row r="182" spans="1:11" hidden="1" x14ac:dyDescent="0.25">
      <c r="A182" s="390" t="s">
        <v>357</v>
      </c>
      <c r="B182" s="390"/>
      <c r="C182" s="386">
        <f t="shared" si="10"/>
        <v>0</v>
      </c>
      <c r="D182" s="391">
        <v>0</v>
      </c>
      <c r="E182" s="391">
        <v>0</v>
      </c>
      <c r="F182" s="391">
        <v>0</v>
      </c>
      <c r="G182" s="391">
        <f t="array" ref="G182">SUM(IF('6. Class A Consumption Data'!L476:M476="B",'6. Class A Consumption Data'!L474:M474))</f>
        <v>0</v>
      </c>
      <c r="H182" s="391">
        <f t="array" ref="H182">SUM(IF('6. Class A Consumption Data'!N476:O476="B",'6. Class A Consumption Data'!N474:O474))</f>
        <v>0</v>
      </c>
      <c r="I182" s="392">
        <f t="shared" si="11"/>
        <v>0</v>
      </c>
      <c r="J182" s="393">
        <f t="shared" si="12"/>
        <v>0</v>
      </c>
      <c r="K182" s="389">
        <f t="shared" si="13"/>
        <v>0</v>
      </c>
    </row>
    <row r="183" spans="1:11" hidden="1" x14ac:dyDescent="0.25">
      <c r="A183" s="385" t="s">
        <v>358</v>
      </c>
      <c r="B183" s="385"/>
      <c r="C183" s="386">
        <f t="shared" si="10"/>
        <v>0</v>
      </c>
      <c r="D183" s="386">
        <v>0</v>
      </c>
      <c r="E183" s="386">
        <v>0</v>
      </c>
      <c r="F183" s="386">
        <v>0</v>
      </c>
      <c r="G183" s="386">
        <f t="array" ref="G183">SUM(IF('6. Class A Consumption Data'!L479:M479="B",'6. Class A Consumption Data'!L477:M477))</f>
        <v>0</v>
      </c>
      <c r="H183" s="386">
        <f t="array" ref="H183">SUM(IF('6. Class A Consumption Data'!N479:O479="B",'6. Class A Consumption Data'!N477:O477))</f>
        <v>0</v>
      </c>
      <c r="I183" s="387">
        <f t="shared" si="11"/>
        <v>0</v>
      </c>
      <c r="J183" s="388">
        <f t="shared" si="12"/>
        <v>0</v>
      </c>
      <c r="K183" s="389">
        <f t="shared" si="13"/>
        <v>0</v>
      </c>
    </row>
    <row r="184" spans="1:11" x14ac:dyDescent="0.25">
      <c r="A184" s="390" t="s">
        <v>52</v>
      </c>
      <c r="B184" s="390"/>
      <c r="C184" s="391">
        <f t="shared" ref="C184:J184" si="14">SUM(C34:C183)</f>
        <v>0</v>
      </c>
      <c r="D184" s="391">
        <f t="shared" si="14"/>
        <v>0</v>
      </c>
      <c r="E184" s="391">
        <f t="shared" si="14"/>
        <v>0</v>
      </c>
      <c r="F184" s="391">
        <f t="shared" si="14"/>
        <v>0</v>
      </c>
      <c r="G184" s="391">
        <f t="shared" si="14"/>
        <v>0</v>
      </c>
      <c r="H184" s="391">
        <f t="shared" si="14"/>
        <v>0</v>
      </c>
      <c r="I184" s="392">
        <f t="shared" si="14"/>
        <v>0</v>
      </c>
      <c r="J184" s="389">
        <f t="shared" si="14"/>
        <v>0</v>
      </c>
      <c r="K184" s="404"/>
    </row>
  </sheetData>
  <sheetProtection algorithmName="SHA-512" hashValue="smQx1NT22FSM5Q5da/8THrfoZjbbmBnjXaXYOe1XSGNc5ZSE4I5rBmqq4NSbugeVg1pWQIB5xQu4LGKME9mM7Q==" saltValue="x/KJKgHy2Q1qAk7Brqru3A==" spinCount="100000" sheet="1" objects="1" scenarios="1"/>
  <mergeCells count="5">
    <mergeCell ref="A14:F14"/>
    <mergeCell ref="C16:I16"/>
    <mergeCell ref="A17:F17"/>
    <mergeCell ref="A25:C25"/>
    <mergeCell ref="A31:E31"/>
  </mergeCells>
  <pageMargins left="0.7" right="0.7" top="0.75" bottom="0.75" header="0.3" footer="0.3"/>
  <pageSetup orientation="portrait" verticalDpi="597"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71">
    <pageSetUpPr fitToPage="1"/>
  </sheetPr>
  <dimension ref="A13:T185"/>
  <sheetViews>
    <sheetView showGridLines="0" topLeftCell="A25" workbookViewId="0">
      <selection activeCell="C34" sqref="C34"/>
    </sheetView>
  </sheetViews>
  <sheetFormatPr defaultColWidth="9" defaultRowHeight="12.75" x14ac:dyDescent="0.2"/>
  <cols>
    <col min="1" max="1" width="55.85546875" customWidth="1"/>
    <col min="2" max="2" width="22.7109375" customWidth="1"/>
    <col min="3" max="3" width="31" bestFit="1" customWidth="1"/>
    <col min="4" max="4" width="27.28515625" customWidth="1"/>
    <col min="5" max="6" width="28.7109375" customWidth="1"/>
    <col min="7" max="7" width="30.28515625" customWidth="1"/>
    <col min="8" max="8" width="27.85546875" customWidth="1"/>
    <col min="9" max="9" width="14.28515625" customWidth="1"/>
    <col min="10" max="10" width="21.7109375" customWidth="1"/>
    <col min="11" max="11" width="10" customWidth="1"/>
    <col min="12" max="12" width="11.85546875" hidden="1" customWidth="1"/>
    <col min="13" max="20" width="9" hidden="1" customWidth="1"/>
    <col min="21" max="21" width="0" hidden="1" customWidth="1"/>
  </cols>
  <sheetData>
    <row r="13" spans="1:7" ht="15" x14ac:dyDescent="0.25">
      <c r="A13" s="405"/>
      <c r="B13" s="405"/>
      <c r="C13" s="405"/>
      <c r="D13" s="405"/>
      <c r="E13" s="405"/>
      <c r="F13" s="405"/>
      <c r="G13" s="405"/>
    </row>
    <row r="14" spans="1:7" s="405" customFormat="1" ht="99" customHeight="1" x14ac:dyDescent="0.25">
      <c r="A14" s="842" t="s">
        <v>468</v>
      </c>
      <c r="B14" s="842"/>
      <c r="C14" s="842"/>
      <c r="D14" s="843"/>
      <c r="E14" s="843"/>
    </row>
    <row r="15" spans="1:7" ht="15" x14ac:dyDescent="0.25">
      <c r="A15" s="406"/>
      <c r="B15" s="406"/>
      <c r="C15" s="406"/>
      <c r="D15" s="405"/>
      <c r="E15" s="407"/>
      <c r="F15" s="405"/>
      <c r="G15" s="405"/>
    </row>
    <row r="16" spans="1:7" ht="15" x14ac:dyDescent="0.2">
      <c r="A16" s="408" t="s">
        <v>469</v>
      </c>
      <c r="B16" s="409">
        <f>'1. Information Sheet'!L43</f>
        <v>2020</v>
      </c>
      <c r="C16" s="827"/>
      <c r="D16" s="828"/>
      <c r="E16" s="828"/>
      <c r="F16" s="828"/>
      <c r="G16" s="828"/>
    </row>
    <row r="17" spans="1:8" ht="39" customHeight="1" x14ac:dyDescent="0.25">
      <c r="A17" s="842" t="s">
        <v>470</v>
      </c>
      <c r="B17" s="842"/>
      <c r="C17" s="842"/>
      <c r="D17" s="842"/>
      <c r="E17" s="842"/>
      <c r="F17" s="842"/>
      <c r="G17" s="405"/>
      <c r="H17" s="405"/>
    </row>
    <row r="18" spans="1:8" ht="34.5" customHeight="1" x14ac:dyDescent="0.25">
      <c r="A18" s="405"/>
      <c r="B18" s="410"/>
      <c r="C18" s="411" t="s">
        <v>52</v>
      </c>
      <c r="D18" s="412">
        <v>2021</v>
      </c>
      <c r="E18" s="412">
        <v>2020</v>
      </c>
      <c r="F18" s="412">
        <v>2019</v>
      </c>
      <c r="G18" s="412">
        <v>2018</v>
      </c>
      <c r="H18" s="413">
        <v>2017</v>
      </c>
    </row>
    <row r="19" spans="1:8" s="405" customFormat="1" ht="17.25" customHeight="1" x14ac:dyDescent="0.25">
      <c r="A19" s="358" t="s">
        <v>471</v>
      </c>
      <c r="B19" s="359" t="s">
        <v>186</v>
      </c>
      <c r="C19" s="360">
        <f>SUM(D19:H19)</f>
        <v>0</v>
      </c>
      <c r="D19" s="361"/>
      <c r="E19" s="361"/>
      <c r="F19" s="361"/>
      <c r="G19" s="361"/>
      <c r="H19" s="361"/>
    </row>
    <row r="20" spans="1:8" s="414" customFormat="1" ht="15.75" customHeight="1" x14ac:dyDescent="0.25">
      <c r="A20" s="362" t="s">
        <v>458</v>
      </c>
      <c r="B20" s="359" t="s">
        <v>187</v>
      </c>
      <c r="C20" s="360">
        <f>SUM(D20:H20)</f>
        <v>100</v>
      </c>
      <c r="D20" s="363"/>
      <c r="E20" s="363"/>
      <c r="F20" s="363">
        <v>0</v>
      </c>
      <c r="G20" s="363">
        <v>0</v>
      </c>
      <c r="H20" s="363">
        <v>100</v>
      </c>
    </row>
    <row r="21" spans="1:8" s="414" customFormat="1" ht="15" x14ac:dyDescent="0.25">
      <c r="A21" s="362" t="s">
        <v>459</v>
      </c>
      <c r="B21" s="359" t="s">
        <v>192</v>
      </c>
      <c r="C21" s="360">
        <f>SUM(D21:H21)</f>
        <v>0</v>
      </c>
      <c r="D21" s="363">
        <f t="array" ref="D21">SUM(IF('6. Class A Consumption Data'!C492:C791="kWh",'6. Class A Consumption Data'!F492:F791))</f>
        <v>0</v>
      </c>
      <c r="E21" s="363">
        <f t="array" ref="E21">SUM(IF('6. Class A Consumption Data'!C492:C791="kWh",'6. Class A Consumption Data'!H492:H791))</f>
        <v>0</v>
      </c>
      <c r="F21" s="363">
        <f t="array" ref="F21">SUM(IF('6. Class A Consumption Data'!C492:C791="kWh",'6. Class A Consumption Data'!J492:J791))</f>
        <v>0</v>
      </c>
      <c r="G21" s="363">
        <f t="array" ref="G21">SUM(IF('6. Class A Consumption Data'!C492:C791="kWh",'6. Class A Consumption Data'!L492:L791))</f>
        <v>0</v>
      </c>
      <c r="H21" s="363">
        <f t="array" ref="H21">SUM(IF('6. Class A Consumption Data'!C492:C791="kWh",'6. Class A Consumption Data'!N492:N791))</f>
        <v>0</v>
      </c>
    </row>
    <row r="22" spans="1:8" s="414" customFormat="1" ht="26.25" x14ac:dyDescent="0.25">
      <c r="A22" s="365" t="s">
        <v>460</v>
      </c>
      <c r="B22" s="359" t="s">
        <v>461</v>
      </c>
      <c r="C22" s="360">
        <f>SUM(D22:H22)</f>
        <v>-100</v>
      </c>
      <c r="D22" s="366">
        <f>D19-D20-D21</f>
        <v>0</v>
      </c>
      <c r="E22" s="366">
        <f>E19-E20-E21</f>
        <v>0</v>
      </c>
      <c r="F22" s="366">
        <f>F19-F20-F21</f>
        <v>0</v>
      </c>
      <c r="G22" s="366">
        <f>G19-G20-G21</f>
        <v>0</v>
      </c>
      <c r="H22" s="366">
        <f>H19-H20-H21</f>
        <v>-100</v>
      </c>
    </row>
    <row r="23" spans="1:8" s="405" customFormat="1" ht="15" x14ac:dyDescent="0.25">
      <c r="A23" s="358" t="s">
        <v>462</v>
      </c>
      <c r="B23" s="359" t="s">
        <v>194</v>
      </c>
      <c r="C23" s="360">
        <f>SUM(D23:H23)</f>
        <v>0</v>
      </c>
      <c r="D23" s="367">
        <f>D184</f>
        <v>0</v>
      </c>
      <c r="E23" s="367">
        <f>E184</f>
        <v>0</v>
      </c>
      <c r="F23" s="367">
        <f>F184</f>
        <v>0</v>
      </c>
      <c r="G23" s="367">
        <f>G184</f>
        <v>0</v>
      </c>
      <c r="H23" s="367">
        <f>H184</f>
        <v>0</v>
      </c>
    </row>
    <row r="24" spans="1:8" s="405" customFormat="1" ht="15" x14ac:dyDescent="0.25">
      <c r="A24" s="368" t="s">
        <v>361</v>
      </c>
      <c r="B24" s="359" t="s">
        <v>463</v>
      </c>
      <c r="C24" s="369">
        <f>IFERROR(+C23/C22,0)</f>
        <v>0</v>
      </c>
      <c r="D24" s="369"/>
      <c r="E24" s="369"/>
      <c r="F24" s="369"/>
      <c r="G24" s="370"/>
      <c r="H24" s="370"/>
    </row>
    <row r="25" spans="1:8" s="405" customFormat="1" ht="15" x14ac:dyDescent="0.25">
      <c r="E25" s="415"/>
    </row>
    <row r="26" spans="1:8" s="405" customFormat="1" ht="15" x14ac:dyDescent="0.25">
      <c r="A26" s="844" t="s">
        <v>379</v>
      </c>
      <c r="B26" s="844"/>
      <c r="C26" s="844"/>
      <c r="E26" s="415"/>
    </row>
    <row r="27" spans="1:8" s="405" customFormat="1" ht="15" x14ac:dyDescent="0.25">
      <c r="A27" s="416" t="s">
        <v>378</v>
      </c>
      <c r="B27" s="490" t="s">
        <v>2908</v>
      </c>
      <c r="C27" s="493">
        <f>'2a. Continuity Schedule'!BT28</f>
        <v>-76539.976211500005</v>
      </c>
      <c r="D27" s="417"/>
    </row>
    <row r="28" spans="1:8" s="405" customFormat="1" ht="15" x14ac:dyDescent="0.25">
      <c r="A28" s="358" t="s">
        <v>377</v>
      </c>
      <c r="B28" s="476" t="s">
        <v>2909</v>
      </c>
      <c r="C28" s="492">
        <f>+C24*C27</f>
        <v>0</v>
      </c>
      <c r="D28" s="418"/>
    </row>
    <row r="29" spans="1:8" s="405" customFormat="1" ht="26.25" x14ac:dyDescent="0.25">
      <c r="A29" s="358" t="s">
        <v>376</v>
      </c>
      <c r="B29" s="476" t="s">
        <v>2910</v>
      </c>
      <c r="C29" s="493">
        <f>+C27-C28</f>
        <v>-76539.976211500005</v>
      </c>
    </row>
    <row r="30" spans="1:8" s="405" customFormat="1" ht="15" x14ac:dyDescent="0.25"/>
    <row r="31" spans="1:8" ht="14.85" customHeight="1" x14ac:dyDescent="0.25">
      <c r="A31" s="845" t="s">
        <v>375</v>
      </c>
      <c r="B31" s="845"/>
      <c r="C31" s="842"/>
      <c r="D31" s="842"/>
      <c r="E31" s="405"/>
      <c r="F31" s="405"/>
      <c r="G31" s="405"/>
      <c r="H31" s="405"/>
    </row>
    <row r="32" spans="1:8" ht="14.85" customHeight="1" thickBot="1" x14ac:dyDescent="0.3">
      <c r="A32" s="419" t="s">
        <v>365</v>
      </c>
      <c r="B32" s="420"/>
      <c r="C32" s="421">
        <f>COUNTIF(C34:C183,"&lt;&gt;0")</f>
        <v>0</v>
      </c>
      <c r="D32" s="406"/>
      <c r="E32" s="405"/>
      <c r="F32" s="405"/>
      <c r="G32" s="405"/>
      <c r="H32" s="405"/>
    </row>
    <row r="33" spans="1:20" ht="69" customHeight="1" thickBot="1" x14ac:dyDescent="0.3">
      <c r="A33" s="420" t="s">
        <v>374</v>
      </c>
      <c r="B33" s="422"/>
      <c r="C33" s="423" t="s">
        <v>472</v>
      </c>
      <c r="D33" s="423" t="s">
        <v>3469</v>
      </c>
      <c r="E33" s="423" t="s">
        <v>3057</v>
      </c>
      <c r="F33" s="423" t="s">
        <v>3027</v>
      </c>
      <c r="G33" s="423" t="s">
        <v>473</v>
      </c>
      <c r="H33" s="423" t="s">
        <v>474</v>
      </c>
      <c r="I33" s="411" t="s">
        <v>189</v>
      </c>
      <c r="J33" s="419" t="s">
        <v>475</v>
      </c>
      <c r="K33" s="419" t="s">
        <v>190</v>
      </c>
      <c r="L33" s="486" t="s">
        <v>2912</v>
      </c>
      <c r="M33" s="487"/>
      <c r="N33" s="839" t="s">
        <v>2955</v>
      </c>
      <c r="O33" s="840"/>
      <c r="P33" s="840"/>
      <c r="Q33" s="840"/>
      <c r="R33" s="840"/>
      <c r="S33" s="840"/>
      <c r="T33" s="841"/>
    </row>
    <row r="34" spans="1:20" s="405" customFormat="1" ht="14.85" customHeight="1" x14ac:dyDescent="0.25">
      <c r="A34" s="424" t="s">
        <v>195</v>
      </c>
      <c r="B34" s="424"/>
      <c r="C34" s="425">
        <f t="shared" ref="C34:C65" si="0">SUM(D34:H34)</f>
        <v>0</v>
      </c>
      <c r="D34" s="426">
        <f t="array" ref="D34">SUM(IF('6. Class A Consumption Data'!F32:G32="B",'6. Class A Consumption Data'!F30:G30))</f>
        <v>0</v>
      </c>
      <c r="E34" s="426">
        <f t="array" ref="E34">SUM(IF('6. Class A Consumption Data'!H32:I32="B",'6. Class A Consumption Data'!H30:I30))</f>
        <v>0</v>
      </c>
      <c r="F34" s="426">
        <f t="array" ref="F34">SUM(IF('6. Class A Consumption Data'!J32:K32="B",'6. Class A Consumption Data'!J30:K30))</f>
        <v>0</v>
      </c>
      <c r="G34" s="426">
        <f t="array" ref="G34">SUM(IF('6. Class A Consumption Data'!L32:M32="B",'6. Class A Consumption Data'!L30:M30))</f>
        <v>0</v>
      </c>
      <c r="H34" s="426">
        <f t="array" ref="H34">SUM(IF('6. Class A Consumption Data'!N32:O32="B",'6. Class A Consumption Data'!N30:O30))</f>
        <v>0</v>
      </c>
      <c r="I34" s="427">
        <f t="shared" ref="I34:I97" si="1">IFERROR(+C34/($C$184),0)</f>
        <v>0</v>
      </c>
      <c r="J34" s="428">
        <f t="shared" ref="J34:J97" si="2">+I34*$C$28</f>
        <v>0</v>
      </c>
      <c r="K34" s="428">
        <f t="shared" ref="K34:K97" si="3">+J34/12</f>
        <v>0</v>
      </c>
      <c r="L34" s="488">
        <v>0</v>
      </c>
      <c r="M34" s="487"/>
      <c r="N34" s="487"/>
      <c r="O34" s="487"/>
      <c r="P34" s="487"/>
      <c r="Q34" s="487"/>
      <c r="R34" s="487"/>
      <c r="S34" s="487"/>
      <c r="T34" s="487"/>
    </row>
    <row r="35" spans="1:20" s="405" customFormat="1" ht="14.85" hidden="1" customHeight="1" x14ac:dyDescent="0.25">
      <c r="A35" s="424" t="s">
        <v>196</v>
      </c>
      <c r="B35" s="424"/>
      <c r="C35" s="425">
        <f t="shared" si="0"/>
        <v>0</v>
      </c>
      <c r="D35" s="426">
        <v>0</v>
      </c>
      <c r="E35" s="426">
        <v>0</v>
      </c>
      <c r="F35" s="426">
        <v>0</v>
      </c>
      <c r="G35" s="426">
        <v>0</v>
      </c>
      <c r="H35" s="426">
        <v>0</v>
      </c>
      <c r="I35" s="427">
        <f t="shared" si="1"/>
        <v>0</v>
      </c>
      <c r="J35" s="428">
        <f t="shared" si="2"/>
        <v>0</v>
      </c>
      <c r="K35" s="428">
        <f t="shared" si="3"/>
        <v>0</v>
      </c>
      <c r="L35" s="488">
        <v>0</v>
      </c>
      <c r="M35" s="487"/>
      <c r="N35" s="487"/>
      <c r="O35" s="487"/>
      <c r="P35" s="487"/>
      <c r="Q35" s="487"/>
      <c r="R35" s="487"/>
      <c r="S35" s="487"/>
      <c r="T35" s="487"/>
    </row>
    <row r="36" spans="1:20" s="405" customFormat="1" ht="14.85" hidden="1" customHeight="1" x14ac:dyDescent="0.25">
      <c r="A36" s="424" t="s">
        <v>211</v>
      </c>
      <c r="B36" s="424"/>
      <c r="C36" s="425">
        <f t="shared" si="0"/>
        <v>0</v>
      </c>
      <c r="D36" s="426">
        <v>0</v>
      </c>
      <c r="E36" s="426">
        <v>0</v>
      </c>
      <c r="F36" s="426">
        <v>0</v>
      </c>
      <c r="G36" s="426">
        <v>0</v>
      </c>
      <c r="H36" s="426">
        <v>0</v>
      </c>
      <c r="I36" s="427">
        <f t="shared" si="1"/>
        <v>0</v>
      </c>
      <c r="J36" s="428">
        <f t="shared" si="2"/>
        <v>0</v>
      </c>
      <c r="K36" s="428">
        <f t="shared" si="3"/>
        <v>0</v>
      </c>
      <c r="L36" s="488">
        <v>0</v>
      </c>
      <c r="M36" s="487"/>
      <c r="N36" s="487"/>
      <c r="O36" s="487"/>
      <c r="P36" s="487"/>
      <c r="Q36" s="487"/>
      <c r="R36" s="487"/>
      <c r="S36" s="487"/>
      <c r="T36" s="487"/>
    </row>
    <row r="37" spans="1:20" s="405" customFormat="1" ht="14.85" hidden="1" customHeight="1" x14ac:dyDescent="0.25">
      <c r="A37" s="424" t="s">
        <v>212</v>
      </c>
      <c r="B37" s="424"/>
      <c r="C37" s="425">
        <f t="shared" si="0"/>
        <v>0</v>
      </c>
      <c r="D37" s="426">
        <v>0</v>
      </c>
      <c r="E37" s="426">
        <v>0</v>
      </c>
      <c r="F37" s="426">
        <v>0</v>
      </c>
      <c r="G37" s="426">
        <v>0</v>
      </c>
      <c r="H37" s="426">
        <v>0</v>
      </c>
      <c r="I37" s="427">
        <f t="shared" si="1"/>
        <v>0</v>
      </c>
      <c r="J37" s="428">
        <f t="shared" si="2"/>
        <v>0</v>
      </c>
      <c r="K37" s="428">
        <f t="shared" si="3"/>
        <v>0</v>
      </c>
      <c r="L37" s="488">
        <v>0</v>
      </c>
      <c r="M37" s="487"/>
      <c r="N37" s="487"/>
      <c r="O37" s="487"/>
      <c r="P37" s="487"/>
      <c r="Q37" s="487"/>
      <c r="R37" s="487"/>
      <c r="S37" s="487"/>
      <c r="T37" s="487"/>
    </row>
    <row r="38" spans="1:20" s="405" customFormat="1" ht="14.85" hidden="1" customHeight="1" x14ac:dyDescent="0.25">
      <c r="A38" s="424" t="s">
        <v>213</v>
      </c>
      <c r="B38" s="424"/>
      <c r="C38" s="425">
        <f t="shared" si="0"/>
        <v>0</v>
      </c>
      <c r="D38" s="426">
        <v>0</v>
      </c>
      <c r="E38" s="426">
        <v>0</v>
      </c>
      <c r="F38" s="426">
        <v>0</v>
      </c>
      <c r="G38" s="426">
        <v>0</v>
      </c>
      <c r="H38" s="426">
        <v>0</v>
      </c>
      <c r="I38" s="427">
        <f t="shared" si="1"/>
        <v>0</v>
      </c>
      <c r="J38" s="428">
        <f t="shared" si="2"/>
        <v>0</v>
      </c>
      <c r="K38" s="428">
        <f t="shared" si="3"/>
        <v>0</v>
      </c>
      <c r="L38" s="488">
        <v>0</v>
      </c>
      <c r="M38" s="487"/>
      <c r="N38" s="487"/>
      <c r="O38" s="487"/>
      <c r="P38" s="487"/>
      <c r="Q38" s="487"/>
      <c r="R38" s="487"/>
      <c r="S38" s="487"/>
      <c r="T38" s="487"/>
    </row>
    <row r="39" spans="1:20" s="405" customFormat="1" ht="14.85" hidden="1" customHeight="1" x14ac:dyDescent="0.25">
      <c r="A39" s="424" t="s">
        <v>214</v>
      </c>
      <c r="B39" s="424"/>
      <c r="C39" s="425">
        <f t="shared" si="0"/>
        <v>0</v>
      </c>
      <c r="D39" s="426">
        <v>0</v>
      </c>
      <c r="E39" s="426">
        <v>0</v>
      </c>
      <c r="F39" s="426">
        <v>0</v>
      </c>
      <c r="G39" s="426">
        <v>0</v>
      </c>
      <c r="H39" s="426">
        <v>0</v>
      </c>
      <c r="I39" s="427">
        <f t="shared" si="1"/>
        <v>0</v>
      </c>
      <c r="J39" s="428">
        <f t="shared" si="2"/>
        <v>0</v>
      </c>
      <c r="K39" s="428">
        <f t="shared" si="3"/>
        <v>0</v>
      </c>
      <c r="L39" s="488">
        <v>0</v>
      </c>
      <c r="M39" s="487"/>
      <c r="N39" s="487"/>
      <c r="O39" s="487"/>
      <c r="P39" s="487"/>
      <c r="Q39" s="487"/>
      <c r="R39" s="487"/>
      <c r="S39" s="487"/>
      <c r="T39" s="487"/>
    </row>
    <row r="40" spans="1:20" s="405" customFormat="1" ht="14.85" hidden="1" customHeight="1" x14ac:dyDescent="0.25">
      <c r="A40" s="424" t="s">
        <v>215</v>
      </c>
      <c r="B40" s="424"/>
      <c r="C40" s="425">
        <f t="shared" si="0"/>
        <v>0</v>
      </c>
      <c r="D40" s="426">
        <v>0</v>
      </c>
      <c r="E40" s="426">
        <v>0</v>
      </c>
      <c r="F40" s="426">
        <v>0</v>
      </c>
      <c r="G40" s="426">
        <v>0</v>
      </c>
      <c r="H40" s="426">
        <v>0</v>
      </c>
      <c r="I40" s="427">
        <f t="shared" si="1"/>
        <v>0</v>
      </c>
      <c r="J40" s="428">
        <f t="shared" si="2"/>
        <v>0</v>
      </c>
      <c r="K40" s="428">
        <f t="shared" si="3"/>
        <v>0</v>
      </c>
      <c r="L40" s="488">
        <v>0</v>
      </c>
      <c r="M40" s="487"/>
      <c r="N40" s="487"/>
      <c r="O40" s="487"/>
      <c r="P40" s="487"/>
      <c r="Q40" s="487"/>
      <c r="R40" s="487"/>
      <c r="S40" s="487"/>
      <c r="T40" s="487"/>
    </row>
    <row r="41" spans="1:20" s="405" customFormat="1" ht="14.85" hidden="1" customHeight="1" x14ac:dyDescent="0.25">
      <c r="A41" s="424" t="s">
        <v>216</v>
      </c>
      <c r="B41" s="424"/>
      <c r="C41" s="425">
        <f t="shared" si="0"/>
        <v>0</v>
      </c>
      <c r="D41" s="426">
        <v>0</v>
      </c>
      <c r="E41" s="426">
        <v>0</v>
      </c>
      <c r="F41" s="426">
        <v>0</v>
      </c>
      <c r="G41" s="426">
        <v>0</v>
      </c>
      <c r="H41" s="426">
        <v>0</v>
      </c>
      <c r="I41" s="427">
        <f t="shared" si="1"/>
        <v>0</v>
      </c>
      <c r="J41" s="428">
        <f t="shared" si="2"/>
        <v>0</v>
      </c>
      <c r="K41" s="428">
        <f t="shared" si="3"/>
        <v>0</v>
      </c>
      <c r="L41" s="488">
        <v>0</v>
      </c>
      <c r="M41" s="487"/>
      <c r="N41" s="487"/>
      <c r="O41" s="487"/>
      <c r="P41" s="487"/>
      <c r="Q41" s="487"/>
      <c r="R41" s="487"/>
      <c r="S41" s="487"/>
      <c r="T41" s="487"/>
    </row>
    <row r="42" spans="1:20" s="405" customFormat="1" ht="14.85" hidden="1" customHeight="1" x14ac:dyDescent="0.25">
      <c r="A42" s="424" t="s">
        <v>217</v>
      </c>
      <c r="B42" s="424"/>
      <c r="C42" s="425">
        <f t="shared" si="0"/>
        <v>0</v>
      </c>
      <c r="D42" s="426">
        <v>0</v>
      </c>
      <c r="E42" s="426">
        <v>0</v>
      </c>
      <c r="F42" s="426">
        <v>0</v>
      </c>
      <c r="G42" s="426">
        <v>0</v>
      </c>
      <c r="H42" s="426">
        <v>0</v>
      </c>
      <c r="I42" s="427">
        <f t="shared" si="1"/>
        <v>0</v>
      </c>
      <c r="J42" s="428">
        <f t="shared" si="2"/>
        <v>0</v>
      </c>
      <c r="K42" s="428">
        <f t="shared" si="3"/>
        <v>0</v>
      </c>
      <c r="L42" s="488">
        <v>0</v>
      </c>
      <c r="M42" s="487"/>
      <c r="N42" s="487"/>
      <c r="O42" s="487"/>
      <c r="P42" s="487"/>
      <c r="Q42" s="487"/>
      <c r="R42" s="487"/>
      <c r="S42" s="487"/>
      <c r="T42" s="487"/>
    </row>
    <row r="43" spans="1:20" s="405" customFormat="1" ht="14.85" hidden="1" customHeight="1" x14ac:dyDescent="0.25">
      <c r="A43" s="424" t="s">
        <v>218</v>
      </c>
      <c r="B43" s="424"/>
      <c r="C43" s="425">
        <f t="shared" si="0"/>
        <v>0</v>
      </c>
      <c r="D43" s="426">
        <v>0</v>
      </c>
      <c r="E43" s="426">
        <v>0</v>
      </c>
      <c r="F43" s="426">
        <v>0</v>
      </c>
      <c r="G43" s="426">
        <v>0</v>
      </c>
      <c r="H43" s="426">
        <v>0</v>
      </c>
      <c r="I43" s="427">
        <f t="shared" si="1"/>
        <v>0</v>
      </c>
      <c r="J43" s="428">
        <f t="shared" si="2"/>
        <v>0</v>
      </c>
      <c r="K43" s="428">
        <f t="shared" si="3"/>
        <v>0</v>
      </c>
      <c r="L43" s="488">
        <v>0</v>
      </c>
      <c r="M43" s="487"/>
      <c r="N43" s="487"/>
      <c r="O43" s="487"/>
      <c r="P43" s="487"/>
      <c r="Q43" s="487"/>
      <c r="R43" s="487"/>
      <c r="S43" s="487"/>
      <c r="T43" s="487"/>
    </row>
    <row r="44" spans="1:20" s="405" customFormat="1" ht="14.25" hidden="1" customHeight="1" x14ac:dyDescent="0.25">
      <c r="A44" s="424" t="s">
        <v>219</v>
      </c>
      <c r="B44" s="424"/>
      <c r="C44" s="425">
        <f t="shared" si="0"/>
        <v>0</v>
      </c>
      <c r="D44" s="426">
        <v>0</v>
      </c>
      <c r="E44" s="426">
        <v>0</v>
      </c>
      <c r="F44" s="426">
        <v>0</v>
      </c>
      <c r="G44" s="426">
        <v>0</v>
      </c>
      <c r="H44" s="426">
        <v>0</v>
      </c>
      <c r="I44" s="427">
        <f t="shared" si="1"/>
        <v>0</v>
      </c>
      <c r="J44" s="428">
        <f t="shared" si="2"/>
        <v>0</v>
      </c>
      <c r="K44" s="428">
        <f t="shared" si="3"/>
        <v>0</v>
      </c>
      <c r="L44" s="488">
        <v>0</v>
      </c>
      <c r="M44" s="487"/>
      <c r="N44" s="487"/>
      <c r="O44" s="487"/>
      <c r="P44" s="487"/>
      <c r="Q44" s="487"/>
      <c r="R44" s="487"/>
      <c r="S44" s="487"/>
      <c r="T44" s="487"/>
    </row>
    <row r="45" spans="1:20" s="405" customFormat="1" ht="14.85" hidden="1" customHeight="1" x14ac:dyDescent="0.25">
      <c r="A45" s="424" t="s">
        <v>220</v>
      </c>
      <c r="B45" s="424"/>
      <c r="C45" s="425">
        <f t="shared" si="0"/>
        <v>0</v>
      </c>
      <c r="D45" s="426">
        <v>0</v>
      </c>
      <c r="E45" s="426">
        <v>0</v>
      </c>
      <c r="F45" s="426">
        <v>0</v>
      </c>
      <c r="G45" s="426">
        <v>0</v>
      </c>
      <c r="H45" s="426">
        <v>0</v>
      </c>
      <c r="I45" s="427">
        <f t="shared" si="1"/>
        <v>0</v>
      </c>
      <c r="J45" s="428">
        <f t="shared" si="2"/>
        <v>0</v>
      </c>
      <c r="K45" s="428">
        <f t="shared" si="3"/>
        <v>0</v>
      </c>
      <c r="L45" s="488">
        <v>0</v>
      </c>
      <c r="M45" s="487"/>
      <c r="N45" s="487"/>
      <c r="O45" s="487"/>
      <c r="P45" s="487"/>
      <c r="Q45" s="487"/>
      <c r="R45" s="487"/>
      <c r="S45" s="487"/>
      <c r="T45" s="487"/>
    </row>
    <row r="46" spans="1:20" s="405" customFormat="1" ht="15" hidden="1" x14ac:dyDescent="0.25">
      <c r="A46" s="424" t="s">
        <v>221</v>
      </c>
      <c r="B46" s="424"/>
      <c r="C46" s="425">
        <f t="shared" si="0"/>
        <v>0</v>
      </c>
      <c r="D46" s="426">
        <v>0</v>
      </c>
      <c r="E46" s="426">
        <v>0</v>
      </c>
      <c r="F46" s="426">
        <v>0</v>
      </c>
      <c r="G46" s="426">
        <v>0</v>
      </c>
      <c r="H46" s="426">
        <v>0</v>
      </c>
      <c r="I46" s="427">
        <f t="shared" si="1"/>
        <v>0</v>
      </c>
      <c r="J46" s="428">
        <f t="shared" si="2"/>
        <v>0</v>
      </c>
      <c r="K46" s="428">
        <f t="shared" si="3"/>
        <v>0</v>
      </c>
      <c r="L46" s="488">
        <v>0</v>
      </c>
      <c r="M46" s="487"/>
      <c r="N46" s="487"/>
      <c r="O46" s="487"/>
      <c r="P46" s="487"/>
      <c r="Q46" s="487"/>
      <c r="R46" s="487"/>
      <c r="S46" s="487"/>
      <c r="T46" s="487"/>
    </row>
    <row r="47" spans="1:20" s="405" customFormat="1" ht="15" hidden="1" x14ac:dyDescent="0.25">
      <c r="A47" s="424" t="s">
        <v>222</v>
      </c>
      <c r="B47" s="424"/>
      <c r="C47" s="425">
        <f t="shared" si="0"/>
        <v>0</v>
      </c>
      <c r="D47" s="426">
        <v>0</v>
      </c>
      <c r="E47" s="426">
        <v>0</v>
      </c>
      <c r="F47" s="426">
        <v>0</v>
      </c>
      <c r="G47" s="426">
        <v>0</v>
      </c>
      <c r="H47" s="426">
        <v>0</v>
      </c>
      <c r="I47" s="427">
        <f t="shared" si="1"/>
        <v>0</v>
      </c>
      <c r="J47" s="428">
        <f t="shared" si="2"/>
        <v>0</v>
      </c>
      <c r="K47" s="428">
        <f t="shared" si="3"/>
        <v>0</v>
      </c>
      <c r="L47" s="488">
        <v>0</v>
      </c>
      <c r="M47" s="487"/>
      <c r="N47" s="487"/>
      <c r="O47" s="487"/>
      <c r="P47" s="487"/>
      <c r="Q47" s="487"/>
      <c r="R47" s="487"/>
      <c r="S47" s="487"/>
      <c r="T47" s="487"/>
    </row>
    <row r="48" spans="1:20" s="405" customFormat="1" ht="15" hidden="1" x14ac:dyDescent="0.25">
      <c r="A48" s="424" t="s">
        <v>223</v>
      </c>
      <c r="B48" s="424"/>
      <c r="C48" s="425">
        <f t="shared" si="0"/>
        <v>0</v>
      </c>
      <c r="D48" s="426">
        <v>0</v>
      </c>
      <c r="E48" s="426">
        <v>0</v>
      </c>
      <c r="F48" s="426">
        <v>0</v>
      </c>
      <c r="G48" s="426">
        <v>0</v>
      </c>
      <c r="H48" s="426">
        <v>0</v>
      </c>
      <c r="I48" s="427">
        <f t="shared" si="1"/>
        <v>0</v>
      </c>
      <c r="J48" s="428">
        <f t="shared" si="2"/>
        <v>0</v>
      </c>
      <c r="K48" s="428">
        <f t="shared" si="3"/>
        <v>0</v>
      </c>
      <c r="L48" s="488">
        <v>0</v>
      </c>
      <c r="M48" s="487"/>
      <c r="N48" s="487"/>
      <c r="O48" s="487"/>
      <c r="P48" s="487"/>
      <c r="Q48" s="487"/>
      <c r="R48" s="487"/>
      <c r="S48" s="487"/>
      <c r="T48" s="487"/>
    </row>
    <row r="49" spans="1:20" ht="15" hidden="1" x14ac:dyDescent="0.25">
      <c r="A49" s="424" t="s">
        <v>224</v>
      </c>
      <c r="B49" s="424"/>
      <c r="C49" s="425">
        <f t="shared" si="0"/>
        <v>0</v>
      </c>
      <c r="D49" s="426">
        <v>0</v>
      </c>
      <c r="E49" s="426">
        <v>0</v>
      </c>
      <c r="F49" s="426">
        <v>0</v>
      </c>
      <c r="G49" s="426">
        <v>0</v>
      </c>
      <c r="H49" s="426">
        <v>0</v>
      </c>
      <c r="I49" s="427">
        <f t="shared" si="1"/>
        <v>0</v>
      </c>
      <c r="J49" s="428">
        <f t="shared" si="2"/>
        <v>0</v>
      </c>
      <c r="K49" s="428">
        <f t="shared" si="3"/>
        <v>0</v>
      </c>
      <c r="L49" s="488">
        <v>0</v>
      </c>
      <c r="M49" s="487"/>
      <c r="N49" s="487"/>
      <c r="O49" s="487"/>
      <c r="P49" s="487"/>
      <c r="Q49" s="487"/>
      <c r="R49" s="487"/>
      <c r="S49" s="487"/>
      <c r="T49" s="487"/>
    </row>
    <row r="50" spans="1:20" ht="15" hidden="1" x14ac:dyDescent="0.25">
      <c r="A50" s="424" t="s">
        <v>225</v>
      </c>
      <c r="B50" s="424"/>
      <c r="C50" s="425">
        <f t="shared" si="0"/>
        <v>0</v>
      </c>
      <c r="D50" s="426">
        <v>0</v>
      </c>
      <c r="E50" s="426">
        <v>0</v>
      </c>
      <c r="F50" s="426">
        <v>0</v>
      </c>
      <c r="G50" s="426">
        <v>0</v>
      </c>
      <c r="H50" s="426">
        <v>0</v>
      </c>
      <c r="I50" s="427">
        <f t="shared" si="1"/>
        <v>0</v>
      </c>
      <c r="J50" s="428">
        <f t="shared" si="2"/>
        <v>0</v>
      </c>
      <c r="K50" s="428">
        <f t="shared" si="3"/>
        <v>0</v>
      </c>
      <c r="L50" s="488">
        <v>0</v>
      </c>
      <c r="M50" s="487"/>
      <c r="N50" s="487"/>
      <c r="O50" s="487"/>
      <c r="P50" s="487"/>
      <c r="Q50" s="487"/>
      <c r="R50" s="487"/>
      <c r="S50" s="487"/>
      <c r="T50" s="487"/>
    </row>
    <row r="51" spans="1:20" ht="15" hidden="1" x14ac:dyDescent="0.25">
      <c r="A51" s="424" t="s">
        <v>226</v>
      </c>
      <c r="B51" s="424"/>
      <c r="C51" s="425">
        <f t="shared" si="0"/>
        <v>0</v>
      </c>
      <c r="D51" s="426">
        <v>0</v>
      </c>
      <c r="E51" s="426">
        <v>0</v>
      </c>
      <c r="F51" s="426">
        <v>0</v>
      </c>
      <c r="G51" s="426">
        <v>0</v>
      </c>
      <c r="H51" s="426">
        <v>0</v>
      </c>
      <c r="I51" s="427">
        <f t="shared" si="1"/>
        <v>0</v>
      </c>
      <c r="J51" s="428">
        <f t="shared" si="2"/>
        <v>0</v>
      </c>
      <c r="K51" s="428">
        <f t="shared" si="3"/>
        <v>0</v>
      </c>
      <c r="L51" s="488">
        <v>0</v>
      </c>
      <c r="M51" s="487"/>
      <c r="N51" s="487"/>
      <c r="O51" s="487"/>
      <c r="P51" s="487"/>
      <c r="Q51" s="487"/>
      <c r="R51" s="487"/>
      <c r="S51" s="487"/>
      <c r="T51" s="487"/>
    </row>
    <row r="52" spans="1:20" ht="15" hidden="1" x14ac:dyDescent="0.25">
      <c r="A52" s="424" t="s">
        <v>227</v>
      </c>
      <c r="B52" s="424"/>
      <c r="C52" s="425">
        <f t="shared" si="0"/>
        <v>0</v>
      </c>
      <c r="D52" s="426">
        <v>0</v>
      </c>
      <c r="E52" s="426">
        <v>0</v>
      </c>
      <c r="F52" s="426">
        <v>0</v>
      </c>
      <c r="G52" s="426">
        <v>0</v>
      </c>
      <c r="H52" s="426">
        <v>0</v>
      </c>
      <c r="I52" s="427">
        <f t="shared" si="1"/>
        <v>0</v>
      </c>
      <c r="J52" s="428">
        <f t="shared" si="2"/>
        <v>0</v>
      </c>
      <c r="K52" s="428">
        <f t="shared" si="3"/>
        <v>0</v>
      </c>
      <c r="L52" s="488">
        <v>0</v>
      </c>
      <c r="M52" s="487"/>
      <c r="N52" s="487"/>
      <c r="O52" s="487"/>
      <c r="P52" s="487"/>
      <c r="Q52" s="487"/>
      <c r="R52" s="487"/>
      <c r="S52" s="487"/>
      <c r="T52" s="487"/>
    </row>
    <row r="53" spans="1:20" ht="15" hidden="1" x14ac:dyDescent="0.25">
      <c r="A53" s="424" t="s">
        <v>228</v>
      </c>
      <c r="B53" s="424"/>
      <c r="C53" s="425">
        <f t="shared" si="0"/>
        <v>0</v>
      </c>
      <c r="D53" s="426">
        <v>0</v>
      </c>
      <c r="E53" s="426">
        <v>0</v>
      </c>
      <c r="F53" s="426">
        <v>0</v>
      </c>
      <c r="G53" s="426">
        <v>0</v>
      </c>
      <c r="H53" s="426">
        <v>0</v>
      </c>
      <c r="I53" s="427">
        <f t="shared" si="1"/>
        <v>0</v>
      </c>
      <c r="J53" s="428">
        <f t="shared" si="2"/>
        <v>0</v>
      </c>
      <c r="K53" s="428">
        <f t="shared" si="3"/>
        <v>0</v>
      </c>
      <c r="L53" s="488">
        <v>0</v>
      </c>
      <c r="M53" s="487"/>
      <c r="N53" s="487"/>
      <c r="O53" s="487"/>
      <c r="P53" s="487"/>
      <c r="Q53" s="487"/>
      <c r="R53" s="487"/>
      <c r="S53" s="487"/>
      <c r="T53" s="487"/>
    </row>
    <row r="54" spans="1:20" ht="15" hidden="1" x14ac:dyDescent="0.25">
      <c r="A54" s="424" t="s">
        <v>229</v>
      </c>
      <c r="B54" s="424"/>
      <c r="C54" s="425">
        <f t="shared" si="0"/>
        <v>0</v>
      </c>
      <c r="D54" s="426">
        <v>0</v>
      </c>
      <c r="E54" s="426">
        <v>0</v>
      </c>
      <c r="F54" s="426">
        <v>0</v>
      </c>
      <c r="G54" s="426">
        <v>0</v>
      </c>
      <c r="H54" s="426">
        <v>0</v>
      </c>
      <c r="I54" s="427">
        <f t="shared" si="1"/>
        <v>0</v>
      </c>
      <c r="J54" s="428">
        <f t="shared" si="2"/>
        <v>0</v>
      </c>
      <c r="K54" s="428">
        <f t="shared" si="3"/>
        <v>0</v>
      </c>
      <c r="L54" s="488">
        <v>0</v>
      </c>
      <c r="M54" s="487"/>
      <c r="N54" s="487"/>
      <c r="O54" s="487"/>
      <c r="P54" s="487"/>
      <c r="Q54" s="487"/>
      <c r="R54" s="487"/>
      <c r="S54" s="487"/>
      <c r="T54" s="487"/>
    </row>
    <row r="55" spans="1:20" ht="15" hidden="1" x14ac:dyDescent="0.25">
      <c r="A55" s="424" t="s">
        <v>230</v>
      </c>
      <c r="B55" s="424"/>
      <c r="C55" s="425">
        <f t="shared" si="0"/>
        <v>0</v>
      </c>
      <c r="D55" s="426">
        <v>0</v>
      </c>
      <c r="E55" s="426">
        <v>0</v>
      </c>
      <c r="F55" s="426">
        <v>0</v>
      </c>
      <c r="G55" s="426">
        <v>0</v>
      </c>
      <c r="H55" s="426">
        <v>0</v>
      </c>
      <c r="I55" s="427">
        <f t="shared" si="1"/>
        <v>0</v>
      </c>
      <c r="J55" s="428">
        <f t="shared" si="2"/>
        <v>0</v>
      </c>
      <c r="K55" s="428">
        <f t="shared" si="3"/>
        <v>0</v>
      </c>
      <c r="L55" s="488">
        <v>0</v>
      </c>
      <c r="M55" s="487"/>
      <c r="N55" s="487"/>
      <c r="O55" s="487"/>
      <c r="P55" s="487"/>
      <c r="Q55" s="487"/>
      <c r="R55" s="487"/>
      <c r="S55" s="487"/>
      <c r="T55" s="487"/>
    </row>
    <row r="56" spans="1:20" ht="15" hidden="1" x14ac:dyDescent="0.25">
      <c r="A56" s="424" t="s">
        <v>231</v>
      </c>
      <c r="B56" s="424"/>
      <c r="C56" s="425">
        <f t="shared" si="0"/>
        <v>0</v>
      </c>
      <c r="D56" s="426">
        <v>0</v>
      </c>
      <c r="E56" s="426">
        <v>0</v>
      </c>
      <c r="F56" s="426">
        <v>0</v>
      </c>
      <c r="G56" s="426">
        <v>0</v>
      </c>
      <c r="H56" s="426">
        <v>0</v>
      </c>
      <c r="I56" s="427">
        <f t="shared" si="1"/>
        <v>0</v>
      </c>
      <c r="J56" s="428">
        <f t="shared" si="2"/>
        <v>0</v>
      </c>
      <c r="K56" s="428">
        <f t="shared" si="3"/>
        <v>0</v>
      </c>
      <c r="L56" s="488">
        <v>0</v>
      </c>
      <c r="M56" s="487"/>
      <c r="N56" s="487"/>
      <c r="O56" s="487"/>
      <c r="P56" s="487"/>
      <c r="Q56" s="487"/>
      <c r="R56" s="487"/>
      <c r="S56" s="487"/>
      <c r="T56" s="487"/>
    </row>
    <row r="57" spans="1:20" ht="15" hidden="1" x14ac:dyDescent="0.25">
      <c r="A57" s="424" t="s">
        <v>232</v>
      </c>
      <c r="B57" s="424"/>
      <c r="C57" s="425">
        <f t="shared" si="0"/>
        <v>0</v>
      </c>
      <c r="D57" s="426">
        <v>0</v>
      </c>
      <c r="E57" s="426">
        <v>0</v>
      </c>
      <c r="F57" s="426">
        <v>0</v>
      </c>
      <c r="G57" s="426">
        <v>0</v>
      </c>
      <c r="H57" s="426">
        <v>0</v>
      </c>
      <c r="I57" s="427">
        <f t="shared" si="1"/>
        <v>0</v>
      </c>
      <c r="J57" s="428">
        <f t="shared" si="2"/>
        <v>0</v>
      </c>
      <c r="K57" s="428">
        <f t="shared" si="3"/>
        <v>0</v>
      </c>
      <c r="L57" s="488">
        <v>0</v>
      </c>
      <c r="M57" s="487"/>
      <c r="N57" s="487"/>
      <c r="O57" s="487"/>
      <c r="P57" s="487"/>
      <c r="Q57" s="487"/>
      <c r="R57" s="487"/>
      <c r="S57" s="487"/>
      <c r="T57" s="487"/>
    </row>
    <row r="58" spans="1:20" ht="15" hidden="1" x14ac:dyDescent="0.25">
      <c r="A58" s="424" t="s">
        <v>233</v>
      </c>
      <c r="B58" s="424"/>
      <c r="C58" s="425">
        <f t="shared" si="0"/>
        <v>0</v>
      </c>
      <c r="D58" s="426">
        <v>0</v>
      </c>
      <c r="E58" s="426">
        <v>0</v>
      </c>
      <c r="F58" s="426">
        <v>0</v>
      </c>
      <c r="G58" s="426">
        <v>0</v>
      </c>
      <c r="H58" s="426">
        <v>0</v>
      </c>
      <c r="I58" s="427">
        <f t="shared" si="1"/>
        <v>0</v>
      </c>
      <c r="J58" s="428">
        <f t="shared" si="2"/>
        <v>0</v>
      </c>
      <c r="K58" s="428">
        <f t="shared" si="3"/>
        <v>0</v>
      </c>
      <c r="L58" s="488">
        <v>0</v>
      </c>
      <c r="M58" s="487"/>
      <c r="N58" s="487"/>
      <c r="O58" s="487"/>
      <c r="P58" s="487"/>
      <c r="Q58" s="487"/>
      <c r="R58" s="487"/>
      <c r="S58" s="487"/>
      <c r="T58" s="487"/>
    </row>
    <row r="59" spans="1:20" ht="15" hidden="1" x14ac:dyDescent="0.25">
      <c r="A59" s="424" t="s">
        <v>234</v>
      </c>
      <c r="B59" s="424"/>
      <c r="C59" s="425">
        <f t="shared" si="0"/>
        <v>0</v>
      </c>
      <c r="D59" s="426">
        <v>0</v>
      </c>
      <c r="E59" s="426">
        <v>0</v>
      </c>
      <c r="F59" s="426">
        <v>0</v>
      </c>
      <c r="G59" s="426">
        <v>0</v>
      </c>
      <c r="H59" s="426">
        <v>0</v>
      </c>
      <c r="I59" s="427">
        <f t="shared" si="1"/>
        <v>0</v>
      </c>
      <c r="J59" s="428">
        <f t="shared" si="2"/>
        <v>0</v>
      </c>
      <c r="K59" s="428">
        <f t="shared" si="3"/>
        <v>0</v>
      </c>
      <c r="L59" s="488">
        <v>0</v>
      </c>
      <c r="M59" s="487"/>
      <c r="N59" s="487"/>
      <c r="O59" s="487"/>
      <c r="P59" s="487"/>
      <c r="Q59" s="487"/>
      <c r="R59" s="487"/>
      <c r="S59" s="487"/>
      <c r="T59" s="487"/>
    </row>
    <row r="60" spans="1:20" ht="15" hidden="1" x14ac:dyDescent="0.25">
      <c r="A60" s="424" t="s">
        <v>235</v>
      </c>
      <c r="B60" s="424"/>
      <c r="C60" s="425">
        <f t="shared" si="0"/>
        <v>0</v>
      </c>
      <c r="D60" s="426">
        <v>0</v>
      </c>
      <c r="E60" s="426">
        <v>0</v>
      </c>
      <c r="F60" s="426">
        <v>0</v>
      </c>
      <c r="G60" s="426">
        <v>0</v>
      </c>
      <c r="H60" s="426">
        <v>0</v>
      </c>
      <c r="I60" s="427">
        <f t="shared" si="1"/>
        <v>0</v>
      </c>
      <c r="J60" s="428">
        <f t="shared" si="2"/>
        <v>0</v>
      </c>
      <c r="K60" s="428">
        <f t="shared" si="3"/>
        <v>0</v>
      </c>
      <c r="L60" s="488">
        <v>0</v>
      </c>
      <c r="M60" s="487"/>
      <c r="N60" s="487"/>
      <c r="O60" s="487"/>
      <c r="P60" s="487"/>
      <c r="Q60" s="487"/>
      <c r="R60" s="487"/>
      <c r="S60" s="487"/>
      <c r="T60" s="487"/>
    </row>
    <row r="61" spans="1:20" ht="15" hidden="1" x14ac:dyDescent="0.25">
      <c r="A61" s="424" t="s">
        <v>236</v>
      </c>
      <c r="B61" s="424"/>
      <c r="C61" s="425">
        <f t="shared" si="0"/>
        <v>0</v>
      </c>
      <c r="D61" s="426">
        <v>0</v>
      </c>
      <c r="E61" s="426">
        <v>0</v>
      </c>
      <c r="F61" s="426">
        <v>0</v>
      </c>
      <c r="G61" s="426">
        <v>0</v>
      </c>
      <c r="H61" s="426">
        <v>0</v>
      </c>
      <c r="I61" s="427">
        <f t="shared" si="1"/>
        <v>0</v>
      </c>
      <c r="J61" s="428">
        <f t="shared" si="2"/>
        <v>0</v>
      </c>
      <c r="K61" s="428">
        <f t="shared" si="3"/>
        <v>0</v>
      </c>
      <c r="L61" s="488">
        <v>0</v>
      </c>
      <c r="M61" s="487"/>
      <c r="N61" s="487"/>
      <c r="O61" s="487"/>
      <c r="P61" s="487"/>
      <c r="Q61" s="487"/>
      <c r="R61" s="487"/>
      <c r="S61" s="487"/>
      <c r="T61" s="487"/>
    </row>
    <row r="62" spans="1:20" ht="15" hidden="1" x14ac:dyDescent="0.25">
      <c r="A62" s="424" t="s">
        <v>237</v>
      </c>
      <c r="B62" s="424"/>
      <c r="C62" s="425">
        <f t="shared" si="0"/>
        <v>0</v>
      </c>
      <c r="D62" s="426">
        <v>0</v>
      </c>
      <c r="E62" s="426">
        <v>0</v>
      </c>
      <c r="F62" s="426">
        <v>0</v>
      </c>
      <c r="G62" s="426">
        <v>0</v>
      </c>
      <c r="H62" s="426">
        <v>0</v>
      </c>
      <c r="I62" s="427">
        <f t="shared" si="1"/>
        <v>0</v>
      </c>
      <c r="J62" s="428">
        <f t="shared" si="2"/>
        <v>0</v>
      </c>
      <c r="K62" s="428">
        <f t="shared" si="3"/>
        <v>0</v>
      </c>
      <c r="L62" s="488">
        <v>0</v>
      </c>
      <c r="M62" s="487"/>
      <c r="N62" s="487"/>
      <c r="O62" s="487"/>
      <c r="P62" s="487"/>
      <c r="Q62" s="487"/>
      <c r="R62" s="487"/>
      <c r="S62" s="487"/>
      <c r="T62" s="487"/>
    </row>
    <row r="63" spans="1:20" ht="15" hidden="1" x14ac:dyDescent="0.25">
      <c r="A63" s="424" t="s">
        <v>238</v>
      </c>
      <c r="B63" s="424"/>
      <c r="C63" s="425">
        <f t="shared" si="0"/>
        <v>0</v>
      </c>
      <c r="D63" s="426">
        <v>0</v>
      </c>
      <c r="E63" s="426">
        <v>0</v>
      </c>
      <c r="F63" s="426">
        <v>0</v>
      </c>
      <c r="G63" s="426">
        <v>0</v>
      </c>
      <c r="H63" s="426">
        <v>0</v>
      </c>
      <c r="I63" s="427">
        <f t="shared" si="1"/>
        <v>0</v>
      </c>
      <c r="J63" s="428">
        <f t="shared" si="2"/>
        <v>0</v>
      </c>
      <c r="K63" s="428">
        <f t="shared" si="3"/>
        <v>0</v>
      </c>
      <c r="L63" s="488">
        <v>0</v>
      </c>
      <c r="M63" s="487"/>
      <c r="N63" s="487"/>
      <c r="O63" s="487"/>
      <c r="P63" s="487"/>
      <c r="Q63" s="487"/>
      <c r="R63" s="487"/>
      <c r="S63" s="487"/>
      <c r="T63" s="487"/>
    </row>
    <row r="64" spans="1:20" ht="15" hidden="1" x14ac:dyDescent="0.25">
      <c r="A64" s="424" t="s">
        <v>239</v>
      </c>
      <c r="B64" s="424"/>
      <c r="C64" s="425">
        <f t="shared" si="0"/>
        <v>0</v>
      </c>
      <c r="D64" s="426">
        <v>0</v>
      </c>
      <c r="E64" s="426">
        <v>0</v>
      </c>
      <c r="F64" s="426">
        <v>0</v>
      </c>
      <c r="G64" s="426">
        <v>0</v>
      </c>
      <c r="H64" s="426">
        <v>0</v>
      </c>
      <c r="I64" s="427">
        <f t="shared" si="1"/>
        <v>0</v>
      </c>
      <c r="J64" s="428">
        <f t="shared" si="2"/>
        <v>0</v>
      </c>
      <c r="K64" s="428">
        <f t="shared" si="3"/>
        <v>0</v>
      </c>
      <c r="L64" s="488">
        <v>0</v>
      </c>
      <c r="M64" s="487"/>
      <c r="N64" s="487"/>
      <c r="O64" s="487"/>
      <c r="P64" s="487"/>
      <c r="Q64" s="487"/>
      <c r="R64" s="487"/>
      <c r="S64" s="487"/>
      <c r="T64" s="487"/>
    </row>
    <row r="65" spans="1:20" ht="15" hidden="1" x14ac:dyDescent="0.25">
      <c r="A65" s="424" t="s">
        <v>240</v>
      </c>
      <c r="B65" s="424"/>
      <c r="C65" s="425">
        <f t="shared" si="0"/>
        <v>0</v>
      </c>
      <c r="D65" s="426">
        <v>0</v>
      </c>
      <c r="E65" s="426">
        <v>0</v>
      </c>
      <c r="F65" s="426">
        <v>0</v>
      </c>
      <c r="G65" s="426">
        <v>0</v>
      </c>
      <c r="H65" s="426">
        <v>0</v>
      </c>
      <c r="I65" s="427">
        <f t="shared" si="1"/>
        <v>0</v>
      </c>
      <c r="J65" s="428">
        <f t="shared" si="2"/>
        <v>0</v>
      </c>
      <c r="K65" s="428">
        <f t="shared" si="3"/>
        <v>0</v>
      </c>
      <c r="L65" s="488">
        <v>0</v>
      </c>
      <c r="M65" s="487"/>
      <c r="N65" s="487"/>
      <c r="O65" s="487"/>
      <c r="P65" s="487"/>
      <c r="Q65" s="487"/>
      <c r="R65" s="487"/>
      <c r="S65" s="487"/>
      <c r="T65" s="487"/>
    </row>
    <row r="66" spans="1:20" ht="15" hidden="1" x14ac:dyDescent="0.25">
      <c r="A66" s="424" t="s">
        <v>241</v>
      </c>
      <c r="B66" s="424"/>
      <c r="C66" s="425">
        <f t="shared" ref="C66:C97" si="4">SUM(D66:H66)</f>
        <v>0</v>
      </c>
      <c r="D66" s="426">
        <v>0</v>
      </c>
      <c r="E66" s="426">
        <v>0</v>
      </c>
      <c r="F66" s="426">
        <v>0</v>
      </c>
      <c r="G66" s="426">
        <v>0</v>
      </c>
      <c r="H66" s="426">
        <v>0</v>
      </c>
      <c r="I66" s="427">
        <f t="shared" si="1"/>
        <v>0</v>
      </c>
      <c r="J66" s="428">
        <f t="shared" si="2"/>
        <v>0</v>
      </c>
      <c r="K66" s="428">
        <f t="shared" si="3"/>
        <v>0</v>
      </c>
      <c r="L66" s="488">
        <v>0</v>
      </c>
      <c r="M66" s="487"/>
      <c r="N66" s="487"/>
      <c r="O66" s="487"/>
      <c r="P66" s="487"/>
      <c r="Q66" s="487"/>
      <c r="R66" s="487"/>
      <c r="S66" s="487"/>
      <c r="T66" s="487"/>
    </row>
    <row r="67" spans="1:20" ht="15" hidden="1" x14ac:dyDescent="0.25">
      <c r="A67" s="424" t="s">
        <v>242</v>
      </c>
      <c r="B67" s="424"/>
      <c r="C67" s="425">
        <f t="shared" si="4"/>
        <v>0</v>
      </c>
      <c r="D67" s="426">
        <v>0</v>
      </c>
      <c r="E67" s="426">
        <v>0</v>
      </c>
      <c r="F67" s="426">
        <v>0</v>
      </c>
      <c r="G67" s="426">
        <v>0</v>
      </c>
      <c r="H67" s="426">
        <v>0</v>
      </c>
      <c r="I67" s="427">
        <f t="shared" si="1"/>
        <v>0</v>
      </c>
      <c r="J67" s="428">
        <f t="shared" si="2"/>
        <v>0</v>
      </c>
      <c r="K67" s="428">
        <f t="shared" si="3"/>
        <v>0</v>
      </c>
      <c r="L67" s="488">
        <v>0</v>
      </c>
      <c r="M67" s="487"/>
      <c r="N67" s="487"/>
      <c r="O67" s="487"/>
      <c r="P67" s="487"/>
      <c r="Q67" s="487"/>
      <c r="R67" s="487"/>
      <c r="S67" s="487"/>
      <c r="T67" s="487"/>
    </row>
    <row r="68" spans="1:20" ht="15" hidden="1" x14ac:dyDescent="0.25">
      <c r="A68" s="424" t="s">
        <v>243</v>
      </c>
      <c r="B68" s="424"/>
      <c r="C68" s="425">
        <f t="shared" si="4"/>
        <v>0</v>
      </c>
      <c r="D68" s="426">
        <v>0</v>
      </c>
      <c r="E68" s="426">
        <v>0</v>
      </c>
      <c r="F68" s="426">
        <v>0</v>
      </c>
      <c r="G68" s="426">
        <v>0</v>
      </c>
      <c r="H68" s="426">
        <v>0</v>
      </c>
      <c r="I68" s="427">
        <f t="shared" si="1"/>
        <v>0</v>
      </c>
      <c r="J68" s="428">
        <f t="shared" si="2"/>
        <v>0</v>
      </c>
      <c r="K68" s="428">
        <f t="shared" si="3"/>
        <v>0</v>
      </c>
      <c r="L68" s="488">
        <v>0</v>
      </c>
      <c r="M68" s="487"/>
      <c r="N68" s="487"/>
      <c r="O68" s="487"/>
      <c r="P68" s="487"/>
      <c r="Q68" s="487"/>
      <c r="R68" s="487"/>
      <c r="S68" s="487"/>
      <c r="T68" s="487"/>
    </row>
    <row r="69" spans="1:20" ht="15" hidden="1" x14ac:dyDescent="0.25">
      <c r="A69" s="424" t="s">
        <v>244</v>
      </c>
      <c r="B69" s="424"/>
      <c r="C69" s="425">
        <f t="shared" si="4"/>
        <v>0</v>
      </c>
      <c r="D69" s="426">
        <v>0</v>
      </c>
      <c r="E69" s="426">
        <v>0</v>
      </c>
      <c r="F69" s="426">
        <v>0</v>
      </c>
      <c r="G69" s="426">
        <v>0</v>
      </c>
      <c r="H69" s="426">
        <v>0</v>
      </c>
      <c r="I69" s="427">
        <f t="shared" si="1"/>
        <v>0</v>
      </c>
      <c r="J69" s="428">
        <f t="shared" si="2"/>
        <v>0</v>
      </c>
      <c r="K69" s="428">
        <f t="shared" si="3"/>
        <v>0</v>
      </c>
      <c r="L69" s="488">
        <v>0</v>
      </c>
      <c r="M69" s="487"/>
      <c r="N69" s="487"/>
      <c r="O69" s="487"/>
      <c r="P69" s="487"/>
      <c r="Q69" s="487"/>
      <c r="R69" s="487"/>
      <c r="S69" s="487"/>
      <c r="T69" s="487"/>
    </row>
    <row r="70" spans="1:20" ht="15" hidden="1" x14ac:dyDescent="0.25">
      <c r="A70" s="424" t="s">
        <v>245</v>
      </c>
      <c r="B70" s="424"/>
      <c r="C70" s="425">
        <f t="shared" si="4"/>
        <v>0</v>
      </c>
      <c r="D70" s="426">
        <v>0</v>
      </c>
      <c r="E70" s="426">
        <v>0</v>
      </c>
      <c r="F70" s="426">
        <v>0</v>
      </c>
      <c r="G70" s="426">
        <v>0</v>
      </c>
      <c r="H70" s="426">
        <v>0</v>
      </c>
      <c r="I70" s="427">
        <f t="shared" si="1"/>
        <v>0</v>
      </c>
      <c r="J70" s="428">
        <f t="shared" si="2"/>
        <v>0</v>
      </c>
      <c r="K70" s="428">
        <f t="shared" si="3"/>
        <v>0</v>
      </c>
      <c r="L70" s="488">
        <v>0</v>
      </c>
      <c r="M70" s="487"/>
      <c r="N70" s="487"/>
      <c r="O70" s="487"/>
      <c r="P70" s="487"/>
      <c r="Q70" s="487"/>
      <c r="R70" s="487"/>
      <c r="S70" s="487"/>
      <c r="T70" s="487"/>
    </row>
    <row r="71" spans="1:20" ht="15" hidden="1" x14ac:dyDescent="0.25">
      <c r="A71" s="424" t="s">
        <v>246</v>
      </c>
      <c r="B71" s="424"/>
      <c r="C71" s="425">
        <f t="shared" si="4"/>
        <v>0</v>
      </c>
      <c r="D71" s="426">
        <v>0</v>
      </c>
      <c r="E71" s="426">
        <v>0</v>
      </c>
      <c r="F71" s="426">
        <v>0</v>
      </c>
      <c r="G71" s="426">
        <v>0</v>
      </c>
      <c r="H71" s="426">
        <v>0</v>
      </c>
      <c r="I71" s="427">
        <f t="shared" si="1"/>
        <v>0</v>
      </c>
      <c r="J71" s="428">
        <f t="shared" si="2"/>
        <v>0</v>
      </c>
      <c r="K71" s="428">
        <f t="shared" si="3"/>
        <v>0</v>
      </c>
      <c r="L71" s="488">
        <v>0</v>
      </c>
      <c r="M71" s="487"/>
      <c r="N71" s="487"/>
      <c r="O71" s="487"/>
      <c r="P71" s="487"/>
      <c r="Q71" s="487"/>
      <c r="R71" s="487"/>
      <c r="S71" s="487"/>
      <c r="T71" s="487"/>
    </row>
    <row r="72" spans="1:20" ht="15" hidden="1" x14ac:dyDescent="0.25">
      <c r="A72" s="424" t="s">
        <v>247</v>
      </c>
      <c r="B72" s="424"/>
      <c r="C72" s="425">
        <f t="shared" si="4"/>
        <v>0</v>
      </c>
      <c r="D72" s="426">
        <v>0</v>
      </c>
      <c r="E72" s="426">
        <v>0</v>
      </c>
      <c r="F72" s="426">
        <v>0</v>
      </c>
      <c r="G72" s="426">
        <v>0</v>
      </c>
      <c r="H72" s="426">
        <v>0</v>
      </c>
      <c r="I72" s="427">
        <f t="shared" si="1"/>
        <v>0</v>
      </c>
      <c r="J72" s="428">
        <f t="shared" si="2"/>
        <v>0</v>
      </c>
      <c r="K72" s="428">
        <f t="shared" si="3"/>
        <v>0</v>
      </c>
      <c r="L72" s="488">
        <v>0</v>
      </c>
      <c r="M72" s="487"/>
      <c r="N72" s="487"/>
      <c r="O72" s="487"/>
      <c r="P72" s="487"/>
      <c r="Q72" s="487"/>
      <c r="R72" s="487"/>
      <c r="S72" s="487"/>
      <c r="T72" s="487"/>
    </row>
    <row r="73" spans="1:20" ht="15" hidden="1" x14ac:dyDescent="0.25">
      <c r="A73" s="424" t="s">
        <v>248</v>
      </c>
      <c r="B73" s="424"/>
      <c r="C73" s="425">
        <f t="shared" si="4"/>
        <v>0</v>
      </c>
      <c r="D73" s="426">
        <v>0</v>
      </c>
      <c r="E73" s="426">
        <v>0</v>
      </c>
      <c r="F73" s="426">
        <v>0</v>
      </c>
      <c r="G73" s="426">
        <v>0</v>
      </c>
      <c r="H73" s="426">
        <v>0</v>
      </c>
      <c r="I73" s="427">
        <f t="shared" si="1"/>
        <v>0</v>
      </c>
      <c r="J73" s="428">
        <f t="shared" si="2"/>
        <v>0</v>
      </c>
      <c r="K73" s="428">
        <f t="shared" si="3"/>
        <v>0</v>
      </c>
      <c r="L73" s="488">
        <v>0</v>
      </c>
      <c r="M73" s="487"/>
      <c r="N73" s="487"/>
      <c r="O73" s="487"/>
      <c r="P73" s="487"/>
      <c r="Q73" s="487"/>
      <c r="R73" s="487"/>
      <c r="S73" s="487"/>
      <c r="T73" s="487"/>
    </row>
    <row r="74" spans="1:20" ht="15" hidden="1" x14ac:dyDescent="0.25">
      <c r="A74" s="424" t="s">
        <v>249</v>
      </c>
      <c r="B74" s="424"/>
      <c r="C74" s="425">
        <f t="shared" si="4"/>
        <v>0</v>
      </c>
      <c r="D74" s="426">
        <v>0</v>
      </c>
      <c r="E74" s="426">
        <v>0</v>
      </c>
      <c r="F74" s="426">
        <v>0</v>
      </c>
      <c r="G74" s="426">
        <v>0</v>
      </c>
      <c r="H74" s="426">
        <v>0</v>
      </c>
      <c r="I74" s="427">
        <f t="shared" si="1"/>
        <v>0</v>
      </c>
      <c r="J74" s="428">
        <f t="shared" si="2"/>
        <v>0</v>
      </c>
      <c r="K74" s="428">
        <f t="shared" si="3"/>
        <v>0</v>
      </c>
      <c r="L74" s="488">
        <v>0</v>
      </c>
      <c r="M74" s="487"/>
      <c r="N74" s="487"/>
      <c r="O74" s="487"/>
      <c r="P74" s="487"/>
      <c r="Q74" s="487"/>
      <c r="R74" s="487"/>
      <c r="S74" s="487"/>
      <c r="T74" s="487"/>
    </row>
    <row r="75" spans="1:20" ht="15" hidden="1" x14ac:dyDescent="0.25">
      <c r="A75" s="424" t="s">
        <v>250</v>
      </c>
      <c r="B75" s="424"/>
      <c r="C75" s="425">
        <f t="shared" si="4"/>
        <v>0</v>
      </c>
      <c r="D75" s="426">
        <v>0</v>
      </c>
      <c r="E75" s="426">
        <v>0</v>
      </c>
      <c r="F75" s="426">
        <v>0</v>
      </c>
      <c r="G75" s="426">
        <v>0</v>
      </c>
      <c r="H75" s="426">
        <v>0</v>
      </c>
      <c r="I75" s="427">
        <f t="shared" si="1"/>
        <v>0</v>
      </c>
      <c r="J75" s="428">
        <f t="shared" si="2"/>
        <v>0</v>
      </c>
      <c r="K75" s="428">
        <f t="shared" si="3"/>
        <v>0</v>
      </c>
      <c r="L75" s="488">
        <v>0</v>
      </c>
      <c r="M75" s="487"/>
      <c r="N75" s="487"/>
      <c r="O75" s="487"/>
      <c r="P75" s="487"/>
      <c r="Q75" s="487"/>
      <c r="R75" s="487"/>
      <c r="S75" s="487"/>
      <c r="T75" s="487"/>
    </row>
    <row r="76" spans="1:20" ht="15" hidden="1" x14ac:dyDescent="0.25">
      <c r="A76" s="424" t="s">
        <v>251</v>
      </c>
      <c r="B76" s="424"/>
      <c r="C76" s="425">
        <f t="shared" si="4"/>
        <v>0</v>
      </c>
      <c r="D76" s="426">
        <v>0</v>
      </c>
      <c r="E76" s="426">
        <v>0</v>
      </c>
      <c r="F76" s="426">
        <v>0</v>
      </c>
      <c r="G76" s="426">
        <v>0</v>
      </c>
      <c r="H76" s="426">
        <v>0</v>
      </c>
      <c r="I76" s="427">
        <f t="shared" si="1"/>
        <v>0</v>
      </c>
      <c r="J76" s="428">
        <f t="shared" si="2"/>
        <v>0</v>
      </c>
      <c r="K76" s="428">
        <f t="shared" si="3"/>
        <v>0</v>
      </c>
      <c r="L76" s="488">
        <v>0</v>
      </c>
      <c r="M76" s="487"/>
      <c r="N76" s="487"/>
      <c r="O76" s="487"/>
      <c r="P76" s="487"/>
      <c r="Q76" s="487"/>
      <c r="R76" s="487"/>
      <c r="S76" s="487"/>
      <c r="T76" s="487"/>
    </row>
    <row r="77" spans="1:20" ht="15" hidden="1" x14ac:dyDescent="0.25">
      <c r="A77" s="424" t="s">
        <v>252</v>
      </c>
      <c r="B77" s="424"/>
      <c r="C77" s="425">
        <f t="shared" si="4"/>
        <v>0</v>
      </c>
      <c r="D77" s="426">
        <v>0</v>
      </c>
      <c r="E77" s="426">
        <v>0</v>
      </c>
      <c r="F77" s="426">
        <v>0</v>
      </c>
      <c r="G77" s="426">
        <v>0</v>
      </c>
      <c r="H77" s="426">
        <v>0</v>
      </c>
      <c r="I77" s="427">
        <f t="shared" si="1"/>
        <v>0</v>
      </c>
      <c r="J77" s="428">
        <f t="shared" si="2"/>
        <v>0</v>
      </c>
      <c r="K77" s="428">
        <f t="shared" si="3"/>
        <v>0</v>
      </c>
      <c r="L77" s="488">
        <v>0</v>
      </c>
      <c r="M77" s="487"/>
      <c r="N77" s="487"/>
      <c r="O77" s="487"/>
      <c r="P77" s="487"/>
      <c r="Q77" s="487"/>
      <c r="R77" s="487"/>
      <c r="S77" s="487"/>
      <c r="T77" s="487"/>
    </row>
    <row r="78" spans="1:20" ht="15" hidden="1" x14ac:dyDescent="0.25">
      <c r="A78" s="424" t="s">
        <v>253</v>
      </c>
      <c r="B78" s="424"/>
      <c r="C78" s="425">
        <f t="shared" si="4"/>
        <v>0</v>
      </c>
      <c r="D78" s="426">
        <v>0</v>
      </c>
      <c r="E78" s="426">
        <v>0</v>
      </c>
      <c r="F78" s="426">
        <v>0</v>
      </c>
      <c r="G78" s="426">
        <v>0</v>
      </c>
      <c r="H78" s="426">
        <v>0</v>
      </c>
      <c r="I78" s="427">
        <f t="shared" si="1"/>
        <v>0</v>
      </c>
      <c r="J78" s="428">
        <f t="shared" si="2"/>
        <v>0</v>
      </c>
      <c r="K78" s="428">
        <f t="shared" si="3"/>
        <v>0</v>
      </c>
      <c r="L78" s="488">
        <v>0</v>
      </c>
      <c r="M78" s="487"/>
      <c r="N78" s="487"/>
      <c r="O78" s="487"/>
      <c r="P78" s="487"/>
      <c r="Q78" s="487"/>
      <c r="R78" s="487"/>
      <c r="S78" s="487"/>
      <c r="T78" s="487"/>
    </row>
    <row r="79" spans="1:20" ht="15" hidden="1" x14ac:dyDescent="0.25">
      <c r="A79" s="424" t="s">
        <v>254</v>
      </c>
      <c r="B79" s="424"/>
      <c r="C79" s="425">
        <f t="shared" si="4"/>
        <v>0</v>
      </c>
      <c r="D79" s="426">
        <v>0</v>
      </c>
      <c r="E79" s="426">
        <v>0</v>
      </c>
      <c r="F79" s="426">
        <v>0</v>
      </c>
      <c r="G79" s="426">
        <v>0</v>
      </c>
      <c r="H79" s="426">
        <v>0</v>
      </c>
      <c r="I79" s="427">
        <f t="shared" si="1"/>
        <v>0</v>
      </c>
      <c r="J79" s="428">
        <f t="shared" si="2"/>
        <v>0</v>
      </c>
      <c r="K79" s="428">
        <f t="shared" si="3"/>
        <v>0</v>
      </c>
      <c r="L79" s="488">
        <v>0</v>
      </c>
      <c r="M79" s="487"/>
      <c r="N79" s="487"/>
      <c r="O79" s="487"/>
      <c r="P79" s="487"/>
      <c r="Q79" s="487"/>
      <c r="R79" s="487"/>
      <c r="S79" s="487"/>
      <c r="T79" s="487"/>
    </row>
    <row r="80" spans="1:20" ht="15" hidden="1" x14ac:dyDescent="0.25">
      <c r="A80" s="424" t="s">
        <v>255</v>
      </c>
      <c r="B80" s="424"/>
      <c r="C80" s="425">
        <f t="shared" si="4"/>
        <v>0</v>
      </c>
      <c r="D80" s="426">
        <v>0</v>
      </c>
      <c r="E80" s="426">
        <v>0</v>
      </c>
      <c r="F80" s="426">
        <v>0</v>
      </c>
      <c r="G80" s="426">
        <v>0</v>
      </c>
      <c r="H80" s="426">
        <v>0</v>
      </c>
      <c r="I80" s="427">
        <f t="shared" si="1"/>
        <v>0</v>
      </c>
      <c r="J80" s="428">
        <f t="shared" si="2"/>
        <v>0</v>
      </c>
      <c r="K80" s="428">
        <f t="shared" si="3"/>
        <v>0</v>
      </c>
      <c r="L80" s="488">
        <v>0</v>
      </c>
      <c r="M80" s="487"/>
      <c r="N80" s="487"/>
      <c r="O80" s="487"/>
      <c r="P80" s="487"/>
      <c r="Q80" s="487"/>
      <c r="R80" s="487"/>
      <c r="S80" s="487"/>
      <c r="T80" s="487"/>
    </row>
    <row r="81" spans="1:20" ht="15" hidden="1" x14ac:dyDescent="0.25">
      <c r="A81" s="424" t="s">
        <v>256</v>
      </c>
      <c r="B81" s="424"/>
      <c r="C81" s="425">
        <f t="shared" si="4"/>
        <v>0</v>
      </c>
      <c r="D81" s="426">
        <v>0</v>
      </c>
      <c r="E81" s="426">
        <v>0</v>
      </c>
      <c r="F81" s="426">
        <v>0</v>
      </c>
      <c r="G81" s="426">
        <v>0</v>
      </c>
      <c r="H81" s="426">
        <v>0</v>
      </c>
      <c r="I81" s="427">
        <f t="shared" si="1"/>
        <v>0</v>
      </c>
      <c r="J81" s="428">
        <f t="shared" si="2"/>
        <v>0</v>
      </c>
      <c r="K81" s="428">
        <f t="shared" si="3"/>
        <v>0</v>
      </c>
      <c r="L81" s="488">
        <v>0</v>
      </c>
      <c r="M81" s="487"/>
      <c r="N81" s="487"/>
      <c r="O81" s="487"/>
      <c r="P81" s="487"/>
      <c r="Q81" s="487"/>
      <c r="R81" s="487"/>
      <c r="S81" s="487"/>
      <c r="T81" s="487"/>
    </row>
    <row r="82" spans="1:20" ht="15" hidden="1" x14ac:dyDescent="0.25">
      <c r="A82" s="424" t="s">
        <v>257</v>
      </c>
      <c r="B82" s="424"/>
      <c r="C82" s="425">
        <f t="shared" si="4"/>
        <v>0</v>
      </c>
      <c r="D82" s="426">
        <v>0</v>
      </c>
      <c r="E82" s="426">
        <v>0</v>
      </c>
      <c r="F82" s="426">
        <v>0</v>
      </c>
      <c r="G82" s="426">
        <v>0</v>
      </c>
      <c r="H82" s="426">
        <v>0</v>
      </c>
      <c r="I82" s="427">
        <f t="shared" si="1"/>
        <v>0</v>
      </c>
      <c r="J82" s="428">
        <f t="shared" si="2"/>
        <v>0</v>
      </c>
      <c r="K82" s="428">
        <f t="shared" si="3"/>
        <v>0</v>
      </c>
      <c r="L82" s="488">
        <v>0</v>
      </c>
      <c r="M82" s="487"/>
      <c r="N82" s="487"/>
      <c r="O82" s="487"/>
      <c r="P82" s="487"/>
      <c r="Q82" s="487"/>
      <c r="R82" s="487"/>
      <c r="S82" s="487"/>
      <c r="T82" s="487"/>
    </row>
    <row r="83" spans="1:20" ht="15" hidden="1" x14ac:dyDescent="0.25">
      <c r="A83" s="424" t="s">
        <v>258</v>
      </c>
      <c r="B83" s="424"/>
      <c r="C83" s="425">
        <f t="shared" si="4"/>
        <v>0</v>
      </c>
      <c r="D83" s="426">
        <v>0</v>
      </c>
      <c r="E83" s="426">
        <v>0</v>
      </c>
      <c r="F83" s="426">
        <v>0</v>
      </c>
      <c r="G83" s="426">
        <v>0</v>
      </c>
      <c r="H83" s="426">
        <v>0</v>
      </c>
      <c r="I83" s="427">
        <f t="shared" si="1"/>
        <v>0</v>
      </c>
      <c r="J83" s="428">
        <f t="shared" si="2"/>
        <v>0</v>
      </c>
      <c r="K83" s="428">
        <f t="shared" si="3"/>
        <v>0</v>
      </c>
      <c r="L83" s="488">
        <v>0</v>
      </c>
      <c r="M83" s="487"/>
      <c r="N83" s="487"/>
      <c r="O83" s="487"/>
      <c r="P83" s="487"/>
      <c r="Q83" s="487"/>
      <c r="R83" s="487"/>
      <c r="S83" s="487"/>
      <c r="T83" s="487"/>
    </row>
    <row r="84" spans="1:20" ht="15" hidden="1" x14ac:dyDescent="0.25">
      <c r="A84" s="424" t="s">
        <v>259</v>
      </c>
      <c r="B84" s="424"/>
      <c r="C84" s="425">
        <f t="shared" si="4"/>
        <v>0</v>
      </c>
      <c r="D84" s="426">
        <v>0</v>
      </c>
      <c r="E84" s="426">
        <v>0</v>
      </c>
      <c r="F84" s="426">
        <v>0</v>
      </c>
      <c r="G84" s="426">
        <v>0</v>
      </c>
      <c r="H84" s="426">
        <v>0</v>
      </c>
      <c r="I84" s="427">
        <f t="shared" si="1"/>
        <v>0</v>
      </c>
      <c r="J84" s="428">
        <f t="shared" si="2"/>
        <v>0</v>
      </c>
      <c r="K84" s="428">
        <f t="shared" si="3"/>
        <v>0</v>
      </c>
      <c r="L84" s="488">
        <v>0</v>
      </c>
      <c r="M84" s="487"/>
      <c r="N84" s="487"/>
      <c r="O84" s="487"/>
      <c r="P84" s="487"/>
      <c r="Q84" s="487"/>
      <c r="R84" s="487"/>
      <c r="S84" s="487"/>
      <c r="T84" s="487"/>
    </row>
    <row r="85" spans="1:20" ht="15" hidden="1" x14ac:dyDescent="0.25">
      <c r="A85" s="424" t="s">
        <v>260</v>
      </c>
      <c r="B85" s="424"/>
      <c r="C85" s="425">
        <f t="shared" si="4"/>
        <v>0</v>
      </c>
      <c r="D85" s="426">
        <v>0</v>
      </c>
      <c r="E85" s="426">
        <v>0</v>
      </c>
      <c r="F85" s="426">
        <v>0</v>
      </c>
      <c r="G85" s="426">
        <v>0</v>
      </c>
      <c r="H85" s="426">
        <v>0</v>
      </c>
      <c r="I85" s="427">
        <f t="shared" si="1"/>
        <v>0</v>
      </c>
      <c r="J85" s="428">
        <f t="shared" si="2"/>
        <v>0</v>
      </c>
      <c r="K85" s="428">
        <f t="shared" si="3"/>
        <v>0</v>
      </c>
      <c r="L85" s="488">
        <v>0</v>
      </c>
      <c r="M85" s="487"/>
      <c r="N85" s="487"/>
      <c r="O85" s="487"/>
      <c r="P85" s="487"/>
      <c r="Q85" s="487"/>
      <c r="R85" s="487"/>
      <c r="S85" s="487"/>
      <c r="T85" s="487"/>
    </row>
    <row r="86" spans="1:20" ht="15" hidden="1" x14ac:dyDescent="0.25">
      <c r="A86" s="424" t="s">
        <v>261</v>
      </c>
      <c r="B86" s="424"/>
      <c r="C86" s="425">
        <f t="shared" si="4"/>
        <v>0</v>
      </c>
      <c r="D86" s="426">
        <v>0</v>
      </c>
      <c r="E86" s="426">
        <v>0</v>
      </c>
      <c r="F86" s="426">
        <v>0</v>
      </c>
      <c r="G86" s="426">
        <v>0</v>
      </c>
      <c r="H86" s="426">
        <v>0</v>
      </c>
      <c r="I86" s="427">
        <f t="shared" si="1"/>
        <v>0</v>
      </c>
      <c r="J86" s="428">
        <f t="shared" si="2"/>
        <v>0</v>
      </c>
      <c r="K86" s="428">
        <f t="shared" si="3"/>
        <v>0</v>
      </c>
      <c r="L86" s="488">
        <v>0</v>
      </c>
      <c r="M86" s="487"/>
      <c r="N86" s="487"/>
      <c r="O86" s="487"/>
      <c r="P86" s="487"/>
      <c r="Q86" s="487"/>
      <c r="R86" s="487"/>
      <c r="S86" s="487"/>
      <c r="T86" s="487"/>
    </row>
    <row r="87" spans="1:20" ht="15" hidden="1" x14ac:dyDescent="0.25">
      <c r="A87" s="424" t="s">
        <v>262</v>
      </c>
      <c r="B87" s="424"/>
      <c r="C87" s="425">
        <f t="shared" si="4"/>
        <v>0</v>
      </c>
      <c r="D87" s="426">
        <v>0</v>
      </c>
      <c r="E87" s="426">
        <v>0</v>
      </c>
      <c r="F87" s="426">
        <v>0</v>
      </c>
      <c r="G87" s="426">
        <v>0</v>
      </c>
      <c r="H87" s="426">
        <v>0</v>
      </c>
      <c r="I87" s="427">
        <f t="shared" si="1"/>
        <v>0</v>
      </c>
      <c r="J87" s="428">
        <f t="shared" si="2"/>
        <v>0</v>
      </c>
      <c r="K87" s="428">
        <f t="shared" si="3"/>
        <v>0</v>
      </c>
      <c r="L87" s="488">
        <v>0</v>
      </c>
      <c r="M87" s="487"/>
      <c r="N87" s="487"/>
      <c r="O87" s="487"/>
      <c r="P87" s="487"/>
      <c r="Q87" s="487"/>
      <c r="R87" s="487"/>
      <c r="S87" s="487"/>
      <c r="T87" s="487"/>
    </row>
    <row r="88" spans="1:20" ht="15" hidden="1" x14ac:dyDescent="0.25">
      <c r="A88" s="424" t="s">
        <v>263</v>
      </c>
      <c r="B88" s="424"/>
      <c r="C88" s="425">
        <f t="shared" si="4"/>
        <v>0</v>
      </c>
      <c r="D88" s="426">
        <v>0</v>
      </c>
      <c r="E88" s="426">
        <v>0</v>
      </c>
      <c r="F88" s="426">
        <v>0</v>
      </c>
      <c r="G88" s="426">
        <v>0</v>
      </c>
      <c r="H88" s="426">
        <v>0</v>
      </c>
      <c r="I88" s="427">
        <f t="shared" si="1"/>
        <v>0</v>
      </c>
      <c r="J88" s="428">
        <f t="shared" si="2"/>
        <v>0</v>
      </c>
      <c r="K88" s="428">
        <f t="shared" si="3"/>
        <v>0</v>
      </c>
      <c r="L88" s="488">
        <v>0</v>
      </c>
      <c r="M88" s="487"/>
      <c r="N88" s="487"/>
      <c r="O88" s="487"/>
      <c r="P88" s="487"/>
      <c r="Q88" s="487"/>
      <c r="R88" s="487"/>
      <c r="S88" s="487"/>
      <c r="T88" s="487"/>
    </row>
    <row r="89" spans="1:20" ht="15" hidden="1" x14ac:dyDescent="0.25">
      <c r="A89" s="424" t="s">
        <v>264</v>
      </c>
      <c r="B89" s="424"/>
      <c r="C89" s="425">
        <f t="shared" si="4"/>
        <v>0</v>
      </c>
      <c r="D89" s="426">
        <v>0</v>
      </c>
      <c r="E89" s="426">
        <v>0</v>
      </c>
      <c r="F89" s="426">
        <v>0</v>
      </c>
      <c r="G89" s="426">
        <v>0</v>
      </c>
      <c r="H89" s="426">
        <v>0</v>
      </c>
      <c r="I89" s="427">
        <f t="shared" si="1"/>
        <v>0</v>
      </c>
      <c r="J89" s="428">
        <f t="shared" si="2"/>
        <v>0</v>
      </c>
      <c r="K89" s="428">
        <f t="shared" si="3"/>
        <v>0</v>
      </c>
      <c r="L89" s="488">
        <v>0</v>
      </c>
      <c r="M89" s="487"/>
      <c r="N89" s="487"/>
      <c r="O89" s="487"/>
      <c r="P89" s="487"/>
      <c r="Q89" s="487"/>
      <c r="R89" s="487"/>
      <c r="S89" s="487"/>
      <c r="T89" s="487"/>
    </row>
    <row r="90" spans="1:20" ht="15" hidden="1" x14ac:dyDescent="0.25">
      <c r="A90" s="424" t="s">
        <v>265</v>
      </c>
      <c r="B90" s="424"/>
      <c r="C90" s="425">
        <f t="shared" si="4"/>
        <v>0</v>
      </c>
      <c r="D90" s="426">
        <v>0</v>
      </c>
      <c r="E90" s="426">
        <v>0</v>
      </c>
      <c r="F90" s="426">
        <v>0</v>
      </c>
      <c r="G90" s="426">
        <v>0</v>
      </c>
      <c r="H90" s="426">
        <v>0</v>
      </c>
      <c r="I90" s="427">
        <f t="shared" si="1"/>
        <v>0</v>
      </c>
      <c r="J90" s="428">
        <f t="shared" si="2"/>
        <v>0</v>
      </c>
      <c r="K90" s="428">
        <f t="shared" si="3"/>
        <v>0</v>
      </c>
      <c r="L90" s="488">
        <v>0</v>
      </c>
      <c r="M90" s="487"/>
      <c r="N90" s="487"/>
      <c r="O90" s="487"/>
      <c r="P90" s="487"/>
      <c r="Q90" s="487"/>
      <c r="R90" s="487"/>
      <c r="S90" s="487"/>
      <c r="T90" s="487"/>
    </row>
    <row r="91" spans="1:20" ht="15" hidden="1" x14ac:dyDescent="0.25">
      <c r="A91" s="424" t="s">
        <v>266</v>
      </c>
      <c r="B91" s="424"/>
      <c r="C91" s="425">
        <f t="shared" si="4"/>
        <v>0</v>
      </c>
      <c r="D91" s="426">
        <v>0</v>
      </c>
      <c r="E91" s="426">
        <v>0</v>
      </c>
      <c r="F91" s="426">
        <v>0</v>
      </c>
      <c r="G91" s="426">
        <v>0</v>
      </c>
      <c r="H91" s="426">
        <v>0</v>
      </c>
      <c r="I91" s="427">
        <f t="shared" si="1"/>
        <v>0</v>
      </c>
      <c r="J91" s="428">
        <f t="shared" si="2"/>
        <v>0</v>
      </c>
      <c r="K91" s="428">
        <f t="shared" si="3"/>
        <v>0</v>
      </c>
      <c r="L91" s="488">
        <v>0</v>
      </c>
      <c r="M91" s="487"/>
      <c r="N91" s="487"/>
      <c r="O91" s="487"/>
      <c r="P91" s="487"/>
      <c r="Q91" s="487"/>
      <c r="R91" s="487"/>
      <c r="S91" s="487"/>
      <c r="T91" s="487"/>
    </row>
    <row r="92" spans="1:20" ht="15" hidden="1" x14ac:dyDescent="0.25">
      <c r="A92" s="424" t="s">
        <v>267</v>
      </c>
      <c r="B92" s="424"/>
      <c r="C92" s="425">
        <f t="shared" si="4"/>
        <v>0</v>
      </c>
      <c r="D92" s="426">
        <v>0</v>
      </c>
      <c r="E92" s="426">
        <v>0</v>
      </c>
      <c r="F92" s="426">
        <v>0</v>
      </c>
      <c r="G92" s="426">
        <v>0</v>
      </c>
      <c r="H92" s="426">
        <v>0</v>
      </c>
      <c r="I92" s="427">
        <f t="shared" si="1"/>
        <v>0</v>
      </c>
      <c r="J92" s="428">
        <f t="shared" si="2"/>
        <v>0</v>
      </c>
      <c r="K92" s="428">
        <f t="shared" si="3"/>
        <v>0</v>
      </c>
      <c r="L92" s="488">
        <v>0</v>
      </c>
      <c r="M92" s="487"/>
      <c r="N92" s="487"/>
      <c r="O92" s="487"/>
      <c r="P92" s="487"/>
      <c r="Q92" s="487"/>
      <c r="R92" s="487"/>
      <c r="S92" s="487"/>
      <c r="T92" s="487"/>
    </row>
    <row r="93" spans="1:20" ht="15" hidden="1" x14ac:dyDescent="0.25">
      <c r="A93" s="424" t="s">
        <v>268</v>
      </c>
      <c r="B93" s="424"/>
      <c r="C93" s="425">
        <f t="shared" si="4"/>
        <v>0</v>
      </c>
      <c r="D93" s="426">
        <v>0</v>
      </c>
      <c r="E93" s="426">
        <v>0</v>
      </c>
      <c r="F93" s="426">
        <v>0</v>
      </c>
      <c r="G93" s="426">
        <v>0</v>
      </c>
      <c r="H93" s="426">
        <v>0</v>
      </c>
      <c r="I93" s="427">
        <f t="shared" si="1"/>
        <v>0</v>
      </c>
      <c r="J93" s="428">
        <f t="shared" si="2"/>
        <v>0</v>
      </c>
      <c r="K93" s="428">
        <f t="shared" si="3"/>
        <v>0</v>
      </c>
      <c r="L93" s="488">
        <v>0</v>
      </c>
      <c r="M93" s="487"/>
      <c r="N93" s="487"/>
      <c r="O93" s="487"/>
      <c r="P93" s="487"/>
      <c r="Q93" s="487"/>
      <c r="R93" s="487"/>
      <c r="S93" s="487"/>
      <c r="T93" s="487"/>
    </row>
    <row r="94" spans="1:20" ht="15" hidden="1" x14ac:dyDescent="0.25">
      <c r="A94" s="424" t="s">
        <v>269</v>
      </c>
      <c r="B94" s="424"/>
      <c r="C94" s="425">
        <f t="shared" si="4"/>
        <v>0</v>
      </c>
      <c r="D94" s="426">
        <v>0</v>
      </c>
      <c r="E94" s="426">
        <v>0</v>
      </c>
      <c r="F94" s="426">
        <v>0</v>
      </c>
      <c r="G94" s="426">
        <v>0</v>
      </c>
      <c r="H94" s="426">
        <v>0</v>
      </c>
      <c r="I94" s="427">
        <f t="shared" si="1"/>
        <v>0</v>
      </c>
      <c r="J94" s="428">
        <f t="shared" si="2"/>
        <v>0</v>
      </c>
      <c r="K94" s="428">
        <f t="shared" si="3"/>
        <v>0</v>
      </c>
      <c r="L94" s="488">
        <v>0</v>
      </c>
      <c r="M94" s="487"/>
      <c r="N94" s="487"/>
      <c r="O94" s="487"/>
      <c r="P94" s="487"/>
      <c r="Q94" s="487"/>
      <c r="R94" s="487"/>
      <c r="S94" s="487"/>
      <c r="T94" s="487"/>
    </row>
    <row r="95" spans="1:20" ht="15" hidden="1" x14ac:dyDescent="0.25">
      <c r="A95" s="424" t="s">
        <v>270</v>
      </c>
      <c r="B95" s="424"/>
      <c r="C95" s="425">
        <f t="shared" si="4"/>
        <v>0</v>
      </c>
      <c r="D95" s="426">
        <v>0</v>
      </c>
      <c r="E95" s="426">
        <v>0</v>
      </c>
      <c r="F95" s="426">
        <v>0</v>
      </c>
      <c r="G95" s="426">
        <v>0</v>
      </c>
      <c r="H95" s="426">
        <v>0</v>
      </c>
      <c r="I95" s="427">
        <f t="shared" si="1"/>
        <v>0</v>
      </c>
      <c r="J95" s="428">
        <f t="shared" si="2"/>
        <v>0</v>
      </c>
      <c r="K95" s="428">
        <f t="shared" si="3"/>
        <v>0</v>
      </c>
      <c r="L95" s="488">
        <v>0</v>
      </c>
      <c r="M95" s="487"/>
      <c r="N95" s="487"/>
      <c r="O95" s="487"/>
      <c r="P95" s="487"/>
      <c r="Q95" s="487"/>
      <c r="R95" s="487"/>
      <c r="S95" s="487"/>
      <c r="T95" s="487"/>
    </row>
    <row r="96" spans="1:20" ht="15" hidden="1" x14ac:dyDescent="0.25">
      <c r="A96" s="424" t="s">
        <v>271</v>
      </c>
      <c r="B96" s="424"/>
      <c r="C96" s="425">
        <f t="shared" si="4"/>
        <v>0</v>
      </c>
      <c r="D96" s="426">
        <v>0</v>
      </c>
      <c r="E96" s="426">
        <v>0</v>
      </c>
      <c r="F96" s="426">
        <v>0</v>
      </c>
      <c r="G96" s="426">
        <v>0</v>
      </c>
      <c r="H96" s="426">
        <v>0</v>
      </c>
      <c r="I96" s="427">
        <f t="shared" si="1"/>
        <v>0</v>
      </c>
      <c r="J96" s="428">
        <f t="shared" si="2"/>
        <v>0</v>
      </c>
      <c r="K96" s="428">
        <f t="shared" si="3"/>
        <v>0</v>
      </c>
      <c r="L96" s="488">
        <v>0</v>
      </c>
      <c r="M96" s="487"/>
      <c r="N96" s="487"/>
      <c r="O96" s="487"/>
      <c r="P96" s="487"/>
      <c r="Q96" s="487"/>
      <c r="R96" s="487"/>
      <c r="S96" s="487"/>
      <c r="T96" s="487"/>
    </row>
    <row r="97" spans="1:20" ht="15" hidden="1" x14ac:dyDescent="0.25">
      <c r="A97" s="424" t="s">
        <v>272</v>
      </c>
      <c r="B97" s="424"/>
      <c r="C97" s="425">
        <f t="shared" si="4"/>
        <v>0</v>
      </c>
      <c r="D97" s="426">
        <v>0</v>
      </c>
      <c r="E97" s="426">
        <v>0</v>
      </c>
      <c r="F97" s="426">
        <v>0</v>
      </c>
      <c r="G97" s="426">
        <v>0</v>
      </c>
      <c r="H97" s="426">
        <v>0</v>
      </c>
      <c r="I97" s="427">
        <f t="shared" si="1"/>
        <v>0</v>
      </c>
      <c r="J97" s="428">
        <f t="shared" si="2"/>
        <v>0</v>
      </c>
      <c r="K97" s="428">
        <f t="shared" si="3"/>
        <v>0</v>
      </c>
      <c r="L97" s="488">
        <v>0</v>
      </c>
      <c r="M97" s="487"/>
      <c r="N97" s="487"/>
      <c r="O97" s="487"/>
      <c r="P97" s="487"/>
      <c r="Q97" s="487"/>
      <c r="R97" s="487"/>
      <c r="S97" s="487"/>
      <c r="T97" s="487"/>
    </row>
    <row r="98" spans="1:20" ht="15" hidden="1" x14ac:dyDescent="0.25">
      <c r="A98" s="424" t="s">
        <v>273</v>
      </c>
      <c r="B98" s="424"/>
      <c r="C98" s="425">
        <f t="shared" ref="C98:C129" si="5">SUM(D98:H98)</f>
        <v>0</v>
      </c>
      <c r="D98" s="426">
        <v>0</v>
      </c>
      <c r="E98" s="426">
        <v>0</v>
      </c>
      <c r="F98" s="426">
        <v>0</v>
      </c>
      <c r="G98" s="426">
        <v>0</v>
      </c>
      <c r="H98" s="426">
        <v>0</v>
      </c>
      <c r="I98" s="427">
        <f t="shared" ref="I98:I161" si="6">IFERROR(+C98/($C$184),0)</f>
        <v>0</v>
      </c>
      <c r="J98" s="428">
        <f t="shared" ref="J98:J161" si="7">+I98*$C$28</f>
        <v>0</v>
      </c>
      <c r="K98" s="428">
        <f t="shared" ref="K98:K161" si="8">+J98/12</f>
        <v>0</v>
      </c>
      <c r="L98" s="488">
        <v>0</v>
      </c>
      <c r="M98" s="487"/>
      <c r="N98" s="487"/>
      <c r="O98" s="487"/>
      <c r="P98" s="487"/>
      <c r="Q98" s="487"/>
      <c r="R98" s="487"/>
      <c r="S98" s="487"/>
      <c r="T98" s="487"/>
    </row>
    <row r="99" spans="1:20" ht="15" hidden="1" x14ac:dyDescent="0.25">
      <c r="A99" s="424" t="s">
        <v>274</v>
      </c>
      <c r="B99" s="424"/>
      <c r="C99" s="425">
        <f t="shared" si="5"/>
        <v>0</v>
      </c>
      <c r="D99" s="426">
        <v>0</v>
      </c>
      <c r="E99" s="426">
        <v>0</v>
      </c>
      <c r="F99" s="426">
        <v>0</v>
      </c>
      <c r="G99" s="426">
        <v>0</v>
      </c>
      <c r="H99" s="426">
        <v>0</v>
      </c>
      <c r="I99" s="427">
        <f t="shared" si="6"/>
        <v>0</v>
      </c>
      <c r="J99" s="428">
        <f t="shared" si="7"/>
        <v>0</v>
      </c>
      <c r="K99" s="428">
        <f t="shared" si="8"/>
        <v>0</v>
      </c>
      <c r="L99" s="488">
        <v>0</v>
      </c>
      <c r="M99" s="487"/>
      <c r="N99" s="487"/>
      <c r="O99" s="487"/>
      <c r="P99" s="487"/>
      <c r="Q99" s="487"/>
      <c r="R99" s="487"/>
      <c r="S99" s="487"/>
      <c r="T99" s="487"/>
    </row>
    <row r="100" spans="1:20" ht="15" hidden="1" x14ac:dyDescent="0.25">
      <c r="A100" s="424" t="s">
        <v>275</v>
      </c>
      <c r="B100" s="424"/>
      <c r="C100" s="425">
        <f t="shared" si="5"/>
        <v>0</v>
      </c>
      <c r="D100" s="426">
        <v>0</v>
      </c>
      <c r="E100" s="426">
        <v>0</v>
      </c>
      <c r="F100" s="426">
        <v>0</v>
      </c>
      <c r="G100" s="426">
        <v>0</v>
      </c>
      <c r="H100" s="426">
        <v>0</v>
      </c>
      <c r="I100" s="427">
        <f t="shared" si="6"/>
        <v>0</v>
      </c>
      <c r="J100" s="428">
        <f t="shared" si="7"/>
        <v>0</v>
      </c>
      <c r="K100" s="428">
        <f t="shared" si="8"/>
        <v>0</v>
      </c>
      <c r="L100" s="488">
        <v>0</v>
      </c>
      <c r="M100" s="487"/>
      <c r="N100" s="487"/>
      <c r="O100" s="487"/>
      <c r="P100" s="487"/>
      <c r="Q100" s="487"/>
      <c r="R100" s="487"/>
      <c r="S100" s="487"/>
      <c r="T100" s="487"/>
    </row>
    <row r="101" spans="1:20" ht="15" hidden="1" x14ac:dyDescent="0.25">
      <c r="A101" s="424" t="s">
        <v>276</v>
      </c>
      <c r="B101" s="424"/>
      <c r="C101" s="425">
        <f t="shared" si="5"/>
        <v>0</v>
      </c>
      <c r="D101" s="426">
        <v>0</v>
      </c>
      <c r="E101" s="426">
        <v>0</v>
      </c>
      <c r="F101" s="426">
        <v>0</v>
      </c>
      <c r="G101" s="426">
        <v>0</v>
      </c>
      <c r="H101" s="426">
        <v>0</v>
      </c>
      <c r="I101" s="427">
        <f t="shared" si="6"/>
        <v>0</v>
      </c>
      <c r="J101" s="428">
        <f t="shared" si="7"/>
        <v>0</v>
      </c>
      <c r="K101" s="428">
        <f t="shared" si="8"/>
        <v>0</v>
      </c>
      <c r="L101" s="488">
        <v>0</v>
      </c>
      <c r="M101" s="487"/>
      <c r="N101" s="487"/>
      <c r="O101" s="487"/>
      <c r="P101" s="487"/>
      <c r="Q101" s="487"/>
      <c r="R101" s="487"/>
      <c r="S101" s="487"/>
      <c r="T101" s="487"/>
    </row>
    <row r="102" spans="1:20" ht="15" hidden="1" x14ac:dyDescent="0.25">
      <c r="A102" s="424" t="s">
        <v>277</v>
      </c>
      <c r="B102" s="424"/>
      <c r="C102" s="425">
        <f t="shared" si="5"/>
        <v>0</v>
      </c>
      <c r="D102" s="426">
        <v>0</v>
      </c>
      <c r="E102" s="426">
        <v>0</v>
      </c>
      <c r="F102" s="426">
        <v>0</v>
      </c>
      <c r="G102" s="426">
        <v>0</v>
      </c>
      <c r="H102" s="426">
        <v>0</v>
      </c>
      <c r="I102" s="427">
        <f t="shared" si="6"/>
        <v>0</v>
      </c>
      <c r="J102" s="428">
        <f t="shared" si="7"/>
        <v>0</v>
      </c>
      <c r="K102" s="428">
        <f t="shared" si="8"/>
        <v>0</v>
      </c>
      <c r="L102" s="488">
        <v>0</v>
      </c>
      <c r="M102" s="487"/>
      <c r="N102" s="487"/>
      <c r="O102" s="487"/>
      <c r="P102" s="487"/>
      <c r="Q102" s="487"/>
      <c r="R102" s="487"/>
      <c r="S102" s="487"/>
      <c r="T102" s="487"/>
    </row>
    <row r="103" spans="1:20" ht="15" hidden="1" x14ac:dyDescent="0.25">
      <c r="A103" s="424" t="s">
        <v>278</v>
      </c>
      <c r="B103" s="424"/>
      <c r="C103" s="425">
        <f t="shared" si="5"/>
        <v>0</v>
      </c>
      <c r="D103" s="426">
        <v>0</v>
      </c>
      <c r="E103" s="426">
        <v>0</v>
      </c>
      <c r="F103" s="426">
        <v>0</v>
      </c>
      <c r="G103" s="426">
        <v>0</v>
      </c>
      <c r="H103" s="426">
        <v>0</v>
      </c>
      <c r="I103" s="427">
        <f t="shared" si="6"/>
        <v>0</v>
      </c>
      <c r="J103" s="428">
        <f t="shared" si="7"/>
        <v>0</v>
      </c>
      <c r="K103" s="428">
        <f t="shared" si="8"/>
        <v>0</v>
      </c>
      <c r="L103" s="488">
        <v>0</v>
      </c>
      <c r="M103" s="487"/>
      <c r="N103" s="487"/>
      <c r="O103" s="487"/>
      <c r="P103" s="487"/>
      <c r="Q103" s="487"/>
      <c r="R103" s="487"/>
      <c r="S103" s="487"/>
      <c r="T103" s="487"/>
    </row>
    <row r="104" spans="1:20" ht="15" hidden="1" x14ac:dyDescent="0.25">
      <c r="A104" s="424" t="s">
        <v>279</v>
      </c>
      <c r="B104" s="424"/>
      <c r="C104" s="425">
        <f t="shared" si="5"/>
        <v>0</v>
      </c>
      <c r="D104" s="426">
        <v>0</v>
      </c>
      <c r="E104" s="426">
        <v>0</v>
      </c>
      <c r="F104" s="426">
        <v>0</v>
      </c>
      <c r="G104" s="426">
        <v>0</v>
      </c>
      <c r="H104" s="426">
        <v>0</v>
      </c>
      <c r="I104" s="427">
        <f t="shared" si="6"/>
        <v>0</v>
      </c>
      <c r="J104" s="428">
        <f t="shared" si="7"/>
        <v>0</v>
      </c>
      <c r="K104" s="428">
        <f t="shared" si="8"/>
        <v>0</v>
      </c>
      <c r="L104" s="488">
        <v>0</v>
      </c>
      <c r="M104" s="487"/>
      <c r="N104" s="487"/>
      <c r="O104" s="487"/>
      <c r="P104" s="487"/>
      <c r="Q104" s="487"/>
      <c r="R104" s="487"/>
      <c r="S104" s="487"/>
      <c r="T104" s="487"/>
    </row>
    <row r="105" spans="1:20" ht="15" hidden="1" x14ac:dyDescent="0.25">
      <c r="A105" s="424" t="s">
        <v>280</v>
      </c>
      <c r="B105" s="424"/>
      <c r="C105" s="425">
        <f t="shared" si="5"/>
        <v>0</v>
      </c>
      <c r="D105" s="426">
        <v>0</v>
      </c>
      <c r="E105" s="426">
        <v>0</v>
      </c>
      <c r="F105" s="426">
        <v>0</v>
      </c>
      <c r="G105" s="426">
        <v>0</v>
      </c>
      <c r="H105" s="426">
        <v>0</v>
      </c>
      <c r="I105" s="427">
        <f t="shared" si="6"/>
        <v>0</v>
      </c>
      <c r="J105" s="428">
        <f t="shared" si="7"/>
        <v>0</v>
      </c>
      <c r="K105" s="428">
        <f t="shared" si="8"/>
        <v>0</v>
      </c>
      <c r="L105" s="488">
        <v>0</v>
      </c>
      <c r="M105" s="487"/>
      <c r="N105" s="487"/>
      <c r="O105" s="487"/>
      <c r="P105" s="487"/>
      <c r="Q105" s="487"/>
      <c r="R105" s="487"/>
      <c r="S105" s="487"/>
      <c r="T105" s="487"/>
    </row>
    <row r="106" spans="1:20" ht="15" hidden="1" x14ac:dyDescent="0.25">
      <c r="A106" s="424" t="s">
        <v>281</v>
      </c>
      <c r="B106" s="424"/>
      <c r="C106" s="425">
        <f t="shared" si="5"/>
        <v>0</v>
      </c>
      <c r="D106" s="426">
        <v>0</v>
      </c>
      <c r="E106" s="426">
        <v>0</v>
      </c>
      <c r="F106" s="426">
        <v>0</v>
      </c>
      <c r="G106" s="426">
        <v>0</v>
      </c>
      <c r="H106" s="426">
        <v>0</v>
      </c>
      <c r="I106" s="427">
        <f t="shared" si="6"/>
        <v>0</v>
      </c>
      <c r="J106" s="428">
        <f t="shared" si="7"/>
        <v>0</v>
      </c>
      <c r="K106" s="428">
        <f t="shared" si="8"/>
        <v>0</v>
      </c>
      <c r="L106" s="488">
        <v>0</v>
      </c>
      <c r="M106" s="487"/>
      <c r="N106" s="487"/>
      <c r="O106" s="487"/>
      <c r="P106" s="487"/>
      <c r="Q106" s="487"/>
      <c r="R106" s="487"/>
      <c r="S106" s="487"/>
      <c r="T106" s="487"/>
    </row>
    <row r="107" spans="1:20" ht="15" hidden="1" x14ac:dyDescent="0.25">
      <c r="A107" s="424" t="s">
        <v>282</v>
      </c>
      <c r="B107" s="424"/>
      <c r="C107" s="425">
        <f t="shared" si="5"/>
        <v>0</v>
      </c>
      <c r="D107" s="426">
        <v>0</v>
      </c>
      <c r="E107" s="426">
        <v>0</v>
      </c>
      <c r="F107" s="426">
        <v>0</v>
      </c>
      <c r="G107" s="426">
        <v>0</v>
      </c>
      <c r="H107" s="426">
        <v>0</v>
      </c>
      <c r="I107" s="427">
        <f t="shared" si="6"/>
        <v>0</v>
      </c>
      <c r="J107" s="428">
        <f t="shared" si="7"/>
        <v>0</v>
      </c>
      <c r="K107" s="428">
        <f t="shared" si="8"/>
        <v>0</v>
      </c>
      <c r="L107" s="488">
        <v>0</v>
      </c>
      <c r="M107" s="487"/>
      <c r="N107" s="487"/>
      <c r="O107" s="487"/>
      <c r="P107" s="487"/>
      <c r="Q107" s="487"/>
      <c r="R107" s="487"/>
      <c r="S107" s="487"/>
      <c r="T107" s="487"/>
    </row>
    <row r="108" spans="1:20" ht="15" hidden="1" x14ac:dyDescent="0.25">
      <c r="A108" s="424" t="s">
        <v>283</v>
      </c>
      <c r="B108" s="424"/>
      <c r="C108" s="425">
        <f t="shared" si="5"/>
        <v>0</v>
      </c>
      <c r="D108" s="426">
        <v>0</v>
      </c>
      <c r="E108" s="426">
        <v>0</v>
      </c>
      <c r="F108" s="426">
        <v>0</v>
      </c>
      <c r="G108" s="426">
        <v>0</v>
      </c>
      <c r="H108" s="426">
        <v>0</v>
      </c>
      <c r="I108" s="427">
        <f t="shared" si="6"/>
        <v>0</v>
      </c>
      <c r="J108" s="428">
        <f t="shared" si="7"/>
        <v>0</v>
      </c>
      <c r="K108" s="428">
        <f t="shared" si="8"/>
        <v>0</v>
      </c>
      <c r="L108" s="488">
        <v>0</v>
      </c>
      <c r="M108" s="487"/>
      <c r="N108" s="487"/>
      <c r="O108" s="487"/>
      <c r="P108" s="487"/>
      <c r="Q108" s="487"/>
      <c r="R108" s="487"/>
      <c r="S108" s="487"/>
      <c r="T108" s="487"/>
    </row>
    <row r="109" spans="1:20" ht="15" hidden="1" x14ac:dyDescent="0.25">
      <c r="A109" s="424" t="s">
        <v>284</v>
      </c>
      <c r="B109" s="424"/>
      <c r="C109" s="425">
        <f t="shared" si="5"/>
        <v>0</v>
      </c>
      <c r="D109" s="426">
        <v>0</v>
      </c>
      <c r="E109" s="426">
        <v>0</v>
      </c>
      <c r="F109" s="426">
        <v>0</v>
      </c>
      <c r="G109" s="426">
        <v>0</v>
      </c>
      <c r="H109" s="426">
        <v>0</v>
      </c>
      <c r="I109" s="427">
        <f t="shared" si="6"/>
        <v>0</v>
      </c>
      <c r="J109" s="428">
        <f t="shared" si="7"/>
        <v>0</v>
      </c>
      <c r="K109" s="428">
        <f t="shared" si="8"/>
        <v>0</v>
      </c>
      <c r="L109" s="488">
        <v>0</v>
      </c>
      <c r="M109" s="487"/>
      <c r="N109" s="487"/>
      <c r="O109" s="487"/>
      <c r="P109" s="487"/>
      <c r="Q109" s="487"/>
      <c r="R109" s="487"/>
      <c r="S109" s="487"/>
      <c r="T109" s="487"/>
    </row>
    <row r="110" spans="1:20" ht="15" hidden="1" x14ac:dyDescent="0.25">
      <c r="A110" s="424" t="s">
        <v>285</v>
      </c>
      <c r="B110" s="424"/>
      <c r="C110" s="425">
        <f t="shared" si="5"/>
        <v>0</v>
      </c>
      <c r="D110" s="426">
        <v>0</v>
      </c>
      <c r="E110" s="426">
        <v>0</v>
      </c>
      <c r="F110" s="426">
        <v>0</v>
      </c>
      <c r="G110" s="426">
        <v>0</v>
      </c>
      <c r="H110" s="426">
        <v>0</v>
      </c>
      <c r="I110" s="427">
        <f t="shared" si="6"/>
        <v>0</v>
      </c>
      <c r="J110" s="428">
        <f t="shared" si="7"/>
        <v>0</v>
      </c>
      <c r="K110" s="428">
        <f t="shared" si="8"/>
        <v>0</v>
      </c>
      <c r="L110" s="488">
        <v>0</v>
      </c>
      <c r="M110" s="487"/>
      <c r="N110" s="487"/>
      <c r="O110" s="487"/>
      <c r="P110" s="487"/>
      <c r="Q110" s="487"/>
      <c r="R110" s="487"/>
      <c r="S110" s="487"/>
      <c r="T110" s="487"/>
    </row>
    <row r="111" spans="1:20" ht="15" hidden="1" x14ac:dyDescent="0.25">
      <c r="A111" s="424" t="s">
        <v>286</v>
      </c>
      <c r="B111" s="424"/>
      <c r="C111" s="425">
        <f t="shared" si="5"/>
        <v>0</v>
      </c>
      <c r="D111" s="426">
        <v>0</v>
      </c>
      <c r="E111" s="426">
        <v>0</v>
      </c>
      <c r="F111" s="426">
        <v>0</v>
      </c>
      <c r="G111" s="426">
        <v>0</v>
      </c>
      <c r="H111" s="426">
        <v>0</v>
      </c>
      <c r="I111" s="427">
        <f t="shared" si="6"/>
        <v>0</v>
      </c>
      <c r="J111" s="428">
        <f t="shared" si="7"/>
        <v>0</v>
      </c>
      <c r="K111" s="428">
        <f t="shared" si="8"/>
        <v>0</v>
      </c>
      <c r="L111" s="488">
        <v>0</v>
      </c>
      <c r="M111" s="487"/>
      <c r="N111" s="487"/>
      <c r="O111" s="487"/>
      <c r="P111" s="487"/>
      <c r="Q111" s="487"/>
      <c r="R111" s="487"/>
      <c r="S111" s="487"/>
      <c r="T111" s="487"/>
    </row>
    <row r="112" spans="1:20" ht="15" hidden="1" x14ac:dyDescent="0.25">
      <c r="A112" s="424" t="s">
        <v>287</v>
      </c>
      <c r="B112" s="424"/>
      <c r="C112" s="425">
        <f t="shared" si="5"/>
        <v>0</v>
      </c>
      <c r="D112" s="426">
        <v>0</v>
      </c>
      <c r="E112" s="426">
        <v>0</v>
      </c>
      <c r="F112" s="426">
        <v>0</v>
      </c>
      <c r="G112" s="426">
        <v>0</v>
      </c>
      <c r="H112" s="426">
        <v>0</v>
      </c>
      <c r="I112" s="427">
        <f t="shared" si="6"/>
        <v>0</v>
      </c>
      <c r="J112" s="428">
        <f t="shared" si="7"/>
        <v>0</v>
      </c>
      <c r="K112" s="428">
        <f t="shared" si="8"/>
        <v>0</v>
      </c>
      <c r="L112" s="488">
        <v>0</v>
      </c>
      <c r="M112" s="487"/>
      <c r="N112" s="487"/>
      <c r="O112" s="487"/>
      <c r="P112" s="487"/>
      <c r="Q112" s="487"/>
      <c r="R112" s="487"/>
      <c r="S112" s="487"/>
      <c r="T112" s="487"/>
    </row>
    <row r="113" spans="1:20" ht="15" hidden="1" x14ac:dyDescent="0.25">
      <c r="A113" s="424" t="s">
        <v>288</v>
      </c>
      <c r="B113" s="424"/>
      <c r="C113" s="425">
        <f t="shared" si="5"/>
        <v>0</v>
      </c>
      <c r="D113" s="426">
        <v>0</v>
      </c>
      <c r="E113" s="426">
        <v>0</v>
      </c>
      <c r="F113" s="426">
        <v>0</v>
      </c>
      <c r="G113" s="426">
        <v>0</v>
      </c>
      <c r="H113" s="426">
        <v>0</v>
      </c>
      <c r="I113" s="427">
        <f t="shared" si="6"/>
        <v>0</v>
      </c>
      <c r="J113" s="428">
        <f t="shared" si="7"/>
        <v>0</v>
      </c>
      <c r="K113" s="428">
        <f t="shared" si="8"/>
        <v>0</v>
      </c>
      <c r="L113" s="488">
        <v>0</v>
      </c>
      <c r="M113" s="487"/>
      <c r="N113" s="487"/>
      <c r="O113" s="487"/>
      <c r="P113" s="487"/>
      <c r="Q113" s="487"/>
      <c r="R113" s="487"/>
      <c r="S113" s="487"/>
      <c r="T113" s="487"/>
    </row>
    <row r="114" spans="1:20" ht="15" hidden="1" x14ac:dyDescent="0.25">
      <c r="A114" s="424" t="s">
        <v>289</v>
      </c>
      <c r="B114" s="424"/>
      <c r="C114" s="425">
        <f t="shared" si="5"/>
        <v>0</v>
      </c>
      <c r="D114" s="426">
        <v>0</v>
      </c>
      <c r="E114" s="426">
        <v>0</v>
      </c>
      <c r="F114" s="426">
        <v>0</v>
      </c>
      <c r="G114" s="426">
        <v>0</v>
      </c>
      <c r="H114" s="426">
        <v>0</v>
      </c>
      <c r="I114" s="427">
        <f t="shared" si="6"/>
        <v>0</v>
      </c>
      <c r="J114" s="428">
        <f t="shared" si="7"/>
        <v>0</v>
      </c>
      <c r="K114" s="428">
        <f t="shared" si="8"/>
        <v>0</v>
      </c>
      <c r="L114" s="488">
        <v>0</v>
      </c>
      <c r="M114" s="487"/>
      <c r="N114" s="487"/>
      <c r="O114" s="487"/>
      <c r="P114" s="487"/>
      <c r="Q114" s="487"/>
      <c r="R114" s="487"/>
      <c r="S114" s="487"/>
      <c r="T114" s="487"/>
    </row>
    <row r="115" spans="1:20" ht="15" hidden="1" x14ac:dyDescent="0.25">
      <c r="A115" s="424" t="s">
        <v>290</v>
      </c>
      <c r="B115" s="424"/>
      <c r="C115" s="425">
        <f t="shared" si="5"/>
        <v>0</v>
      </c>
      <c r="D115" s="426">
        <v>0</v>
      </c>
      <c r="E115" s="426">
        <v>0</v>
      </c>
      <c r="F115" s="426">
        <v>0</v>
      </c>
      <c r="G115" s="426">
        <v>0</v>
      </c>
      <c r="H115" s="426">
        <v>0</v>
      </c>
      <c r="I115" s="427">
        <f t="shared" si="6"/>
        <v>0</v>
      </c>
      <c r="J115" s="428">
        <f t="shared" si="7"/>
        <v>0</v>
      </c>
      <c r="K115" s="428">
        <f t="shared" si="8"/>
        <v>0</v>
      </c>
      <c r="L115" s="488">
        <v>0</v>
      </c>
      <c r="M115" s="487"/>
      <c r="N115" s="487"/>
      <c r="O115" s="487"/>
      <c r="P115" s="487"/>
      <c r="Q115" s="487"/>
      <c r="R115" s="487"/>
      <c r="S115" s="487"/>
      <c r="T115" s="487"/>
    </row>
    <row r="116" spans="1:20" ht="15" hidden="1" x14ac:dyDescent="0.25">
      <c r="A116" s="424" t="s">
        <v>291</v>
      </c>
      <c r="B116" s="424"/>
      <c r="C116" s="425">
        <f t="shared" si="5"/>
        <v>0</v>
      </c>
      <c r="D116" s="426">
        <v>0</v>
      </c>
      <c r="E116" s="426">
        <v>0</v>
      </c>
      <c r="F116" s="426">
        <v>0</v>
      </c>
      <c r="G116" s="426">
        <v>0</v>
      </c>
      <c r="H116" s="426">
        <v>0</v>
      </c>
      <c r="I116" s="427">
        <f t="shared" si="6"/>
        <v>0</v>
      </c>
      <c r="J116" s="428">
        <f t="shared" si="7"/>
        <v>0</v>
      </c>
      <c r="K116" s="428">
        <f t="shared" si="8"/>
        <v>0</v>
      </c>
      <c r="L116" s="488">
        <v>0</v>
      </c>
      <c r="M116" s="487"/>
      <c r="N116" s="487"/>
      <c r="O116" s="487"/>
      <c r="P116" s="487"/>
      <c r="Q116" s="487"/>
      <c r="R116" s="487"/>
      <c r="S116" s="487"/>
      <c r="T116" s="487"/>
    </row>
    <row r="117" spans="1:20" ht="15" hidden="1" x14ac:dyDescent="0.25">
      <c r="A117" s="424" t="s">
        <v>292</v>
      </c>
      <c r="B117" s="424"/>
      <c r="C117" s="425">
        <f t="shared" si="5"/>
        <v>0</v>
      </c>
      <c r="D117" s="426">
        <v>0</v>
      </c>
      <c r="E117" s="426">
        <v>0</v>
      </c>
      <c r="F117" s="426">
        <v>0</v>
      </c>
      <c r="G117" s="426">
        <v>0</v>
      </c>
      <c r="H117" s="426">
        <v>0</v>
      </c>
      <c r="I117" s="427">
        <f t="shared" si="6"/>
        <v>0</v>
      </c>
      <c r="J117" s="428">
        <f t="shared" si="7"/>
        <v>0</v>
      </c>
      <c r="K117" s="428">
        <f t="shared" si="8"/>
        <v>0</v>
      </c>
      <c r="L117" s="488">
        <v>0</v>
      </c>
      <c r="M117" s="487"/>
      <c r="N117" s="487"/>
      <c r="O117" s="487"/>
      <c r="P117" s="487"/>
      <c r="Q117" s="487"/>
      <c r="R117" s="487"/>
      <c r="S117" s="487"/>
      <c r="T117" s="487"/>
    </row>
    <row r="118" spans="1:20" ht="15" hidden="1" x14ac:dyDescent="0.25">
      <c r="A118" s="424" t="s">
        <v>293</v>
      </c>
      <c r="B118" s="424"/>
      <c r="C118" s="425">
        <f t="shared" si="5"/>
        <v>0</v>
      </c>
      <c r="D118" s="426">
        <v>0</v>
      </c>
      <c r="E118" s="426">
        <v>0</v>
      </c>
      <c r="F118" s="426">
        <v>0</v>
      </c>
      <c r="G118" s="426">
        <v>0</v>
      </c>
      <c r="H118" s="426">
        <v>0</v>
      </c>
      <c r="I118" s="427">
        <f t="shared" si="6"/>
        <v>0</v>
      </c>
      <c r="J118" s="428">
        <f t="shared" si="7"/>
        <v>0</v>
      </c>
      <c r="K118" s="428">
        <f t="shared" si="8"/>
        <v>0</v>
      </c>
      <c r="L118" s="488">
        <v>0</v>
      </c>
      <c r="M118" s="487"/>
      <c r="N118" s="487"/>
      <c r="O118" s="487"/>
      <c r="P118" s="487"/>
      <c r="Q118" s="487"/>
      <c r="R118" s="487"/>
      <c r="S118" s="487"/>
      <c r="T118" s="487"/>
    </row>
    <row r="119" spans="1:20" ht="15" hidden="1" x14ac:dyDescent="0.25">
      <c r="A119" s="424" t="s">
        <v>294</v>
      </c>
      <c r="B119" s="424"/>
      <c r="C119" s="425">
        <f t="shared" si="5"/>
        <v>0</v>
      </c>
      <c r="D119" s="426">
        <v>0</v>
      </c>
      <c r="E119" s="426">
        <v>0</v>
      </c>
      <c r="F119" s="426">
        <v>0</v>
      </c>
      <c r="G119" s="426">
        <v>0</v>
      </c>
      <c r="H119" s="426">
        <v>0</v>
      </c>
      <c r="I119" s="427">
        <f t="shared" si="6"/>
        <v>0</v>
      </c>
      <c r="J119" s="428">
        <f t="shared" si="7"/>
        <v>0</v>
      </c>
      <c r="K119" s="428">
        <f t="shared" si="8"/>
        <v>0</v>
      </c>
      <c r="L119" s="488">
        <v>0</v>
      </c>
      <c r="M119" s="487"/>
      <c r="N119" s="487"/>
      <c r="O119" s="487"/>
      <c r="P119" s="487"/>
      <c r="Q119" s="487"/>
      <c r="R119" s="487"/>
      <c r="S119" s="487"/>
      <c r="T119" s="487"/>
    </row>
    <row r="120" spans="1:20" ht="15" hidden="1" x14ac:dyDescent="0.25">
      <c r="A120" s="424" t="s">
        <v>295</v>
      </c>
      <c r="B120" s="424"/>
      <c r="C120" s="425">
        <f t="shared" si="5"/>
        <v>0</v>
      </c>
      <c r="D120" s="426">
        <v>0</v>
      </c>
      <c r="E120" s="426">
        <v>0</v>
      </c>
      <c r="F120" s="426">
        <v>0</v>
      </c>
      <c r="G120" s="426">
        <v>0</v>
      </c>
      <c r="H120" s="426">
        <v>0</v>
      </c>
      <c r="I120" s="427">
        <f t="shared" si="6"/>
        <v>0</v>
      </c>
      <c r="J120" s="428">
        <f t="shared" si="7"/>
        <v>0</v>
      </c>
      <c r="K120" s="428">
        <f t="shared" si="8"/>
        <v>0</v>
      </c>
      <c r="L120" s="488">
        <v>0</v>
      </c>
      <c r="M120" s="487"/>
      <c r="N120" s="487"/>
      <c r="O120" s="487"/>
      <c r="P120" s="487"/>
      <c r="Q120" s="487"/>
      <c r="R120" s="487"/>
      <c r="S120" s="487"/>
      <c r="T120" s="487"/>
    </row>
    <row r="121" spans="1:20" ht="15" hidden="1" x14ac:dyDescent="0.25">
      <c r="A121" s="424" t="s">
        <v>296</v>
      </c>
      <c r="B121" s="424"/>
      <c r="C121" s="425">
        <f t="shared" si="5"/>
        <v>0</v>
      </c>
      <c r="D121" s="426">
        <v>0</v>
      </c>
      <c r="E121" s="426">
        <v>0</v>
      </c>
      <c r="F121" s="426">
        <v>0</v>
      </c>
      <c r="G121" s="426">
        <v>0</v>
      </c>
      <c r="H121" s="426">
        <v>0</v>
      </c>
      <c r="I121" s="427">
        <f t="shared" si="6"/>
        <v>0</v>
      </c>
      <c r="J121" s="428">
        <f t="shared" si="7"/>
        <v>0</v>
      </c>
      <c r="K121" s="428">
        <f t="shared" si="8"/>
        <v>0</v>
      </c>
      <c r="L121" s="488">
        <v>0</v>
      </c>
      <c r="M121" s="487"/>
      <c r="N121" s="487"/>
      <c r="O121" s="487"/>
      <c r="P121" s="487"/>
      <c r="Q121" s="487"/>
      <c r="R121" s="487"/>
      <c r="S121" s="487"/>
      <c r="T121" s="487"/>
    </row>
    <row r="122" spans="1:20" ht="15" hidden="1" x14ac:dyDescent="0.25">
      <c r="A122" s="424" t="s">
        <v>297</v>
      </c>
      <c r="B122" s="424"/>
      <c r="C122" s="425">
        <f t="shared" si="5"/>
        <v>0</v>
      </c>
      <c r="D122" s="426">
        <v>0</v>
      </c>
      <c r="E122" s="426">
        <v>0</v>
      </c>
      <c r="F122" s="426">
        <v>0</v>
      </c>
      <c r="G122" s="426">
        <v>0</v>
      </c>
      <c r="H122" s="426">
        <v>0</v>
      </c>
      <c r="I122" s="427">
        <f t="shared" si="6"/>
        <v>0</v>
      </c>
      <c r="J122" s="428">
        <f t="shared" si="7"/>
        <v>0</v>
      </c>
      <c r="K122" s="428">
        <f t="shared" si="8"/>
        <v>0</v>
      </c>
      <c r="L122" s="488">
        <v>0</v>
      </c>
      <c r="M122" s="487"/>
      <c r="N122" s="487"/>
      <c r="O122" s="487"/>
      <c r="P122" s="487"/>
      <c r="Q122" s="487"/>
      <c r="R122" s="487"/>
      <c r="S122" s="487"/>
      <c r="T122" s="487"/>
    </row>
    <row r="123" spans="1:20" ht="15" hidden="1" x14ac:dyDescent="0.25">
      <c r="A123" s="424" t="s">
        <v>298</v>
      </c>
      <c r="B123" s="424"/>
      <c r="C123" s="425">
        <f t="shared" si="5"/>
        <v>0</v>
      </c>
      <c r="D123" s="426">
        <v>0</v>
      </c>
      <c r="E123" s="426">
        <v>0</v>
      </c>
      <c r="F123" s="426">
        <v>0</v>
      </c>
      <c r="G123" s="426">
        <v>0</v>
      </c>
      <c r="H123" s="426">
        <v>0</v>
      </c>
      <c r="I123" s="427">
        <f t="shared" si="6"/>
        <v>0</v>
      </c>
      <c r="J123" s="428">
        <f t="shared" si="7"/>
        <v>0</v>
      </c>
      <c r="K123" s="428">
        <f t="shared" si="8"/>
        <v>0</v>
      </c>
      <c r="L123" s="488">
        <v>0</v>
      </c>
      <c r="M123" s="487"/>
      <c r="N123" s="487"/>
      <c r="O123" s="487"/>
      <c r="P123" s="487"/>
      <c r="Q123" s="487"/>
      <c r="R123" s="487"/>
      <c r="S123" s="487"/>
      <c r="T123" s="487"/>
    </row>
    <row r="124" spans="1:20" ht="15" hidden="1" x14ac:dyDescent="0.25">
      <c r="A124" s="424" t="s">
        <v>299</v>
      </c>
      <c r="B124" s="424"/>
      <c r="C124" s="425">
        <f t="shared" si="5"/>
        <v>0</v>
      </c>
      <c r="D124" s="426">
        <v>0</v>
      </c>
      <c r="E124" s="426">
        <v>0</v>
      </c>
      <c r="F124" s="426">
        <v>0</v>
      </c>
      <c r="G124" s="426">
        <v>0</v>
      </c>
      <c r="H124" s="426">
        <v>0</v>
      </c>
      <c r="I124" s="427">
        <f t="shared" si="6"/>
        <v>0</v>
      </c>
      <c r="J124" s="428">
        <f t="shared" si="7"/>
        <v>0</v>
      </c>
      <c r="K124" s="428">
        <f t="shared" si="8"/>
        <v>0</v>
      </c>
      <c r="L124" s="488">
        <v>0</v>
      </c>
      <c r="M124" s="487"/>
      <c r="N124" s="487"/>
      <c r="O124" s="487"/>
      <c r="P124" s="487"/>
      <c r="Q124" s="487"/>
      <c r="R124" s="487"/>
      <c r="S124" s="487"/>
      <c r="T124" s="487"/>
    </row>
    <row r="125" spans="1:20" ht="15" hidden="1" x14ac:dyDescent="0.25">
      <c r="A125" s="424" t="s">
        <v>300</v>
      </c>
      <c r="B125" s="424"/>
      <c r="C125" s="425">
        <f t="shared" si="5"/>
        <v>0</v>
      </c>
      <c r="D125" s="426">
        <v>0</v>
      </c>
      <c r="E125" s="426">
        <v>0</v>
      </c>
      <c r="F125" s="426">
        <v>0</v>
      </c>
      <c r="G125" s="426">
        <v>0</v>
      </c>
      <c r="H125" s="426">
        <v>0</v>
      </c>
      <c r="I125" s="427">
        <f t="shared" si="6"/>
        <v>0</v>
      </c>
      <c r="J125" s="428">
        <f t="shared" si="7"/>
        <v>0</v>
      </c>
      <c r="K125" s="428">
        <f t="shared" si="8"/>
        <v>0</v>
      </c>
      <c r="L125" s="488">
        <v>0</v>
      </c>
      <c r="M125" s="487"/>
      <c r="N125" s="487"/>
      <c r="O125" s="487"/>
      <c r="P125" s="487"/>
      <c r="Q125" s="487"/>
      <c r="R125" s="487"/>
      <c r="S125" s="487"/>
      <c r="T125" s="487"/>
    </row>
    <row r="126" spans="1:20" ht="15" hidden="1" x14ac:dyDescent="0.25">
      <c r="A126" s="424" t="s">
        <v>301</v>
      </c>
      <c r="B126" s="424"/>
      <c r="C126" s="425">
        <f t="shared" si="5"/>
        <v>0</v>
      </c>
      <c r="D126" s="426">
        <v>0</v>
      </c>
      <c r="E126" s="426">
        <v>0</v>
      </c>
      <c r="F126" s="426">
        <v>0</v>
      </c>
      <c r="G126" s="426">
        <v>0</v>
      </c>
      <c r="H126" s="426">
        <v>0</v>
      </c>
      <c r="I126" s="427">
        <f t="shared" si="6"/>
        <v>0</v>
      </c>
      <c r="J126" s="428">
        <f t="shared" si="7"/>
        <v>0</v>
      </c>
      <c r="K126" s="428">
        <f t="shared" si="8"/>
        <v>0</v>
      </c>
      <c r="L126" s="488">
        <v>0</v>
      </c>
      <c r="M126" s="487"/>
      <c r="N126" s="487"/>
      <c r="O126" s="487"/>
      <c r="P126" s="487"/>
      <c r="Q126" s="487"/>
      <c r="R126" s="487"/>
      <c r="S126" s="487"/>
      <c r="T126" s="487"/>
    </row>
    <row r="127" spans="1:20" ht="15" hidden="1" x14ac:dyDescent="0.25">
      <c r="A127" s="424" t="s">
        <v>302</v>
      </c>
      <c r="B127" s="424"/>
      <c r="C127" s="425">
        <f t="shared" si="5"/>
        <v>0</v>
      </c>
      <c r="D127" s="426">
        <v>0</v>
      </c>
      <c r="E127" s="426">
        <v>0</v>
      </c>
      <c r="F127" s="426">
        <v>0</v>
      </c>
      <c r="G127" s="426">
        <v>0</v>
      </c>
      <c r="H127" s="426">
        <v>0</v>
      </c>
      <c r="I127" s="427">
        <f t="shared" si="6"/>
        <v>0</v>
      </c>
      <c r="J127" s="428">
        <f t="shared" si="7"/>
        <v>0</v>
      </c>
      <c r="K127" s="428">
        <f t="shared" si="8"/>
        <v>0</v>
      </c>
      <c r="L127" s="488">
        <v>0</v>
      </c>
      <c r="M127" s="487"/>
      <c r="N127" s="487"/>
      <c r="O127" s="487"/>
      <c r="P127" s="487"/>
      <c r="Q127" s="487"/>
      <c r="R127" s="487"/>
      <c r="S127" s="487"/>
      <c r="T127" s="487"/>
    </row>
    <row r="128" spans="1:20" ht="15" hidden="1" x14ac:dyDescent="0.25">
      <c r="A128" s="424" t="s">
        <v>303</v>
      </c>
      <c r="B128" s="424"/>
      <c r="C128" s="425">
        <f t="shared" si="5"/>
        <v>0</v>
      </c>
      <c r="D128" s="426">
        <v>0</v>
      </c>
      <c r="E128" s="426">
        <v>0</v>
      </c>
      <c r="F128" s="426">
        <v>0</v>
      </c>
      <c r="G128" s="426">
        <v>0</v>
      </c>
      <c r="H128" s="426">
        <v>0</v>
      </c>
      <c r="I128" s="427">
        <f t="shared" si="6"/>
        <v>0</v>
      </c>
      <c r="J128" s="428">
        <f t="shared" si="7"/>
        <v>0</v>
      </c>
      <c r="K128" s="428">
        <f t="shared" si="8"/>
        <v>0</v>
      </c>
      <c r="L128" s="488">
        <v>0</v>
      </c>
      <c r="M128" s="487"/>
      <c r="N128" s="487"/>
      <c r="O128" s="487"/>
      <c r="P128" s="487"/>
      <c r="Q128" s="487"/>
      <c r="R128" s="487"/>
      <c r="S128" s="487"/>
      <c r="T128" s="487"/>
    </row>
    <row r="129" spans="1:20" ht="15" hidden="1" x14ac:dyDescent="0.25">
      <c r="A129" s="424" t="s">
        <v>304</v>
      </c>
      <c r="B129" s="424"/>
      <c r="C129" s="425">
        <f t="shared" si="5"/>
        <v>0</v>
      </c>
      <c r="D129" s="426">
        <v>0</v>
      </c>
      <c r="E129" s="426">
        <v>0</v>
      </c>
      <c r="F129" s="426">
        <v>0</v>
      </c>
      <c r="G129" s="426">
        <v>0</v>
      </c>
      <c r="H129" s="426">
        <v>0</v>
      </c>
      <c r="I129" s="427">
        <f t="shared" si="6"/>
        <v>0</v>
      </c>
      <c r="J129" s="428">
        <f t="shared" si="7"/>
        <v>0</v>
      </c>
      <c r="K129" s="428">
        <f t="shared" si="8"/>
        <v>0</v>
      </c>
      <c r="L129" s="488">
        <v>0</v>
      </c>
      <c r="M129" s="487"/>
      <c r="N129" s="487"/>
      <c r="O129" s="487"/>
      <c r="P129" s="487"/>
      <c r="Q129" s="487"/>
      <c r="R129" s="487"/>
      <c r="S129" s="487"/>
      <c r="T129" s="487"/>
    </row>
    <row r="130" spans="1:20" ht="15" hidden="1" x14ac:dyDescent="0.25">
      <c r="A130" s="424" t="s">
        <v>305</v>
      </c>
      <c r="B130" s="424"/>
      <c r="C130" s="425">
        <f t="shared" ref="C130:C161" si="9">SUM(D130:H130)</f>
        <v>0</v>
      </c>
      <c r="D130" s="426">
        <v>0</v>
      </c>
      <c r="E130" s="426">
        <v>0</v>
      </c>
      <c r="F130" s="426">
        <v>0</v>
      </c>
      <c r="G130" s="426">
        <v>0</v>
      </c>
      <c r="H130" s="426">
        <v>0</v>
      </c>
      <c r="I130" s="427">
        <f t="shared" si="6"/>
        <v>0</v>
      </c>
      <c r="J130" s="428">
        <f t="shared" si="7"/>
        <v>0</v>
      </c>
      <c r="K130" s="428">
        <f t="shared" si="8"/>
        <v>0</v>
      </c>
      <c r="L130" s="488">
        <v>0</v>
      </c>
      <c r="M130" s="487"/>
      <c r="N130" s="487"/>
      <c r="O130" s="487"/>
      <c r="P130" s="487"/>
      <c r="Q130" s="487"/>
      <c r="R130" s="487"/>
      <c r="S130" s="487"/>
      <c r="T130" s="487"/>
    </row>
    <row r="131" spans="1:20" ht="15" hidden="1" x14ac:dyDescent="0.25">
      <c r="A131" s="424" t="s">
        <v>306</v>
      </c>
      <c r="B131" s="424"/>
      <c r="C131" s="425">
        <f t="shared" si="9"/>
        <v>0</v>
      </c>
      <c r="D131" s="426">
        <v>0</v>
      </c>
      <c r="E131" s="426">
        <v>0</v>
      </c>
      <c r="F131" s="426">
        <v>0</v>
      </c>
      <c r="G131" s="426">
        <v>0</v>
      </c>
      <c r="H131" s="426">
        <v>0</v>
      </c>
      <c r="I131" s="427">
        <f t="shared" si="6"/>
        <v>0</v>
      </c>
      <c r="J131" s="428">
        <f t="shared" si="7"/>
        <v>0</v>
      </c>
      <c r="K131" s="428">
        <f t="shared" si="8"/>
        <v>0</v>
      </c>
      <c r="L131" s="488">
        <v>0</v>
      </c>
      <c r="M131" s="487"/>
      <c r="N131" s="487"/>
      <c r="O131" s="487"/>
      <c r="P131" s="487"/>
      <c r="Q131" s="487"/>
      <c r="R131" s="487"/>
      <c r="S131" s="487"/>
      <c r="T131" s="487"/>
    </row>
    <row r="132" spans="1:20" ht="15" hidden="1" x14ac:dyDescent="0.25">
      <c r="A132" s="424" t="s">
        <v>307</v>
      </c>
      <c r="B132" s="424"/>
      <c r="C132" s="425">
        <f t="shared" si="9"/>
        <v>0</v>
      </c>
      <c r="D132" s="426">
        <v>0</v>
      </c>
      <c r="E132" s="426">
        <v>0</v>
      </c>
      <c r="F132" s="426">
        <v>0</v>
      </c>
      <c r="G132" s="426">
        <v>0</v>
      </c>
      <c r="H132" s="426">
        <v>0</v>
      </c>
      <c r="I132" s="427">
        <f t="shared" si="6"/>
        <v>0</v>
      </c>
      <c r="J132" s="428">
        <f t="shared" si="7"/>
        <v>0</v>
      </c>
      <c r="K132" s="428">
        <f t="shared" si="8"/>
        <v>0</v>
      </c>
      <c r="L132" s="488">
        <v>0</v>
      </c>
      <c r="M132" s="487"/>
      <c r="N132" s="487"/>
      <c r="O132" s="487"/>
      <c r="P132" s="487"/>
      <c r="Q132" s="487"/>
      <c r="R132" s="487"/>
      <c r="S132" s="487"/>
      <c r="T132" s="487"/>
    </row>
    <row r="133" spans="1:20" ht="15" hidden="1" x14ac:dyDescent="0.25">
      <c r="A133" s="424" t="s">
        <v>308</v>
      </c>
      <c r="B133" s="424"/>
      <c r="C133" s="425">
        <f t="shared" si="9"/>
        <v>0</v>
      </c>
      <c r="D133" s="426">
        <v>0</v>
      </c>
      <c r="E133" s="426">
        <v>0</v>
      </c>
      <c r="F133" s="426">
        <v>0</v>
      </c>
      <c r="G133" s="426">
        <v>0</v>
      </c>
      <c r="H133" s="426">
        <v>0</v>
      </c>
      <c r="I133" s="427">
        <f t="shared" si="6"/>
        <v>0</v>
      </c>
      <c r="J133" s="428">
        <f t="shared" si="7"/>
        <v>0</v>
      </c>
      <c r="K133" s="428">
        <f t="shared" si="8"/>
        <v>0</v>
      </c>
      <c r="L133" s="488">
        <v>0</v>
      </c>
      <c r="M133" s="487"/>
      <c r="N133" s="487"/>
      <c r="O133" s="487"/>
      <c r="P133" s="487"/>
      <c r="Q133" s="487"/>
      <c r="R133" s="487"/>
      <c r="S133" s="487"/>
      <c r="T133" s="487"/>
    </row>
    <row r="134" spans="1:20" ht="15" hidden="1" x14ac:dyDescent="0.25">
      <c r="A134" s="424" t="s">
        <v>309</v>
      </c>
      <c r="B134" s="424"/>
      <c r="C134" s="425">
        <f t="shared" si="9"/>
        <v>0</v>
      </c>
      <c r="D134" s="426">
        <v>0</v>
      </c>
      <c r="E134" s="426">
        <v>0</v>
      </c>
      <c r="F134" s="426">
        <v>0</v>
      </c>
      <c r="G134" s="426">
        <v>0</v>
      </c>
      <c r="H134" s="426">
        <v>0</v>
      </c>
      <c r="I134" s="427">
        <f t="shared" si="6"/>
        <v>0</v>
      </c>
      <c r="J134" s="428">
        <f t="shared" si="7"/>
        <v>0</v>
      </c>
      <c r="K134" s="428">
        <f t="shared" si="8"/>
        <v>0</v>
      </c>
      <c r="L134" s="488">
        <v>0</v>
      </c>
      <c r="M134" s="487"/>
      <c r="N134" s="487"/>
      <c r="O134" s="487"/>
      <c r="P134" s="487"/>
      <c r="Q134" s="487"/>
      <c r="R134" s="487"/>
      <c r="S134" s="487"/>
      <c r="T134" s="487"/>
    </row>
    <row r="135" spans="1:20" ht="15" hidden="1" x14ac:dyDescent="0.25">
      <c r="A135" s="424" t="s">
        <v>310</v>
      </c>
      <c r="B135" s="424"/>
      <c r="C135" s="425">
        <f t="shared" si="9"/>
        <v>0</v>
      </c>
      <c r="D135" s="426">
        <v>0</v>
      </c>
      <c r="E135" s="426">
        <v>0</v>
      </c>
      <c r="F135" s="426">
        <v>0</v>
      </c>
      <c r="G135" s="426">
        <v>0</v>
      </c>
      <c r="H135" s="426">
        <v>0</v>
      </c>
      <c r="I135" s="427">
        <f t="shared" si="6"/>
        <v>0</v>
      </c>
      <c r="J135" s="428">
        <f t="shared" si="7"/>
        <v>0</v>
      </c>
      <c r="K135" s="428">
        <f t="shared" si="8"/>
        <v>0</v>
      </c>
      <c r="L135" s="488">
        <v>0</v>
      </c>
      <c r="M135" s="487"/>
      <c r="N135" s="487"/>
      <c r="O135" s="487"/>
      <c r="P135" s="487"/>
      <c r="Q135" s="487"/>
      <c r="R135" s="487"/>
      <c r="S135" s="487"/>
      <c r="T135" s="487"/>
    </row>
    <row r="136" spans="1:20" ht="15" hidden="1" x14ac:dyDescent="0.25">
      <c r="A136" s="424" t="s">
        <v>311</v>
      </c>
      <c r="B136" s="424"/>
      <c r="C136" s="425">
        <f t="shared" si="9"/>
        <v>0</v>
      </c>
      <c r="D136" s="426">
        <v>0</v>
      </c>
      <c r="E136" s="426">
        <v>0</v>
      </c>
      <c r="F136" s="426">
        <v>0</v>
      </c>
      <c r="G136" s="426">
        <v>0</v>
      </c>
      <c r="H136" s="426">
        <v>0</v>
      </c>
      <c r="I136" s="427">
        <f t="shared" si="6"/>
        <v>0</v>
      </c>
      <c r="J136" s="428">
        <f t="shared" si="7"/>
        <v>0</v>
      </c>
      <c r="K136" s="428">
        <f t="shared" si="8"/>
        <v>0</v>
      </c>
      <c r="L136" s="488">
        <v>0</v>
      </c>
      <c r="M136" s="487"/>
      <c r="N136" s="487"/>
      <c r="O136" s="487"/>
      <c r="P136" s="487"/>
      <c r="Q136" s="487"/>
      <c r="R136" s="487"/>
      <c r="S136" s="487"/>
      <c r="T136" s="487"/>
    </row>
    <row r="137" spans="1:20" ht="15" hidden="1" x14ac:dyDescent="0.25">
      <c r="A137" s="424" t="s">
        <v>312</v>
      </c>
      <c r="B137" s="424"/>
      <c r="C137" s="425">
        <f t="shared" si="9"/>
        <v>0</v>
      </c>
      <c r="D137" s="426">
        <v>0</v>
      </c>
      <c r="E137" s="426">
        <v>0</v>
      </c>
      <c r="F137" s="426">
        <v>0</v>
      </c>
      <c r="G137" s="426">
        <v>0</v>
      </c>
      <c r="H137" s="426">
        <v>0</v>
      </c>
      <c r="I137" s="427">
        <f t="shared" si="6"/>
        <v>0</v>
      </c>
      <c r="J137" s="428">
        <f t="shared" si="7"/>
        <v>0</v>
      </c>
      <c r="K137" s="428">
        <f t="shared" si="8"/>
        <v>0</v>
      </c>
      <c r="L137" s="488">
        <v>0</v>
      </c>
      <c r="M137" s="487"/>
      <c r="N137" s="487"/>
      <c r="O137" s="487"/>
      <c r="P137" s="487"/>
      <c r="Q137" s="487"/>
      <c r="R137" s="487"/>
      <c r="S137" s="487"/>
      <c r="T137" s="487"/>
    </row>
    <row r="138" spans="1:20" ht="15" hidden="1" x14ac:dyDescent="0.25">
      <c r="A138" s="424" t="s">
        <v>313</v>
      </c>
      <c r="B138" s="424"/>
      <c r="C138" s="425">
        <f t="shared" si="9"/>
        <v>0</v>
      </c>
      <c r="D138" s="426">
        <v>0</v>
      </c>
      <c r="E138" s="426">
        <v>0</v>
      </c>
      <c r="F138" s="426">
        <v>0</v>
      </c>
      <c r="G138" s="426">
        <v>0</v>
      </c>
      <c r="H138" s="426">
        <v>0</v>
      </c>
      <c r="I138" s="427">
        <f t="shared" si="6"/>
        <v>0</v>
      </c>
      <c r="J138" s="428">
        <f t="shared" si="7"/>
        <v>0</v>
      </c>
      <c r="K138" s="428">
        <f t="shared" si="8"/>
        <v>0</v>
      </c>
      <c r="L138" s="488">
        <v>0</v>
      </c>
      <c r="M138" s="487"/>
      <c r="N138" s="487"/>
      <c r="O138" s="487"/>
      <c r="P138" s="487"/>
      <c r="Q138" s="487"/>
      <c r="R138" s="487"/>
      <c r="S138" s="487"/>
      <c r="T138" s="487"/>
    </row>
    <row r="139" spans="1:20" ht="15" hidden="1" x14ac:dyDescent="0.25">
      <c r="A139" s="424" t="s">
        <v>314</v>
      </c>
      <c r="B139" s="424"/>
      <c r="C139" s="425">
        <f t="shared" si="9"/>
        <v>0</v>
      </c>
      <c r="D139" s="426">
        <v>0</v>
      </c>
      <c r="E139" s="426">
        <v>0</v>
      </c>
      <c r="F139" s="426">
        <v>0</v>
      </c>
      <c r="G139" s="426">
        <v>0</v>
      </c>
      <c r="H139" s="426">
        <v>0</v>
      </c>
      <c r="I139" s="427">
        <f t="shared" si="6"/>
        <v>0</v>
      </c>
      <c r="J139" s="428">
        <f t="shared" si="7"/>
        <v>0</v>
      </c>
      <c r="K139" s="428">
        <f t="shared" si="8"/>
        <v>0</v>
      </c>
      <c r="L139" s="488">
        <v>0</v>
      </c>
      <c r="M139" s="487"/>
      <c r="N139" s="487"/>
      <c r="O139" s="487"/>
      <c r="P139" s="487"/>
      <c r="Q139" s="487"/>
      <c r="R139" s="487"/>
      <c r="S139" s="487"/>
      <c r="T139" s="487"/>
    </row>
    <row r="140" spans="1:20" ht="15" hidden="1" x14ac:dyDescent="0.25">
      <c r="A140" s="424" t="s">
        <v>315</v>
      </c>
      <c r="B140" s="424"/>
      <c r="C140" s="425">
        <f t="shared" si="9"/>
        <v>0</v>
      </c>
      <c r="D140" s="426">
        <v>0</v>
      </c>
      <c r="E140" s="426">
        <v>0</v>
      </c>
      <c r="F140" s="426">
        <v>0</v>
      </c>
      <c r="G140" s="426">
        <v>0</v>
      </c>
      <c r="H140" s="426">
        <v>0</v>
      </c>
      <c r="I140" s="427">
        <f t="shared" si="6"/>
        <v>0</v>
      </c>
      <c r="J140" s="428">
        <f t="shared" si="7"/>
        <v>0</v>
      </c>
      <c r="K140" s="428">
        <f t="shared" si="8"/>
        <v>0</v>
      </c>
      <c r="L140" s="488">
        <v>0</v>
      </c>
      <c r="M140" s="487"/>
      <c r="N140" s="487"/>
      <c r="O140" s="487"/>
      <c r="P140" s="487"/>
      <c r="Q140" s="487"/>
      <c r="R140" s="487"/>
      <c r="S140" s="487"/>
      <c r="T140" s="487"/>
    </row>
    <row r="141" spans="1:20" ht="15" hidden="1" x14ac:dyDescent="0.25">
      <c r="A141" s="424" t="s">
        <v>316</v>
      </c>
      <c r="B141" s="424"/>
      <c r="C141" s="425">
        <f t="shared" si="9"/>
        <v>0</v>
      </c>
      <c r="D141" s="426">
        <v>0</v>
      </c>
      <c r="E141" s="426">
        <v>0</v>
      </c>
      <c r="F141" s="426">
        <v>0</v>
      </c>
      <c r="G141" s="426">
        <v>0</v>
      </c>
      <c r="H141" s="426">
        <v>0</v>
      </c>
      <c r="I141" s="427">
        <f t="shared" si="6"/>
        <v>0</v>
      </c>
      <c r="J141" s="428">
        <f t="shared" si="7"/>
        <v>0</v>
      </c>
      <c r="K141" s="428">
        <f t="shared" si="8"/>
        <v>0</v>
      </c>
      <c r="L141" s="488">
        <v>0</v>
      </c>
      <c r="M141" s="487"/>
      <c r="N141" s="487"/>
      <c r="O141" s="487"/>
      <c r="P141" s="487"/>
      <c r="Q141" s="487"/>
      <c r="R141" s="487"/>
      <c r="S141" s="487"/>
      <c r="T141" s="487"/>
    </row>
    <row r="142" spans="1:20" ht="15" hidden="1" x14ac:dyDescent="0.25">
      <c r="A142" s="424" t="s">
        <v>317</v>
      </c>
      <c r="B142" s="424"/>
      <c r="C142" s="425">
        <f t="shared" si="9"/>
        <v>0</v>
      </c>
      <c r="D142" s="426">
        <v>0</v>
      </c>
      <c r="E142" s="426">
        <v>0</v>
      </c>
      <c r="F142" s="426">
        <v>0</v>
      </c>
      <c r="G142" s="426">
        <v>0</v>
      </c>
      <c r="H142" s="426">
        <v>0</v>
      </c>
      <c r="I142" s="427">
        <f t="shared" si="6"/>
        <v>0</v>
      </c>
      <c r="J142" s="428">
        <f t="shared" si="7"/>
        <v>0</v>
      </c>
      <c r="K142" s="428">
        <f t="shared" si="8"/>
        <v>0</v>
      </c>
      <c r="L142" s="488">
        <v>0</v>
      </c>
      <c r="M142" s="487"/>
      <c r="N142" s="487"/>
      <c r="O142" s="487"/>
      <c r="P142" s="487"/>
      <c r="Q142" s="487"/>
      <c r="R142" s="487"/>
      <c r="S142" s="487"/>
      <c r="T142" s="487"/>
    </row>
    <row r="143" spans="1:20" ht="15" hidden="1" x14ac:dyDescent="0.25">
      <c r="A143" s="424" t="s">
        <v>318</v>
      </c>
      <c r="B143" s="424"/>
      <c r="C143" s="425">
        <f t="shared" si="9"/>
        <v>0</v>
      </c>
      <c r="D143" s="426">
        <v>0</v>
      </c>
      <c r="E143" s="426">
        <v>0</v>
      </c>
      <c r="F143" s="426">
        <v>0</v>
      </c>
      <c r="G143" s="426">
        <v>0</v>
      </c>
      <c r="H143" s="426">
        <v>0</v>
      </c>
      <c r="I143" s="427">
        <f t="shared" si="6"/>
        <v>0</v>
      </c>
      <c r="J143" s="428">
        <f t="shared" si="7"/>
        <v>0</v>
      </c>
      <c r="K143" s="428">
        <f t="shared" si="8"/>
        <v>0</v>
      </c>
      <c r="L143" s="488">
        <v>0</v>
      </c>
      <c r="M143" s="487"/>
      <c r="N143" s="487"/>
      <c r="O143" s="487"/>
      <c r="P143" s="487"/>
      <c r="Q143" s="487"/>
      <c r="R143" s="487"/>
      <c r="S143" s="487"/>
      <c r="T143" s="487"/>
    </row>
    <row r="144" spans="1:20" ht="15" hidden="1" x14ac:dyDescent="0.25">
      <c r="A144" s="424" t="s">
        <v>319</v>
      </c>
      <c r="B144" s="424"/>
      <c r="C144" s="425">
        <f t="shared" si="9"/>
        <v>0</v>
      </c>
      <c r="D144" s="426">
        <v>0</v>
      </c>
      <c r="E144" s="426">
        <v>0</v>
      </c>
      <c r="F144" s="426">
        <v>0</v>
      </c>
      <c r="G144" s="426">
        <v>0</v>
      </c>
      <c r="H144" s="426">
        <v>0</v>
      </c>
      <c r="I144" s="427">
        <f t="shared" si="6"/>
        <v>0</v>
      </c>
      <c r="J144" s="428">
        <f t="shared" si="7"/>
        <v>0</v>
      </c>
      <c r="K144" s="428">
        <f t="shared" si="8"/>
        <v>0</v>
      </c>
      <c r="L144" s="488">
        <v>0</v>
      </c>
      <c r="M144" s="487"/>
      <c r="N144" s="487"/>
      <c r="O144" s="487"/>
      <c r="P144" s="487"/>
      <c r="Q144" s="487"/>
      <c r="R144" s="487"/>
      <c r="S144" s="487"/>
      <c r="T144" s="487"/>
    </row>
    <row r="145" spans="1:20" ht="15" hidden="1" x14ac:dyDescent="0.25">
      <c r="A145" s="424" t="s">
        <v>320</v>
      </c>
      <c r="B145" s="424"/>
      <c r="C145" s="425">
        <f t="shared" si="9"/>
        <v>0</v>
      </c>
      <c r="D145" s="426">
        <v>0</v>
      </c>
      <c r="E145" s="426">
        <v>0</v>
      </c>
      <c r="F145" s="426">
        <v>0</v>
      </c>
      <c r="G145" s="426">
        <v>0</v>
      </c>
      <c r="H145" s="426">
        <v>0</v>
      </c>
      <c r="I145" s="427">
        <f t="shared" si="6"/>
        <v>0</v>
      </c>
      <c r="J145" s="428">
        <f t="shared" si="7"/>
        <v>0</v>
      </c>
      <c r="K145" s="428">
        <f t="shared" si="8"/>
        <v>0</v>
      </c>
      <c r="L145" s="488">
        <v>0</v>
      </c>
      <c r="M145" s="487"/>
      <c r="N145" s="487"/>
      <c r="O145" s="487"/>
      <c r="P145" s="487"/>
      <c r="Q145" s="487"/>
      <c r="R145" s="487"/>
      <c r="S145" s="487"/>
      <c r="T145" s="487"/>
    </row>
    <row r="146" spans="1:20" ht="15" hidden="1" x14ac:dyDescent="0.25">
      <c r="A146" s="424" t="s">
        <v>321</v>
      </c>
      <c r="B146" s="424"/>
      <c r="C146" s="425">
        <f t="shared" si="9"/>
        <v>0</v>
      </c>
      <c r="D146" s="426">
        <v>0</v>
      </c>
      <c r="E146" s="426">
        <v>0</v>
      </c>
      <c r="F146" s="426">
        <v>0</v>
      </c>
      <c r="G146" s="426">
        <v>0</v>
      </c>
      <c r="H146" s="426">
        <v>0</v>
      </c>
      <c r="I146" s="427">
        <f t="shared" si="6"/>
        <v>0</v>
      </c>
      <c r="J146" s="428">
        <f t="shared" si="7"/>
        <v>0</v>
      </c>
      <c r="K146" s="428">
        <f t="shared" si="8"/>
        <v>0</v>
      </c>
      <c r="L146" s="488">
        <v>0</v>
      </c>
      <c r="M146" s="487"/>
      <c r="N146" s="487"/>
      <c r="O146" s="487"/>
      <c r="P146" s="487"/>
      <c r="Q146" s="487"/>
      <c r="R146" s="487"/>
      <c r="S146" s="487"/>
      <c r="T146" s="487"/>
    </row>
    <row r="147" spans="1:20" ht="15" hidden="1" x14ac:dyDescent="0.25">
      <c r="A147" s="424" t="s">
        <v>322</v>
      </c>
      <c r="B147" s="424"/>
      <c r="C147" s="425">
        <f t="shared" si="9"/>
        <v>0</v>
      </c>
      <c r="D147" s="426">
        <v>0</v>
      </c>
      <c r="E147" s="426">
        <v>0</v>
      </c>
      <c r="F147" s="426">
        <v>0</v>
      </c>
      <c r="G147" s="426">
        <v>0</v>
      </c>
      <c r="H147" s="426">
        <v>0</v>
      </c>
      <c r="I147" s="427">
        <f t="shared" si="6"/>
        <v>0</v>
      </c>
      <c r="J147" s="428">
        <f t="shared" si="7"/>
        <v>0</v>
      </c>
      <c r="K147" s="428">
        <f t="shared" si="8"/>
        <v>0</v>
      </c>
      <c r="L147" s="488">
        <v>0</v>
      </c>
      <c r="M147" s="487"/>
      <c r="N147" s="487"/>
      <c r="O147" s="487"/>
      <c r="P147" s="487"/>
      <c r="Q147" s="487"/>
      <c r="R147" s="487"/>
      <c r="S147" s="487"/>
      <c r="T147" s="487"/>
    </row>
    <row r="148" spans="1:20" ht="15" hidden="1" x14ac:dyDescent="0.25">
      <c r="A148" s="424" t="s">
        <v>323</v>
      </c>
      <c r="B148" s="424"/>
      <c r="C148" s="425">
        <f t="shared" si="9"/>
        <v>0</v>
      </c>
      <c r="D148" s="426">
        <v>0</v>
      </c>
      <c r="E148" s="426">
        <v>0</v>
      </c>
      <c r="F148" s="426">
        <v>0</v>
      </c>
      <c r="G148" s="426">
        <v>0</v>
      </c>
      <c r="H148" s="426">
        <v>0</v>
      </c>
      <c r="I148" s="427">
        <f t="shared" si="6"/>
        <v>0</v>
      </c>
      <c r="J148" s="428">
        <f t="shared" si="7"/>
        <v>0</v>
      </c>
      <c r="K148" s="428">
        <f t="shared" si="8"/>
        <v>0</v>
      </c>
      <c r="L148" s="488">
        <v>0</v>
      </c>
      <c r="M148" s="487"/>
      <c r="N148" s="487"/>
      <c r="O148" s="487"/>
      <c r="P148" s="487"/>
      <c r="Q148" s="487"/>
      <c r="R148" s="487"/>
      <c r="S148" s="487"/>
      <c r="T148" s="487"/>
    </row>
    <row r="149" spans="1:20" ht="15" hidden="1" x14ac:dyDescent="0.25">
      <c r="A149" s="424" t="s">
        <v>324</v>
      </c>
      <c r="B149" s="424"/>
      <c r="C149" s="425">
        <f t="shared" si="9"/>
        <v>0</v>
      </c>
      <c r="D149" s="426">
        <v>0</v>
      </c>
      <c r="E149" s="426">
        <v>0</v>
      </c>
      <c r="F149" s="426">
        <v>0</v>
      </c>
      <c r="G149" s="426">
        <v>0</v>
      </c>
      <c r="H149" s="426">
        <v>0</v>
      </c>
      <c r="I149" s="427">
        <f t="shared" si="6"/>
        <v>0</v>
      </c>
      <c r="J149" s="428">
        <f t="shared" si="7"/>
        <v>0</v>
      </c>
      <c r="K149" s="428">
        <f t="shared" si="8"/>
        <v>0</v>
      </c>
      <c r="L149" s="488">
        <v>0</v>
      </c>
      <c r="M149" s="487"/>
      <c r="N149" s="487"/>
      <c r="O149" s="487"/>
      <c r="P149" s="487"/>
      <c r="Q149" s="487"/>
      <c r="R149" s="487"/>
      <c r="S149" s="487"/>
      <c r="T149" s="487"/>
    </row>
    <row r="150" spans="1:20" ht="15" hidden="1" x14ac:dyDescent="0.25">
      <c r="A150" s="424" t="s">
        <v>325</v>
      </c>
      <c r="B150" s="424"/>
      <c r="C150" s="425">
        <f t="shared" si="9"/>
        <v>0</v>
      </c>
      <c r="D150" s="426">
        <v>0</v>
      </c>
      <c r="E150" s="426">
        <v>0</v>
      </c>
      <c r="F150" s="426">
        <v>0</v>
      </c>
      <c r="G150" s="426">
        <v>0</v>
      </c>
      <c r="H150" s="426">
        <v>0</v>
      </c>
      <c r="I150" s="427">
        <f t="shared" si="6"/>
        <v>0</v>
      </c>
      <c r="J150" s="428">
        <f t="shared" si="7"/>
        <v>0</v>
      </c>
      <c r="K150" s="428">
        <f t="shared" si="8"/>
        <v>0</v>
      </c>
      <c r="L150" s="488">
        <v>0</v>
      </c>
      <c r="M150" s="487"/>
      <c r="N150" s="487"/>
      <c r="O150" s="487"/>
      <c r="P150" s="487"/>
      <c r="Q150" s="487"/>
      <c r="R150" s="487"/>
      <c r="S150" s="487"/>
      <c r="T150" s="487"/>
    </row>
    <row r="151" spans="1:20" ht="15" hidden="1" x14ac:dyDescent="0.25">
      <c r="A151" s="424" t="s">
        <v>326</v>
      </c>
      <c r="B151" s="424"/>
      <c r="C151" s="425">
        <f t="shared" si="9"/>
        <v>0</v>
      </c>
      <c r="D151" s="426">
        <v>0</v>
      </c>
      <c r="E151" s="426">
        <v>0</v>
      </c>
      <c r="F151" s="426">
        <v>0</v>
      </c>
      <c r="G151" s="426">
        <v>0</v>
      </c>
      <c r="H151" s="426">
        <v>0</v>
      </c>
      <c r="I151" s="427">
        <f t="shared" si="6"/>
        <v>0</v>
      </c>
      <c r="J151" s="428">
        <f t="shared" si="7"/>
        <v>0</v>
      </c>
      <c r="K151" s="428">
        <f t="shared" si="8"/>
        <v>0</v>
      </c>
      <c r="L151" s="488">
        <v>0</v>
      </c>
      <c r="M151" s="487"/>
      <c r="N151" s="487"/>
      <c r="O151" s="487"/>
      <c r="P151" s="487"/>
      <c r="Q151" s="487"/>
      <c r="R151" s="487"/>
      <c r="S151" s="487"/>
      <c r="T151" s="487"/>
    </row>
    <row r="152" spans="1:20" ht="15" hidden="1" x14ac:dyDescent="0.25">
      <c r="A152" s="424" t="s">
        <v>327</v>
      </c>
      <c r="B152" s="424"/>
      <c r="C152" s="425">
        <f t="shared" si="9"/>
        <v>0</v>
      </c>
      <c r="D152" s="426">
        <v>0</v>
      </c>
      <c r="E152" s="426">
        <v>0</v>
      </c>
      <c r="F152" s="426">
        <v>0</v>
      </c>
      <c r="G152" s="426">
        <v>0</v>
      </c>
      <c r="H152" s="426">
        <v>0</v>
      </c>
      <c r="I152" s="427">
        <f t="shared" si="6"/>
        <v>0</v>
      </c>
      <c r="J152" s="428">
        <f t="shared" si="7"/>
        <v>0</v>
      </c>
      <c r="K152" s="428">
        <f t="shared" si="8"/>
        <v>0</v>
      </c>
      <c r="L152" s="488">
        <v>0</v>
      </c>
      <c r="M152" s="487"/>
      <c r="N152" s="487"/>
      <c r="O152" s="487"/>
      <c r="P152" s="487"/>
      <c r="Q152" s="487"/>
      <c r="R152" s="487"/>
      <c r="S152" s="487"/>
      <c r="T152" s="487"/>
    </row>
    <row r="153" spans="1:20" ht="15" hidden="1" x14ac:dyDescent="0.25">
      <c r="A153" s="424" t="s">
        <v>328</v>
      </c>
      <c r="B153" s="424"/>
      <c r="C153" s="425">
        <f t="shared" si="9"/>
        <v>0</v>
      </c>
      <c r="D153" s="426">
        <v>0</v>
      </c>
      <c r="E153" s="426">
        <v>0</v>
      </c>
      <c r="F153" s="426">
        <v>0</v>
      </c>
      <c r="G153" s="426">
        <v>0</v>
      </c>
      <c r="H153" s="426">
        <v>0</v>
      </c>
      <c r="I153" s="427">
        <f t="shared" si="6"/>
        <v>0</v>
      </c>
      <c r="J153" s="428">
        <f t="shared" si="7"/>
        <v>0</v>
      </c>
      <c r="K153" s="428">
        <f t="shared" si="8"/>
        <v>0</v>
      </c>
      <c r="L153" s="488">
        <v>0</v>
      </c>
      <c r="M153" s="487"/>
      <c r="N153" s="487"/>
      <c r="O153" s="487"/>
      <c r="P153" s="487"/>
      <c r="Q153" s="487"/>
      <c r="R153" s="487"/>
      <c r="S153" s="487"/>
      <c r="T153" s="487"/>
    </row>
    <row r="154" spans="1:20" ht="15" hidden="1" x14ac:dyDescent="0.25">
      <c r="A154" s="424" t="s">
        <v>329</v>
      </c>
      <c r="B154" s="424"/>
      <c r="C154" s="425">
        <f t="shared" si="9"/>
        <v>0</v>
      </c>
      <c r="D154" s="426">
        <v>0</v>
      </c>
      <c r="E154" s="426">
        <v>0</v>
      </c>
      <c r="F154" s="426">
        <v>0</v>
      </c>
      <c r="G154" s="426">
        <v>0</v>
      </c>
      <c r="H154" s="426">
        <v>0</v>
      </c>
      <c r="I154" s="427">
        <f t="shared" si="6"/>
        <v>0</v>
      </c>
      <c r="J154" s="428">
        <f t="shared" si="7"/>
        <v>0</v>
      </c>
      <c r="K154" s="428">
        <f t="shared" si="8"/>
        <v>0</v>
      </c>
      <c r="L154" s="488">
        <v>0</v>
      </c>
      <c r="M154" s="487"/>
      <c r="N154" s="487"/>
      <c r="O154" s="487"/>
      <c r="P154" s="487"/>
      <c r="Q154" s="487"/>
      <c r="R154" s="487"/>
      <c r="S154" s="487"/>
      <c r="T154" s="487"/>
    </row>
    <row r="155" spans="1:20" ht="15" hidden="1" x14ac:dyDescent="0.25">
      <c r="A155" s="424" t="s">
        <v>330</v>
      </c>
      <c r="B155" s="424"/>
      <c r="C155" s="425">
        <f t="shared" si="9"/>
        <v>0</v>
      </c>
      <c r="D155" s="426">
        <v>0</v>
      </c>
      <c r="E155" s="426">
        <v>0</v>
      </c>
      <c r="F155" s="426">
        <v>0</v>
      </c>
      <c r="G155" s="426">
        <v>0</v>
      </c>
      <c r="H155" s="426">
        <v>0</v>
      </c>
      <c r="I155" s="427">
        <f t="shared" si="6"/>
        <v>0</v>
      </c>
      <c r="J155" s="428">
        <f t="shared" si="7"/>
        <v>0</v>
      </c>
      <c r="K155" s="428">
        <f t="shared" si="8"/>
        <v>0</v>
      </c>
      <c r="L155" s="488">
        <v>0</v>
      </c>
      <c r="M155" s="487"/>
      <c r="N155" s="487"/>
      <c r="O155" s="487"/>
      <c r="P155" s="487"/>
      <c r="Q155" s="487"/>
      <c r="R155" s="487"/>
      <c r="S155" s="487"/>
      <c r="T155" s="487"/>
    </row>
    <row r="156" spans="1:20" ht="15" hidden="1" customHeight="1" x14ac:dyDescent="0.25">
      <c r="A156" s="424" t="s">
        <v>331</v>
      </c>
      <c r="B156" s="424"/>
      <c r="C156" s="425">
        <f t="shared" si="9"/>
        <v>0</v>
      </c>
      <c r="D156" s="426">
        <v>0</v>
      </c>
      <c r="E156" s="426">
        <v>0</v>
      </c>
      <c r="F156" s="426">
        <v>0</v>
      </c>
      <c r="G156" s="426">
        <v>0</v>
      </c>
      <c r="H156" s="426">
        <v>0</v>
      </c>
      <c r="I156" s="427">
        <f t="shared" si="6"/>
        <v>0</v>
      </c>
      <c r="J156" s="428">
        <f t="shared" si="7"/>
        <v>0</v>
      </c>
      <c r="K156" s="428">
        <f t="shared" si="8"/>
        <v>0</v>
      </c>
      <c r="L156" s="488">
        <v>0</v>
      </c>
      <c r="M156" s="487"/>
      <c r="N156" s="487"/>
      <c r="O156" s="487"/>
      <c r="P156" s="487"/>
      <c r="Q156" s="487"/>
      <c r="R156" s="487"/>
      <c r="S156" s="487"/>
      <c r="T156" s="487"/>
    </row>
    <row r="157" spans="1:20" ht="15" hidden="1" x14ac:dyDescent="0.25">
      <c r="A157" s="424" t="s">
        <v>332</v>
      </c>
      <c r="B157" s="424"/>
      <c r="C157" s="425">
        <f t="shared" si="9"/>
        <v>0</v>
      </c>
      <c r="D157" s="426">
        <v>0</v>
      </c>
      <c r="E157" s="426">
        <v>0</v>
      </c>
      <c r="F157" s="426">
        <v>0</v>
      </c>
      <c r="G157" s="426">
        <v>0</v>
      </c>
      <c r="H157" s="426">
        <v>0</v>
      </c>
      <c r="I157" s="427">
        <f t="shared" si="6"/>
        <v>0</v>
      </c>
      <c r="J157" s="428">
        <f t="shared" si="7"/>
        <v>0</v>
      </c>
      <c r="K157" s="428">
        <f t="shared" si="8"/>
        <v>0</v>
      </c>
      <c r="L157" s="488">
        <v>0</v>
      </c>
      <c r="M157" s="487"/>
      <c r="N157" s="487"/>
      <c r="O157" s="487"/>
      <c r="P157" s="487"/>
      <c r="Q157" s="487"/>
      <c r="R157" s="487"/>
      <c r="S157" s="487"/>
      <c r="T157" s="487"/>
    </row>
    <row r="158" spans="1:20" ht="15" hidden="1" x14ac:dyDescent="0.25">
      <c r="A158" s="424" t="s">
        <v>333</v>
      </c>
      <c r="B158" s="424"/>
      <c r="C158" s="425">
        <f t="shared" si="9"/>
        <v>0</v>
      </c>
      <c r="D158" s="426">
        <v>0</v>
      </c>
      <c r="E158" s="426">
        <v>0</v>
      </c>
      <c r="F158" s="426">
        <v>0</v>
      </c>
      <c r="G158" s="426">
        <v>0</v>
      </c>
      <c r="H158" s="426">
        <v>0</v>
      </c>
      <c r="I158" s="427">
        <f t="shared" si="6"/>
        <v>0</v>
      </c>
      <c r="J158" s="428">
        <f t="shared" si="7"/>
        <v>0</v>
      </c>
      <c r="K158" s="428">
        <f t="shared" si="8"/>
        <v>0</v>
      </c>
      <c r="L158" s="488">
        <v>0</v>
      </c>
      <c r="M158" s="487"/>
      <c r="N158" s="487"/>
      <c r="O158" s="487"/>
      <c r="P158" s="487"/>
      <c r="Q158" s="487"/>
      <c r="R158" s="487"/>
      <c r="S158" s="487"/>
      <c r="T158" s="487"/>
    </row>
    <row r="159" spans="1:20" ht="15" hidden="1" x14ac:dyDescent="0.25">
      <c r="A159" s="424" t="s">
        <v>334</v>
      </c>
      <c r="B159" s="424"/>
      <c r="C159" s="425">
        <f t="shared" si="9"/>
        <v>0</v>
      </c>
      <c r="D159" s="426">
        <v>0</v>
      </c>
      <c r="E159" s="426">
        <v>0</v>
      </c>
      <c r="F159" s="426">
        <v>0</v>
      </c>
      <c r="G159" s="426">
        <v>0</v>
      </c>
      <c r="H159" s="426">
        <v>0</v>
      </c>
      <c r="I159" s="427">
        <f t="shared" si="6"/>
        <v>0</v>
      </c>
      <c r="J159" s="428">
        <f t="shared" si="7"/>
        <v>0</v>
      </c>
      <c r="K159" s="428">
        <f t="shared" si="8"/>
        <v>0</v>
      </c>
      <c r="L159" s="488">
        <v>0</v>
      </c>
      <c r="M159" s="487"/>
      <c r="N159" s="487"/>
      <c r="O159" s="487"/>
      <c r="P159" s="487"/>
      <c r="Q159" s="487"/>
      <c r="R159" s="487"/>
      <c r="S159" s="487"/>
      <c r="T159" s="487"/>
    </row>
    <row r="160" spans="1:20" ht="15" hidden="1" x14ac:dyDescent="0.25">
      <c r="A160" s="424" t="s">
        <v>335</v>
      </c>
      <c r="B160" s="424"/>
      <c r="C160" s="425">
        <f t="shared" si="9"/>
        <v>0</v>
      </c>
      <c r="D160" s="426">
        <v>0</v>
      </c>
      <c r="E160" s="426">
        <v>0</v>
      </c>
      <c r="F160" s="426">
        <v>0</v>
      </c>
      <c r="G160" s="426">
        <v>0</v>
      </c>
      <c r="H160" s="426">
        <v>0</v>
      </c>
      <c r="I160" s="427">
        <f t="shared" si="6"/>
        <v>0</v>
      </c>
      <c r="J160" s="428">
        <f t="shared" si="7"/>
        <v>0</v>
      </c>
      <c r="K160" s="428">
        <f t="shared" si="8"/>
        <v>0</v>
      </c>
      <c r="L160" s="488">
        <v>0</v>
      </c>
      <c r="M160" s="487"/>
      <c r="N160" s="487"/>
      <c r="O160" s="487"/>
      <c r="P160" s="487"/>
      <c r="Q160" s="487"/>
      <c r="R160" s="487"/>
      <c r="S160" s="487"/>
      <c r="T160" s="487"/>
    </row>
    <row r="161" spans="1:20" ht="15" hidden="1" x14ac:dyDescent="0.25">
      <c r="A161" s="424" t="s">
        <v>336</v>
      </c>
      <c r="B161" s="424"/>
      <c r="C161" s="425">
        <f t="shared" si="9"/>
        <v>0</v>
      </c>
      <c r="D161" s="426">
        <v>0</v>
      </c>
      <c r="E161" s="426">
        <v>0</v>
      </c>
      <c r="F161" s="426">
        <v>0</v>
      </c>
      <c r="G161" s="426">
        <v>0</v>
      </c>
      <c r="H161" s="426">
        <v>0</v>
      </c>
      <c r="I161" s="427">
        <f t="shared" si="6"/>
        <v>0</v>
      </c>
      <c r="J161" s="428">
        <f t="shared" si="7"/>
        <v>0</v>
      </c>
      <c r="K161" s="428">
        <f t="shared" si="8"/>
        <v>0</v>
      </c>
      <c r="L161" s="488">
        <v>0</v>
      </c>
      <c r="M161" s="487"/>
      <c r="N161" s="487"/>
      <c r="O161" s="487"/>
      <c r="P161" s="487"/>
      <c r="Q161" s="487"/>
      <c r="R161" s="487"/>
      <c r="S161" s="487"/>
      <c r="T161" s="487"/>
    </row>
    <row r="162" spans="1:20" ht="15" hidden="1" x14ac:dyDescent="0.25">
      <c r="A162" s="424" t="s">
        <v>337</v>
      </c>
      <c r="B162" s="424"/>
      <c r="C162" s="425">
        <f t="shared" ref="C162:C183" si="10">SUM(D162:H162)</f>
        <v>0</v>
      </c>
      <c r="D162" s="426">
        <v>0</v>
      </c>
      <c r="E162" s="426">
        <v>0</v>
      </c>
      <c r="F162" s="426">
        <v>0</v>
      </c>
      <c r="G162" s="426">
        <v>0</v>
      </c>
      <c r="H162" s="426">
        <v>0</v>
      </c>
      <c r="I162" s="427">
        <f t="shared" ref="I162:I183" si="11">IFERROR(+C162/($C$184),0)</f>
        <v>0</v>
      </c>
      <c r="J162" s="428">
        <f t="shared" ref="J162:J183" si="12">+I162*$C$28</f>
        <v>0</v>
      </c>
      <c r="K162" s="428">
        <f t="shared" ref="K162:K183" si="13">+J162/12</f>
        <v>0</v>
      </c>
      <c r="L162" s="488">
        <v>0</v>
      </c>
      <c r="M162" s="487"/>
      <c r="N162" s="487"/>
      <c r="O162" s="487"/>
      <c r="P162" s="487"/>
      <c r="Q162" s="487"/>
      <c r="R162" s="487"/>
      <c r="S162" s="487"/>
      <c r="T162" s="487"/>
    </row>
    <row r="163" spans="1:20" ht="15" hidden="1" x14ac:dyDescent="0.25">
      <c r="A163" s="424" t="s">
        <v>338</v>
      </c>
      <c r="B163" s="424"/>
      <c r="C163" s="425">
        <f t="shared" si="10"/>
        <v>0</v>
      </c>
      <c r="D163" s="426">
        <v>0</v>
      </c>
      <c r="E163" s="426">
        <v>0</v>
      </c>
      <c r="F163" s="426">
        <v>0</v>
      </c>
      <c r="G163" s="426">
        <v>0</v>
      </c>
      <c r="H163" s="426">
        <v>0</v>
      </c>
      <c r="I163" s="427">
        <f t="shared" si="11"/>
        <v>0</v>
      </c>
      <c r="J163" s="428">
        <f t="shared" si="12"/>
        <v>0</v>
      </c>
      <c r="K163" s="428">
        <f t="shared" si="13"/>
        <v>0</v>
      </c>
      <c r="L163" s="488">
        <v>0</v>
      </c>
      <c r="M163" s="487"/>
      <c r="N163" s="487"/>
      <c r="O163" s="487"/>
      <c r="P163" s="487"/>
      <c r="Q163" s="487"/>
      <c r="R163" s="487"/>
      <c r="S163" s="487"/>
      <c r="T163" s="487"/>
    </row>
    <row r="164" spans="1:20" ht="15" hidden="1" x14ac:dyDescent="0.25">
      <c r="A164" s="424" t="s">
        <v>339</v>
      </c>
      <c r="B164" s="424"/>
      <c r="C164" s="425">
        <f t="shared" si="10"/>
        <v>0</v>
      </c>
      <c r="D164" s="426">
        <v>0</v>
      </c>
      <c r="E164" s="426">
        <v>0</v>
      </c>
      <c r="F164" s="426">
        <v>0</v>
      </c>
      <c r="G164" s="426">
        <v>0</v>
      </c>
      <c r="H164" s="426">
        <v>0</v>
      </c>
      <c r="I164" s="427">
        <f t="shared" si="11"/>
        <v>0</v>
      </c>
      <c r="J164" s="428">
        <f t="shared" si="12"/>
        <v>0</v>
      </c>
      <c r="K164" s="428">
        <f t="shared" si="13"/>
        <v>0</v>
      </c>
      <c r="L164" s="488">
        <v>0</v>
      </c>
      <c r="M164" s="487"/>
      <c r="N164" s="487"/>
      <c r="O164" s="487"/>
      <c r="P164" s="487"/>
      <c r="Q164" s="487"/>
      <c r="R164" s="487"/>
      <c r="S164" s="487"/>
      <c r="T164" s="487"/>
    </row>
    <row r="165" spans="1:20" ht="15" hidden="1" x14ac:dyDescent="0.25">
      <c r="A165" s="424" t="s">
        <v>340</v>
      </c>
      <c r="B165" s="424"/>
      <c r="C165" s="425">
        <f t="shared" si="10"/>
        <v>0</v>
      </c>
      <c r="D165" s="426">
        <v>0</v>
      </c>
      <c r="E165" s="426">
        <v>0</v>
      </c>
      <c r="F165" s="426">
        <v>0</v>
      </c>
      <c r="G165" s="426">
        <v>0</v>
      </c>
      <c r="H165" s="426">
        <v>0</v>
      </c>
      <c r="I165" s="427">
        <f t="shared" si="11"/>
        <v>0</v>
      </c>
      <c r="J165" s="428">
        <f t="shared" si="12"/>
        <v>0</v>
      </c>
      <c r="K165" s="428">
        <f t="shared" si="13"/>
        <v>0</v>
      </c>
      <c r="L165" s="488">
        <v>0</v>
      </c>
      <c r="M165" s="487"/>
      <c r="N165" s="487"/>
      <c r="O165" s="487"/>
      <c r="P165" s="487"/>
      <c r="Q165" s="487"/>
      <c r="R165" s="487"/>
      <c r="S165" s="487"/>
      <c r="T165" s="487"/>
    </row>
    <row r="166" spans="1:20" ht="15" hidden="1" x14ac:dyDescent="0.25">
      <c r="A166" s="424" t="s">
        <v>341</v>
      </c>
      <c r="B166" s="424"/>
      <c r="C166" s="425">
        <f t="shared" si="10"/>
        <v>0</v>
      </c>
      <c r="D166" s="426">
        <v>0</v>
      </c>
      <c r="E166" s="426">
        <v>0</v>
      </c>
      <c r="F166" s="426">
        <v>0</v>
      </c>
      <c r="G166" s="426">
        <v>0</v>
      </c>
      <c r="H166" s="426">
        <v>0</v>
      </c>
      <c r="I166" s="427">
        <f t="shared" si="11"/>
        <v>0</v>
      </c>
      <c r="J166" s="428">
        <f t="shared" si="12"/>
        <v>0</v>
      </c>
      <c r="K166" s="428">
        <f t="shared" si="13"/>
        <v>0</v>
      </c>
      <c r="L166" s="488">
        <v>0</v>
      </c>
      <c r="M166" s="487"/>
      <c r="N166" s="487"/>
      <c r="O166" s="487"/>
      <c r="P166" s="487"/>
      <c r="Q166" s="487"/>
      <c r="R166" s="487"/>
      <c r="S166" s="487"/>
      <c r="T166" s="487"/>
    </row>
    <row r="167" spans="1:20" ht="15" hidden="1" x14ac:dyDescent="0.25">
      <c r="A167" s="424" t="s">
        <v>342</v>
      </c>
      <c r="B167" s="424"/>
      <c r="C167" s="425">
        <f t="shared" si="10"/>
        <v>0</v>
      </c>
      <c r="D167" s="426">
        <v>0</v>
      </c>
      <c r="E167" s="426">
        <v>0</v>
      </c>
      <c r="F167" s="426">
        <v>0</v>
      </c>
      <c r="G167" s="426">
        <v>0</v>
      </c>
      <c r="H167" s="426">
        <v>0</v>
      </c>
      <c r="I167" s="427">
        <f t="shared" si="11"/>
        <v>0</v>
      </c>
      <c r="J167" s="428">
        <f t="shared" si="12"/>
        <v>0</v>
      </c>
      <c r="K167" s="428">
        <f t="shared" si="13"/>
        <v>0</v>
      </c>
      <c r="L167" s="488">
        <v>0</v>
      </c>
      <c r="M167" s="487"/>
      <c r="N167" s="487"/>
      <c r="O167" s="487"/>
      <c r="P167" s="487"/>
      <c r="Q167" s="487"/>
      <c r="R167" s="487"/>
      <c r="S167" s="487"/>
      <c r="T167" s="487"/>
    </row>
    <row r="168" spans="1:20" ht="15" hidden="1" x14ac:dyDescent="0.25">
      <c r="A168" s="424" t="s">
        <v>343</v>
      </c>
      <c r="B168" s="424"/>
      <c r="C168" s="425">
        <f t="shared" si="10"/>
        <v>0</v>
      </c>
      <c r="D168" s="426">
        <v>0</v>
      </c>
      <c r="E168" s="426">
        <v>0</v>
      </c>
      <c r="F168" s="426">
        <v>0</v>
      </c>
      <c r="G168" s="426">
        <v>0</v>
      </c>
      <c r="H168" s="426">
        <v>0</v>
      </c>
      <c r="I168" s="427">
        <f t="shared" si="11"/>
        <v>0</v>
      </c>
      <c r="J168" s="428">
        <f t="shared" si="12"/>
        <v>0</v>
      </c>
      <c r="K168" s="428">
        <f t="shared" si="13"/>
        <v>0</v>
      </c>
      <c r="L168" s="488">
        <v>0</v>
      </c>
      <c r="M168" s="487"/>
      <c r="N168" s="487"/>
      <c r="O168" s="487"/>
      <c r="P168" s="487"/>
      <c r="Q168" s="487"/>
      <c r="R168" s="487"/>
      <c r="S168" s="487"/>
      <c r="T168" s="487"/>
    </row>
    <row r="169" spans="1:20" ht="15" hidden="1" x14ac:dyDescent="0.25">
      <c r="A169" s="424" t="s">
        <v>344</v>
      </c>
      <c r="B169" s="424"/>
      <c r="C169" s="425">
        <f t="shared" si="10"/>
        <v>0</v>
      </c>
      <c r="D169" s="426">
        <v>0</v>
      </c>
      <c r="E169" s="426">
        <v>0</v>
      </c>
      <c r="F169" s="426">
        <v>0</v>
      </c>
      <c r="G169" s="426">
        <v>0</v>
      </c>
      <c r="H169" s="426">
        <v>0</v>
      </c>
      <c r="I169" s="427">
        <f t="shared" si="11"/>
        <v>0</v>
      </c>
      <c r="J169" s="428">
        <f t="shared" si="12"/>
        <v>0</v>
      </c>
      <c r="K169" s="428">
        <f t="shared" si="13"/>
        <v>0</v>
      </c>
      <c r="L169" s="488">
        <v>0</v>
      </c>
      <c r="M169" s="487"/>
      <c r="N169" s="487"/>
      <c r="O169" s="487"/>
      <c r="P169" s="487"/>
      <c r="Q169" s="487"/>
      <c r="R169" s="487"/>
      <c r="S169" s="487"/>
      <c r="T169" s="487"/>
    </row>
    <row r="170" spans="1:20" ht="15" hidden="1" x14ac:dyDescent="0.25">
      <c r="A170" s="424" t="s">
        <v>345</v>
      </c>
      <c r="B170" s="424"/>
      <c r="C170" s="425">
        <f t="shared" si="10"/>
        <v>0</v>
      </c>
      <c r="D170" s="426">
        <v>0</v>
      </c>
      <c r="E170" s="426">
        <v>0</v>
      </c>
      <c r="F170" s="426">
        <v>0</v>
      </c>
      <c r="G170" s="426">
        <v>0</v>
      </c>
      <c r="H170" s="426">
        <v>0</v>
      </c>
      <c r="I170" s="427">
        <f t="shared" si="11"/>
        <v>0</v>
      </c>
      <c r="J170" s="428">
        <f t="shared" si="12"/>
        <v>0</v>
      </c>
      <c r="K170" s="428">
        <f t="shared" si="13"/>
        <v>0</v>
      </c>
      <c r="L170" s="488">
        <v>0</v>
      </c>
      <c r="M170" s="487"/>
      <c r="N170" s="487"/>
      <c r="O170" s="487"/>
      <c r="P170" s="487"/>
      <c r="Q170" s="487"/>
      <c r="R170" s="487"/>
      <c r="S170" s="487"/>
      <c r="T170" s="487"/>
    </row>
    <row r="171" spans="1:20" ht="15" hidden="1" x14ac:dyDescent="0.25">
      <c r="A171" s="424" t="s">
        <v>346</v>
      </c>
      <c r="B171" s="424"/>
      <c r="C171" s="425">
        <f t="shared" si="10"/>
        <v>0</v>
      </c>
      <c r="D171" s="426">
        <v>0</v>
      </c>
      <c r="E171" s="426">
        <v>0</v>
      </c>
      <c r="F171" s="426">
        <v>0</v>
      </c>
      <c r="G171" s="426">
        <v>0</v>
      </c>
      <c r="H171" s="426">
        <v>0</v>
      </c>
      <c r="I171" s="427">
        <f t="shared" si="11"/>
        <v>0</v>
      </c>
      <c r="J171" s="428">
        <f t="shared" si="12"/>
        <v>0</v>
      </c>
      <c r="K171" s="428">
        <f t="shared" si="13"/>
        <v>0</v>
      </c>
      <c r="L171" s="488">
        <v>0</v>
      </c>
      <c r="M171" s="487"/>
      <c r="N171" s="487"/>
      <c r="O171" s="487"/>
      <c r="P171" s="487"/>
      <c r="Q171" s="487"/>
      <c r="R171" s="487"/>
      <c r="S171" s="487"/>
      <c r="T171" s="487"/>
    </row>
    <row r="172" spans="1:20" ht="15" hidden="1" x14ac:dyDescent="0.25">
      <c r="A172" s="424" t="s">
        <v>347</v>
      </c>
      <c r="B172" s="424"/>
      <c r="C172" s="425">
        <f t="shared" si="10"/>
        <v>0</v>
      </c>
      <c r="D172" s="426">
        <v>0</v>
      </c>
      <c r="E172" s="426">
        <v>0</v>
      </c>
      <c r="F172" s="426">
        <v>0</v>
      </c>
      <c r="G172" s="426">
        <v>0</v>
      </c>
      <c r="H172" s="426">
        <v>0</v>
      </c>
      <c r="I172" s="427">
        <f t="shared" si="11"/>
        <v>0</v>
      </c>
      <c r="J172" s="428">
        <f t="shared" si="12"/>
        <v>0</v>
      </c>
      <c r="K172" s="428">
        <f t="shared" si="13"/>
        <v>0</v>
      </c>
      <c r="L172" s="488">
        <v>0</v>
      </c>
      <c r="M172" s="487"/>
      <c r="N172" s="487"/>
      <c r="O172" s="487"/>
      <c r="P172" s="487"/>
      <c r="Q172" s="487"/>
      <c r="R172" s="487"/>
      <c r="S172" s="487"/>
      <c r="T172" s="487"/>
    </row>
    <row r="173" spans="1:20" ht="15" hidden="1" x14ac:dyDescent="0.25">
      <c r="A173" s="424" t="s">
        <v>348</v>
      </c>
      <c r="B173" s="424"/>
      <c r="C173" s="425">
        <f t="shared" si="10"/>
        <v>0</v>
      </c>
      <c r="D173" s="426">
        <v>0</v>
      </c>
      <c r="E173" s="426">
        <v>0</v>
      </c>
      <c r="F173" s="426">
        <v>0</v>
      </c>
      <c r="G173" s="426">
        <v>0</v>
      </c>
      <c r="H173" s="426">
        <v>0</v>
      </c>
      <c r="I173" s="427">
        <f t="shared" si="11"/>
        <v>0</v>
      </c>
      <c r="J173" s="428">
        <f t="shared" si="12"/>
        <v>0</v>
      </c>
      <c r="K173" s="428">
        <f t="shared" si="13"/>
        <v>0</v>
      </c>
      <c r="L173" s="488">
        <v>0</v>
      </c>
      <c r="M173" s="487"/>
      <c r="N173" s="487"/>
      <c r="O173" s="487"/>
      <c r="P173" s="487"/>
      <c r="Q173" s="487"/>
      <c r="R173" s="487"/>
      <c r="S173" s="487"/>
      <c r="T173" s="487"/>
    </row>
    <row r="174" spans="1:20" ht="15" hidden="1" x14ac:dyDescent="0.25">
      <c r="A174" s="424" t="s">
        <v>349</v>
      </c>
      <c r="B174" s="424"/>
      <c r="C174" s="425">
        <f t="shared" si="10"/>
        <v>0</v>
      </c>
      <c r="D174" s="426">
        <v>0</v>
      </c>
      <c r="E174" s="426">
        <v>0</v>
      </c>
      <c r="F174" s="426">
        <v>0</v>
      </c>
      <c r="G174" s="426">
        <v>0</v>
      </c>
      <c r="H174" s="426">
        <v>0</v>
      </c>
      <c r="I174" s="427">
        <f t="shared" si="11"/>
        <v>0</v>
      </c>
      <c r="J174" s="428">
        <f t="shared" si="12"/>
        <v>0</v>
      </c>
      <c r="K174" s="428">
        <f t="shared" si="13"/>
        <v>0</v>
      </c>
      <c r="L174" s="488">
        <v>0</v>
      </c>
      <c r="M174" s="487"/>
      <c r="N174" s="487"/>
      <c r="O174" s="487"/>
      <c r="P174" s="487"/>
      <c r="Q174" s="487"/>
      <c r="R174" s="487"/>
      <c r="S174" s="487"/>
      <c r="T174" s="487"/>
    </row>
    <row r="175" spans="1:20" ht="15" hidden="1" x14ac:dyDescent="0.25">
      <c r="A175" s="424" t="s">
        <v>350</v>
      </c>
      <c r="B175" s="424"/>
      <c r="C175" s="425">
        <f t="shared" si="10"/>
        <v>0</v>
      </c>
      <c r="D175" s="426">
        <v>0</v>
      </c>
      <c r="E175" s="426">
        <v>0</v>
      </c>
      <c r="F175" s="426">
        <v>0</v>
      </c>
      <c r="G175" s="426">
        <v>0</v>
      </c>
      <c r="H175" s="426">
        <v>0</v>
      </c>
      <c r="I175" s="427">
        <f t="shared" si="11"/>
        <v>0</v>
      </c>
      <c r="J175" s="428">
        <f t="shared" si="12"/>
        <v>0</v>
      </c>
      <c r="K175" s="428">
        <f t="shared" si="13"/>
        <v>0</v>
      </c>
      <c r="L175" s="488">
        <v>0</v>
      </c>
      <c r="M175" s="487"/>
      <c r="N175" s="487"/>
      <c r="O175" s="487"/>
      <c r="P175" s="487"/>
      <c r="Q175" s="487"/>
      <c r="R175" s="487"/>
      <c r="S175" s="487"/>
      <c r="T175" s="487"/>
    </row>
    <row r="176" spans="1:20" ht="15" hidden="1" x14ac:dyDescent="0.25">
      <c r="A176" s="424" t="s">
        <v>351</v>
      </c>
      <c r="B176" s="424"/>
      <c r="C176" s="425">
        <f t="shared" si="10"/>
        <v>0</v>
      </c>
      <c r="D176" s="426">
        <v>0</v>
      </c>
      <c r="E176" s="426">
        <v>0</v>
      </c>
      <c r="F176" s="426">
        <v>0</v>
      </c>
      <c r="G176" s="426">
        <v>0</v>
      </c>
      <c r="H176" s="426">
        <v>0</v>
      </c>
      <c r="I176" s="427">
        <f t="shared" si="11"/>
        <v>0</v>
      </c>
      <c r="J176" s="428">
        <f t="shared" si="12"/>
        <v>0</v>
      </c>
      <c r="K176" s="428">
        <f t="shared" si="13"/>
        <v>0</v>
      </c>
      <c r="L176" s="488">
        <v>0</v>
      </c>
      <c r="M176" s="487"/>
      <c r="N176" s="487"/>
      <c r="O176" s="487"/>
      <c r="P176" s="487"/>
      <c r="Q176" s="487"/>
      <c r="R176" s="487"/>
      <c r="S176" s="487"/>
      <c r="T176" s="487"/>
    </row>
    <row r="177" spans="1:20" ht="15" hidden="1" x14ac:dyDescent="0.25">
      <c r="A177" s="424" t="s">
        <v>352</v>
      </c>
      <c r="B177" s="424"/>
      <c r="C177" s="425">
        <f t="shared" si="10"/>
        <v>0</v>
      </c>
      <c r="D177" s="426">
        <v>0</v>
      </c>
      <c r="E177" s="426">
        <v>0</v>
      </c>
      <c r="F177" s="426">
        <v>0</v>
      </c>
      <c r="G177" s="426">
        <v>0</v>
      </c>
      <c r="H177" s="426">
        <v>0</v>
      </c>
      <c r="I177" s="427">
        <f t="shared" si="11"/>
        <v>0</v>
      </c>
      <c r="J177" s="428">
        <f t="shared" si="12"/>
        <v>0</v>
      </c>
      <c r="K177" s="428">
        <f t="shared" si="13"/>
        <v>0</v>
      </c>
      <c r="L177" s="488">
        <v>0</v>
      </c>
      <c r="M177" s="487"/>
      <c r="N177" s="487"/>
      <c r="O177" s="487"/>
      <c r="P177" s="487"/>
      <c r="Q177" s="487"/>
      <c r="R177" s="487"/>
      <c r="S177" s="487"/>
      <c r="T177" s="487"/>
    </row>
    <row r="178" spans="1:20" ht="15" hidden="1" x14ac:dyDescent="0.25">
      <c r="A178" s="424" t="s">
        <v>353</v>
      </c>
      <c r="B178" s="424"/>
      <c r="C178" s="425">
        <f t="shared" si="10"/>
        <v>0</v>
      </c>
      <c r="D178" s="426">
        <v>0</v>
      </c>
      <c r="E178" s="426">
        <v>0</v>
      </c>
      <c r="F178" s="426">
        <v>0</v>
      </c>
      <c r="G178" s="426">
        <v>0</v>
      </c>
      <c r="H178" s="426">
        <v>0</v>
      </c>
      <c r="I178" s="427">
        <f t="shared" si="11"/>
        <v>0</v>
      </c>
      <c r="J178" s="428">
        <f t="shared" si="12"/>
        <v>0</v>
      </c>
      <c r="K178" s="428">
        <f t="shared" si="13"/>
        <v>0</v>
      </c>
      <c r="L178" s="488">
        <v>0</v>
      </c>
      <c r="M178" s="487"/>
      <c r="N178" s="487"/>
      <c r="O178" s="487"/>
      <c r="P178" s="487"/>
      <c r="Q178" s="487"/>
      <c r="R178" s="487"/>
      <c r="S178" s="487"/>
      <c r="T178" s="487"/>
    </row>
    <row r="179" spans="1:20" ht="15" hidden="1" x14ac:dyDescent="0.25">
      <c r="A179" s="424" t="s">
        <v>354</v>
      </c>
      <c r="B179" s="424"/>
      <c r="C179" s="425">
        <f t="shared" si="10"/>
        <v>0</v>
      </c>
      <c r="D179" s="426">
        <v>0</v>
      </c>
      <c r="E179" s="426">
        <v>0</v>
      </c>
      <c r="F179" s="426">
        <v>0</v>
      </c>
      <c r="G179" s="426">
        <v>0</v>
      </c>
      <c r="H179" s="426">
        <v>0</v>
      </c>
      <c r="I179" s="427">
        <f t="shared" si="11"/>
        <v>0</v>
      </c>
      <c r="J179" s="428">
        <f t="shared" si="12"/>
        <v>0</v>
      </c>
      <c r="K179" s="428">
        <f t="shared" si="13"/>
        <v>0</v>
      </c>
      <c r="L179" s="488">
        <v>0</v>
      </c>
      <c r="M179" s="487"/>
      <c r="N179" s="487"/>
      <c r="O179" s="487"/>
      <c r="P179" s="487"/>
      <c r="Q179" s="487"/>
      <c r="R179" s="487"/>
      <c r="S179" s="487"/>
      <c r="T179" s="487"/>
    </row>
    <row r="180" spans="1:20" ht="15" hidden="1" x14ac:dyDescent="0.25">
      <c r="A180" s="424" t="s">
        <v>355</v>
      </c>
      <c r="B180" s="424"/>
      <c r="C180" s="425">
        <f t="shared" si="10"/>
        <v>0</v>
      </c>
      <c r="D180" s="426">
        <v>0</v>
      </c>
      <c r="E180" s="426">
        <v>0</v>
      </c>
      <c r="F180" s="426">
        <v>0</v>
      </c>
      <c r="G180" s="426">
        <v>0</v>
      </c>
      <c r="H180" s="426">
        <v>0</v>
      </c>
      <c r="I180" s="427">
        <f t="shared" si="11"/>
        <v>0</v>
      </c>
      <c r="J180" s="428">
        <f t="shared" si="12"/>
        <v>0</v>
      </c>
      <c r="K180" s="428">
        <f t="shared" si="13"/>
        <v>0</v>
      </c>
      <c r="L180" s="488">
        <v>0</v>
      </c>
      <c r="M180" s="487"/>
      <c r="N180" s="487"/>
      <c r="O180" s="487"/>
      <c r="P180" s="487"/>
      <c r="Q180" s="487"/>
      <c r="R180" s="487"/>
      <c r="S180" s="487"/>
      <c r="T180" s="487"/>
    </row>
    <row r="181" spans="1:20" ht="15" hidden="1" x14ac:dyDescent="0.25">
      <c r="A181" s="424" t="s">
        <v>356</v>
      </c>
      <c r="B181" s="424"/>
      <c r="C181" s="425">
        <f t="shared" si="10"/>
        <v>0</v>
      </c>
      <c r="D181" s="426">
        <v>0</v>
      </c>
      <c r="E181" s="426">
        <v>0</v>
      </c>
      <c r="F181" s="426">
        <v>0</v>
      </c>
      <c r="G181" s="426">
        <v>0</v>
      </c>
      <c r="H181" s="426">
        <v>0</v>
      </c>
      <c r="I181" s="427">
        <f t="shared" si="11"/>
        <v>0</v>
      </c>
      <c r="J181" s="428">
        <f t="shared" si="12"/>
        <v>0</v>
      </c>
      <c r="K181" s="428">
        <f t="shared" si="13"/>
        <v>0</v>
      </c>
      <c r="L181" s="488">
        <v>0</v>
      </c>
      <c r="M181" s="487"/>
      <c r="N181" s="487"/>
      <c r="O181" s="487"/>
      <c r="P181" s="487"/>
      <c r="Q181" s="487"/>
      <c r="R181" s="487"/>
      <c r="S181" s="487"/>
      <c r="T181" s="487"/>
    </row>
    <row r="182" spans="1:20" ht="15" hidden="1" x14ac:dyDescent="0.25">
      <c r="A182" s="424" t="s">
        <v>357</v>
      </c>
      <c r="B182" s="424"/>
      <c r="C182" s="425">
        <f t="shared" si="10"/>
        <v>0</v>
      </c>
      <c r="D182" s="426">
        <v>0</v>
      </c>
      <c r="E182" s="426">
        <v>0</v>
      </c>
      <c r="F182" s="426">
        <v>0</v>
      </c>
      <c r="G182" s="426">
        <v>0</v>
      </c>
      <c r="H182" s="426">
        <v>0</v>
      </c>
      <c r="I182" s="427">
        <f t="shared" si="11"/>
        <v>0</v>
      </c>
      <c r="J182" s="428">
        <f t="shared" si="12"/>
        <v>0</v>
      </c>
      <c r="K182" s="428">
        <f t="shared" si="13"/>
        <v>0</v>
      </c>
      <c r="L182" s="488">
        <v>0</v>
      </c>
      <c r="M182" s="487"/>
      <c r="N182" s="487"/>
      <c r="O182" s="487"/>
      <c r="P182" s="487"/>
      <c r="Q182" s="487"/>
      <c r="R182" s="487"/>
      <c r="S182" s="487"/>
      <c r="T182" s="487"/>
    </row>
    <row r="183" spans="1:20" ht="15" hidden="1" x14ac:dyDescent="0.25">
      <c r="A183" s="424" t="s">
        <v>358</v>
      </c>
      <c r="B183" s="424"/>
      <c r="C183" s="425">
        <f t="shared" si="10"/>
        <v>0</v>
      </c>
      <c r="D183" s="426">
        <v>0</v>
      </c>
      <c r="E183" s="426">
        <v>0</v>
      </c>
      <c r="F183" s="426">
        <v>0</v>
      </c>
      <c r="G183" s="426">
        <v>0</v>
      </c>
      <c r="H183" s="426">
        <v>0</v>
      </c>
      <c r="I183" s="427">
        <f t="shared" si="11"/>
        <v>0</v>
      </c>
      <c r="J183" s="428">
        <f t="shared" si="12"/>
        <v>0</v>
      </c>
      <c r="K183" s="428">
        <f t="shared" si="13"/>
        <v>0</v>
      </c>
      <c r="L183" s="488">
        <v>0</v>
      </c>
      <c r="M183" s="487"/>
      <c r="N183" s="487"/>
      <c r="O183" s="487"/>
      <c r="P183" s="487"/>
      <c r="Q183" s="487"/>
      <c r="R183" s="487"/>
      <c r="S183" s="487"/>
      <c r="T183" s="487"/>
    </row>
    <row r="184" spans="1:20" ht="15" x14ac:dyDescent="0.25">
      <c r="A184" s="429" t="s">
        <v>52</v>
      </c>
      <c r="B184" s="429"/>
      <c r="C184" s="425">
        <f t="shared" ref="C184:K184" si="14">SUM(C34:C183)</f>
        <v>0</v>
      </c>
      <c r="D184" s="425">
        <f t="shared" si="14"/>
        <v>0</v>
      </c>
      <c r="E184" s="425">
        <f t="shared" si="14"/>
        <v>0</v>
      </c>
      <c r="F184" s="425">
        <f t="shared" si="14"/>
        <v>0</v>
      </c>
      <c r="G184" s="425">
        <f t="shared" si="14"/>
        <v>0</v>
      </c>
      <c r="H184" s="425">
        <f t="shared" si="14"/>
        <v>0</v>
      </c>
      <c r="I184" s="430">
        <f t="shared" si="14"/>
        <v>0</v>
      </c>
      <c r="J184" s="431">
        <f t="shared" si="14"/>
        <v>0</v>
      </c>
      <c r="K184" s="428">
        <f t="shared" si="14"/>
        <v>0</v>
      </c>
      <c r="L184" s="488">
        <v>0</v>
      </c>
      <c r="M184" s="487"/>
      <c r="N184" s="487"/>
      <c r="O184" s="487"/>
      <c r="P184" s="487"/>
      <c r="Q184" s="487"/>
      <c r="R184" s="487"/>
      <c r="S184" s="487"/>
      <c r="T184" s="487"/>
    </row>
    <row r="185" spans="1:20" ht="15" x14ac:dyDescent="0.25">
      <c r="A185" s="405"/>
      <c r="B185" s="405"/>
      <c r="C185" s="405"/>
      <c r="D185" s="405"/>
      <c r="E185" s="405"/>
      <c r="F185" s="405"/>
      <c r="G185" s="405"/>
      <c r="H185" s="405"/>
      <c r="I185" s="405"/>
      <c r="J185" s="405"/>
      <c r="K185" s="405"/>
    </row>
  </sheetData>
  <sheetProtection algorithmName="SHA-512" hashValue="VfjwnOLfjusWjMSk17o4otJCu+mhX4FZiQkGGf/aDopArpDH2HT0xJS77QY3ZiHOvOzy3WXM2RECOErqGaaZkQ==" saltValue="8eVPB+LwzQQxGtW+vkf9lA==" spinCount="100000" sheet="1" objects="1" scenarios="1"/>
  <mergeCells count="6">
    <mergeCell ref="N33:T33"/>
    <mergeCell ref="A14:E14"/>
    <mergeCell ref="C16:G16"/>
    <mergeCell ref="A17:F17"/>
    <mergeCell ref="A26:C26"/>
    <mergeCell ref="A31:D31"/>
  </mergeCells>
  <pageMargins left="0.7" right="0.7" top="0.75" bottom="0.75" header="0.3" footer="0.3"/>
  <pageSetup scale="6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4">
    <pageSetUpPr fitToPage="1"/>
  </sheetPr>
  <dimension ref="A2:U93"/>
  <sheetViews>
    <sheetView showGridLines="0" topLeftCell="A14" workbookViewId="0">
      <selection activeCell="H48" sqref="H48"/>
    </sheetView>
  </sheetViews>
  <sheetFormatPr defaultColWidth="9" defaultRowHeight="15" x14ac:dyDescent="0.25"/>
  <cols>
    <col min="1" max="1" width="56" style="279" bestFit="1" customWidth="1"/>
    <col min="2" max="2" width="14.85546875" style="279" customWidth="1"/>
    <col min="3" max="3" width="17.85546875" style="279" customWidth="1"/>
    <col min="4" max="4" width="11" style="279" customWidth="1"/>
    <col min="5" max="5" width="22" style="279" customWidth="1"/>
    <col min="6" max="6" width="14.7109375" style="279" customWidth="1"/>
    <col min="7" max="7" width="24.28515625" style="279" customWidth="1"/>
    <col min="8" max="8" width="18.7109375" style="279" customWidth="1"/>
    <col min="9" max="9" width="26.28515625" style="279" customWidth="1"/>
    <col min="10" max="10" width="17" style="279" customWidth="1"/>
    <col min="11" max="11" width="18.7109375" style="279" customWidth="1"/>
    <col min="12" max="12" width="19.7109375" style="279" hidden="1" customWidth="1"/>
    <col min="13" max="13" width="18.28515625" style="279" hidden="1" customWidth="1"/>
    <col min="14" max="14" width="9.28515625" style="280" hidden="1" customWidth="1"/>
    <col min="15" max="21" width="0" style="279" hidden="1" customWidth="1"/>
    <col min="22" max="16384" width="9" style="279"/>
  </cols>
  <sheetData>
    <row r="2" spans="1:14" x14ac:dyDescent="0.25">
      <c r="B2" s="290" t="b">
        <v>0</v>
      </c>
    </row>
    <row r="6" spans="1:14" x14ac:dyDescent="0.25">
      <c r="B6" s="279" t="s">
        <v>52</v>
      </c>
    </row>
    <row r="12" spans="1:14" s="288" customFormat="1" ht="55.5" customHeight="1" x14ac:dyDescent="0.2">
      <c r="A12" s="855" t="s">
        <v>455</v>
      </c>
      <c r="B12" s="856"/>
      <c r="C12" s="856"/>
      <c r="D12" s="856"/>
      <c r="E12" s="856"/>
      <c r="F12" s="856"/>
      <c r="G12" s="856"/>
      <c r="H12" s="856"/>
      <c r="I12" s="856"/>
      <c r="J12" s="856"/>
      <c r="K12" s="856"/>
      <c r="L12" s="856"/>
      <c r="N12" s="289"/>
    </row>
    <row r="13" spans="1:14" ht="28.15" customHeight="1" x14ac:dyDescent="0.25">
      <c r="A13" s="346" t="s">
        <v>422</v>
      </c>
      <c r="B13" s="347">
        <f>'1. Information Sheet'!L43</f>
        <v>2020</v>
      </c>
      <c r="C13" s="858"/>
      <c r="D13" s="859"/>
      <c r="E13" s="859"/>
      <c r="F13" s="859"/>
      <c r="G13" s="859"/>
    </row>
    <row r="14" spans="1:14" s="283" customFormat="1" ht="63" customHeight="1" x14ac:dyDescent="0.25">
      <c r="B14" s="287"/>
      <c r="C14" s="857" t="s">
        <v>2874</v>
      </c>
      <c r="D14" s="857"/>
      <c r="E14" s="857" t="s">
        <v>2906</v>
      </c>
      <c r="F14" s="857"/>
      <c r="G14" s="857" t="s">
        <v>2907</v>
      </c>
      <c r="H14" s="857"/>
      <c r="I14" s="857" t="s">
        <v>370</v>
      </c>
      <c r="J14" s="857"/>
      <c r="K14" s="286" t="s">
        <v>369</v>
      </c>
      <c r="L14" s="285" t="s">
        <v>368</v>
      </c>
      <c r="M14" s="285" t="s">
        <v>367</v>
      </c>
      <c r="N14" s="284" t="s">
        <v>366</v>
      </c>
    </row>
    <row r="15" spans="1:14" s="280" customFormat="1" x14ac:dyDescent="0.25">
      <c r="C15" s="282" t="s">
        <v>139</v>
      </c>
      <c r="D15" s="282" t="s">
        <v>170</v>
      </c>
      <c r="E15" s="282" t="s">
        <v>139</v>
      </c>
      <c r="F15" s="282" t="s">
        <v>170</v>
      </c>
      <c r="G15" s="282" t="s">
        <v>139</v>
      </c>
      <c r="H15" s="282" t="s">
        <v>170</v>
      </c>
      <c r="I15" s="282" t="s">
        <v>139</v>
      </c>
      <c r="J15" s="282" t="s">
        <v>170</v>
      </c>
    </row>
    <row r="16" spans="1:14" ht="15.75" thickBot="1" x14ac:dyDescent="0.3">
      <c r="B16" s="281"/>
      <c r="C16" s="309"/>
      <c r="D16" s="309"/>
      <c r="E16" s="309"/>
      <c r="F16" s="309"/>
      <c r="G16" s="309"/>
      <c r="H16" s="309"/>
      <c r="I16" s="309"/>
      <c r="J16" s="309"/>
      <c r="N16" s="279"/>
    </row>
    <row r="17" spans="1:21" x14ac:dyDescent="0.25">
      <c r="A17" s="279" t="str">
        <f>IF(ISBLANK('4. Billing Determinants'!$B21), "", '4. Billing Determinants'!$B21)</f>
        <v>RESIDENTIAL SERVICE CLASSIFICATION</v>
      </c>
      <c r="B17" s="318"/>
      <c r="C17" s="310">
        <f>IF(ISBLANK('4. Billing Determinants'!$L21), "", '4. Billing Determinants'!$L21)</f>
        <v>282922375</v>
      </c>
      <c r="D17" s="310">
        <f>IF(ISBLANK('4. Billing Determinants'!$M21), "", '4. Billing Determinants'!$M21)</f>
        <v>0</v>
      </c>
      <c r="E17" s="315">
        <f t="array" ref="E17">SUM(IF('6. Class A Consumption Data'!B492:B791=A17,'6. Class A Consumption Data'!E492:E791))</f>
        <v>0</v>
      </c>
      <c r="F17" s="315">
        <f t="array" ref="F17">SUM(IF('6. Class A Consumption Data'!B492:B791=A17&amp;"kW",'6. Class A Consumption Data'!E492:E791))</f>
        <v>0</v>
      </c>
      <c r="G17" s="315">
        <f t="array" ref="G17">SUM(IF('6. Class A Consumption Data'!B492:B791=A17,'6. Class A Consumption Data'!D492:D791))</f>
        <v>0</v>
      </c>
      <c r="H17" s="316">
        <f t="array" ref="H17">SUM(IF('6. Class A Consumption Data'!B492:B791=A17&amp;"kW",'6. Class A Consumption Data'!D492:D791))</f>
        <v>0</v>
      </c>
      <c r="I17" s="310">
        <f>(C17-E17-G17)</f>
        <v>282922375</v>
      </c>
      <c r="J17" s="310">
        <f>(D17-F17-H17)</f>
        <v>0</v>
      </c>
      <c r="K17" s="313">
        <f>I17/$I$37</f>
        <v>0.49825343140898359</v>
      </c>
      <c r="M17" s="279">
        <v>0</v>
      </c>
      <c r="O17" s="846" t="s">
        <v>373</v>
      </c>
      <c r="P17" s="847"/>
      <c r="Q17" s="847"/>
      <c r="R17" s="847"/>
      <c r="S17" s="847"/>
      <c r="T17" s="847"/>
      <c r="U17" s="848"/>
    </row>
    <row r="18" spans="1:21" x14ac:dyDescent="0.25">
      <c r="A18" s="279" t="str">
        <f>IF(ISBLANK('4. Billing Determinants'!$B22), "", '4. Billing Determinants'!$B22)</f>
        <v>GENERAL SERVICE LESS THAN 50 KW SERVICE CLASSIFICATION</v>
      </c>
      <c r="B18" s="318" t="s">
        <v>372</v>
      </c>
      <c r="C18" s="310">
        <f>IF(ISBLANK('4. Billing Determinants'!$L22), "", '4. Billing Determinants'!$L22)</f>
        <v>86539469</v>
      </c>
      <c r="D18" s="310">
        <f>IF(ISBLANK('4. Billing Determinants'!$M22), "", '4. Billing Determinants'!$M22)</f>
        <v>0</v>
      </c>
      <c r="E18" s="315">
        <f t="array" ref="E18">SUM(IF('6. Class A Consumption Data'!B492:B791=A18,'6. Class A Consumption Data'!E492:E791))</f>
        <v>0</v>
      </c>
      <c r="F18" s="315">
        <f t="array" ref="F18">SUM(IF('6. Class A Consumption Data'!B492:B791=A18&amp;"kW",'6. Class A Consumption Data'!E492:E791))</f>
        <v>0</v>
      </c>
      <c r="G18" s="315">
        <f t="array" ref="G18">SUM(IF('6. Class A Consumption Data'!B492:B791=A18,'6. Class A Consumption Data'!D492:D791))</f>
        <v>0</v>
      </c>
      <c r="H18" s="316">
        <f t="array" ref="H18">SUM(IF('6. Class A Consumption Data'!B492:B791=A18&amp;"kW",'6. Class A Consumption Data'!D492:D791))</f>
        <v>0</v>
      </c>
      <c r="I18" s="310">
        <f t="shared" ref="I18:I36" si="0">(C18-E18-G18)</f>
        <v>86539469</v>
      </c>
      <c r="J18" s="310">
        <f t="shared" ref="J18:J36" si="1">(D18-F18-H18)</f>
        <v>0</v>
      </c>
      <c r="K18" s="313">
        <f t="shared" ref="K18:K36" si="2">I18/$I$37</f>
        <v>0.1524043030586088</v>
      </c>
      <c r="M18" s="279">
        <v>0</v>
      </c>
      <c r="O18" s="849"/>
      <c r="P18" s="850"/>
      <c r="Q18" s="850"/>
      <c r="R18" s="850"/>
      <c r="S18" s="850"/>
      <c r="T18" s="850"/>
      <c r="U18" s="851"/>
    </row>
    <row r="19" spans="1:21" x14ac:dyDescent="0.25">
      <c r="A19" s="279" t="str">
        <f>IF(ISBLANK('4. Billing Determinants'!$B23), "", '4. Billing Determinants'!$B23)</f>
        <v>GENERAL SERVICE 50 TO 999 KW SERVICE CLASSIFICATION</v>
      </c>
      <c r="B19" s="318" t="s">
        <v>372</v>
      </c>
      <c r="C19" s="310">
        <f>IF(ISBLANK('4. Billing Determinants'!$L23), "", '4. Billing Determinants'!$L23)</f>
        <v>232644288</v>
      </c>
      <c r="D19" s="310">
        <f>IF(ISBLANK('4. Billing Determinants'!$M23), "", '4. Billing Determinants'!$M23)</f>
        <v>575372</v>
      </c>
      <c r="E19" s="315">
        <f t="array" ref="E19">SUM(IF('6. Class A Consumption Data'!B492:B791=A19,'6. Class A Consumption Data'!E492:E791))</f>
        <v>37810243.020000003</v>
      </c>
      <c r="F19" s="315">
        <f t="array" ref="F19">SUM(IF('6. Class A Consumption Data'!B492:B791=A19&amp;"kW",'6. Class A Consumption Data'!E492:E791))</f>
        <v>88766.09</v>
      </c>
      <c r="G19" s="315">
        <f t="array" ref="G19">SUM(IF('6. Class A Consumption Data'!B492:B791=A19,'6. Class A Consumption Data'!D492:D791))</f>
        <v>0</v>
      </c>
      <c r="H19" s="316">
        <f t="array" ref="H19">SUM(IF('6. Class A Consumption Data'!B492:B791=A19&amp;"kW",'6. Class A Consumption Data'!D492:D791))</f>
        <v>0</v>
      </c>
      <c r="I19" s="310">
        <f t="shared" si="0"/>
        <v>194834044.97999999</v>
      </c>
      <c r="J19" s="310">
        <f t="shared" si="1"/>
        <v>486605.91000000003</v>
      </c>
      <c r="K19" s="313">
        <f t="shared" si="2"/>
        <v>0.34312143557602065</v>
      </c>
      <c r="M19" s="279">
        <v>0</v>
      </c>
      <c r="O19" s="849"/>
      <c r="P19" s="850"/>
      <c r="Q19" s="850"/>
      <c r="R19" s="850"/>
      <c r="S19" s="850"/>
      <c r="T19" s="850"/>
      <c r="U19" s="851"/>
    </row>
    <row r="20" spans="1:21" x14ac:dyDescent="0.25">
      <c r="A20" s="279" t="str">
        <f>IF(ISBLANK('4. Billing Determinants'!$B24), "", '4. Billing Determinants'!$B24)</f>
        <v>UNMETERED SCATTERED LOAD SERVICE CLASSIFICATION</v>
      </c>
      <c r="B20" s="318" t="s">
        <v>372</v>
      </c>
      <c r="C20" s="310">
        <f>IF(ISBLANK('4. Billing Determinants'!$L24), "", '4. Billing Determinants'!$L24)</f>
        <v>878528</v>
      </c>
      <c r="D20" s="310">
        <f>IF(ISBLANK('4. Billing Determinants'!$M24), "", '4. Billing Determinants'!$M24)</f>
        <v>0</v>
      </c>
      <c r="E20" s="315">
        <f t="array" ref="E20">SUM(IF('6. Class A Consumption Data'!B492:B791=A20,'6. Class A Consumption Data'!E492:E791))</f>
        <v>0</v>
      </c>
      <c r="F20" s="315">
        <f t="array" ref="F20">SUM(IF('6. Class A Consumption Data'!B492:B791=A20&amp;"kW",'6. Class A Consumption Data'!E492:E791))</f>
        <v>0</v>
      </c>
      <c r="G20" s="315">
        <f t="array" ref="G20">SUM(IF('6. Class A Consumption Data'!B492:B791=A20,'6. Class A Consumption Data'!D492:D791))</f>
        <v>0</v>
      </c>
      <c r="H20" s="316">
        <f t="array" ref="H20">SUM(IF('6. Class A Consumption Data'!B492:B791=A20&amp;"kW",'6. Class A Consumption Data'!D492:D791))</f>
        <v>0</v>
      </c>
      <c r="I20" s="310">
        <f t="shared" si="0"/>
        <v>878528</v>
      </c>
      <c r="J20" s="310">
        <f t="shared" si="1"/>
        <v>0</v>
      </c>
      <c r="K20" s="313">
        <f t="shared" si="2"/>
        <v>1.5471720488309613E-3</v>
      </c>
      <c r="M20" s="279">
        <v>0</v>
      </c>
      <c r="O20" s="849"/>
      <c r="P20" s="850"/>
      <c r="Q20" s="850"/>
      <c r="R20" s="850"/>
      <c r="S20" s="850"/>
      <c r="T20" s="850"/>
      <c r="U20" s="851"/>
    </row>
    <row r="21" spans="1:21" x14ac:dyDescent="0.25">
      <c r="A21" s="279" t="str">
        <f>IF(ISBLANK('4. Billing Determinants'!$B25), "", '4. Billing Determinants'!$B25)</f>
        <v>STREET LIGHTING SERVICE CLASSIFICATION</v>
      </c>
      <c r="B21" s="318" t="s">
        <v>372</v>
      </c>
      <c r="C21" s="310">
        <f>IF(ISBLANK('4. Billing Determinants'!$L25), "", '4. Billing Determinants'!$L25)</f>
        <v>2459994</v>
      </c>
      <c r="D21" s="310">
        <f>IF(ISBLANK('4. Billing Determinants'!$M25), "", '4. Billing Determinants'!$M25)</f>
        <v>7200</v>
      </c>
      <c r="E21" s="315">
        <f t="array" ref="E21">SUM(IF('6. Class A Consumption Data'!B492:B791=A21,'6. Class A Consumption Data'!E492:E791))</f>
        <v>0</v>
      </c>
      <c r="F21" s="315">
        <f t="array" ref="F21">SUM(IF('6. Class A Consumption Data'!B492:B791=A21&amp;"kW",'6. Class A Consumption Data'!E492:E791))</f>
        <v>0</v>
      </c>
      <c r="G21" s="315">
        <f t="array" ref="G21">SUM(IF('6. Class A Consumption Data'!B492:B791=A21,'6. Class A Consumption Data'!D492:D791))</f>
        <v>0</v>
      </c>
      <c r="H21" s="316">
        <f t="array" ref="H21">SUM(IF('6. Class A Consumption Data'!B492:B791=A21&amp;"kW",'6. Class A Consumption Data'!D492:D791))</f>
        <v>0</v>
      </c>
      <c r="I21" s="310">
        <f t="shared" si="0"/>
        <v>2459994</v>
      </c>
      <c r="J21" s="310">
        <f t="shared" si="1"/>
        <v>7200</v>
      </c>
      <c r="K21" s="313">
        <f t="shared" si="2"/>
        <v>4.3322853194114157E-3</v>
      </c>
      <c r="M21" s="279">
        <v>0</v>
      </c>
      <c r="O21" s="849"/>
      <c r="P21" s="850"/>
      <c r="Q21" s="850"/>
      <c r="R21" s="850"/>
      <c r="S21" s="850"/>
      <c r="T21" s="850"/>
      <c r="U21" s="851"/>
    </row>
    <row r="22" spans="1:21" x14ac:dyDescent="0.25">
      <c r="A22" s="279" t="str">
        <f>IF(ISBLANK('4. Billing Determinants'!$B26), "", '4. Billing Determinants'!$B26)</f>
        <v>SENTINEL LIGHTING SERVICE CLASSIFICATION</v>
      </c>
      <c r="B22" s="318" t="s">
        <v>372</v>
      </c>
      <c r="C22" s="310">
        <f>IF(ISBLANK('4. Billing Determinants'!$L26), "", '4. Billing Determinants'!$L26)</f>
        <v>193841</v>
      </c>
      <c r="D22" s="310">
        <f>IF(ISBLANK('4. Billing Determinants'!$M26), "", '4. Billing Determinants'!$M26)</f>
        <v>566</v>
      </c>
      <c r="E22" s="315">
        <f t="array" ref="E22">SUM(IF('6. Class A Consumption Data'!B492:B791=A22,'6. Class A Consumption Data'!E492:E791))</f>
        <v>0</v>
      </c>
      <c r="F22" s="315">
        <f t="array" ref="F22">SUM(IF('6. Class A Consumption Data'!B492:B791=A22&amp;"kW",'6. Class A Consumption Data'!E492:E791))</f>
        <v>0</v>
      </c>
      <c r="G22" s="315">
        <f t="array" ref="G22">SUM(IF('6. Class A Consumption Data'!B492:B791=A22,'6. Class A Consumption Data'!D492:D791))</f>
        <v>0</v>
      </c>
      <c r="H22" s="316">
        <f t="array" ref="H22">SUM(IF('6. Class A Consumption Data'!B492:B791=A22&amp;"kW",'6. Class A Consumption Data'!D492:D791))</f>
        <v>0</v>
      </c>
      <c r="I22" s="310">
        <f t="shared" si="0"/>
        <v>193841</v>
      </c>
      <c r="J22" s="310">
        <f t="shared" si="1"/>
        <v>566</v>
      </c>
      <c r="K22" s="313">
        <f t="shared" si="2"/>
        <v>3.4137258814453535E-4</v>
      </c>
      <c r="M22" s="279">
        <v>0</v>
      </c>
      <c r="O22" s="849"/>
      <c r="P22" s="850"/>
      <c r="Q22" s="850"/>
      <c r="R22" s="850"/>
      <c r="S22" s="850"/>
      <c r="T22" s="850"/>
      <c r="U22" s="851"/>
    </row>
    <row r="23" spans="1:21" x14ac:dyDescent="0.25">
      <c r="A23" s="279" t="str">
        <f>IF(ISBLANK('4. Billing Determinants'!$B27), "", '4. Billing Determinants'!$B27)</f>
        <v/>
      </c>
      <c r="B23" s="318" t="s">
        <v>372</v>
      </c>
      <c r="C23" s="310">
        <f>IF(ISBLANK('4. Billing Determinants'!$L27), "", '4. Billing Determinants'!$L27)</f>
        <v>0</v>
      </c>
      <c r="D23" s="310">
        <f>IF(ISBLANK('4. Billing Determinants'!$M27), "", '4. Billing Determinants'!$M27)</f>
        <v>0</v>
      </c>
      <c r="E23" s="315">
        <f t="array" ref="E23">SUM(IF('6. Class A Consumption Data'!B492:B791=A23,'6. Class A Consumption Data'!E492:E791))</f>
        <v>0</v>
      </c>
      <c r="F23" s="315">
        <f t="array" ref="F23">SUM(IF('6. Class A Consumption Data'!B492:B791=A23&amp;"kW",'6. Class A Consumption Data'!E492:E791))</f>
        <v>0</v>
      </c>
      <c r="G23" s="315">
        <f t="array" ref="G23">SUM(IF('6. Class A Consumption Data'!B492:B791=A23,'6. Class A Consumption Data'!D492:D791))</f>
        <v>0</v>
      </c>
      <c r="H23" s="316">
        <f t="array" ref="H23">SUM(IF('6. Class A Consumption Data'!B492:B791=A23&amp;"kW",'6. Class A Consumption Data'!D492:D791))</f>
        <v>0</v>
      </c>
      <c r="I23" s="310">
        <f t="shared" si="0"/>
        <v>0</v>
      </c>
      <c r="J23" s="310">
        <f t="shared" si="1"/>
        <v>0</v>
      </c>
      <c r="K23" s="313">
        <f t="shared" si="2"/>
        <v>0</v>
      </c>
      <c r="M23" s="279">
        <v>0</v>
      </c>
      <c r="O23" s="849"/>
      <c r="P23" s="850"/>
      <c r="Q23" s="850"/>
      <c r="R23" s="850"/>
      <c r="S23" s="850"/>
      <c r="T23" s="850"/>
      <c r="U23" s="851"/>
    </row>
    <row r="24" spans="1:21" x14ac:dyDescent="0.25">
      <c r="A24" s="279" t="str">
        <f>IF(ISBLANK('4. Billing Determinants'!$B28), "", '4. Billing Determinants'!$B28)</f>
        <v/>
      </c>
      <c r="B24" s="318" t="s">
        <v>372</v>
      </c>
      <c r="C24" s="310">
        <f>IF(ISBLANK('4. Billing Determinants'!$L28), "", '4. Billing Determinants'!$L28)</f>
        <v>0</v>
      </c>
      <c r="D24" s="310">
        <f>IF(ISBLANK('4. Billing Determinants'!$M28), "", '4. Billing Determinants'!$M28)</f>
        <v>0</v>
      </c>
      <c r="E24" s="315">
        <f t="array" ref="E24">SUM(IF('6. Class A Consumption Data'!B492:B791=A24,'6. Class A Consumption Data'!E492:E791))</f>
        <v>0</v>
      </c>
      <c r="F24" s="315">
        <f t="array" ref="F24">SUM(IF('6. Class A Consumption Data'!B492:B791=A24&amp;"kW",'6. Class A Consumption Data'!E492:E791))</f>
        <v>0</v>
      </c>
      <c r="G24" s="315">
        <f t="array" ref="G24">SUM(IF('6. Class A Consumption Data'!B492:B791=A24,'6. Class A Consumption Data'!D492:D791))</f>
        <v>0</v>
      </c>
      <c r="H24" s="316">
        <f t="array" ref="H24">SUM(IF('6. Class A Consumption Data'!B492:B791=A24&amp;"kW",'6. Class A Consumption Data'!D492:D791))</f>
        <v>0</v>
      </c>
      <c r="I24" s="310">
        <f t="shared" si="0"/>
        <v>0</v>
      </c>
      <c r="J24" s="310">
        <f t="shared" si="1"/>
        <v>0</v>
      </c>
      <c r="K24" s="313">
        <f t="shared" si="2"/>
        <v>0</v>
      </c>
      <c r="M24" s="279">
        <v>0</v>
      </c>
      <c r="O24" s="849"/>
      <c r="P24" s="850"/>
      <c r="Q24" s="850"/>
      <c r="R24" s="850"/>
      <c r="S24" s="850"/>
      <c r="T24" s="850"/>
      <c r="U24" s="851"/>
    </row>
    <row r="25" spans="1:21" x14ac:dyDescent="0.25">
      <c r="A25" s="279" t="str">
        <f>IF(ISBLANK('4. Billing Determinants'!$B29), "", '4. Billing Determinants'!$B29)</f>
        <v/>
      </c>
      <c r="B25" s="318" t="s">
        <v>372</v>
      </c>
      <c r="C25" s="310">
        <f>IF(ISBLANK('4. Billing Determinants'!$L29), "", '4. Billing Determinants'!$L29)</f>
        <v>0</v>
      </c>
      <c r="D25" s="310">
        <f>IF(ISBLANK('4. Billing Determinants'!$M29), "", '4. Billing Determinants'!$M29)</f>
        <v>0</v>
      </c>
      <c r="E25" s="315">
        <f t="array" ref="E25">SUM(IF('6. Class A Consumption Data'!B492:B791=A25,'6. Class A Consumption Data'!E492:E791))</f>
        <v>0</v>
      </c>
      <c r="F25" s="315">
        <f t="array" ref="F25">SUM(IF('6. Class A Consumption Data'!B492:B791=A25&amp;"kW",'6. Class A Consumption Data'!E492:E791))</f>
        <v>0</v>
      </c>
      <c r="G25" s="315">
        <f t="array" ref="G25">SUM(IF('6. Class A Consumption Data'!B492:B791=A25,'6. Class A Consumption Data'!D492:D791))</f>
        <v>0</v>
      </c>
      <c r="H25" s="316">
        <f t="array" ref="H25">SUM(IF('6. Class A Consumption Data'!B492:B791=A25&amp;"kW",'6. Class A Consumption Data'!D492:D791))</f>
        <v>0</v>
      </c>
      <c r="I25" s="310">
        <f t="shared" si="0"/>
        <v>0</v>
      </c>
      <c r="J25" s="310">
        <f t="shared" si="1"/>
        <v>0</v>
      </c>
      <c r="K25" s="313">
        <f t="shared" si="2"/>
        <v>0</v>
      </c>
      <c r="M25" s="279">
        <v>0</v>
      </c>
      <c r="O25" s="849"/>
      <c r="P25" s="850"/>
      <c r="Q25" s="850"/>
      <c r="R25" s="850"/>
      <c r="S25" s="850"/>
      <c r="T25" s="850"/>
      <c r="U25" s="851"/>
    </row>
    <row r="26" spans="1:21" x14ac:dyDescent="0.25">
      <c r="A26" s="279" t="str">
        <f>IF(ISBLANK('4. Billing Determinants'!$B30), "", '4. Billing Determinants'!$B30)</f>
        <v/>
      </c>
      <c r="B26" s="318" t="s">
        <v>372</v>
      </c>
      <c r="C26" s="310">
        <f>IF(ISBLANK('4. Billing Determinants'!$L30), "", '4. Billing Determinants'!$L30)</f>
        <v>0</v>
      </c>
      <c r="D26" s="310">
        <f>IF(ISBLANK('4. Billing Determinants'!$M30), "", '4. Billing Determinants'!$M30)</f>
        <v>0</v>
      </c>
      <c r="E26" s="315">
        <f t="array" ref="E26">SUM(IF('6. Class A Consumption Data'!B492:B791=A26,'6. Class A Consumption Data'!E492:E791))</f>
        <v>0</v>
      </c>
      <c r="F26" s="315">
        <f t="array" ref="F26">SUM(IF('6. Class A Consumption Data'!B492:B791=A26&amp;"kW",'6. Class A Consumption Data'!E492:E791))</f>
        <v>0</v>
      </c>
      <c r="G26" s="315">
        <f t="array" ref="G26">SUM(IF('6. Class A Consumption Data'!B492:B791=A26,'6. Class A Consumption Data'!D492:D791))</f>
        <v>0</v>
      </c>
      <c r="H26" s="316">
        <f t="array" ref="H26">SUM(IF('6. Class A Consumption Data'!B492:B791=A26&amp;"kW",'6. Class A Consumption Data'!D492:D791))</f>
        <v>0</v>
      </c>
      <c r="I26" s="310">
        <f t="shared" si="0"/>
        <v>0</v>
      </c>
      <c r="J26" s="310">
        <f t="shared" si="1"/>
        <v>0</v>
      </c>
      <c r="K26" s="313">
        <f t="shared" si="2"/>
        <v>0</v>
      </c>
      <c r="M26" s="279">
        <v>0</v>
      </c>
      <c r="O26" s="849"/>
      <c r="P26" s="850"/>
      <c r="Q26" s="850"/>
      <c r="R26" s="850"/>
      <c r="S26" s="850"/>
      <c r="T26" s="850"/>
      <c r="U26" s="851"/>
    </row>
    <row r="27" spans="1:21" x14ac:dyDescent="0.25">
      <c r="A27" s="279" t="str">
        <f>IF(ISBLANK('4. Billing Determinants'!$B31), "", '4. Billing Determinants'!$B31)</f>
        <v/>
      </c>
      <c r="B27" s="318" t="s">
        <v>372</v>
      </c>
      <c r="C27" s="310">
        <f>IF(ISBLANK('4. Billing Determinants'!$L31), "", '4. Billing Determinants'!$L31)</f>
        <v>0</v>
      </c>
      <c r="D27" s="310">
        <f>IF(ISBLANK('4. Billing Determinants'!$M31), "", '4. Billing Determinants'!$M31)</f>
        <v>0</v>
      </c>
      <c r="E27" s="315">
        <f t="array" ref="E27">SUM(IF('6. Class A Consumption Data'!B492:B791=A27,'6. Class A Consumption Data'!E492:E791))</f>
        <v>0</v>
      </c>
      <c r="F27" s="315">
        <f t="array" ref="F27">SUM(IF('6. Class A Consumption Data'!B492:B791=A27&amp;"kW",'6. Class A Consumption Data'!E492:E791))</f>
        <v>0</v>
      </c>
      <c r="G27" s="315">
        <f t="array" ref="G27">SUM(IF('6. Class A Consumption Data'!B492:B791=A27,'6. Class A Consumption Data'!D492:D791))</f>
        <v>0</v>
      </c>
      <c r="H27" s="316">
        <f t="array" ref="H27">SUM(IF('6. Class A Consumption Data'!B492:B791=A27&amp;"kW",'6. Class A Consumption Data'!D492:D791))</f>
        <v>0</v>
      </c>
      <c r="I27" s="310">
        <f t="shared" si="0"/>
        <v>0</v>
      </c>
      <c r="J27" s="310">
        <f t="shared" si="1"/>
        <v>0</v>
      </c>
      <c r="K27" s="313">
        <f t="shared" si="2"/>
        <v>0</v>
      </c>
      <c r="M27" s="279">
        <v>0</v>
      </c>
      <c r="O27" s="849"/>
      <c r="P27" s="850"/>
      <c r="Q27" s="850"/>
      <c r="R27" s="850"/>
      <c r="S27" s="850"/>
      <c r="T27" s="850"/>
      <c r="U27" s="851"/>
    </row>
    <row r="28" spans="1:21" x14ac:dyDescent="0.25">
      <c r="A28" s="279" t="str">
        <f>IF(ISBLANK('4. Billing Determinants'!$B32), "", '4. Billing Determinants'!$B32)</f>
        <v/>
      </c>
      <c r="B28" s="318" t="s">
        <v>372</v>
      </c>
      <c r="C28" s="310">
        <f>IF(ISBLANK('4. Billing Determinants'!$L32), "", '4. Billing Determinants'!$L32)</f>
        <v>0</v>
      </c>
      <c r="D28" s="310">
        <f>IF(ISBLANK('4. Billing Determinants'!$M32), "", '4. Billing Determinants'!$M32)</f>
        <v>0</v>
      </c>
      <c r="E28" s="315">
        <f t="array" ref="E28">SUM(IF('6. Class A Consumption Data'!B492:B791=A28,'6. Class A Consumption Data'!E492:E791))</f>
        <v>0</v>
      </c>
      <c r="F28" s="315">
        <f t="array" ref="F28">SUM(IF('6. Class A Consumption Data'!B492:B791=A28&amp;"kW",'6. Class A Consumption Data'!E492:E791))</f>
        <v>0</v>
      </c>
      <c r="G28" s="315">
        <f t="array" ref="G28">SUM(IF('6. Class A Consumption Data'!B492:B791=A28,'6. Class A Consumption Data'!D492:D791))</f>
        <v>0</v>
      </c>
      <c r="H28" s="316">
        <f t="array" ref="H28">SUM(IF('6. Class A Consumption Data'!B492:B791=A28&amp;"kW",'6. Class A Consumption Data'!D492:D791))</f>
        <v>0</v>
      </c>
      <c r="I28" s="310">
        <f t="shared" si="0"/>
        <v>0</v>
      </c>
      <c r="J28" s="310">
        <f t="shared" si="1"/>
        <v>0</v>
      </c>
      <c r="K28" s="313">
        <f t="shared" si="2"/>
        <v>0</v>
      </c>
      <c r="M28" s="279">
        <v>0</v>
      </c>
      <c r="O28" s="849"/>
      <c r="P28" s="850"/>
      <c r="Q28" s="850"/>
      <c r="R28" s="850"/>
      <c r="S28" s="850"/>
      <c r="T28" s="850"/>
      <c r="U28" s="851"/>
    </row>
    <row r="29" spans="1:21" x14ac:dyDescent="0.25">
      <c r="A29" s="279" t="str">
        <f>IF(ISBLANK('4. Billing Determinants'!$B33), "", '4. Billing Determinants'!$B33)</f>
        <v/>
      </c>
      <c r="B29" s="318" t="s">
        <v>372</v>
      </c>
      <c r="C29" s="310">
        <f>IF(ISBLANK('4. Billing Determinants'!$L33), "", '4. Billing Determinants'!$L33)</f>
        <v>0</v>
      </c>
      <c r="D29" s="310">
        <f>IF(ISBLANK('4. Billing Determinants'!$M33), "", '4. Billing Determinants'!$M33)</f>
        <v>0</v>
      </c>
      <c r="E29" s="315">
        <f t="array" ref="E29">SUM(IF('6. Class A Consumption Data'!B492:B791=A29,'6. Class A Consumption Data'!E492:E791))</f>
        <v>0</v>
      </c>
      <c r="F29" s="315">
        <f t="array" ref="F29">SUM(IF('6. Class A Consumption Data'!B492:B791=A29&amp;"kW",'6. Class A Consumption Data'!E492:E791))</f>
        <v>0</v>
      </c>
      <c r="G29" s="315">
        <f t="array" ref="G29">SUM(IF('6. Class A Consumption Data'!B492:B791=A29,'6. Class A Consumption Data'!D492:D791))</f>
        <v>0</v>
      </c>
      <c r="H29" s="316">
        <f t="array" ref="H29">SUM(IF('6. Class A Consumption Data'!B492:B791=A29&amp;"kW",'6. Class A Consumption Data'!D492:D791))</f>
        <v>0</v>
      </c>
      <c r="I29" s="310">
        <f t="shared" si="0"/>
        <v>0</v>
      </c>
      <c r="J29" s="310">
        <f t="shared" si="1"/>
        <v>0</v>
      </c>
      <c r="K29" s="313">
        <f t="shared" si="2"/>
        <v>0</v>
      </c>
      <c r="M29" s="279">
        <v>0</v>
      </c>
      <c r="O29" s="849"/>
      <c r="P29" s="850"/>
      <c r="Q29" s="850"/>
      <c r="R29" s="850"/>
      <c r="S29" s="850"/>
      <c r="T29" s="850"/>
      <c r="U29" s="851"/>
    </row>
    <row r="30" spans="1:21" x14ac:dyDescent="0.25">
      <c r="A30" s="279" t="str">
        <f>IF(ISBLANK('4. Billing Determinants'!$B34), "", '4. Billing Determinants'!$B34)</f>
        <v/>
      </c>
      <c r="B30" s="318" t="s">
        <v>372</v>
      </c>
      <c r="C30" s="310">
        <f>IF(ISBLANK('4. Billing Determinants'!$L34), "", '4. Billing Determinants'!$L34)</f>
        <v>0</v>
      </c>
      <c r="D30" s="310">
        <f>IF(ISBLANK('4. Billing Determinants'!$M34), "", '4. Billing Determinants'!$M34)</f>
        <v>0</v>
      </c>
      <c r="E30" s="315">
        <f t="array" ref="E30">SUM(IF('6. Class A Consumption Data'!B492:B791=A30,'6. Class A Consumption Data'!E492:E791))</f>
        <v>0</v>
      </c>
      <c r="F30" s="315">
        <f t="array" ref="F30">SUM(IF('6. Class A Consumption Data'!B492:B791=A30&amp;"kW",'6. Class A Consumption Data'!E492:E791))</f>
        <v>0</v>
      </c>
      <c r="G30" s="315">
        <f t="array" ref="G30">SUM(IF('6. Class A Consumption Data'!B492:B791=A30,'6. Class A Consumption Data'!D492:D791))</f>
        <v>0</v>
      </c>
      <c r="H30" s="316">
        <f t="array" ref="H30">SUM(IF('6. Class A Consumption Data'!B492:B791=A30&amp;"kW",'6. Class A Consumption Data'!D492:D791))</f>
        <v>0</v>
      </c>
      <c r="I30" s="310">
        <f t="shared" si="0"/>
        <v>0</v>
      </c>
      <c r="J30" s="310">
        <f t="shared" si="1"/>
        <v>0</v>
      </c>
      <c r="K30" s="313">
        <f t="shared" si="2"/>
        <v>0</v>
      </c>
      <c r="M30" s="279">
        <v>0</v>
      </c>
      <c r="O30" s="849"/>
      <c r="P30" s="850"/>
      <c r="Q30" s="850"/>
      <c r="R30" s="850"/>
      <c r="S30" s="850"/>
      <c r="T30" s="850"/>
      <c r="U30" s="851"/>
    </row>
    <row r="31" spans="1:21" x14ac:dyDescent="0.25">
      <c r="A31" s="279" t="str">
        <f>IF(ISBLANK('4. Billing Determinants'!$B35), "", '4. Billing Determinants'!$B35)</f>
        <v/>
      </c>
      <c r="B31" s="318" t="s">
        <v>372</v>
      </c>
      <c r="C31" s="310">
        <f>IF(ISBLANK('4. Billing Determinants'!$L35), "", '4. Billing Determinants'!$L35)</f>
        <v>0</v>
      </c>
      <c r="D31" s="310">
        <f>IF(ISBLANK('4. Billing Determinants'!$M35), "", '4. Billing Determinants'!$M35)</f>
        <v>0</v>
      </c>
      <c r="E31" s="315">
        <f t="array" ref="E31">SUM(IF('6. Class A Consumption Data'!B492:B791=A31,'6. Class A Consumption Data'!E492:E791))</f>
        <v>0</v>
      </c>
      <c r="F31" s="315">
        <f t="array" ref="F31">SUM(IF('6. Class A Consumption Data'!B492:B791=A31&amp;"kW",'6. Class A Consumption Data'!E492:E791))</f>
        <v>0</v>
      </c>
      <c r="G31" s="315">
        <f t="array" ref="G31">SUM(IF('6. Class A Consumption Data'!B492:B791=A31,'6. Class A Consumption Data'!D492:D791))</f>
        <v>0</v>
      </c>
      <c r="H31" s="316">
        <f t="array" ref="H31">SUM(IF('6. Class A Consumption Data'!B492:B791=A31&amp;"kW",'6. Class A Consumption Data'!D492:D791))</f>
        <v>0</v>
      </c>
      <c r="I31" s="310">
        <f t="shared" si="0"/>
        <v>0</v>
      </c>
      <c r="J31" s="310">
        <f t="shared" si="1"/>
        <v>0</v>
      </c>
      <c r="K31" s="313">
        <f t="shared" si="2"/>
        <v>0</v>
      </c>
      <c r="M31" s="279">
        <v>0</v>
      </c>
      <c r="O31" s="849"/>
      <c r="P31" s="850"/>
      <c r="Q31" s="850"/>
      <c r="R31" s="850"/>
      <c r="S31" s="850"/>
      <c r="T31" s="850"/>
      <c r="U31" s="851"/>
    </row>
    <row r="32" spans="1:21" x14ac:dyDescent="0.25">
      <c r="A32" s="279" t="str">
        <f>IF(ISBLANK('4. Billing Determinants'!$B36), "", '4. Billing Determinants'!$B36)</f>
        <v/>
      </c>
      <c r="B32" s="318" t="s">
        <v>372</v>
      </c>
      <c r="C32" s="310">
        <f>IF(ISBLANK('4. Billing Determinants'!$L36), "", '4. Billing Determinants'!$L36)</f>
        <v>0</v>
      </c>
      <c r="D32" s="310">
        <f>IF(ISBLANK('4. Billing Determinants'!$M36), "", '4. Billing Determinants'!$M36)</f>
        <v>0</v>
      </c>
      <c r="E32" s="315">
        <f t="array" ref="E32">SUM(IF('6. Class A Consumption Data'!B492:B791=A32,'6. Class A Consumption Data'!E492:E791))</f>
        <v>0</v>
      </c>
      <c r="F32" s="315">
        <f t="array" ref="F32">SUM(IF('6. Class A Consumption Data'!B492:B791=A32&amp;"kW",'6. Class A Consumption Data'!E492:E791))</f>
        <v>0</v>
      </c>
      <c r="G32" s="315">
        <f t="array" ref="G32">SUM(IF('6. Class A Consumption Data'!B492:B791=A32,'6. Class A Consumption Data'!D492:D791))</f>
        <v>0</v>
      </c>
      <c r="H32" s="316">
        <f t="array" ref="H32">SUM(IF('6. Class A Consumption Data'!B492:B791=A32&amp;"kW",'6. Class A Consumption Data'!D492:D791))</f>
        <v>0</v>
      </c>
      <c r="I32" s="310">
        <f t="shared" si="0"/>
        <v>0</v>
      </c>
      <c r="J32" s="310">
        <f t="shared" si="1"/>
        <v>0</v>
      </c>
      <c r="K32" s="313">
        <f t="shared" si="2"/>
        <v>0</v>
      </c>
      <c r="M32" s="279">
        <v>0</v>
      </c>
      <c r="O32" s="849"/>
      <c r="P32" s="850"/>
      <c r="Q32" s="850"/>
      <c r="R32" s="850"/>
      <c r="S32" s="850"/>
      <c r="T32" s="850"/>
      <c r="U32" s="851"/>
    </row>
    <row r="33" spans="1:21" x14ac:dyDescent="0.25">
      <c r="A33" s="279" t="str">
        <f>IF(ISBLANK('4. Billing Determinants'!$B37), "", '4. Billing Determinants'!$B37)</f>
        <v/>
      </c>
      <c r="B33" s="318" t="s">
        <v>372</v>
      </c>
      <c r="C33" s="310">
        <f>IF(ISBLANK('4. Billing Determinants'!$L37), "", '4. Billing Determinants'!$L37)</f>
        <v>0</v>
      </c>
      <c r="D33" s="310">
        <f>IF(ISBLANK('4. Billing Determinants'!$M37), "", '4. Billing Determinants'!$M37)</f>
        <v>0</v>
      </c>
      <c r="E33" s="315">
        <f t="array" ref="E33">SUM(IF('6. Class A Consumption Data'!B492:B791=A33,'6. Class A Consumption Data'!E492:E791))</f>
        <v>0</v>
      </c>
      <c r="F33" s="315">
        <f t="array" ref="F33">SUM(IF('6. Class A Consumption Data'!B492:B791=A33&amp;"kW",'6. Class A Consumption Data'!E492:E791))</f>
        <v>0</v>
      </c>
      <c r="G33" s="315">
        <f t="array" ref="G33">SUM(IF('6. Class A Consumption Data'!B492:B791=A33,'6. Class A Consumption Data'!D492:D791))</f>
        <v>0</v>
      </c>
      <c r="H33" s="316">
        <f t="array" ref="H33">SUM(IF('6. Class A Consumption Data'!B492:B791=A33&amp;"kW",'6. Class A Consumption Data'!D492:D791))</f>
        <v>0</v>
      </c>
      <c r="I33" s="310">
        <f t="shared" si="0"/>
        <v>0</v>
      </c>
      <c r="J33" s="310">
        <f t="shared" si="1"/>
        <v>0</v>
      </c>
      <c r="K33" s="313">
        <f t="shared" si="2"/>
        <v>0</v>
      </c>
      <c r="M33" s="279">
        <v>0</v>
      </c>
      <c r="O33" s="849"/>
      <c r="P33" s="850"/>
      <c r="Q33" s="850"/>
      <c r="R33" s="850"/>
      <c r="S33" s="850"/>
      <c r="T33" s="850"/>
      <c r="U33" s="851"/>
    </row>
    <row r="34" spans="1:21" x14ac:dyDescent="0.25">
      <c r="A34" s="279" t="str">
        <f>IF(ISBLANK('4. Billing Determinants'!$B38), "", '4. Billing Determinants'!$B38)</f>
        <v/>
      </c>
      <c r="B34" s="318" t="s">
        <v>372</v>
      </c>
      <c r="C34" s="310">
        <f>IF(ISBLANK('4. Billing Determinants'!$L38), "", '4. Billing Determinants'!$L38)</f>
        <v>0</v>
      </c>
      <c r="D34" s="310">
        <f>IF(ISBLANK('4. Billing Determinants'!$M38), "", '4. Billing Determinants'!$M38)</f>
        <v>0</v>
      </c>
      <c r="E34" s="315">
        <f t="array" ref="E34">SUM(IF('6. Class A Consumption Data'!B492:B791=A34,'6. Class A Consumption Data'!E492:E791))</f>
        <v>0</v>
      </c>
      <c r="F34" s="315">
        <f t="array" ref="F34">SUM(IF('6. Class A Consumption Data'!B492:B791=A34&amp;"kW",'6. Class A Consumption Data'!E492:E791))</f>
        <v>0</v>
      </c>
      <c r="G34" s="315">
        <f t="array" ref="G34">SUM(IF('6. Class A Consumption Data'!B492:B791=A34,'6. Class A Consumption Data'!D492:D791))</f>
        <v>0</v>
      </c>
      <c r="H34" s="316">
        <f t="array" ref="H34">SUM(IF('6. Class A Consumption Data'!B492:B791=A34&amp;"kW",'6. Class A Consumption Data'!D492:D791))</f>
        <v>0</v>
      </c>
      <c r="I34" s="310">
        <f t="shared" si="0"/>
        <v>0</v>
      </c>
      <c r="J34" s="310">
        <f t="shared" si="1"/>
        <v>0</v>
      </c>
      <c r="K34" s="313">
        <f t="shared" si="2"/>
        <v>0</v>
      </c>
      <c r="M34" s="279">
        <v>0</v>
      </c>
      <c r="O34" s="849"/>
      <c r="P34" s="850"/>
      <c r="Q34" s="850"/>
      <c r="R34" s="850"/>
      <c r="S34" s="850"/>
      <c r="T34" s="850"/>
      <c r="U34" s="851"/>
    </row>
    <row r="35" spans="1:21" x14ac:dyDescent="0.25">
      <c r="A35" s="279" t="str">
        <f>IF(ISBLANK('4. Billing Determinants'!$B39), "", '4. Billing Determinants'!$B39)</f>
        <v/>
      </c>
      <c r="B35" s="318" t="s">
        <v>372</v>
      </c>
      <c r="C35" s="310">
        <f>IF(ISBLANK('4. Billing Determinants'!$L39), "", '4. Billing Determinants'!$L39)</f>
        <v>0</v>
      </c>
      <c r="D35" s="310">
        <f>IF(ISBLANK('4. Billing Determinants'!$M39), "", '4. Billing Determinants'!$M39)</f>
        <v>0</v>
      </c>
      <c r="E35" s="315">
        <f t="array" ref="E35">SUM(IF('6. Class A Consumption Data'!B492:B791=A35,'6. Class A Consumption Data'!E492:E791))</f>
        <v>0</v>
      </c>
      <c r="F35" s="315">
        <f t="array" ref="F35">SUM(IF('6. Class A Consumption Data'!B492:B791=A35&amp;"kW",'6. Class A Consumption Data'!E492:E791))</f>
        <v>0</v>
      </c>
      <c r="G35" s="315">
        <f t="array" ref="G35">SUM(IF('6. Class A Consumption Data'!B492:B791=A35,'6. Class A Consumption Data'!D492:D791))</f>
        <v>0</v>
      </c>
      <c r="H35" s="316">
        <f t="array" ref="H35">SUM(IF('6. Class A Consumption Data'!B492:B791=A35&amp;"kW",'6. Class A Consumption Data'!D492:D791))</f>
        <v>0</v>
      </c>
      <c r="I35" s="310">
        <f t="shared" si="0"/>
        <v>0</v>
      </c>
      <c r="J35" s="310">
        <f t="shared" si="1"/>
        <v>0</v>
      </c>
      <c r="K35" s="313">
        <f t="shared" si="2"/>
        <v>0</v>
      </c>
      <c r="M35" s="279">
        <v>0</v>
      </c>
      <c r="O35" s="849"/>
      <c r="P35" s="850"/>
      <c r="Q35" s="850"/>
      <c r="R35" s="850"/>
      <c r="S35" s="850"/>
      <c r="T35" s="850"/>
      <c r="U35" s="851"/>
    </row>
    <row r="36" spans="1:21" x14ac:dyDescent="0.25">
      <c r="A36" s="279" t="str">
        <f>IF(ISBLANK('4. Billing Determinants'!$B40), "", '4. Billing Determinants'!$B40)</f>
        <v/>
      </c>
      <c r="B36" s="318" t="s">
        <v>372</v>
      </c>
      <c r="C36" s="310">
        <f>IF(ISBLANK('4. Billing Determinants'!$L40), "", '4. Billing Determinants'!$L40)</f>
        <v>0</v>
      </c>
      <c r="D36" s="310">
        <f>IF(ISBLANK('4. Billing Determinants'!$M40), "", '4. Billing Determinants'!$M40)</f>
        <v>0</v>
      </c>
      <c r="E36" s="315">
        <f t="array" ref="E36">SUM(IF('6. Class A Consumption Data'!B492:B791=A36,'6. Class A Consumption Data'!E492:E791))</f>
        <v>0</v>
      </c>
      <c r="F36" s="315">
        <f t="array" ref="F36">SUM(IF('6. Class A Consumption Data'!B492:B791=A36&amp;"kW",'6. Class A Consumption Data'!E492:E791))</f>
        <v>0</v>
      </c>
      <c r="G36" s="315">
        <f t="array" ref="G36">SUM(IF('6. Class A Consumption Data'!B492:B791=A36,'6. Class A Consumption Data'!D492:D791))</f>
        <v>0</v>
      </c>
      <c r="H36" s="316">
        <f t="array" ref="H36">SUM(IF('6. Class A Consumption Data'!B492:B791=A36&amp;"kW",'6. Class A Consumption Data'!D492:D791))</f>
        <v>0</v>
      </c>
      <c r="I36" s="310">
        <f t="shared" si="0"/>
        <v>0</v>
      </c>
      <c r="J36" s="310">
        <f t="shared" si="1"/>
        <v>0</v>
      </c>
      <c r="K36" s="313">
        <f t="shared" si="2"/>
        <v>0</v>
      </c>
      <c r="M36" s="279">
        <v>0</v>
      </c>
      <c r="O36" s="849"/>
      <c r="P36" s="850"/>
      <c r="Q36" s="850"/>
      <c r="R36" s="850"/>
      <c r="S36" s="850"/>
      <c r="T36" s="850"/>
      <c r="U36" s="851"/>
    </row>
    <row r="37" spans="1:21" ht="15.75" thickBot="1" x14ac:dyDescent="0.3">
      <c r="A37" s="283"/>
      <c r="B37" s="291" t="s">
        <v>52</v>
      </c>
      <c r="C37" s="311">
        <f>SUM(C17:C36)</f>
        <v>605638495</v>
      </c>
      <c r="D37" s="311">
        <f t="shared" ref="D37:K37" si="3">SUM(D17:D36)</f>
        <v>583138</v>
      </c>
      <c r="E37" s="312">
        <f t="shared" si="3"/>
        <v>37810243.020000003</v>
      </c>
      <c r="F37" s="311">
        <f t="shared" si="3"/>
        <v>88766.09</v>
      </c>
      <c r="G37" s="312">
        <f t="shared" si="3"/>
        <v>0</v>
      </c>
      <c r="H37" s="311">
        <f t="shared" si="3"/>
        <v>0</v>
      </c>
      <c r="I37" s="311">
        <f t="shared" si="3"/>
        <v>567828251.98000002</v>
      </c>
      <c r="J37" s="311">
        <f t="shared" si="3"/>
        <v>494371.91000000003</v>
      </c>
      <c r="K37" s="314">
        <f t="shared" si="3"/>
        <v>0.99999999999999978</v>
      </c>
      <c r="L37" s="292">
        <f>SUM(L17:L36)</f>
        <v>0</v>
      </c>
      <c r="M37" s="292">
        <v>0</v>
      </c>
      <c r="O37" s="852"/>
      <c r="P37" s="853"/>
      <c r="Q37" s="853"/>
      <c r="R37" s="853"/>
      <c r="S37" s="853"/>
      <c r="T37" s="853"/>
      <c r="U37" s="854"/>
    </row>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sheetData>
  <sheetProtection algorithmName="SHA-512" hashValue="LA9CJ+57A3qhbYZv05Ex6E0maiS6q7PceulW0OKYkqyME8Wcroo1LBhA937EsscfFCC8HZ04cAMJ1W3oYJdLbw==" saltValue="w1tgAM5ddzoG1iq9FNa43A==" spinCount="100000" sheet="1" objects="1" scenarios="1"/>
  <mergeCells count="7">
    <mergeCell ref="O17:U37"/>
    <mergeCell ref="A12:L12"/>
    <mergeCell ref="E14:F14"/>
    <mergeCell ref="G14:H14"/>
    <mergeCell ref="C14:D14"/>
    <mergeCell ref="I14:J14"/>
    <mergeCell ref="C13:G13"/>
  </mergeCells>
  <pageMargins left="0.70866141732283472" right="0.70866141732283472" top="0.74803149606299213" bottom="0.74803149606299213" header="0.31496062992125984" footer="0.31496062992125984"/>
  <pageSetup scale="5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pageSetUpPr fitToPage="1"/>
  </sheetPr>
  <dimension ref="A13:P256"/>
  <sheetViews>
    <sheetView showGridLines="0" topLeftCell="A118" zoomScaleNormal="100" workbookViewId="0">
      <selection activeCell="F156" sqref="E156:F156"/>
    </sheetView>
  </sheetViews>
  <sheetFormatPr defaultColWidth="9" defaultRowHeight="12.75" x14ac:dyDescent="0.2"/>
  <cols>
    <col min="2" max="2" width="35.7109375" customWidth="1"/>
    <col min="3" max="3" width="20.28515625" customWidth="1"/>
    <col min="4" max="4" width="18.85546875" customWidth="1"/>
    <col min="5" max="5" width="18.28515625" customWidth="1"/>
    <col min="6" max="6" width="16.7109375" customWidth="1"/>
    <col min="7" max="7" width="21" hidden="1" customWidth="1"/>
    <col min="8" max="8" width="27" style="37" hidden="1" customWidth="1"/>
    <col min="9" max="9" width="21" customWidth="1"/>
    <col min="10" max="10" width="21.28515625" customWidth="1"/>
    <col min="11" max="11" width="0" hidden="1" customWidth="1"/>
    <col min="12" max="16" width="9" hidden="1" customWidth="1"/>
    <col min="17" max="18" width="9" customWidth="1"/>
  </cols>
  <sheetData>
    <row r="13" spans="2:4" x14ac:dyDescent="0.2">
      <c r="B13" s="42" t="s">
        <v>426</v>
      </c>
      <c r="C13" s="43"/>
      <c r="D13" s="329">
        <v>12</v>
      </c>
    </row>
    <row r="16" spans="2:4" ht="18" x14ac:dyDescent="0.25">
      <c r="B16" s="109" t="s">
        <v>407</v>
      </c>
    </row>
    <row r="17" spans="2:14" x14ac:dyDescent="0.2">
      <c r="B17" s="110" t="s">
        <v>3453</v>
      </c>
    </row>
    <row r="18" spans="2:14" ht="12.75" customHeight="1" x14ac:dyDescent="0.2">
      <c r="B18" s="809" t="s">
        <v>60</v>
      </c>
      <c r="C18" s="808" t="s">
        <v>51</v>
      </c>
      <c r="D18" s="860" t="s">
        <v>65</v>
      </c>
      <c r="E18" s="860" t="s">
        <v>409</v>
      </c>
      <c r="F18" s="803" t="s">
        <v>64</v>
      </c>
    </row>
    <row r="19" spans="2:14" ht="27" customHeight="1" x14ac:dyDescent="0.2">
      <c r="B19" s="810"/>
      <c r="C19" s="808"/>
      <c r="D19" s="861"/>
      <c r="E19" s="861"/>
      <c r="F19" s="803"/>
    </row>
    <row r="20" spans="2:14" x14ac:dyDescent="0.2">
      <c r="B20" s="111" t="str">
        <f>IF(ISBLANK('4. Billing Determinants'!$B21), "", '4. Billing Determinants'!$B21)</f>
        <v>RESIDENTIAL SERVICE CLASSIFICATION</v>
      </c>
      <c r="C20" s="48" t="s">
        <v>139</v>
      </c>
      <c r="D20" s="112">
        <f>IF(C20="", 0, IF(C20="kWh", '4. Billing Determinants'!E21, IF(C20="kW", '4. Billing Determinants'!F21, '4. Billing Determinants'!D21)))</f>
        <v>282922375</v>
      </c>
      <c r="E20" s="113">
        <f>IFERROR(IF(AND(VLOOKUP(B20,'4. Billing Determinants'!$B$21:$K$40,9,0)=0,VLOOKUP(B20,'4. Billing Determinants'!$B$21:$K$40,10,0)=0),HLOOKUP($B20, '5. Allocation of Balances'!$D$4:$Z$77, 64,FALSE) + HLOOKUP($B46, '5. Allocation of Balances'!$D$4:$Z$77, 65,FALSE),HLOOKUP($B20, '5. Allocation of Balances'!$D$4:$Z$77, 64,FALSE)),0)</f>
        <v>68174.907543391048</v>
      </c>
      <c r="F20" s="114">
        <f>IF(ISERROR(E20/D20), 0, IF(C20="# of Customers", E20/D20/$D$13, (E20/D20)/($D$13/12)))</f>
        <v>2.4096682895225608E-4</v>
      </c>
      <c r="H20" s="37" t="str">
        <f t="shared" ref="H20:H39" si="0">IF(C20="", "", IF(C20="# of Customers", "per customer per month", "$/"&amp;C20))</f>
        <v>$/kWh</v>
      </c>
      <c r="I20" s="223"/>
      <c r="L20">
        <f>IF(M20=0,0,M20+N20)</f>
        <v>0</v>
      </c>
      <c r="M20" s="296"/>
      <c r="N20">
        <f>VLOOKUP(B20,'6.2 CBR B'!$A:$L,11,FALSE)*'6.2a CBR B_Allocation'!$C$28</f>
        <v>0</v>
      </c>
    </row>
    <row r="21" spans="2:14" x14ac:dyDescent="0.2">
      <c r="B21" s="111" t="str">
        <f>IF(ISBLANK('4. Billing Determinants'!$B22), "", '4. Billing Determinants'!$B22)</f>
        <v>GENERAL SERVICE LESS THAN 50 KW SERVICE CLASSIFICATION</v>
      </c>
      <c r="C21" s="48" t="s">
        <v>139</v>
      </c>
      <c r="D21" s="112">
        <f>IF(C21="", 0, IF(C21="kWh", '4. Billing Determinants'!E22, IF(C21="kW", '4. Billing Determinants'!F22, '4. Billing Determinants'!D22)))</f>
        <v>86539469</v>
      </c>
      <c r="E21" s="113">
        <f>IFERROR(IF(AND(VLOOKUP(B21,'4. Billing Determinants'!$B$21:$K$40,9,0)=0,VLOOKUP(B21,'4. Billing Determinants'!$B$21:$K$40,10,0)=0),HLOOKUP($B21, '5. Allocation of Balances'!$D$4:$Z$77, 64,FALSE) + HLOOKUP($B47, '5. Allocation of Balances'!$D$4:$Z$77, 65,FALSE),HLOOKUP($B21, '5. Allocation of Balances'!$D$4:$Z$77, 64,FALSE)),0)</f>
        <v>23849.803267676529</v>
      </c>
      <c r="F21" s="114">
        <f t="shared" ref="F21:F39" si="1">IF(ISERROR(E21/D21), 0, IF(C21="# of Customers", E21/D21/$D$13, (E21/D21)/($D$13/12)))</f>
        <v>2.7559451823856842E-4</v>
      </c>
      <c r="H21" s="37" t="str">
        <f t="shared" si="0"/>
        <v>$/kWh</v>
      </c>
      <c r="I21" s="223"/>
      <c r="L21">
        <f t="shared" ref="L21:L39" si="2">IF(M21=0,0,M21+N21)</f>
        <v>0</v>
      </c>
      <c r="M21" s="296"/>
      <c r="N21">
        <f>VLOOKUP(B21,'6.2 CBR B'!$A:$L,11,FALSE)*'6.2a CBR B_Allocation'!$C$28</f>
        <v>0</v>
      </c>
    </row>
    <row r="22" spans="2:14" x14ac:dyDescent="0.2">
      <c r="B22" s="111" t="str">
        <f>IF(ISBLANK('4. Billing Determinants'!$B23), "", '4. Billing Determinants'!$B23)</f>
        <v>GENERAL SERVICE 50 TO 999 KW SERVICE CLASSIFICATION</v>
      </c>
      <c r="C22" s="48" t="s">
        <v>170</v>
      </c>
      <c r="D22" s="112">
        <f>IF(C22="", 0, IF(C22="kWh", '4. Billing Determinants'!E23, IF(C22="kW", '4. Billing Determinants'!F23, '4. Billing Determinants'!D23)))</f>
        <v>575372</v>
      </c>
      <c r="E22" s="113">
        <f>IFERROR(IF(AND(VLOOKUP(B22,'4. Billing Determinants'!$B$21:$K$40,9,0)=0,VLOOKUP(B22,'4. Billing Determinants'!$B$21:$K$40,10,0)=0),HLOOKUP($B22, '5. Allocation of Balances'!$D$4:$Z$77, 64,FALSE) + HLOOKUP($B48, '5. Allocation of Balances'!$D$4:$Z$77, 65,FALSE),HLOOKUP($B22, '5. Allocation of Balances'!$D$4:$Z$77, 64,FALSE)),0)</f>
        <v>68773.437696526991</v>
      </c>
      <c r="F22" s="114">
        <f t="shared" si="1"/>
        <v>0.11952864876380323</v>
      </c>
      <c r="H22" s="37" t="str">
        <f t="shared" si="0"/>
        <v>$/kW</v>
      </c>
      <c r="L22">
        <f t="shared" si="2"/>
        <v>0</v>
      </c>
      <c r="M22" s="296"/>
      <c r="N22">
        <f>VLOOKUP(B22,'6.2 CBR B'!$A:$L,11,FALSE)*'6.2a CBR B_Allocation'!$C$28</f>
        <v>0</v>
      </c>
    </row>
    <row r="23" spans="2:14" x14ac:dyDescent="0.2">
      <c r="B23" s="111" t="str">
        <f>IF(ISBLANK('4. Billing Determinants'!$B24), "", '4. Billing Determinants'!$B24)</f>
        <v>UNMETERED SCATTERED LOAD SERVICE CLASSIFICATION</v>
      </c>
      <c r="C23" s="48" t="s">
        <v>139</v>
      </c>
      <c r="D23" s="112">
        <f>IF(C23="", 0, IF(C23="kWh", '4. Billing Determinants'!E24, IF(C23="kW", '4. Billing Determinants'!F24, '4. Billing Determinants'!D24)))</f>
        <v>878528</v>
      </c>
      <c r="E23" s="113">
        <f>IFERROR(IF(AND(VLOOKUP(B23,'4. Billing Determinants'!$B$21:$K$40,9,0)=0,VLOOKUP(B23,'4. Billing Determinants'!$B$21:$K$40,10,0)=0),HLOOKUP($B23, '5. Allocation of Balances'!$D$4:$Z$77, 64,FALSE) + HLOOKUP($B49, '5. Allocation of Balances'!$D$4:$Z$77, 65,FALSE),HLOOKUP($B23, '5. Allocation of Balances'!$D$4:$Z$77, 64,FALSE)),0)</f>
        <v>259.70717438226745</v>
      </c>
      <c r="F23" s="114">
        <f t="shared" si="1"/>
        <v>2.9561627447533537E-4</v>
      </c>
      <c r="H23" s="37" t="str">
        <f t="shared" si="0"/>
        <v>$/kWh</v>
      </c>
      <c r="L23">
        <f t="shared" si="2"/>
        <v>0</v>
      </c>
      <c r="M23" s="296"/>
      <c r="N23">
        <f>VLOOKUP(B23,'6.2 CBR B'!$A:$L,11,FALSE)*'6.2a CBR B_Allocation'!$C$28</f>
        <v>0</v>
      </c>
    </row>
    <row r="24" spans="2:14" x14ac:dyDescent="0.2">
      <c r="B24" s="111" t="str">
        <f>IF(ISBLANK('4. Billing Determinants'!$B25), "", '4. Billing Determinants'!$B25)</f>
        <v>STREET LIGHTING SERVICE CLASSIFICATION</v>
      </c>
      <c r="C24" s="48" t="s">
        <v>170</v>
      </c>
      <c r="D24" s="112">
        <f>IF(C24="", 0, IF(C24="kWh", '4. Billing Determinants'!E25, IF(C24="kW", '4. Billing Determinants'!F25, '4. Billing Determinants'!D25)))</f>
        <v>7200</v>
      </c>
      <c r="E24" s="113">
        <f>IFERROR(IF(AND(VLOOKUP(B24,'4. Billing Determinants'!$B$21:$K$40,9,0)=0,VLOOKUP(B24,'4. Billing Determinants'!$B$21:$K$40,10,0)=0),HLOOKUP($B24, '5. Allocation of Balances'!$D$4:$Z$77, 64,FALSE) + HLOOKUP($B50, '5. Allocation of Balances'!$D$4:$Z$77, 65,FALSE),HLOOKUP($B24, '5. Allocation of Balances'!$D$4:$Z$77, 64,FALSE)),0)</f>
        <v>727.21426151167793</v>
      </c>
      <c r="F24" s="114">
        <f t="shared" si="1"/>
        <v>0.10100198076551083</v>
      </c>
      <c r="H24" s="37" t="str">
        <f t="shared" si="0"/>
        <v>$/kW</v>
      </c>
      <c r="L24">
        <f t="shared" si="2"/>
        <v>0</v>
      </c>
      <c r="M24" s="296"/>
      <c r="N24">
        <f>VLOOKUP(B24,'6.2 CBR B'!$A:$L,11,FALSE)*'6.2a CBR B_Allocation'!$C$28</f>
        <v>0</v>
      </c>
    </row>
    <row r="25" spans="2:14" x14ac:dyDescent="0.2">
      <c r="B25" s="111" t="str">
        <f>IF(ISBLANK('4. Billing Determinants'!$B26), "", '4. Billing Determinants'!$B26)</f>
        <v>SENTINEL LIGHTING SERVICE CLASSIFICATION</v>
      </c>
      <c r="C25" s="48" t="s">
        <v>170</v>
      </c>
      <c r="D25" s="112">
        <f>IF(C25="", 0, IF(C25="kWh", '4. Billing Determinants'!E26, IF(C25="kW", '4. Billing Determinants'!F26, '4. Billing Determinants'!D26)))</f>
        <v>566</v>
      </c>
      <c r="E25" s="113">
        <f>IFERROR(IF(AND(VLOOKUP(B25,'4. Billing Determinants'!$B$21:$K$40,9,0)=0,VLOOKUP(B25,'4. Billing Determinants'!$B$21:$K$40,10,0)=0),HLOOKUP($B25, '5. Allocation of Balances'!$D$4:$Z$77, 64,FALSE) + HLOOKUP($B51, '5. Allocation of Balances'!$D$4:$Z$77, 65,FALSE),HLOOKUP($B25, '5. Allocation of Balances'!$D$4:$Z$77, 64,FALSE)),0)</f>
        <v>57.302554260573544</v>
      </c>
      <c r="F25" s="114">
        <f t="shared" si="1"/>
        <v>0.10124126194447623</v>
      </c>
      <c r="H25" s="37" t="str">
        <f t="shared" si="0"/>
        <v>$/kW</v>
      </c>
      <c r="L25">
        <f t="shared" si="2"/>
        <v>0</v>
      </c>
      <c r="M25" s="296"/>
      <c r="N25">
        <f>VLOOKUP(B25,'6.2 CBR B'!$A:$L,11,FALSE)*'6.2a CBR B_Allocation'!$C$28</f>
        <v>0</v>
      </c>
    </row>
    <row r="26" spans="2:14" x14ac:dyDescent="0.2">
      <c r="B26" s="111" t="str">
        <f>IF(ISBLANK('4. Billing Determinants'!$B27), "", '4. Billing Determinants'!$B27)</f>
        <v/>
      </c>
      <c r="C26" s="48"/>
      <c r="D26" s="112">
        <f>IF(C26="", 0, IF(C26="kWh", '4. Billing Determinants'!E27, IF(C26="kW", '4. Billing Determinants'!F27, '4. Billing Determinants'!D27)))</f>
        <v>0</v>
      </c>
      <c r="E26" s="113">
        <f>IFERROR(IF(AND(VLOOKUP(B26,'4. Billing Determinants'!$B$21:$K$40,9,0)=0,VLOOKUP(B26,'4. Billing Determinants'!$B$21:$K$40,10,0)=0),HLOOKUP($B26, '5. Allocation of Balances'!$D$4:$Z$77, 64,FALSE) + HLOOKUP($B52, '5. Allocation of Balances'!$D$4:$Z$77, 65,FALSE),HLOOKUP($B26, '5. Allocation of Balances'!$D$4:$Z$77, 64,FALSE)),0)</f>
        <v>0</v>
      </c>
      <c r="F26" s="114">
        <f t="shared" si="1"/>
        <v>0</v>
      </c>
      <c r="H26" s="37" t="str">
        <f t="shared" si="0"/>
        <v/>
      </c>
      <c r="L26">
        <f t="shared" si="2"/>
        <v>0</v>
      </c>
      <c r="M26" s="296"/>
      <c r="N26">
        <f>VLOOKUP(B26,'6.2 CBR B'!$A:$L,11,FALSE)*'6.2a CBR B_Allocation'!$C$28</f>
        <v>0</v>
      </c>
    </row>
    <row r="27" spans="2:14" x14ac:dyDescent="0.2">
      <c r="B27" s="111" t="str">
        <f>IF(ISBLANK('4. Billing Determinants'!$B28), "", '4. Billing Determinants'!$B28)</f>
        <v/>
      </c>
      <c r="C27" s="48"/>
      <c r="D27" s="112">
        <f>IF(C27="", 0, IF(C27="kWh", '4. Billing Determinants'!E28, IF(C27="kW", '4. Billing Determinants'!F28, '4. Billing Determinants'!D28)))</f>
        <v>0</v>
      </c>
      <c r="E27" s="113">
        <f>IFERROR(IF(AND(VLOOKUP(B27,'4. Billing Determinants'!$B$21:$K$40,9,0)=0,VLOOKUP(B27,'4. Billing Determinants'!$B$21:$K$40,10,0)=0),HLOOKUP($B27, '5. Allocation of Balances'!$D$4:$Z$77, 64,FALSE) + HLOOKUP($B53, '5. Allocation of Balances'!$D$4:$Z$77, 65,FALSE),HLOOKUP($B27, '5. Allocation of Balances'!$D$4:$Z$77, 64,FALSE)),0)</f>
        <v>0</v>
      </c>
      <c r="F27" s="114">
        <f t="shared" si="1"/>
        <v>0</v>
      </c>
      <c r="H27" s="37" t="str">
        <f t="shared" si="0"/>
        <v/>
      </c>
      <c r="L27">
        <f t="shared" si="2"/>
        <v>0</v>
      </c>
      <c r="M27" s="296"/>
      <c r="N27">
        <f>VLOOKUP(B27,'6.2 CBR B'!$A:$L,11,FALSE)*'6.2a CBR B_Allocation'!$C$28</f>
        <v>0</v>
      </c>
    </row>
    <row r="28" spans="2:14" x14ac:dyDescent="0.2">
      <c r="B28" s="111" t="str">
        <f>IF(ISBLANK('4. Billing Determinants'!$B29), "", '4. Billing Determinants'!$B29)</f>
        <v/>
      </c>
      <c r="C28" s="48"/>
      <c r="D28" s="112">
        <f>IF(C28="", 0, IF(C28="kWh", '4. Billing Determinants'!E29, IF(C28="kW", '4. Billing Determinants'!F29, '4. Billing Determinants'!D29)))</f>
        <v>0</v>
      </c>
      <c r="E28" s="113">
        <f>IFERROR(IF(AND(VLOOKUP(B28,'4. Billing Determinants'!$B$21:$K$40,9,0)=0,VLOOKUP(B28,'4. Billing Determinants'!$B$21:$K$40,10,0)=0),HLOOKUP($B28, '5. Allocation of Balances'!$D$4:$Z$77, 64,FALSE) + HLOOKUP($B54, '5. Allocation of Balances'!$D$4:$Z$77, 65,FALSE),HLOOKUP($B28, '5. Allocation of Balances'!$D$4:$Z$77, 64,FALSE)),0)</f>
        <v>0</v>
      </c>
      <c r="F28" s="114">
        <f t="shared" si="1"/>
        <v>0</v>
      </c>
      <c r="H28" s="37" t="str">
        <f t="shared" si="0"/>
        <v/>
      </c>
      <c r="L28">
        <f t="shared" si="2"/>
        <v>0</v>
      </c>
      <c r="M28" s="296"/>
      <c r="N28">
        <f>VLOOKUP(B28,'6.2 CBR B'!$A:$L,11,FALSE)*'6.2a CBR B_Allocation'!$C$28</f>
        <v>0</v>
      </c>
    </row>
    <row r="29" spans="2:14" x14ac:dyDescent="0.2">
      <c r="B29" s="111" t="str">
        <f>IF(ISBLANK('4. Billing Determinants'!$B30), "", '4. Billing Determinants'!$B30)</f>
        <v/>
      </c>
      <c r="C29" s="48"/>
      <c r="D29" s="112">
        <f>IF(C29="", 0, IF(C29="kWh", '4. Billing Determinants'!E30, IF(C29="kW", '4. Billing Determinants'!F30, '4. Billing Determinants'!D30)))</f>
        <v>0</v>
      </c>
      <c r="E29" s="113">
        <f>IFERROR(IF(AND(VLOOKUP(B29,'4. Billing Determinants'!$B$21:$K$40,9,0)=0,VLOOKUP(B29,'4. Billing Determinants'!$B$21:$K$40,10,0)=0),HLOOKUP($B29, '5. Allocation of Balances'!$D$4:$Z$77, 64,FALSE) + HLOOKUP($B55, '5. Allocation of Balances'!$D$4:$Z$77, 65,FALSE),HLOOKUP($B29, '5. Allocation of Balances'!$D$4:$Z$77, 64,FALSE)),0)</f>
        <v>0</v>
      </c>
      <c r="F29" s="114">
        <f t="shared" si="1"/>
        <v>0</v>
      </c>
      <c r="H29" s="37" t="str">
        <f t="shared" si="0"/>
        <v/>
      </c>
      <c r="L29">
        <f t="shared" si="2"/>
        <v>0</v>
      </c>
      <c r="M29" s="296"/>
      <c r="N29">
        <f>VLOOKUP(B29,'6.2 CBR B'!$A:$L,11,FALSE)*'6.2a CBR B_Allocation'!$C$28</f>
        <v>0</v>
      </c>
    </row>
    <row r="30" spans="2:14" x14ac:dyDescent="0.2">
      <c r="B30" s="111" t="str">
        <f>IF(ISBLANK('4. Billing Determinants'!$B31), "", '4. Billing Determinants'!$B31)</f>
        <v/>
      </c>
      <c r="C30" s="48"/>
      <c r="D30" s="112">
        <f>IF(C30="", 0, IF(C30="kWh", '4. Billing Determinants'!E31, IF(C30="kW", '4. Billing Determinants'!F31, '4. Billing Determinants'!D31)))</f>
        <v>0</v>
      </c>
      <c r="E30" s="113">
        <f>IFERROR(IF(AND(VLOOKUP(B30,'4. Billing Determinants'!$B$21:$K$40,9,0)=0,VLOOKUP(B30,'4. Billing Determinants'!$B$21:$K$40,10,0)=0),HLOOKUP($B30, '5. Allocation of Balances'!$D$4:$Z$77, 64,FALSE) + HLOOKUP($B56, '5. Allocation of Balances'!$D$4:$Z$77, 65,FALSE),HLOOKUP($B30, '5. Allocation of Balances'!$D$4:$Z$77, 64,FALSE)),0)</f>
        <v>0</v>
      </c>
      <c r="F30" s="114">
        <f t="shared" si="1"/>
        <v>0</v>
      </c>
      <c r="H30" s="37" t="str">
        <f t="shared" si="0"/>
        <v/>
      </c>
      <c r="L30">
        <f t="shared" si="2"/>
        <v>0</v>
      </c>
      <c r="M30" s="296"/>
      <c r="N30">
        <f>VLOOKUP(B30,'6.2 CBR B'!$A:$L,11,FALSE)*'6.2a CBR B_Allocation'!$C$28</f>
        <v>0</v>
      </c>
    </row>
    <row r="31" spans="2:14" x14ac:dyDescent="0.2">
      <c r="B31" s="111" t="str">
        <f>IF(ISBLANK('4. Billing Determinants'!$B32), "", '4. Billing Determinants'!$B32)</f>
        <v/>
      </c>
      <c r="C31" s="48"/>
      <c r="D31" s="112">
        <f>IF(C31="", 0, IF(C31="kWh", '4. Billing Determinants'!E32, IF(C31="kW", '4. Billing Determinants'!F32, '4. Billing Determinants'!D32)))</f>
        <v>0</v>
      </c>
      <c r="E31" s="113">
        <f>IFERROR(IF(AND(VLOOKUP(B31,'4. Billing Determinants'!$B$21:$K$40,9,0)=0,VLOOKUP(B31,'4. Billing Determinants'!$B$21:$K$40,10,0)=0),HLOOKUP($B31, '5. Allocation of Balances'!$D$4:$Z$77, 64,FALSE) + HLOOKUP($B57, '5. Allocation of Balances'!$D$4:$Z$77, 65,FALSE),HLOOKUP($B31, '5. Allocation of Balances'!$D$4:$Z$77, 64,FALSE)),0)</f>
        <v>0</v>
      </c>
      <c r="F31" s="114">
        <f t="shared" si="1"/>
        <v>0</v>
      </c>
      <c r="H31" s="37" t="str">
        <f t="shared" si="0"/>
        <v/>
      </c>
      <c r="L31">
        <f t="shared" si="2"/>
        <v>0</v>
      </c>
      <c r="M31" s="296"/>
      <c r="N31">
        <f>VLOOKUP(B31,'6.2 CBR B'!$A:$L,11,FALSE)*'6.2a CBR B_Allocation'!$C$28</f>
        <v>0</v>
      </c>
    </row>
    <row r="32" spans="2:14" x14ac:dyDescent="0.2">
      <c r="B32" s="111" t="str">
        <f>IF(ISBLANK('4. Billing Determinants'!$B33), "", '4. Billing Determinants'!$B33)</f>
        <v/>
      </c>
      <c r="C32" s="48"/>
      <c r="D32" s="112">
        <f>IF(C32="", 0, IF(C32="kWh", '4. Billing Determinants'!E33, IF(C32="kW", '4. Billing Determinants'!F33, '4. Billing Determinants'!D33)))</f>
        <v>0</v>
      </c>
      <c r="E32" s="113">
        <f>IFERROR(IF(AND(VLOOKUP(B32,'4. Billing Determinants'!$B$21:$K$40,9,0)=0,VLOOKUP(B32,'4. Billing Determinants'!$B$21:$K$40,10,0)=0),HLOOKUP($B32, '5. Allocation of Balances'!$D$4:$Z$77, 64,FALSE) + HLOOKUP($B58, '5. Allocation of Balances'!$D$4:$Z$77, 65,FALSE),HLOOKUP($B32, '5. Allocation of Balances'!$D$4:$Z$77, 64,FALSE)),0)</f>
        <v>0</v>
      </c>
      <c r="F32" s="114">
        <f t="shared" si="1"/>
        <v>0</v>
      </c>
      <c r="H32" s="37" t="str">
        <f t="shared" si="0"/>
        <v/>
      </c>
      <c r="L32">
        <f t="shared" si="2"/>
        <v>0</v>
      </c>
      <c r="M32" s="296"/>
      <c r="N32">
        <f>VLOOKUP(B32,'6.2 CBR B'!$A:$L,11,FALSE)*'6.2a CBR B_Allocation'!$C$28</f>
        <v>0</v>
      </c>
    </row>
    <row r="33" spans="2:14" x14ac:dyDescent="0.2">
      <c r="B33" s="111" t="str">
        <f>IF(ISBLANK('4. Billing Determinants'!$B34), "", '4. Billing Determinants'!$B34)</f>
        <v/>
      </c>
      <c r="C33" s="48"/>
      <c r="D33" s="112">
        <f>IF(C33="", 0, IF(C33="kWh", '4. Billing Determinants'!E34, IF(C33="kW", '4. Billing Determinants'!F34, '4. Billing Determinants'!D34)))</f>
        <v>0</v>
      </c>
      <c r="E33" s="113">
        <f>IFERROR(IF(AND(VLOOKUP(B33,'4. Billing Determinants'!$B$21:$K$40,9,0)=0,VLOOKUP(B33,'4. Billing Determinants'!$B$21:$K$40,10,0)=0),HLOOKUP($B33, '5. Allocation of Balances'!$D$4:$Z$77, 64,FALSE) + HLOOKUP($B59, '5. Allocation of Balances'!$D$4:$Z$77, 65,FALSE),HLOOKUP($B33, '5. Allocation of Balances'!$D$4:$Z$77, 64,FALSE)),0)</f>
        <v>0</v>
      </c>
      <c r="F33" s="114">
        <f t="shared" si="1"/>
        <v>0</v>
      </c>
      <c r="H33" s="37" t="str">
        <f t="shared" si="0"/>
        <v/>
      </c>
      <c r="L33">
        <f t="shared" si="2"/>
        <v>0</v>
      </c>
      <c r="M33" s="296"/>
      <c r="N33">
        <f>VLOOKUP(B33,'6.2 CBR B'!$A:$L,11,FALSE)*'6.2a CBR B_Allocation'!$C$28</f>
        <v>0</v>
      </c>
    </row>
    <row r="34" spans="2:14" x14ac:dyDescent="0.2">
      <c r="B34" s="111" t="str">
        <f>IF(ISBLANK('4. Billing Determinants'!$B35), "", '4. Billing Determinants'!$B35)</f>
        <v/>
      </c>
      <c r="C34" s="48"/>
      <c r="D34" s="112">
        <f>IF(C34="", 0, IF(C34="kWh", '4. Billing Determinants'!E35, IF(C34="kW", '4. Billing Determinants'!F35, '4. Billing Determinants'!D35)))</f>
        <v>0</v>
      </c>
      <c r="E34" s="113">
        <f>IFERROR(IF(AND(VLOOKUP(B34,'4. Billing Determinants'!$B$21:$K$40,9,0)=0,VLOOKUP(B34,'4. Billing Determinants'!$B$21:$K$40,10,0)=0),HLOOKUP($B34, '5. Allocation of Balances'!$D$4:$Z$77, 64,FALSE) + HLOOKUP($B60, '5. Allocation of Balances'!$D$4:$Z$77, 65,FALSE),HLOOKUP($B34, '5. Allocation of Balances'!$D$4:$Z$77, 64,FALSE)),0)</f>
        <v>0</v>
      </c>
      <c r="F34" s="114">
        <f t="shared" si="1"/>
        <v>0</v>
      </c>
      <c r="H34" s="37" t="str">
        <f t="shared" si="0"/>
        <v/>
      </c>
      <c r="L34">
        <f t="shared" si="2"/>
        <v>0</v>
      </c>
      <c r="M34" s="296"/>
      <c r="N34">
        <f>VLOOKUP(B34,'6.2 CBR B'!$A:$L,11,FALSE)*'6.2a CBR B_Allocation'!$C$28</f>
        <v>0</v>
      </c>
    </row>
    <row r="35" spans="2:14" x14ac:dyDescent="0.2">
      <c r="B35" s="111" t="str">
        <f>IF(ISBLANK('4. Billing Determinants'!$B36), "", '4. Billing Determinants'!$B36)</f>
        <v/>
      </c>
      <c r="C35" s="48"/>
      <c r="D35" s="112">
        <f>IF(C35="", 0, IF(C35="kWh", '4. Billing Determinants'!E36, IF(C35="kW", '4. Billing Determinants'!F36, '4. Billing Determinants'!D36)))</f>
        <v>0</v>
      </c>
      <c r="E35" s="113">
        <f>IFERROR(IF(AND(VLOOKUP(B35,'4. Billing Determinants'!$B$21:$K$40,9,0)=0,VLOOKUP(B35,'4. Billing Determinants'!$B$21:$K$40,10,0)=0),HLOOKUP($B35, '5. Allocation of Balances'!$D$4:$Z$77, 64,FALSE) + HLOOKUP($B61, '5. Allocation of Balances'!$D$4:$Z$77, 65,FALSE),HLOOKUP($B35, '5. Allocation of Balances'!$D$4:$Z$77, 64,FALSE)),0)</f>
        <v>0</v>
      </c>
      <c r="F35" s="114">
        <f t="shared" si="1"/>
        <v>0</v>
      </c>
      <c r="H35" s="37" t="str">
        <f t="shared" si="0"/>
        <v/>
      </c>
      <c r="L35">
        <f t="shared" si="2"/>
        <v>0</v>
      </c>
      <c r="M35" s="296"/>
      <c r="N35">
        <f>VLOOKUP(B35,'6.2 CBR B'!$A:$L,11,FALSE)*'6.2a CBR B_Allocation'!$C$28</f>
        <v>0</v>
      </c>
    </row>
    <row r="36" spans="2:14" x14ac:dyDescent="0.2">
      <c r="B36" s="111" t="str">
        <f>IF(ISBLANK('4. Billing Determinants'!$B37), "", '4. Billing Determinants'!$B37)</f>
        <v/>
      </c>
      <c r="C36" s="48"/>
      <c r="D36" s="112">
        <f>IF(C36="", 0, IF(C36="kWh", '4. Billing Determinants'!E37, IF(C36="kW", '4. Billing Determinants'!F37, '4. Billing Determinants'!D37)))</f>
        <v>0</v>
      </c>
      <c r="E36" s="113">
        <f>IFERROR(IF(AND(VLOOKUP(B36,'4. Billing Determinants'!$B$21:$K$40,9,0)=0,VLOOKUP(B36,'4. Billing Determinants'!$B$21:$K$40,10,0)=0),HLOOKUP($B36, '5. Allocation of Balances'!$D$4:$Z$77, 64,FALSE) + HLOOKUP($B62, '5. Allocation of Balances'!$D$4:$Z$77, 65,FALSE),HLOOKUP($B36, '5. Allocation of Balances'!$D$4:$Z$77, 64,FALSE)),0)</f>
        <v>0</v>
      </c>
      <c r="F36" s="114">
        <f t="shared" si="1"/>
        <v>0</v>
      </c>
      <c r="H36" s="37" t="str">
        <f t="shared" si="0"/>
        <v/>
      </c>
      <c r="L36">
        <f t="shared" si="2"/>
        <v>0</v>
      </c>
      <c r="M36" s="296"/>
      <c r="N36">
        <f>VLOOKUP(B36,'6.2 CBR B'!$A:$L,11,FALSE)*'6.2a CBR B_Allocation'!$C$28</f>
        <v>0</v>
      </c>
    </row>
    <row r="37" spans="2:14" x14ac:dyDescent="0.2">
      <c r="B37" s="111" t="str">
        <f>IF(ISBLANK('4. Billing Determinants'!$B38), "", '4. Billing Determinants'!$B38)</f>
        <v/>
      </c>
      <c r="C37" s="48"/>
      <c r="D37" s="112">
        <f>IF(C37="", 0, IF(C37="kWh", '4. Billing Determinants'!E38, IF(C37="kW", '4. Billing Determinants'!F38, '4. Billing Determinants'!D38)))</f>
        <v>0</v>
      </c>
      <c r="E37" s="113">
        <f>IFERROR(IF(AND(VLOOKUP(B37,'4. Billing Determinants'!$B$21:$K$40,9,0)=0,VLOOKUP(B37,'4. Billing Determinants'!$B$21:$K$40,10,0)=0),HLOOKUP($B37, '5. Allocation of Balances'!$D$4:$Z$77, 64,FALSE) + HLOOKUP($B63, '5. Allocation of Balances'!$D$4:$Z$77, 65,FALSE),HLOOKUP($B37, '5. Allocation of Balances'!$D$4:$Z$77, 64,FALSE)),0)</f>
        <v>0</v>
      </c>
      <c r="F37" s="114">
        <f t="shared" si="1"/>
        <v>0</v>
      </c>
      <c r="H37" s="37" t="str">
        <f t="shared" si="0"/>
        <v/>
      </c>
      <c r="L37">
        <f t="shared" si="2"/>
        <v>0</v>
      </c>
      <c r="M37" s="296"/>
      <c r="N37">
        <f>VLOOKUP(B37,'6.2 CBR B'!$A:$L,11,FALSE)*'6.2a CBR B_Allocation'!$C$28</f>
        <v>0</v>
      </c>
    </row>
    <row r="38" spans="2:14" x14ac:dyDescent="0.2">
      <c r="B38" s="111" t="str">
        <f>IF(ISBLANK('4. Billing Determinants'!$B39), "", '4. Billing Determinants'!$B39)</f>
        <v/>
      </c>
      <c r="C38" s="48"/>
      <c r="D38" s="112">
        <f>IF(C38="", 0, IF(C38="kWh", '4. Billing Determinants'!E39, IF(C38="kW", '4. Billing Determinants'!F39, '4. Billing Determinants'!D39)))</f>
        <v>0</v>
      </c>
      <c r="E38" s="113">
        <f>IFERROR(IF(AND(VLOOKUP(B38,'4. Billing Determinants'!$B$21:$K$40,9,0)=0,VLOOKUP(B38,'4. Billing Determinants'!$B$21:$K$40,10,0)=0),HLOOKUP($B38, '5. Allocation of Balances'!$D$4:$Z$77, 64,FALSE) + HLOOKUP($B64, '5. Allocation of Balances'!$D$4:$Z$77, 65,FALSE),HLOOKUP($B38, '5. Allocation of Balances'!$D$4:$Z$77, 64,FALSE)),0)</f>
        <v>0</v>
      </c>
      <c r="F38" s="114">
        <f t="shared" si="1"/>
        <v>0</v>
      </c>
      <c r="H38" s="37" t="str">
        <f t="shared" si="0"/>
        <v/>
      </c>
      <c r="I38" s="115"/>
      <c r="L38">
        <f t="shared" si="2"/>
        <v>0</v>
      </c>
      <c r="M38" s="296"/>
      <c r="N38">
        <f>VLOOKUP(B38,'6.2 CBR B'!$A:$L,11,FALSE)*'6.2a CBR B_Allocation'!$C$28</f>
        <v>0</v>
      </c>
    </row>
    <row r="39" spans="2:14" x14ac:dyDescent="0.2">
      <c r="B39" s="111" t="str">
        <f>IF(ISBLANK('4. Billing Determinants'!$B40), "", '4. Billing Determinants'!$B40)</f>
        <v/>
      </c>
      <c r="C39" s="48"/>
      <c r="D39" s="112">
        <f>IF(C39="", 0, IF(C39="kWh", '4. Billing Determinants'!E40, IF(C39="kW", '4. Billing Determinants'!F40, '4. Billing Determinants'!D40)))</f>
        <v>0</v>
      </c>
      <c r="E39" s="113">
        <f>IFERROR(IF(AND(VLOOKUP(B39,'4. Billing Determinants'!$B$21:$K$40,9,0)=0,VLOOKUP(B39,'4. Billing Determinants'!$B$21:$K$40,10,0)=0),HLOOKUP($B39, '5. Allocation of Balances'!$D$4:$Z$77, 64,FALSE) + HLOOKUP($B65, '5. Allocation of Balances'!$D$4:$Z$77, 65,FALSE),HLOOKUP($B39, '5. Allocation of Balances'!$D$4:$Z$77, 64,FALSE)),0)</f>
        <v>0</v>
      </c>
      <c r="F39" s="114">
        <f t="shared" si="1"/>
        <v>0</v>
      </c>
      <c r="H39" s="37" t="str">
        <f t="shared" si="0"/>
        <v/>
      </c>
      <c r="L39">
        <f t="shared" si="2"/>
        <v>0</v>
      </c>
      <c r="M39" s="296"/>
      <c r="N39">
        <f>VLOOKUP(B39,'6.2 CBR B'!$A:$L,11,FALSE)*'6.2a CBR B_Allocation'!$C$28</f>
        <v>0</v>
      </c>
    </row>
    <row r="40" spans="2:14" x14ac:dyDescent="0.2">
      <c r="B40" s="116" t="s">
        <v>52</v>
      </c>
      <c r="C40" s="117"/>
      <c r="D40" s="118"/>
      <c r="E40" s="119">
        <f>SUM(E20:E39)</f>
        <v>161842.37249774908</v>
      </c>
      <c r="F40" s="116"/>
    </row>
    <row r="42" spans="2:14" ht="15.75" x14ac:dyDescent="0.25">
      <c r="B42" s="120" t="s">
        <v>408</v>
      </c>
    </row>
    <row r="43" spans="2:14" x14ac:dyDescent="0.2">
      <c r="B43" s="110" t="s">
        <v>148</v>
      </c>
    </row>
    <row r="44" spans="2:14" ht="12.75" customHeight="1" x14ac:dyDescent="0.2">
      <c r="B44" s="809" t="s">
        <v>60</v>
      </c>
      <c r="C44" s="808" t="s">
        <v>51</v>
      </c>
      <c r="D44" s="860" t="s">
        <v>65</v>
      </c>
      <c r="E44" s="860" t="s">
        <v>410</v>
      </c>
      <c r="F44" s="803" t="s">
        <v>64</v>
      </c>
    </row>
    <row r="45" spans="2:14" ht="27" customHeight="1" x14ac:dyDescent="0.2">
      <c r="B45" s="810"/>
      <c r="C45" s="808"/>
      <c r="D45" s="861"/>
      <c r="E45" s="861"/>
      <c r="F45" s="803"/>
    </row>
    <row r="46" spans="2:14" x14ac:dyDescent="0.2">
      <c r="B46" s="111" t="str">
        <f>IF(ISBLANK('4. Billing Determinants'!B21), "", '4. Billing Determinants'!B21)</f>
        <v>RESIDENTIAL SERVICE CLASSIFICATION</v>
      </c>
      <c r="C46" s="48" t="s">
        <v>59</v>
      </c>
      <c r="D46" s="112">
        <f>IF(C46="", 0, IF(C46="kWh", '4. Billing Determinants'!L21, IF(C46="kW", '4. Billing Determinants'!M21, '4. Billing Determinants'!D21)))</f>
        <v>30340</v>
      </c>
      <c r="E46" s="113">
        <f>IFERROR(IF(AND(VLOOKUP(B46,'4. Billing Determinants'!$B$21:$K$40,9,0)=0,VLOOKUP(B46,'4. Billing Determinants'!$B$21:$K$40,10,0)=0),0,HLOOKUP($B46, '5. Allocation of Balances'!$D$4:$Z$77, 65,FALSE)),0)</f>
        <v>0</v>
      </c>
      <c r="F46" s="114">
        <f>IF(ISERROR(E46/D46), 0, IF(C46="# of Customers", E46/D46/$D$13, (E46/D46)/($D$13/12)))</f>
        <v>0</v>
      </c>
      <c r="H46" s="37" t="str">
        <f t="shared" ref="H46:H65" si="3">IF(C46="", "", IF(C46="# of Customers", "per customer per month", "$/"&amp;C46))</f>
        <v>per customer per month</v>
      </c>
    </row>
    <row r="47" spans="2:14" x14ac:dyDescent="0.2">
      <c r="B47" s="111" t="str">
        <f>IF(ISBLANK('4. Billing Determinants'!B22), "", '4. Billing Determinants'!B22)</f>
        <v>GENERAL SERVICE LESS THAN 50 KW SERVICE CLASSIFICATION</v>
      </c>
      <c r="C47" s="48" t="s">
        <v>139</v>
      </c>
      <c r="D47" s="112">
        <f>IF(C47="", 0, IF(C47="kWh", '4. Billing Determinants'!L22, IF(C47="kW", '4. Billing Determinants'!M22, '4. Billing Determinants'!D22)))</f>
        <v>86539469</v>
      </c>
      <c r="E47" s="113">
        <f>IFERROR(IF(AND(VLOOKUP(B47,'4. Billing Determinants'!$B$21:$K$40,9,0)=0,VLOOKUP(B47,'4. Billing Determinants'!$B$21:$K$40,10,0)=0),0,HLOOKUP($B47, '5. Allocation of Balances'!$D$4:$Z$77, 65,FALSE)),0)</f>
        <v>0</v>
      </c>
      <c r="F47" s="114">
        <f t="shared" ref="F47:F65" si="4">IF(ISERROR(E47/D47), 0, IF(C47="# of Customers", E47/D47/$D$13, (E47/D47)/($D$13/12)))</f>
        <v>0</v>
      </c>
      <c r="H47" s="37" t="str">
        <f t="shared" si="3"/>
        <v>$/kWh</v>
      </c>
    </row>
    <row r="48" spans="2:14" x14ac:dyDescent="0.2">
      <c r="B48" s="111" t="str">
        <f>IF(ISBLANK('4. Billing Determinants'!B23), "", '4. Billing Determinants'!B23)</f>
        <v>GENERAL SERVICE 50 TO 999 KW SERVICE CLASSIFICATION</v>
      </c>
      <c r="C48" s="48" t="s">
        <v>170</v>
      </c>
      <c r="D48" s="112">
        <f>IF(C48="", 0, IF(C48="kWh", '4. Billing Determinants'!L23, IF(C48="kW", '4. Billing Determinants'!M23, '4. Billing Determinants'!D23)))</f>
        <v>575372</v>
      </c>
      <c r="E48" s="113">
        <f>IFERROR(IF(AND(VLOOKUP(B48,'4. Billing Determinants'!$B$21:$K$40,9,0)=0,VLOOKUP(B48,'4. Billing Determinants'!$B$21:$K$40,10,0)=0),0,HLOOKUP($B48, '5. Allocation of Balances'!$D$4:$Z$77, 65,FALSE)),0)</f>
        <v>0</v>
      </c>
      <c r="F48" s="114">
        <f t="shared" si="4"/>
        <v>0</v>
      </c>
      <c r="H48" s="37" t="str">
        <f t="shared" si="3"/>
        <v>$/kW</v>
      </c>
    </row>
    <row r="49" spans="2:9" x14ac:dyDescent="0.2">
      <c r="B49" s="111" t="str">
        <f>IF(ISBLANK('4. Billing Determinants'!B24), "", '4. Billing Determinants'!B24)</f>
        <v>UNMETERED SCATTERED LOAD SERVICE CLASSIFICATION</v>
      </c>
      <c r="C49" s="48" t="s">
        <v>139</v>
      </c>
      <c r="D49" s="112">
        <f>IF(C49="", 0, IF(C49="kWh", '4. Billing Determinants'!L24, IF(C49="kW", '4. Billing Determinants'!M24, '4. Billing Determinants'!D24)))</f>
        <v>878528</v>
      </c>
      <c r="E49" s="113">
        <f>IFERROR(IF(AND(VLOOKUP(B49,'4. Billing Determinants'!$B$21:$K$40,9,0)=0,VLOOKUP(B49,'4. Billing Determinants'!$B$21:$K$40,10,0)=0),0,HLOOKUP($B49, '5. Allocation of Balances'!$D$4:$Z$77, 65,FALSE)),0)</f>
        <v>0</v>
      </c>
      <c r="F49" s="114">
        <f t="shared" si="4"/>
        <v>0</v>
      </c>
      <c r="H49" s="37" t="str">
        <f t="shared" si="3"/>
        <v>$/kWh</v>
      </c>
    </row>
    <row r="50" spans="2:9" x14ac:dyDescent="0.2">
      <c r="B50" s="111" t="str">
        <f>IF(ISBLANK('4. Billing Determinants'!B25), "", '4. Billing Determinants'!B25)</f>
        <v>STREET LIGHTING SERVICE CLASSIFICATION</v>
      </c>
      <c r="C50" s="48" t="s">
        <v>170</v>
      </c>
      <c r="D50" s="112">
        <f>IF(C50="", 0, IF(C50="kWh", '4. Billing Determinants'!L25, IF(C50="kW", '4. Billing Determinants'!M25, '4. Billing Determinants'!D25)))</f>
        <v>7200</v>
      </c>
      <c r="E50" s="113">
        <f>IFERROR(IF(AND(VLOOKUP(B50,'4. Billing Determinants'!$B$21:$K$40,9,0)=0,VLOOKUP(B50,'4. Billing Determinants'!$B$21:$K$40,10,0)=0),0,HLOOKUP($B50, '5. Allocation of Balances'!$D$4:$Z$77, 65,FALSE)),0)</f>
        <v>0</v>
      </c>
      <c r="F50" s="114">
        <f t="shared" si="4"/>
        <v>0</v>
      </c>
      <c r="H50" s="37" t="str">
        <f t="shared" si="3"/>
        <v>$/kW</v>
      </c>
    </row>
    <row r="51" spans="2:9" x14ac:dyDescent="0.2">
      <c r="B51" s="111" t="str">
        <f>IF(ISBLANK('4. Billing Determinants'!B26), "", '4. Billing Determinants'!B26)</f>
        <v>SENTINEL LIGHTING SERVICE CLASSIFICATION</v>
      </c>
      <c r="C51" s="48" t="s">
        <v>170</v>
      </c>
      <c r="D51" s="112">
        <f>IF(C51="", 0, IF(C51="kWh", '4. Billing Determinants'!L26, IF(C51="kW", '4. Billing Determinants'!M26, '4. Billing Determinants'!D26)))</f>
        <v>566</v>
      </c>
      <c r="E51" s="113">
        <f>IFERROR(IF(AND(VLOOKUP(B51,'4. Billing Determinants'!$B$21:$K$40,9,0)=0,VLOOKUP(B51,'4. Billing Determinants'!$B$21:$K$40,10,0)=0),0,HLOOKUP($B51, '5. Allocation of Balances'!$D$4:$Z$77, 65,FALSE)),0)</f>
        <v>0</v>
      </c>
      <c r="F51" s="114">
        <f t="shared" si="4"/>
        <v>0</v>
      </c>
      <c r="H51" s="37" t="str">
        <f t="shared" si="3"/>
        <v>$/kW</v>
      </c>
    </row>
    <row r="52" spans="2:9" x14ac:dyDescent="0.2">
      <c r="B52" s="111" t="str">
        <f>IF(ISBLANK('4. Billing Determinants'!B27), "", '4. Billing Determinants'!B27)</f>
        <v/>
      </c>
      <c r="C52" s="48"/>
      <c r="D52" s="112">
        <f>IF(C52="", 0, IF(C52="kWh", '4. Billing Determinants'!L27, IF(C52="kW", '4. Billing Determinants'!M27, '4. Billing Determinants'!D27)))</f>
        <v>0</v>
      </c>
      <c r="E52" s="113">
        <f>IFERROR(IF(AND(VLOOKUP(B52,'4. Billing Determinants'!$B$21:$K$40,9,0)=0,VLOOKUP(B52,'4. Billing Determinants'!$B$21:$K$40,10,0)=0),0,HLOOKUP($B52, '5. Allocation of Balances'!$D$4:$Z$77, 65,FALSE)),0)</f>
        <v>0</v>
      </c>
      <c r="F52" s="114">
        <f t="shared" si="4"/>
        <v>0</v>
      </c>
      <c r="H52" s="37" t="str">
        <f t="shared" si="3"/>
        <v/>
      </c>
    </row>
    <row r="53" spans="2:9" x14ac:dyDescent="0.2">
      <c r="B53" s="111" t="str">
        <f>IF(ISBLANK('4. Billing Determinants'!B28), "", '4. Billing Determinants'!B28)</f>
        <v/>
      </c>
      <c r="C53" s="48"/>
      <c r="D53" s="112">
        <f>IF(C53="", 0, IF(C53="kWh", '4. Billing Determinants'!L28, IF(C53="kW", '4. Billing Determinants'!M28, '4. Billing Determinants'!D28)))</f>
        <v>0</v>
      </c>
      <c r="E53" s="113">
        <f>IFERROR(IF(AND(VLOOKUP(B53,'4. Billing Determinants'!$B$21:$K$40,9,0)=0,VLOOKUP(B53,'4. Billing Determinants'!$B$21:$K$40,10,0)=0),0,HLOOKUP($B53, '5. Allocation of Balances'!$D$4:$Z$77, 65,FALSE)),0)</f>
        <v>0</v>
      </c>
      <c r="F53" s="114">
        <f t="shared" si="4"/>
        <v>0</v>
      </c>
      <c r="H53" s="37" t="str">
        <f t="shared" si="3"/>
        <v/>
      </c>
    </row>
    <row r="54" spans="2:9" x14ac:dyDescent="0.2">
      <c r="B54" s="111" t="str">
        <f>IF(ISBLANK('4. Billing Determinants'!B29), "", '4. Billing Determinants'!B29)</f>
        <v/>
      </c>
      <c r="C54" s="48"/>
      <c r="D54" s="112">
        <f>IF(C54="", 0, IF(C54="kWh", '4. Billing Determinants'!L29, IF(C54="kW", '4. Billing Determinants'!M29, '4. Billing Determinants'!D29)))</f>
        <v>0</v>
      </c>
      <c r="E54" s="113">
        <f>IFERROR(IF(AND(VLOOKUP(B54,'4. Billing Determinants'!$B$21:$K$40,9,0)=0,VLOOKUP(B54,'4. Billing Determinants'!$B$21:$K$40,10,0)=0),0,HLOOKUP($B54, '5. Allocation of Balances'!$D$4:$Z$77, 65,FALSE)),0)</f>
        <v>0</v>
      </c>
      <c r="F54" s="114">
        <f t="shared" si="4"/>
        <v>0</v>
      </c>
      <c r="H54" s="37" t="str">
        <f t="shared" si="3"/>
        <v/>
      </c>
    </row>
    <row r="55" spans="2:9" x14ac:dyDescent="0.2">
      <c r="B55" s="111" t="str">
        <f>IF(ISBLANK('4. Billing Determinants'!B30), "", '4. Billing Determinants'!B30)</f>
        <v/>
      </c>
      <c r="C55" s="48"/>
      <c r="D55" s="112">
        <f>IF(C55="", 0, IF(C55="kWh", '4. Billing Determinants'!L30, IF(C55="kW", '4. Billing Determinants'!M30, '4. Billing Determinants'!D30)))</f>
        <v>0</v>
      </c>
      <c r="E55" s="113">
        <f>IFERROR(IF(AND(VLOOKUP(B55,'4. Billing Determinants'!$B$21:$K$40,9,0)=0,VLOOKUP(B55,'4. Billing Determinants'!$B$21:$K$40,10,0)=0),0,HLOOKUP($B55, '5. Allocation of Balances'!$D$4:$Z$77, 65,FALSE)),0)</f>
        <v>0</v>
      </c>
      <c r="F55" s="114">
        <f t="shared" si="4"/>
        <v>0</v>
      </c>
      <c r="H55" s="37" t="str">
        <f t="shared" si="3"/>
        <v/>
      </c>
    </row>
    <row r="56" spans="2:9" x14ac:dyDescent="0.2">
      <c r="B56" s="111" t="str">
        <f>IF(ISBLANK('4. Billing Determinants'!B31), "", '4. Billing Determinants'!B31)</f>
        <v/>
      </c>
      <c r="C56" s="48"/>
      <c r="D56" s="112">
        <f>IF(C56="", 0, IF(C56="kWh", '4. Billing Determinants'!L31, IF(C56="kW", '4. Billing Determinants'!M31, '4. Billing Determinants'!D31)))</f>
        <v>0</v>
      </c>
      <c r="E56" s="113">
        <f>IFERROR(IF(AND(VLOOKUP(B56,'4. Billing Determinants'!$B$21:$K$40,9,0)=0,VLOOKUP(B56,'4. Billing Determinants'!$B$21:$K$40,10,0)=0),0,HLOOKUP($B56, '5. Allocation of Balances'!$D$4:$Z$77, 65,FALSE)),0)</f>
        <v>0</v>
      </c>
      <c r="F56" s="114">
        <f t="shared" si="4"/>
        <v>0</v>
      </c>
      <c r="H56" s="37" t="str">
        <f t="shared" si="3"/>
        <v/>
      </c>
    </row>
    <row r="57" spans="2:9" x14ac:dyDescent="0.2">
      <c r="B57" s="111" t="str">
        <f>IF(ISBLANK('4. Billing Determinants'!B32), "", '4. Billing Determinants'!B32)</f>
        <v/>
      </c>
      <c r="C57" s="48"/>
      <c r="D57" s="112">
        <f>IF(C57="", 0, IF(C57="kWh", '4. Billing Determinants'!L32, IF(C57="kW", '4. Billing Determinants'!M32, '4. Billing Determinants'!D32)))</f>
        <v>0</v>
      </c>
      <c r="E57" s="113">
        <f>IFERROR(IF(AND(VLOOKUP(B57,'4. Billing Determinants'!$B$21:$K$40,9,0)=0,VLOOKUP(B57,'4. Billing Determinants'!$B$21:$K$40,10,0)=0),0,HLOOKUP($B57, '5. Allocation of Balances'!$D$4:$Z$77, 65,FALSE)),0)</f>
        <v>0</v>
      </c>
      <c r="F57" s="114">
        <f t="shared" si="4"/>
        <v>0</v>
      </c>
      <c r="H57" s="37" t="str">
        <f t="shared" si="3"/>
        <v/>
      </c>
    </row>
    <row r="58" spans="2:9" x14ac:dyDescent="0.2">
      <c r="B58" s="111" t="str">
        <f>IF(ISBLANK('4. Billing Determinants'!B33), "", '4. Billing Determinants'!B33)</f>
        <v/>
      </c>
      <c r="C58" s="48"/>
      <c r="D58" s="112">
        <f>IF(C58="", 0, IF(C58="kWh", '4. Billing Determinants'!L33, IF(C58="kW", '4. Billing Determinants'!M33, '4. Billing Determinants'!D33)))</f>
        <v>0</v>
      </c>
      <c r="E58" s="113">
        <f>IFERROR(IF(AND(VLOOKUP(B58,'4. Billing Determinants'!$B$21:$K$40,9,0)=0,VLOOKUP(B58,'4. Billing Determinants'!$B$21:$K$40,10,0)=0),0,HLOOKUP($B58, '5. Allocation of Balances'!$D$4:$Z$77, 65,FALSE)),0)</f>
        <v>0</v>
      </c>
      <c r="F58" s="114">
        <f t="shared" si="4"/>
        <v>0</v>
      </c>
      <c r="H58" s="37" t="str">
        <f t="shared" si="3"/>
        <v/>
      </c>
    </row>
    <row r="59" spans="2:9" x14ac:dyDescent="0.2">
      <c r="B59" s="111" t="str">
        <f>IF(ISBLANK('4. Billing Determinants'!B34), "", '4. Billing Determinants'!B34)</f>
        <v/>
      </c>
      <c r="C59" s="48"/>
      <c r="D59" s="112">
        <f>IF(C59="", 0, IF(C59="kWh", '4. Billing Determinants'!L34, IF(C59="kW", '4. Billing Determinants'!M34, '4. Billing Determinants'!D34)))</f>
        <v>0</v>
      </c>
      <c r="E59" s="113">
        <f>IFERROR(IF(AND(VLOOKUP(B59,'4. Billing Determinants'!$B$21:$K$40,9,0)=0,VLOOKUP(B59,'4. Billing Determinants'!$B$21:$K$40,10,0)=0),0,HLOOKUP($B59, '5. Allocation of Balances'!$D$4:$Z$77, 65,FALSE)),0)</f>
        <v>0</v>
      </c>
      <c r="F59" s="114">
        <f t="shared" si="4"/>
        <v>0</v>
      </c>
      <c r="H59" s="37" t="str">
        <f t="shared" si="3"/>
        <v/>
      </c>
    </row>
    <row r="60" spans="2:9" x14ac:dyDescent="0.2">
      <c r="B60" s="111" t="str">
        <f>IF(ISBLANK('4. Billing Determinants'!B35), "", '4. Billing Determinants'!B35)</f>
        <v/>
      </c>
      <c r="C60" s="48"/>
      <c r="D60" s="112">
        <f>IF(C60="", 0, IF(C60="kWh", '4. Billing Determinants'!L35, IF(C60="kW", '4. Billing Determinants'!M35, '4. Billing Determinants'!D35)))</f>
        <v>0</v>
      </c>
      <c r="E60" s="113">
        <f>IFERROR(IF(AND(VLOOKUP(B60,'4. Billing Determinants'!$B$21:$K$40,9,0)=0,VLOOKUP(B60,'4. Billing Determinants'!$B$21:$K$40,10,0)=0),0,HLOOKUP($B60, '5. Allocation of Balances'!$D$4:$Z$77, 65,FALSE)),0)</f>
        <v>0</v>
      </c>
      <c r="F60" s="114">
        <f t="shared" si="4"/>
        <v>0</v>
      </c>
      <c r="H60" s="37" t="str">
        <f t="shared" si="3"/>
        <v/>
      </c>
    </row>
    <row r="61" spans="2:9" x14ac:dyDescent="0.2">
      <c r="B61" s="111" t="str">
        <f>IF(ISBLANK('4. Billing Determinants'!B36), "", '4. Billing Determinants'!B36)</f>
        <v/>
      </c>
      <c r="C61" s="48"/>
      <c r="D61" s="112">
        <f>IF(C61="", 0, IF(C61="kWh", '4. Billing Determinants'!L36, IF(C61="kW", '4. Billing Determinants'!M36, '4. Billing Determinants'!D36)))</f>
        <v>0</v>
      </c>
      <c r="E61" s="113">
        <f>IFERROR(IF(AND(VLOOKUP(B61,'4. Billing Determinants'!$B$21:$K$40,9,0)=0,VLOOKUP(B61,'4. Billing Determinants'!$B$21:$K$40,10,0)=0),0,HLOOKUP($B61, '5. Allocation of Balances'!$D$4:$Z$77, 65,FALSE)),0)</f>
        <v>0</v>
      </c>
      <c r="F61" s="114">
        <f t="shared" si="4"/>
        <v>0</v>
      </c>
      <c r="H61" s="37" t="str">
        <f t="shared" si="3"/>
        <v/>
      </c>
    </row>
    <row r="62" spans="2:9" x14ac:dyDescent="0.2">
      <c r="B62" s="111" t="str">
        <f>IF(ISBLANK('4. Billing Determinants'!B37), "", '4. Billing Determinants'!B37)</f>
        <v/>
      </c>
      <c r="C62" s="48"/>
      <c r="D62" s="112">
        <f>IF(C62="", 0, IF(C62="kWh", '4. Billing Determinants'!L37, IF(C62="kW", '4. Billing Determinants'!M37, '4. Billing Determinants'!D37)))</f>
        <v>0</v>
      </c>
      <c r="E62" s="113">
        <f>IFERROR(IF(AND(VLOOKUP(B62,'4. Billing Determinants'!$B$21:$K$40,9,0)=0,VLOOKUP(B62,'4. Billing Determinants'!$B$21:$K$40,10,0)=0),0,HLOOKUP($B62, '5. Allocation of Balances'!$D$4:$Z$77, 65,FALSE)),0)</f>
        <v>0</v>
      </c>
      <c r="F62" s="114">
        <f t="shared" si="4"/>
        <v>0</v>
      </c>
      <c r="H62" s="37" t="str">
        <f t="shared" si="3"/>
        <v/>
      </c>
    </row>
    <row r="63" spans="2:9" x14ac:dyDescent="0.2">
      <c r="B63" s="111" t="str">
        <f>IF(ISBLANK('4. Billing Determinants'!B38), "", '4. Billing Determinants'!B38)</f>
        <v/>
      </c>
      <c r="C63" s="48"/>
      <c r="D63" s="112">
        <f>IF(C63="", 0, IF(C63="kWh", '4. Billing Determinants'!L38, IF(C63="kW", '4. Billing Determinants'!M38, '4. Billing Determinants'!D38)))</f>
        <v>0</v>
      </c>
      <c r="E63" s="113">
        <f>IFERROR(IF(AND(VLOOKUP(B63,'4. Billing Determinants'!$B$21:$K$40,9,0)=0,VLOOKUP(B63,'4. Billing Determinants'!$B$21:$K$40,10,0)=0),0,HLOOKUP($B63, '5. Allocation of Balances'!$D$4:$Z$77, 65,FALSE)),0)</f>
        <v>0</v>
      </c>
      <c r="F63" s="114">
        <f t="shared" si="4"/>
        <v>0</v>
      </c>
      <c r="H63" s="37" t="str">
        <f t="shared" si="3"/>
        <v/>
      </c>
    </row>
    <row r="64" spans="2:9" x14ac:dyDescent="0.2">
      <c r="B64" s="111" t="str">
        <f>IF(ISBLANK('4. Billing Determinants'!B39), "", '4. Billing Determinants'!B39)</f>
        <v/>
      </c>
      <c r="C64" s="48"/>
      <c r="D64" s="112">
        <f>IF(C64="", 0, IF(C64="kWh", '4. Billing Determinants'!L39, IF(C64="kW", '4. Billing Determinants'!M39, '4. Billing Determinants'!D39)))</f>
        <v>0</v>
      </c>
      <c r="E64" s="113">
        <f>IFERROR(IF(AND(VLOOKUP(B64,'4. Billing Determinants'!$B$21:$K$40,9,0)=0,VLOOKUP(B64,'4. Billing Determinants'!$B$21:$K$40,10,0)=0),0,HLOOKUP($B64, '5. Allocation of Balances'!$D$4:$Z$77, 65,FALSE)),0)</f>
        <v>0</v>
      </c>
      <c r="F64" s="114">
        <f t="shared" si="4"/>
        <v>0</v>
      </c>
      <c r="H64" s="37" t="str">
        <f t="shared" si="3"/>
        <v/>
      </c>
      <c r="I64" s="115"/>
    </row>
    <row r="65" spans="2:16" x14ac:dyDescent="0.2">
      <c r="B65" s="111" t="str">
        <f>IF(ISBLANK('4. Billing Determinants'!B40), "", '4. Billing Determinants'!B40)</f>
        <v/>
      </c>
      <c r="C65" s="48"/>
      <c r="D65" s="112">
        <f>IF(C65="", 0, IF(C65="kWh", '4. Billing Determinants'!L40, IF(C65="kW", '4. Billing Determinants'!M40, '4. Billing Determinants'!D40)))</f>
        <v>0</v>
      </c>
      <c r="E65" s="113">
        <f>IFERROR(IF(AND(VLOOKUP(B65,'4. Billing Determinants'!$B$21:$K$40,9,0)=0,VLOOKUP(B65,'4. Billing Determinants'!$B$21:$K$40,10,0)=0),0,HLOOKUP($B65, '5. Allocation of Balances'!$D$4:$Z$77, 65,FALSE)),0)</f>
        <v>0</v>
      </c>
      <c r="F65" s="114">
        <f t="shared" si="4"/>
        <v>0</v>
      </c>
      <c r="H65" s="37" t="str">
        <f t="shared" si="3"/>
        <v/>
      </c>
    </row>
    <row r="66" spans="2:16" x14ac:dyDescent="0.2">
      <c r="B66" s="116" t="s">
        <v>52</v>
      </c>
      <c r="C66" s="117"/>
      <c r="D66" s="118"/>
      <c r="E66" s="119">
        <f>SUM(E46:E65)</f>
        <v>0</v>
      </c>
      <c r="F66" s="116"/>
    </row>
    <row r="67" spans="2:16" ht="58.9" customHeight="1" x14ac:dyDescent="0.2">
      <c r="B67" s="863" t="s">
        <v>420</v>
      </c>
      <c r="C67" s="864"/>
      <c r="D67" s="864"/>
      <c r="E67" s="864"/>
      <c r="F67" s="864"/>
    </row>
    <row r="68" spans="2:16" ht="33.75" customHeight="1" x14ac:dyDescent="0.25">
      <c r="B68" s="293" t="s">
        <v>381</v>
      </c>
      <c r="C68" s="294"/>
      <c r="D68" s="294"/>
      <c r="E68" s="294"/>
      <c r="F68" s="294"/>
      <c r="G68" s="294"/>
    </row>
    <row r="69" spans="2:16" ht="18" customHeight="1" x14ac:dyDescent="0.2">
      <c r="B69" s="295" t="s">
        <v>380</v>
      </c>
      <c r="C69" s="294"/>
      <c r="D69" s="294"/>
      <c r="E69" s="294"/>
      <c r="F69" s="294"/>
      <c r="G69" s="294"/>
    </row>
    <row r="70" spans="2:16" ht="18" customHeight="1" x14ac:dyDescent="0.2">
      <c r="B70" s="809" t="s">
        <v>60</v>
      </c>
      <c r="C70" s="810" t="s">
        <v>51</v>
      </c>
      <c r="D70" s="860" t="s">
        <v>65</v>
      </c>
      <c r="E70" s="865" t="s">
        <v>415</v>
      </c>
      <c r="F70" s="809" t="s">
        <v>434</v>
      </c>
      <c r="G70" s="809" t="s">
        <v>406</v>
      </c>
      <c r="I70" s="862"/>
      <c r="J70" s="862"/>
      <c r="K70" s="862"/>
      <c r="L70" s="301"/>
    </row>
    <row r="71" spans="2:16" ht="18" customHeight="1" x14ac:dyDescent="0.2">
      <c r="B71" s="810"/>
      <c r="C71" s="810"/>
      <c r="D71" s="861"/>
      <c r="E71" s="866"/>
      <c r="F71" s="809"/>
      <c r="G71" s="809"/>
      <c r="I71" s="862"/>
      <c r="J71" s="862"/>
      <c r="K71" s="862"/>
      <c r="L71" s="301"/>
    </row>
    <row r="72" spans="2:16" ht="14.25" customHeight="1" x14ac:dyDescent="0.2">
      <c r="B72" s="308" t="str">
        <f>IF(ISBLANK('4. Billing Determinants'!B21), "", '4. Billing Determinants'!B21)</f>
        <v>RESIDENTIAL SERVICE CLASSIFICATION</v>
      </c>
      <c r="C72" s="48" t="s">
        <v>139</v>
      </c>
      <c r="D72" s="112">
        <f>IF(C72="", 0, IF(C72="kWh", '6.2 CBR B'!I17, IF(C72="kW", '6.2 CBR B'!J17,'4. Billing Determinants'!D21)))</f>
        <v>282922375</v>
      </c>
      <c r="E72" s="296">
        <f>HLOOKUP($B72, '5. Allocation of Balances'!$D$4:$Z$77, 62,FALSE)</f>
        <v>-38136.305787341851</v>
      </c>
      <c r="F72" s="114">
        <f>IF(ISERROR(E72/D72), 0, IF(C72="# of Customers", E72/D72/$D$13, (E72/D72)/($D$13/12)))</f>
        <v>-1.3479423742057112E-4</v>
      </c>
      <c r="G72" s="321">
        <v>0</v>
      </c>
      <c r="H72" s="37" t="str">
        <f t="shared" ref="H72:H91" si="5">IF(C72="", "", IF(C72="# of Customers", "per customer per month", "$/"&amp;C72))</f>
        <v>$/kWh</v>
      </c>
      <c r="I72" s="862"/>
      <c r="J72" s="862"/>
      <c r="K72" s="862"/>
      <c r="L72" s="301"/>
      <c r="M72" s="322">
        <f>ROUND(F72,4)</f>
        <v>-1E-4</v>
      </c>
      <c r="N72" s="322">
        <f>ROUND(E72,4)</f>
        <v>-38136.305800000002</v>
      </c>
      <c r="P72" s="114">
        <f>IF(ISERROR(O72/N72), 0, IF(M72="# of Customers", O72/N72/$D$13, (O72/N72)/($D$13/12)))</f>
        <v>0</v>
      </c>
    </row>
    <row r="73" spans="2:16" ht="14.25" customHeight="1" x14ac:dyDescent="0.2">
      <c r="B73" s="308" t="str">
        <f>IF(ISBLANK('4. Billing Determinants'!B22), "", '4. Billing Determinants'!B22)</f>
        <v>GENERAL SERVICE LESS THAN 50 KW SERVICE CLASSIFICATION</v>
      </c>
      <c r="C73" s="48" t="s">
        <v>139</v>
      </c>
      <c r="D73" s="112">
        <f>IF(C73="", 0, IF(C73="kWh", '6.2 CBR B'!I18, IF(C73="kW", '6.2 CBR B'!J18,'4. Billing Determinants'!D22)))</f>
        <v>86539469</v>
      </c>
      <c r="E73" s="296">
        <f>HLOOKUP($B73, '5. Allocation of Balances'!$D$4:$Z$77, 62,FALSE)</f>
        <v>-11665.021730636156</v>
      </c>
      <c r="F73" s="114">
        <f t="shared" ref="F73:F91" si="6">IF(ISERROR(E73/D73), 0, IF(C73="# of Customers", E73/D73/$D$13, (E73/D73)/($D$13/12)))</f>
        <v>-1.3479423742057114E-4</v>
      </c>
      <c r="G73" s="321">
        <v>0</v>
      </c>
      <c r="H73" s="37" t="str">
        <f t="shared" si="5"/>
        <v>$/kWh</v>
      </c>
      <c r="I73" s="862"/>
      <c r="J73" s="862"/>
      <c r="K73" s="862"/>
      <c r="L73" s="301"/>
      <c r="M73" s="322">
        <f t="shared" ref="M73:M91" si="7">ROUND(F73,4)</f>
        <v>-1E-4</v>
      </c>
      <c r="N73" s="322">
        <f t="shared" ref="N73:N91" si="8">ROUND(E73,4)</f>
        <v>-11665.021699999999</v>
      </c>
      <c r="P73" s="114">
        <f t="shared" ref="P73:P91" si="9">IF(ISERROR(O73/N73), 0, IF(M73="# of Customers", O73/N73/$D$13, (O73/N73)/($D$13/12)))</f>
        <v>0</v>
      </c>
    </row>
    <row r="74" spans="2:16" ht="14.25" customHeight="1" x14ac:dyDescent="0.2">
      <c r="B74" s="308" t="str">
        <f>IF(ISBLANK('4. Billing Determinants'!B23), "", '4. Billing Determinants'!B23)</f>
        <v>GENERAL SERVICE 50 TO 999 KW SERVICE CLASSIFICATION</v>
      </c>
      <c r="C74" s="48" t="s">
        <v>170</v>
      </c>
      <c r="D74" s="112">
        <f>IF(C74="", 0, IF(C74="kWh", '6.2 CBR B'!I19, IF(C74="kW", '6.2 CBR B'!J19,'4. Billing Determinants'!D23)))</f>
        <v>486605.91000000003</v>
      </c>
      <c r="E74" s="296">
        <f>HLOOKUP($B74, '5. Allocation of Balances'!$D$4:$Z$77, 62,FALSE)</f>
        <v>-26262.506516644353</v>
      </c>
      <c r="F74" s="114">
        <f t="shared" si="6"/>
        <v>-5.3970792333049036E-2</v>
      </c>
      <c r="G74" s="321">
        <v>0</v>
      </c>
      <c r="H74" s="37" t="str">
        <f t="shared" si="5"/>
        <v>$/kW</v>
      </c>
      <c r="I74" s="862"/>
      <c r="J74" s="862"/>
      <c r="K74" s="862"/>
      <c r="L74" s="301"/>
      <c r="M74" s="322">
        <f t="shared" si="7"/>
        <v>-5.3999999999999999E-2</v>
      </c>
      <c r="N74" s="322">
        <f t="shared" si="8"/>
        <v>-26262.5065</v>
      </c>
      <c r="P74" s="114">
        <f t="shared" si="9"/>
        <v>0</v>
      </c>
    </row>
    <row r="75" spans="2:16" ht="14.25" customHeight="1" x14ac:dyDescent="0.2">
      <c r="B75" s="308" t="str">
        <f>IF(ISBLANK('4. Billing Determinants'!B24), "", '4. Billing Determinants'!B24)</f>
        <v>UNMETERED SCATTERED LOAD SERVICE CLASSIFICATION</v>
      </c>
      <c r="C75" s="48" t="s">
        <v>139</v>
      </c>
      <c r="D75" s="112">
        <f>IF(C75="", 0, IF(C75="kWh", '6.2 CBR B'!I20, IF(C75="kW", '6.2 CBR B'!J20,'4. Billing Determinants'!D24)))</f>
        <v>878528</v>
      </c>
      <c r="E75" s="296">
        <f>HLOOKUP($B75, '5. Allocation of Balances'!$D$4:$Z$77, 62,FALSE)</f>
        <v>-118.42051181261949</v>
      </c>
      <c r="F75" s="114">
        <f t="shared" si="6"/>
        <v>-1.3479423742057112E-4</v>
      </c>
      <c r="G75" s="321">
        <v>0</v>
      </c>
      <c r="H75" s="37" t="str">
        <f t="shared" si="5"/>
        <v>$/kWh</v>
      </c>
      <c r="I75" s="862"/>
      <c r="J75" s="862"/>
      <c r="K75" s="862"/>
      <c r="L75" s="301"/>
      <c r="M75" s="322">
        <f t="shared" si="7"/>
        <v>-1E-4</v>
      </c>
      <c r="N75" s="322">
        <f t="shared" si="8"/>
        <v>-118.4205</v>
      </c>
      <c r="P75" s="114">
        <f t="shared" si="9"/>
        <v>0</v>
      </c>
    </row>
    <row r="76" spans="2:16" ht="14.25" customHeight="1" x14ac:dyDescent="0.2">
      <c r="B76" s="308" t="str">
        <f>IF(ISBLANK('4. Billing Determinants'!B25), "", '4. Billing Determinants'!B25)</f>
        <v>STREET LIGHTING SERVICE CLASSIFICATION</v>
      </c>
      <c r="C76" s="48" t="s">
        <v>170</v>
      </c>
      <c r="D76" s="112">
        <f>IF(C76="", 0, IF(C76="kWh", '6.2 CBR B'!I21, IF(C76="kW", '6.2 CBR B'!J21,'4. Billing Determinants'!D25)))</f>
        <v>7200</v>
      </c>
      <c r="E76" s="296">
        <f>HLOOKUP($B76, '5. Allocation of Balances'!$D$4:$Z$77, 62,FALSE)</f>
        <v>-331.59301528918047</v>
      </c>
      <c r="F76" s="114">
        <f t="shared" si="6"/>
        <v>-4.6054585456830624E-2</v>
      </c>
      <c r="G76" s="321">
        <v>0</v>
      </c>
      <c r="H76" s="37" t="str">
        <f t="shared" si="5"/>
        <v>$/kW</v>
      </c>
      <c r="I76" s="862"/>
      <c r="J76" s="862"/>
      <c r="K76" s="862"/>
      <c r="L76" s="301"/>
      <c r="M76" s="322">
        <f t="shared" si="7"/>
        <v>-4.6100000000000002E-2</v>
      </c>
      <c r="N76" s="322">
        <f t="shared" si="8"/>
        <v>-331.59300000000002</v>
      </c>
      <c r="P76" s="114">
        <f t="shared" si="9"/>
        <v>0</v>
      </c>
    </row>
    <row r="77" spans="2:16" ht="14.25" customHeight="1" x14ac:dyDescent="0.2">
      <c r="B77" s="308" t="str">
        <f>IF(ISBLANK('4. Billing Determinants'!B26), "", '4. Billing Determinants'!B26)</f>
        <v>SENTINEL LIGHTING SERVICE CLASSIFICATION</v>
      </c>
      <c r="C77" s="48" t="s">
        <v>170</v>
      </c>
      <c r="D77" s="112">
        <f>IF(C77="", 0, IF(C77="kWh", '6.2 CBR B'!I22, IF(C77="kW", '6.2 CBR B'!J22,'4. Billing Determinants'!D26)))</f>
        <v>566</v>
      </c>
      <c r="E77" s="296">
        <f>HLOOKUP($B77, '5. Allocation of Balances'!$D$4:$Z$77, 62,FALSE)</f>
        <v>-26.128649775840923</v>
      </c>
      <c r="F77" s="114">
        <f t="shared" si="6"/>
        <v>-4.6163692183464528E-2</v>
      </c>
      <c r="G77" s="321">
        <v>0</v>
      </c>
      <c r="H77" s="37" t="str">
        <f t="shared" si="5"/>
        <v>$/kW</v>
      </c>
      <c r="I77" s="301"/>
      <c r="J77" s="301"/>
      <c r="K77" s="301"/>
      <c r="L77" s="301"/>
      <c r="M77" s="322">
        <f t="shared" si="7"/>
        <v>-4.6199999999999998E-2</v>
      </c>
      <c r="N77" s="322">
        <f t="shared" si="8"/>
        <v>-26.128599999999999</v>
      </c>
      <c r="P77" s="114">
        <f t="shared" si="9"/>
        <v>0</v>
      </c>
    </row>
    <row r="78" spans="2:16" ht="14.25" customHeight="1" x14ac:dyDescent="0.2">
      <c r="B78" s="308" t="str">
        <f>IF(ISBLANK('4. Billing Determinants'!B27), "", '4. Billing Determinants'!B27)</f>
        <v/>
      </c>
      <c r="C78" s="48"/>
      <c r="D78" s="112">
        <f>IF(C78="", 0, IF(C78="kWh", '6.2 CBR B'!I23, IF(C78="kW", '6.2 CBR B'!J23,'4. Billing Determinants'!D27)))</f>
        <v>0</v>
      </c>
      <c r="E78" s="296">
        <f>HLOOKUP($B78, '5. Allocation of Balances'!$D$4:$Z$77, 62,FALSE)</f>
        <v>0</v>
      </c>
      <c r="F78" s="114">
        <f t="shared" si="6"/>
        <v>0</v>
      </c>
      <c r="G78" s="321">
        <v>0</v>
      </c>
      <c r="H78" s="37" t="str">
        <f t="shared" si="5"/>
        <v/>
      </c>
      <c r="I78" s="301"/>
      <c r="J78" s="301"/>
      <c r="K78" s="301"/>
      <c r="L78" s="301"/>
      <c r="M78" s="322">
        <f t="shared" si="7"/>
        <v>0</v>
      </c>
      <c r="N78" s="322">
        <f t="shared" si="8"/>
        <v>0</v>
      </c>
      <c r="P78" s="114">
        <f t="shared" si="9"/>
        <v>0</v>
      </c>
    </row>
    <row r="79" spans="2:16" ht="14.25" customHeight="1" x14ac:dyDescent="0.2">
      <c r="B79" s="308" t="str">
        <f>IF(ISBLANK('4. Billing Determinants'!B28), "", '4. Billing Determinants'!B28)</f>
        <v/>
      </c>
      <c r="C79" s="48"/>
      <c r="D79" s="112">
        <f>IF(C79="", 0, IF(C79="kWh", '6.2 CBR B'!I24, IF(C79="kW", '6.2 CBR B'!J24,'4. Billing Determinants'!D28)))</f>
        <v>0</v>
      </c>
      <c r="E79" s="296">
        <f>HLOOKUP($B79, '5. Allocation of Balances'!$D$4:$Z$77, 62,FALSE)</f>
        <v>0</v>
      </c>
      <c r="F79" s="114">
        <f t="shared" si="6"/>
        <v>0</v>
      </c>
      <c r="G79" s="321">
        <v>0</v>
      </c>
      <c r="H79" s="37" t="str">
        <f t="shared" si="5"/>
        <v/>
      </c>
      <c r="I79" s="301"/>
      <c r="J79" s="301"/>
      <c r="K79" s="301"/>
      <c r="L79" s="301"/>
      <c r="M79" s="322">
        <f t="shared" si="7"/>
        <v>0</v>
      </c>
      <c r="N79" s="322">
        <f t="shared" si="8"/>
        <v>0</v>
      </c>
      <c r="P79" s="114">
        <f t="shared" si="9"/>
        <v>0</v>
      </c>
    </row>
    <row r="80" spans="2:16" ht="14.25" customHeight="1" x14ac:dyDescent="0.2">
      <c r="B80" s="308" t="str">
        <f>IF(ISBLANK('4. Billing Determinants'!B29), "", '4. Billing Determinants'!B29)</f>
        <v/>
      </c>
      <c r="C80" s="48"/>
      <c r="D80" s="112">
        <f>IF(C80="", 0, IF(C80="kWh", '6.2 CBR B'!I25, IF(C80="kW", '6.2 CBR B'!J25,'4. Billing Determinants'!D29)))</f>
        <v>0</v>
      </c>
      <c r="E80" s="296">
        <f>HLOOKUP($B80, '5. Allocation of Balances'!$D$4:$Z$77, 62,FALSE)</f>
        <v>0</v>
      </c>
      <c r="F80" s="114">
        <f t="shared" si="6"/>
        <v>0</v>
      </c>
      <c r="G80" s="321">
        <v>0</v>
      </c>
      <c r="H80" s="37" t="str">
        <f t="shared" si="5"/>
        <v/>
      </c>
      <c r="M80" s="322">
        <f t="shared" si="7"/>
        <v>0</v>
      </c>
      <c r="N80" s="322">
        <f t="shared" si="8"/>
        <v>0</v>
      </c>
      <c r="P80" s="114">
        <f t="shared" si="9"/>
        <v>0</v>
      </c>
    </row>
    <row r="81" spans="2:16" ht="14.25" customHeight="1" x14ac:dyDescent="0.2">
      <c r="B81" s="308" t="str">
        <f>IF(ISBLANK('4. Billing Determinants'!B30), "", '4. Billing Determinants'!B30)</f>
        <v/>
      </c>
      <c r="C81" s="48"/>
      <c r="D81" s="112">
        <f>IF(C81="", 0, IF(C81="kWh", '6.2 CBR B'!I26, IF(C81="kW", '6.2 CBR B'!J26,'4. Billing Determinants'!D30)))</f>
        <v>0</v>
      </c>
      <c r="E81" s="296">
        <f>HLOOKUP($B81, '5. Allocation of Balances'!$D$4:$Z$77, 62,FALSE)</f>
        <v>0</v>
      </c>
      <c r="F81" s="114">
        <f t="shared" si="6"/>
        <v>0</v>
      </c>
      <c r="G81" s="321">
        <v>0</v>
      </c>
      <c r="H81" s="37" t="str">
        <f t="shared" si="5"/>
        <v/>
      </c>
      <c r="M81" s="322">
        <f t="shared" si="7"/>
        <v>0</v>
      </c>
      <c r="N81" s="322">
        <f t="shared" si="8"/>
        <v>0</v>
      </c>
      <c r="P81" s="114">
        <f t="shared" si="9"/>
        <v>0</v>
      </c>
    </row>
    <row r="82" spans="2:16" ht="14.25" customHeight="1" x14ac:dyDescent="0.2">
      <c r="B82" s="308" t="str">
        <f>IF(ISBLANK('4. Billing Determinants'!B31), "", '4. Billing Determinants'!B31)</f>
        <v/>
      </c>
      <c r="C82" s="48"/>
      <c r="D82" s="112">
        <f>IF(C82="", 0, IF(C82="kWh", '6.2 CBR B'!I27, IF(C82="kW", '6.2 CBR B'!J27,'4. Billing Determinants'!D31)))</f>
        <v>0</v>
      </c>
      <c r="E82" s="296">
        <f>HLOOKUP($B82, '5. Allocation of Balances'!$D$4:$Z$77, 62,FALSE)</f>
        <v>0</v>
      </c>
      <c r="F82" s="114">
        <f t="shared" si="6"/>
        <v>0</v>
      </c>
      <c r="G82" s="321">
        <v>0</v>
      </c>
      <c r="H82" s="37" t="str">
        <f t="shared" si="5"/>
        <v/>
      </c>
      <c r="M82" s="322">
        <f t="shared" si="7"/>
        <v>0</v>
      </c>
      <c r="N82" s="322">
        <f t="shared" si="8"/>
        <v>0</v>
      </c>
      <c r="P82" s="114">
        <f t="shared" si="9"/>
        <v>0</v>
      </c>
    </row>
    <row r="83" spans="2:16" ht="14.25" customHeight="1" x14ac:dyDescent="0.2">
      <c r="B83" s="308" t="str">
        <f>IF(ISBLANK('4. Billing Determinants'!B32), "", '4. Billing Determinants'!B32)</f>
        <v/>
      </c>
      <c r="C83" s="48"/>
      <c r="D83" s="112">
        <f>IF(C83="", 0, IF(C83="kWh", '6.2 CBR B'!I28, IF(C83="kW", '6.2 CBR B'!J28,'4. Billing Determinants'!D32)))</f>
        <v>0</v>
      </c>
      <c r="E83" s="296">
        <f>HLOOKUP($B83, '5. Allocation of Balances'!$D$4:$Z$77, 62,FALSE)</f>
        <v>0</v>
      </c>
      <c r="F83" s="114">
        <f t="shared" si="6"/>
        <v>0</v>
      </c>
      <c r="G83" s="321">
        <v>0</v>
      </c>
      <c r="H83" s="37" t="str">
        <f t="shared" si="5"/>
        <v/>
      </c>
      <c r="M83" s="322">
        <f t="shared" si="7"/>
        <v>0</v>
      </c>
      <c r="N83" s="322">
        <f t="shared" si="8"/>
        <v>0</v>
      </c>
      <c r="P83" s="114">
        <f t="shared" si="9"/>
        <v>0</v>
      </c>
    </row>
    <row r="84" spans="2:16" ht="14.25" customHeight="1" x14ac:dyDescent="0.2">
      <c r="B84" s="308" t="str">
        <f>IF(ISBLANK('4. Billing Determinants'!B33), "", '4. Billing Determinants'!B33)</f>
        <v/>
      </c>
      <c r="C84" s="48"/>
      <c r="D84" s="112">
        <f>IF(C84="", 0, IF(C84="kWh", '6.2 CBR B'!I29, IF(C84="kW", '6.2 CBR B'!J29,'4. Billing Determinants'!D33)))</f>
        <v>0</v>
      </c>
      <c r="E84" s="296">
        <f>HLOOKUP($B84, '5. Allocation of Balances'!$D$4:$Z$77, 62,FALSE)</f>
        <v>0</v>
      </c>
      <c r="F84" s="114">
        <f t="shared" si="6"/>
        <v>0</v>
      </c>
      <c r="G84" s="321">
        <v>0</v>
      </c>
      <c r="H84" s="37" t="str">
        <f t="shared" si="5"/>
        <v/>
      </c>
      <c r="M84" s="322">
        <f t="shared" si="7"/>
        <v>0</v>
      </c>
      <c r="N84" s="322">
        <f t="shared" si="8"/>
        <v>0</v>
      </c>
      <c r="P84" s="114">
        <f t="shared" si="9"/>
        <v>0</v>
      </c>
    </row>
    <row r="85" spans="2:16" ht="14.25" customHeight="1" x14ac:dyDescent="0.2">
      <c r="B85" s="308" t="str">
        <f>IF(ISBLANK('4. Billing Determinants'!B34), "", '4. Billing Determinants'!B34)</f>
        <v/>
      </c>
      <c r="C85" s="48"/>
      <c r="D85" s="112">
        <f>IF(C85="", 0, IF(C85="kWh", '6.2 CBR B'!I30, IF(C85="kW", '6.2 CBR B'!J30,'4. Billing Determinants'!D34)))</f>
        <v>0</v>
      </c>
      <c r="E85" s="296">
        <f>HLOOKUP($B85, '5. Allocation of Balances'!$D$4:$Z$77, 62,FALSE)</f>
        <v>0</v>
      </c>
      <c r="F85" s="114">
        <f t="shared" si="6"/>
        <v>0</v>
      </c>
      <c r="G85" s="321">
        <v>0</v>
      </c>
      <c r="H85" s="37" t="str">
        <f t="shared" si="5"/>
        <v/>
      </c>
      <c r="M85" s="322">
        <f t="shared" si="7"/>
        <v>0</v>
      </c>
      <c r="N85" s="322">
        <f t="shared" si="8"/>
        <v>0</v>
      </c>
      <c r="P85" s="114">
        <f t="shared" si="9"/>
        <v>0</v>
      </c>
    </row>
    <row r="86" spans="2:16" ht="14.25" customHeight="1" x14ac:dyDescent="0.2">
      <c r="B86" s="308" t="str">
        <f>IF(ISBLANK('4. Billing Determinants'!B35), "", '4. Billing Determinants'!B35)</f>
        <v/>
      </c>
      <c r="C86" s="48"/>
      <c r="D86" s="112">
        <f>IF(C86="", 0, IF(C86="kWh", '6.2 CBR B'!I31, IF(C86="kW", '6.2 CBR B'!J31,'4. Billing Determinants'!D35)))</f>
        <v>0</v>
      </c>
      <c r="E86" s="296">
        <f>HLOOKUP($B86, '5. Allocation of Balances'!$D$4:$Z$77, 62,FALSE)</f>
        <v>0</v>
      </c>
      <c r="F86" s="114">
        <f t="shared" si="6"/>
        <v>0</v>
      </c>
      <c r="G86" s="321">
        <v>0</v>
      </c>
      <c r="H86" s="37" t="str">
        <f t="shared" si="5"/>
        <v/>
      </c>
      <c r="M86" s="322">
        <f t="shared" si="7"/>
        <v>0</v>
      </c>
      <c r="N86" s="322">
        <f t="shared" si="8"/>
        <v>0</v>
      </c>
      <c r="P86" s="114">
        <f t="shared" si="9"/>
        <v>0</v>
      </c>
    </row>
    <row r="87" spans="2:16" ht="14.25" customHeight="1" x14ac:dyDescent="0.2">
      <c r="B87" s="308" t="str">
        <f>IF(ISBLANK('4. Billing Determinants'!B36), "", '4. Billing Determinants'!B36)</f>
        <v/>
      </c>
      <c r="C87" s="48"/>
      <c r="D87" s="112">
        <f>IF(C87="", 0, IF(C87="kWh", '6.2 CBR B'!I32, IF(C87="kW", '6.2 CBR B'!J32,'4. Billing Determinants'!D36)))</f>
        <v>0</v>
      </c>
      <c r="E87" s="296">
        <f>HLOOKUP($B87, '5. Allocation of Balances'!$D$4:$Z$77, 62,FALSE)</f>
        <v>0</v>
      </c>
      <c r="F87" s="114">
        <f t="shared" si="6"/>
        <v>0</v>
      </c>
      <c r="G87" s="321">
        <v>0</v>
      </c>
      <c r="H87" s="37" t="str">
        <f t="shared" si="5"/>
        <v/>
      </c>
      <c r="M87" s="322">
        <f t="shared" si="7"/>
        <v>0</v>
      </c>
      <c r="N87" s="322">
        <f t="shared" si="8"/>
        <v>0</v>
      </c>
      <c r="P87" s="114">
        <f t="shared" si="9"/>
        <v>0</v>
      </c>
    </row>
    <row r="88" spans="2:16" ht="14.25" customHeight="1" x14ac:dyDescent="0.2">
      <c r="B88" s="308" t="str">
        <f>IF(ISBLANK('4. Billing Determinants'!B37), "", '4. Billing Determinants'!B37)</f>
        <v/>
      </c>
      <c r="C88" s="48"/>
      <c r="D88" s="112">
        <f>IF(C88="", 0, IF(C88="kWh", '6.2 CBR B'!I33, IF(C88="kW", '6.2 CBR B'!J33,'4. Billing Determinants'!D37)))</f>
        <v>0</v>
      </c>
      <c r="E88" s="296">
        <f>HLOOKUP($B88, '5. Allocation of Balances'!$D$4:$Z$77, 62,FALSE)</f>
        <v>0</v>
      </c>
      <c r="F88" s="114">
        <f t="shared" si="6"/>
        <v>0</v>
      </c>
      <c r="G88" s="321">
        <v>0</v>
      </c>
      <c r="H88" s="37" t="str">
        <f t="shared" si="5"/>
        <v/>
      </c>
      <c r="M88" s="322">
        <f t="shared" si="7"/>
        <v>0</v>
      </c>
      <c r="N88" s="322">
        <f t="shared" si="8"/>
        <v>0</v>
      </c>
      <c r="P88" s="114">
        <f t="shared" si="9"/>
        <v>0</v>
      </c>
    </row>
    <row r="89" spans="2:16" ht="14.25" customHeight="1" x14ac:dyDescent="0.2">
      <c r="B89" s="308" t="str">
        <f>IF(ISBLANK('4. Billing Determinants'!B38), "", '4. Billing Determinants'!B38)</f>
        <v/>
      </c>
      <c r="C89" s="48"/>
      <c r="D89" s="112">
        <f>IF(C89="", 0, IF(C89="kWh", '6.2 CBR B'!I34, IF(C89="kW", '6.2 CBR B'!J34,'4. Billing Determinants'!D38)))</f>
        <v>0</v>
      </c>
      <c r="E89" s="296">
        <f>HLOOKUP($B89, '5. Allocation of Balances'!$D$4:$Z$77, 62,FALSE)</f>
        <v>0</v>
      </c>
      <c r="F89" s="114">
        <f t="shared" si="6"/>
        <v>0</v>
      </c>
      <c r="G89" s="321">
        <v>0</v>
      </c>
      <c r="H89" s="37" t="str">
        <f t="shared" si="5"/>
        <v/>
      </c>
      <c r="M89" s="322">
        <f t="shared" si="7"/>
        <v>0</v>
      </c>
      <c r="N89" s="322">
        <f t="shared" si="8"/>
        <v>0</v>
      </c>
      <c r="P89" s="114">
        <f t="shared" si="9"/>
        <v>0</v>
      </c>
    </row>
    <row r="90" spans="2:16" ht="14.25" customHeight="1" x14ac:dyDescent="0.2">
      <c r="B90" s="308" t="str">
        <f>IF(ISBLANK('4. Billing Determinants'!B39), "", '4. Billing Determinants'!B39)</f>
        <v/>
      </c>
      <c r="C90" s="48"/>
      <c r="D90" s="112">
        <f>IF(C90="", 0, IF(C90="kWh", '6.2 CBR B'!I35, IF(C90="kW", '6.2 CBR B'!J35,'4. Billing Determinants'!D39)))</f>
        <v>0</v>
      </c>
      <c r="E90" s="296">
        <f>HLOOKUP($B90, '5. Allocation of Balances'!$D$4:$Z$77, 62,FALSE)</f>
        <v>0</v>
      </c>
      <c r="F90" s="114">
        <f t="shared" si="6"/>
        <v>0</v>
      </c>
      <c r="G90" s="321">
        <v>0</v>
      </c>
      <c r="H90" s="37" t="str">
        <f t="shared" si="5"/>
        <v/>
      </c>
      <c r="M90" s="322">
        <f t="shared" si="7"/>
        <v>0</v>
      </c>
      <c r="N90" s="322">
        <f t="shared" si="8"/>
        <v>0</v>
      </c>
      <c r="P90" s="114">
        <f t="shared" si="9"/>
        <v>0</v>
      </c>
    </row>
    <row r="91" spans="2:16" ht="14.25" customHeight="1" x14ac:dyDescent="0.2">
      <c r="B91" s="308" t="str">
        <f>IF(ISBLANK('4. Billing Determinants'!B40), "", '4. Billing Determinants'!B40)</f>
        <v/>
      </c>
      <c r="C91" s="48"/>
      <c r="D91" s="112">
        <f>IF(C91="", 0, IF(C91="kWh", '6.2 CBR B'!I36, IF(C91="kW", '6.2 CBR B'!J36,'4. Billing Determinants'!D40)))</f>
        <v>0</v>
      </c>
      <c r="E91" s="296">
        <f>HLOOKUP($B91, '5. Allocation of Balances'!$D$4:$Z$77, 62,FALSE)</f>
        <v>0</v>
      </c>
      <c r="F91" s="114">
        <f t="shared" si="6"/>
        <v>0</v>
      </c>
      <c r="G91" s="321">
        <v>0</v>
      </c>
      <c r="H91" s="37" t="str">
        <f t="shared" si="5"/>
        <v/>
      </c>
      <c r="M91" s="322">
        <f t="shared" si="7"/>
        <v>0</v>
      </c>
      <c r="N91" s="322">
        <f t="shared" si="8"/>
        <v>0</v>
      </c>
      <c r="P91" s="114">
        <f t="shared" si="9"/>
        <v>0</v>
      </c>
    </row>
    <row r="92" spans="2:16" ht="14.25" customHeight="1" x14ac:dyDescent="0.2">
      <c r="B92" s="116" t="s">
        <v>52</v>
      </c>
      <c r="C92" s="117"/>
      <c r="D92" s="118"/>
      <c r="E92" s="119">
        <f>SUM(E72:E91)</f>
        <v>-76539.976211500005</v>
      </c>
      <c r="F92" s="116"/>
      <c r="G92" s="116"/>
    </row>
    <row r="93" spans="2:16" ht="24.75" customHeight="1" x14ac:dyDescent="0.2">
      <c r="B93" s="297" t="s">
        <v>382</v>
      </c>
      <c r="C93" s="298"/>
      <c r="D93" s="298"/>
      <c r="E93" s="298"/>
      <c r="F93" s="298"/>
      <c r="G93" s="294"/>
    </row>
    <row r="94" spans="2:16" ht="49.9" customHeight="1" x14ac:dyDescent="0.2">
      <c r="B94" s="297"/>
      <c r="C94" s="298"/>
      <c r="D94" s="298"/>
      <c r="E94" s="298"/>
      <c r="F94" s="298"/>
      <c r="G94" s="294"/>
    </row>
    <row r="95" spans="2:16" ht="18" x14ac:dyDescent="0.25">
      <c r="B95" s="109" t="s">
        <v>3452</v>
      </c>
    </row>
    <row r="96" spans="2:16" x14ac:dyDescent="0.2">
      <c r="B96" s="110" t="s">
        <v>154</v>
      </c>
    </row>
    <row r="97" spans="2:10" x14ac:dyDescent="0.2">
      <c r="B97" s="809" t="s">
        <v>60</v>
      </c>
      <c r="C97" s="808" t="s">
        <v>51</v>
      </c>
      <c r="D97" s="860" t="s">
        <v>139</v>
      </c>
      <c r="E97" s="860" t="s">
        <v>411</v>
      </c>
      <c r="F97" s="803" t="s">
        <v>127</v>
      </c>
    </row>
    <row r="98" spans="2:10" ht="55.15" customHeight="1" x14ac:dyDescent="0.2">
      <c r="B98" s="810"/>
      <c r="C98" s="808"/>
      <c r="D98" s="861"/>
      <c r="E98" s="861"/>
      <c r="F98" s="803"/>
      <c r="H98" s="323"/>
      <c r="I98" s="121"/>
    </row>
    <row r="99" spans="2:10" x14ac:dyDescent="0.2">
      <c r="B99" s="111" t="str">
        <f t="shared" ref="B99:B118" si="10">B20</f>
        <v>RESIDENTIAL SERVICE CLASSIFICATION</v>
      </c>
      <c r="C99" s="585" t="s">
        <v>139</v>
      </c>
      <c r="D99" s="112">
        <f>IF(C99="", 0, IF(C99="kWh", '4. Billing Determinants'!S21, IF(C99="kW", '4. Billing Determinants'!S21, '4. Billing Determinants'!D21)))</f>
        <v>3464299</v>
      </c>
      <c r="E99" s="113">
        <f>HLOOKUP($B99, '5. Allocation of Balances'!$D$4:$Z$77, 66,FALSE)</f>
        <v>-1497.5418548176904</v>
      </c>
      <c r="F99" s="114">
        <f>IF(ISERROR(E99/D99), 0, IF(C99="# of Customers", E99/D99/$D$13, (E99/D99)/($D$13/12)))</f>
        <v>-4.3227846522996151E-4</v>
      </c>
      <c r="H99" s="37" t="str">
        <f t="shared" ref="H99:H118" si="11">IF(C99="", "", IF(C99="# of Customers", "per customer per month", "$/"&amp;C99))</f>
        <v>$/kWh</v>
      </c>
      <c r="I99" s="147"/>
      <c r="J99" s="147"/>
    </row>
    <row r="100" spans="2:10" x14ac:dyDescent="0.2">
      <c r="B100" s="111" t="str">
        <f t="shared" si="10"/>
        <v>GENERAL SERVICE LESS THAN 50 KW SERVICE CLASSIFICATION</v>
      </c>
      <c r="C100" s="585" t="s">
        <v>139</v>
      </c>
      <c r="D100" s="112">
        <f>IF(C100="", 0, IF(C100="kWh", '4. Billing Determinants'!S22, IF(C100="kW", '4. Billing Determinants'!S22, '4. Billing Determinants'!D22)))</f>
        <v>13210191</v>
      </c>
      <c r="E100" s="113">
        <f>HLOOKUP($B100, '5. Allocation of Balances'!$D$4:$Z$77, 66,FALSE)</f>
        <v>-5710.4810908746504</v>
      </c>
      <c r="F100" s="114">
        <f t="shared" ref="F100:F118" si="12">IF(ISERROR(E100/D100), 0, IF(C100="# of Customers", E100/D100/$D$13, (E100/D100)/($D$13/12)))</f>
        <v>-4.3227846522996151E-4</v>
      </c>
      <c r="H100" s="37" t="str">
        <f t="shared" si="11"/>
        <v>$/kWh</v>
      </c>
      <c r="I100" s="147"/>
      <c r="J100" s="147"/>
    </row>
    <row r="101" spans="2:10" x14ac:dyDescent="0.2">
      <c r="B101" s="111" t="str">
        <f t="shared" si="10"/>
        <v>GENERAL SERVICE 50 TO 999 KW SERVICE CLASSIFICATION</v>
      </c>
      <c r="C101" s="585" t="s">
        <v>139</v>
      </c>
      <c r="D101" s="112">
        <f>IF(C101="", 0, IF(C101="kWh", '4. Billing Determinants'!S23, IF(C101="kW", '4. Billing Determinants'!S23, '4. Billing Determinants'!D23)))</f>
        <v>151901264.97999999</v>
      </c>
      <c r="E101" s="113">
        <f>HLOOKUP($B101, '5. Allocation of Balances'!$D$4:$Z$77, 66,FALSE)</f>
        <v>-65663.645692044083</v>
      </c>
      <c r="F101" s="114">
        <f t="shared" si="12"/>
        <v>-4.322784652299614E-4</v>
      </c>
      <c r="H101" s="37" t="str">
        <f t="shared" si="11"/>
        <v>$/kWh</v>
      </c>
      <c r="I101" s="147"/>
      <c r="J101" s="147"/>
    </row>
    <row r="102" spans="2:10" x14ac:dyDescent="0.2">
      <c r="B102" s="111" t="str">
        <f t="shared" si="10"/>
        <v>UNMETERED SCATTERED LOAD SERVICE CLASSIFICATION</v>
      </c>
      <c r="C102" s="585" t="s">
        <v>139</v>
      </c>
      <c r="D102" s="112">
        <f>IF(C102="", 0, IF(C102="kWh", '4. Billing Determinants'!S24, IF(C102="kW", '4. Billing Determinants'!S24, '4. Billing Determinants'!D24)))</f>
        <v>0</v>
      </c>
      <c r="E102" s="113">
        <f>HLOOKUP($B102, '5. Allocation of Balances'!$D$4:$Z$77, 66,FALSE)</f>
        <v>0</v>
      </c>
      <c r="F102" s="114">
        <f t="shared" si="12"/>
        <v>0</v>
      </c>
      <c r="H102" s="37" t="str">
        <f t="shared" si="11"/>
        <v>$/kWh</v>
      </c>
      <c r="I102" s="147"/>
      <c r="J102" s="147"/>
    </row>
    <row r="103" spans="2:10" x14ac:dyDescent="0.2">
      <c r="B103" s="111" t="str">
        <f t="shared" si="10"/>
        <v>STREET LIGHTING SERVICE CLASSIFICATION</v>
      </c>
      <c r="C103" s="585" t="s">
        <v>139</v>
      </c>
      <c r="D103" s="112">
        <f>IF(C103="", 0, IF(C103="kWh", '4. Billing Determinants'!S25, IF(C103="kW", '4. Billing Determinants'!S25, '4. Billing Determinants'!D25)))</f>
        <v>2330282</v>
      </c>
      <c r="E103" s="113">
        <f>HLOOKUP($B103, '5. Allocation of Balances'!$D$4:$Z$77, 66,FALSE)</f>
        <v>-1007.3307265130051</v>
      </c>
      <c r="F103" s="114">
        <f t="shared" si="12"/>
        <v>-4.3227846522996146E-4</v>
      </c>
      <c r="H103" s="37" t="str">
        <f t="shared" si="11"/>
        <v>$/kWh</v>
      </c>
      <c r="I103" s="147"/>
      <c r="J103" s="147"/>
    </row>
    <row r="104" spans="2:10" x14ac:dyDescent="0.2">
      <c r="B104" s="111" t="str">
        <f t="shared" si="10"/>
        <v>SENTINEL LIGHTING SERVICE CLASSIFICATION</v>
      </c>
      <c r="C104" s="585" t="s">
        <v>139</v>
      </c>
      <c r="D104" s="112">
        <f>IF(C104="", 0, IF(C104="kWh", '4. Billing Determinants'!S26, IF(C104="kW", '4. Billing Determinants'!S26, '4. Billing Determinants'!D26)))</f>
        <v>0</v>
      </c>
      <c r="E104" s="113">
        <f>HLOOKUP($B104, '5. Allocation of Balances'!$D$4:$Z$77, 66,FALSE)</f>
        <v>0</v>
      </c>
      <c r="F104" s="114">
        <f t="shared" si="12"/>
        <v>0</v>
      </c>
      <c r="H104" s="37" t="str">
        <f t="shared" si="11"/>
        <v>$/kWh</v>
      </c>
      <c r="I104" s="147"/>
      <c r="J104" s="147"/>
    </row>
    <row r="105" spans="2:10" x14ac:dyDescent="0.2">
      <c r="B105" s="111" t="str">
        <f t="shared" si="10"/>
        <v/>
      </c>
      <c r="C105" s="585" t="s">
        <v>139</v>
      </c>
      <c r="D105" s="112">
        <f>IF(C105="", 0, IF(C105="kWh", '4. Billing Determinants'!S27, IF(C105="kW", '4. Billing Determinants'!S27, '4. Billing Determinants'!D27)))</f>
        <v>0</v>
      </c>
      <c r="E105" s="113">
        <f>HLOOKUP($B105, '5. Allocation of Balances'!$D$4:$Z$77, 66,FALSE)</f>
        <v>0</v>
      </c>
      <c r="F105" s="114">
        <f t="shared" si="12"/>
        <v>0</v>
      </c>
      <c r="H105" s="37" t="str">
        <f t="shared" si="11"/>
        <v>$/kWh</v>
      </c>
    </row>
    <row r="106" spans="2:10" x14ac:dyDescent="0.2">
      <c r="B106" s="111" t="str">
        <f t="shared" si="10"/>
        <v/>
      </c>
      <c r="C106" s="585" t="s">
        <v>139</v>
      </c>
      <c r="D106" s="112">
        <f>IF(C106="", 0, IF(C106="kWh", '4. Billing Determinants'!S28, IF(C106="kW", '4. Billing Determinants'!S28, '4. Billing Determinants'!D28)))</f>
        <v>0</v>
      </c>
      <c r="E106" s="113">
        <f>HLOOKUP($B106, '5. Allocation of Balances'!$D$4:$Z$77, 66,FALSE)</f>
        <v>0</v>
      </c>
      <c r="F106" s="114">
        <f t="shared" si="12"/>
        <v>0</v>
      </c>
      <c r="H106" s="37" t="str">
        <f t="shared" si="11"/>
        <v>$/kWh</v>
      </c>
    </row>
    <row r="107" spans="2:10" x14ac:dyDescent="0.2">
      <c r="B107" s="111" t="str">
        <f t="shared" si="10"/>
        <v/>
      </c>
      <c r="C107" s="585" t="s">
        <v>139</v>
      </c>
      <c r="D107" s="112">
        <f>IF(C107="", 0, IF(C107="kWh", '4. Billing Determinants'!S29, IF(C107="kW", '4. Billing Determinants'!S29, '4. Billing Determinants'!D29)))</f>
        <v>0</v>
      </c>
      <c r="E107" s="113">
        <f>HLOOKUP($B107, '5. Allocation of Balances'!$D$4:$Z$77, 66,FALSE)</f>
        <v>0</v>
      </c>
      <c r="F107" s="114">
        <f t="shared" si="12"/>
        <v>0</v>
      </c>
      <c r="H107" s="37" t="str">
        <f t="shared" si="11"/>
        <v>$/kWh</v>
      </c>
    </row>
    <row r="108" spans="2:10" x14ac:dyDescent="0.2">
      <c r="B108" s="111" t="str">
        <f t="shared" si="10"/>
        <v/>
      </c>
      <c r="C108" s="585" t="s">
        <v>139</v>
      </c>
      <c r="D108" s="112">
        <f>IF(C108="", 0, IF(C108="kWh", '4. Billing Determinants'!S30, IF(C108="kW", '4. Billing Determinants'!S30, '4. Billing Determinants'!D30)))</f>
        <v>0</v>
      </c>
      <c r="E108" s="113">
        <f>HLOOKUP($B108, '5. Allocation of Balances'!$D$4:$Z$77, 66,FALSE)</f>
        <v>0</v>
      </c>
      <c r="F108" s="114">
        <f t="shared" si="12"/>
        <v>0</v>
      </c>
      <c r="H108" s="37" t="str">
        <f t="shared" si="11"/>
        <v>$/kWh</v>
      </c>
    </row>
    <row r="109" spans="2:10" x14ac:dyDescent="0.2">
      <c r="B109" s="111" t="str">
        <f t="shared" si="10"/>
        <v/>
      </c>
      <c r="C109" s="585" t="s">
        <v>139</v>
      </c>
      <c r="D109" s="112">
        <f>IF(C109="", 0, IF(C109="kWh", '4. Billing Determinants'!S31, IF(C109="kW", '4. Billing Determinants'!S31, '4. Billing Determinants'!D31)))</f>
        <v>0</v>
      </c>
      <c r="E109" s="113">
        <f>HLOOKUP($B109, '5. Allocation of Balances'!$D$4:$Z$77, 66,FALSE)</f>
        <v>0</v>
      </c>
      <c r="F109" s="114">
        <f t="shared" si="12"/>
        <v>0</v>
      </c>
      <c r="H109" s="37" t="str">
        <f t="shared" si="11"/>
        <v>$/kWh</v>
      </c>
    </row>
    <row r="110" spans="2:10" x14ac:dyDescent="0.2">
      <c r="B110" s="111" t="str">
        <f t="shared" si="10"/>
        <v/>
      </c>
      <c r="C110" s="585" t="s">
        <v>139</v>
      </c>
      <c r="D110" s="112">
        <f>IF(C110="", 0, IF(C110="kWh", '4. Billing Determinants'!S32, IF(C110="kW", '4. Billing Determinants'!S32, '4. Billing Determinants'!D32)))</f>
        <v>0</v>
      </c>
      <c r="E110" s="113">
        <f>HLOOKUP($B110, '5. Allocation of Balances'!$D$4:$Z$77, 66,FALSE)</f>
        <v>0</v>
      </c>
      <c r="F110" s="114">
        <f t="shared" si="12"/>
        <v>0</v>
      </c>
      <c r="H110" s="37" t="str">
        <f t="shared" si="11"/>
        <v>$/kWh</v>
      </c>
    </row>
    <row r="111" spans="2:10" x14ac:dyDescent="0.2">
      <c r="B111" s="111" t="str">
        <f t="shared" si="10"/>
        <v/>
      </c>
      <c r="C111" s="585" t="s">
        <v>139</v>
      </c>
      <c r="D111" s="112">
        <f>IF(C111="", 0, IF(C111="kWh", '4. Billing Determinants'!S33, IF(C111="kW", '4. Billing Determinants'!S33, '4. Billing Determinants'!D33)))</f>
        <v>0</v>
      </c>
      <c r="E111" s="113">
        <f>HLOOKUP($B111, '5. Allocation of Balances'!$D$4:$Z$77, 66,FALSE)</f>
        <v>0</v>
      </c>
      <c r="F111" s="114">
        <f t="shared" si="12"/>
        <v>0</v>
      </c>
      <c r="H111" s="37" t="str">
        <f t="shared" si="11"/>
        <v>$/kWh</v>
      </c>
    </row>
    <row r="112" spans="2:10" x14ac:dyDescent="0.2">
      <c r="B112" s="111" t="str">
        <f t="shared" si="10"/>
        <v/>
      </c>
      <c r="C112" s="585" t="s">
        <v>139</v>
      </c>
      <c r="D112" s="112">
        <f>IF(C112="", 0, IF(C112="kWh", '4. Billing Determinants'!S34, IF(C112="kW", '4. Billing Determinants'!S34, '4. Billing Determinants'!D34)))</f>
        <v>0</v>
      </c>
      <c r="E112" s="113">
        <f>HLOOKUP($B112, '5. Allocation of Balances'!$D$4:$Z$77, 66,FALSE)</f>
        <v>0</v>
      </c>
      <c r="F112" s="114">
        <f t="shared" si="12"/>
        <v>0</v>
      </c>
      <c r="H112" s="37" t="str">
        <f t="shared" si="11"/>
        <v>$/kWh</v>
      </c>
    </row>
    <row r="113" spans="1:9" x14ac:dyDescent="0.2">
      <c r="B113" s="111" t="str">
        <f t="shared" si="10"/>
        <v/>
      </c>
      <c r="C113" s="585" t="s">
        <v>139</v>
      </c>
      <c r="D113" s="112">
        <f>IF(C113="", 0, IF(C113="kWh", '4. Billing Determinants'!S35, IF(C113="kW", '4. Billing Determinants'!S35, '4. Billing Determinants'!D35)))</f>
        <v>0</v>
      </c>
      <c r="E113" s="113">
        <f>HLOOKUP($B113, '5. Allocation of Balances'!$D$4:$Z$77, 66,FALSE)</f>
        <v>0</v>
      </c>
      <c r="F113" s="114">
        <f t="shared" si="12"/>
        <v>0</v>
      </c>
      <c r="H113" s="37" t="str">
        <f t="shared" si="11"/>
        <v>$/kWh</v>
      </c>
    </row>
    <row r="114" spans="1:9" x14ac:dyDescent="0.2">
      <c r="B114" s="111" t="str">
        <f t="shared" si="10"/>
        <v/>
      </c>
      <c r="C114" s="585" t="s">
        <v>139</v>
      </c>
      <c r="D114" s="112">
        <f>IF(C114="", 0, IF(C114="kWh", '4. Billing Determinants'!S36, IF(C114="kW", '4. Billing Determinants'!S36, '4. Billing Determinants'!D36)))</f>
        <v>0</v>
      </c>
      <c r="E114" s="113">
        <f>HLOOKUP($B114, '5. Allocation of Balances'!$D$4:$Z$77, 66,FALSE)</f>
        <v>0</v>
      </c>
      <c r="F114" s="114">
        <f t="shared" si="12"/>
        <v>0</v>
      </c>
      <c r="H114" s="37" t="str">
        <f t="shared" si="11"/>
        <v>$/kWh</v>
      </c>
    </row>
    <row r="115" spans="1:9" x14ac:dyDescent="0.2">
      <c r="B115" s="111" t="str">
        <f t="shared" si="10"/>
        <v/>
      </c>
      <c r="C115" s="585" t="s">
        <v>139</v>
      </c>
      <c r="D115" s="112">
        <f>IF(C115="", 0, IF(C115="kWh", '4. Billing Determinants'!S37, IF(C115="kW", '4. Billing Determinants'!S37, '4. Billing Determinants'!D37)))</f>
        <v>0</v>
      </c>
      <c r="E115" s="113">
        <f>HLOOKUP($B115, '5. Allocation of Balances'!$D$4:$Z$77, 66,FALSE)</f>
        <v>0</v>
      </c>
      <c r="F115" s="114">
        <f t="shared" si="12"/>
        <v>0</v>
      </c>
      <c r="H115" s="37" t="str">
        <f t="shared" si="11"/>
        <v>$/kWh</v>
      </c>
    </row>
    <row r="116" spans="1:9" x14ac:dyDescent="0.2">
      <c r="B116" s="111" t="str">
        <f t="shared" si="10"/>
        <v/>
      </c>
      <c r="C116" s="585" t="s">
        <v>139</v>
      </c>
      <c r="D116" s="112">
        <f>IF(C116="", 0, IF(C116="kWh", '4. Billing Determinants'!S38, IF(C116="kW", '4. Billing Determinants'!S38, '4. Billing Determinants'!D38)))</f>
        <v>0</v>
      </c>
      <c r="E116" s="113">
        <f>HLOOKUP($B116, '5. Allocation of Balances'!$D$4:$Z$77, 66,FALSE)</f>
        <v>0</v>
      </c>
      <c r="F116" s="114">
        <f t="shared" si="12"/>
        <v>0</v>
      </c>
      <c r="H116" s="37" t="str">
        <f t="shared" si="11"/>
        <v>$/kWh</v>
      </c>
    </row>
    <row r="117" spans="1:9" x14ac:dyDescent="0.2">
      <c r="B117" s="111" t="str">
        <f t="shared" si="10"/>
        <v/>
      </c>
      <c r="C117" s="585" t="s">
        <v>139</v>
      </c>
      <c r="D117" s="112">
        <f>IF(C117="", 0, IF(C117="kWh", '4. Billing Determinants'!S39, IF(C117="kW", '4. Billing Determinants'!S39, '4. Billing Determinants'!D39)))</f>
        <v>0</v>
      </c>
      <c r="E117" s="113">
        <f>HLOOKUP($B117, '5. Allocation of Balances'!$D$4:$Z$77, 66,FALSE)</f>
        <v>0</v>
      </c>
      <c r="F117" s="114">
        <f t="shared" si="12"/>
        <v>0</v>
      </c>
      <c r="H117" s="37" t="str">
        <f t="shared" si="11"/>
        <v>$/kWh</v>
      </c>
    </row>
    <row r="118" spans="1:9" x14ac:dyDescent="0.2">
      <c r="B118" s="111" t="str">
        <f t="shared" si="10"/>
        <v/>
      </c>
      <c r="C118" s="585" t="s">
        <v>139</v>
      </c>
      <c r="D118" s="112">
        <f>IF(C118="", 0, IF(C118="kWh", '4. Billing Determinants'!S40, IF(C118="kW", '4. Billing Determinants'!S40, '4. Billing Determinants'!D40)))</f>
        <v>0</v>
      </c>
      <c r="E118" s="113">
        <f>HLOOKUP($B118, '5. Allocation of Balances'!$D$4:$Z$77, 66,FALSE)</f>
        <v>0</v>
      </c>
      <c r="F118" s="114">
        <f t="shared" si="12"/>
        <v>0</v>
      </c>
      <c r="H118" s="37" t="str">
        <f t="shared" si="11"/>
        <v>$/kWh</v>
      </c>
    </row>
    <row r="119" spans="1:9" x14ac:dyDescent="0.2">
      <c r="B119" s="116" t="s">
        <v>52</v>
      </c>
      <c r="C119" s="117"/>
      <c r="D119" s="118"/>
      <c r="E119" s="119">
        <f>SUM(E99:E118)</f>
        <v>-73878.999364249423</v>
      </c>
      <c r="F119" s="116"/>
    </row>
    <row r="121" spans="1:9" ht="18" hidden="1" x14ac:dyDescent="0.25">
      <c r="A121" s="220"/>
      <c r="B121" s="229" t="s">
        <v>155</v>
      </c>
      <c r="C121" s="220"/>
      <c r="D121" s="220"/>
      <c r="E121" s="220"/>
      <c r="F121" s="220"/>
      <c r="G121" s="220"/>
      <c r="H121" s="240"/>
    </row>
    <row r="122" spans="1:9" hidden="1" x14ac:dyDescent="0.2">
      <c r="A122" s="220"/>
      <c r="B122" s="230" t="s">
        <v>152</v>
      </c>
      <c r="C122" s="220"/>
      <c r="D122" s="220"/>
      <c r="E122" s="220"/>
      <c r="F122" s="220"/>
      <c r="G122" s="220"/>
      <c r="H122" s="240"/>
    </row>
    <row r="123" spans="1:9" hidden="1" x14ac:dyDescent="0.2">
      <c r="A123" s="220"/>
      <c r="B123" s="867" t="s">
        <v>60</v>
      </c>
      <c r="C123" s="868" t="s">
        <v>51</v>
      </c>
      <c r="D123" s="869" t="s">
        <v>128</v>
      </c>
      <c r="E123" s="869" t="s">
        <v>126</v>
      </c>
      <c r="F123" s="867" t="s">
        <v>127</v>
      </c>
      <c r="G123" s="220"/>
      <c r="H123" s="240"/>
    </row>
    <row r="124" spans="1:9" ht="55.15" hidden="1" customHeight="1" x14ac:dyDescent="0.2">
      <c r="A124" s="220"/>
      <c r="B124" s="868"/>
      <c r="C124" s="868"/>
      <c r="D124" s="870"/>
      <c r="E124" s="870"/>
      <c r="F124" s="867"/>
      <c r="G124" s="220"/>
      <c r="H124" s="324"/>
      <c r="I124" s="121"/>
    </row>
    <row r="125" spans="1:9" hidden="1" x14ac:dyDescent="0.2">
      <c r="A125" s="220"/>
      <c r="B125" s="231"/>
      <c r="C125" s="232"/>
      <c r="D125" s="233"/>
      <c r="E125" s="234"/>
      <c r="F125" s="235"/>
      <c r="G125" s="220" t="str">
        <f>IF(C125="", "", IF(C125="# of Customers", "per customer per month", "$/"&amp;C125))</f>
        <v/>
      </c>
      <c r="H125" s="240"/>
    </row>
    <row r="126" spans="1:9" hidden="1" x14ac:dyDescent="0.2">
      <c r="A126" s="220"/>
      <c r="B126" s="231"/>
      <c r="C126" s="232"/>
      <c r="D126" s="233"/>
      <c r="E126" s="234"/>
      <c r="F126" s="235"/>
      <c r="G126" s="220" t="str">
        <f t="shared" ref="G126:G144" si="13">IF(C126="", "", IF(C126="# of Customers", "per customer per month", "$/"&amp;C126))</f>
        <v/>
      </c>
      <c r="H126" s="240"/>
    </row>
    <row r="127" spans="1:9" hidden="1" x14ac:dyDescent="0.2">
      <c r="A127" s="220"/>
      <c r="B127" s="231"/>
      <c r="C127" s="232"/>
      <c r="D127" s="233"/>
      <c r="E127" s="234"/>
      <c r="F127" s="235"/>
      <c r="G127" s="220" t="str">
        <f t="shared" si="13"/>
        <v/>
      </c>
      <c r="H127" s="240"/>
    </row>
    <row r="128" spans="1:9" hidden="1" x14ac:dyDescent="0.2">
      <c r="A128" s="220"/>
      <c r="B128" s="231"/>
      <c r="C128" s="232"/>
      <c r="D128" s="233"/>
      <c r="E128" s="234"/>
      <c r="F128" s="235"/>
      <c r="G128" s="220" t="str">
        <f t="shared" si="13"/>
        <v/>
      </c>
      <c r="H128" s="240"/>
    </row>
    <row r="129" spans="1:8" hidden="1" x14ac:dyDescent="0.2">
      <c r="A129" s="220"/>
      <c r="B129" s="231"/>
      <c r="C129" s="232"/>
      <c r="D129" s="233"/>
      <c r="E129" s="234"/>
      <c r="F129" s="235"/>
      <c r="G129" s="220" t="str">
        <f t="shared" si="13"/>
        <v/>
      </c>
      <c r="H129" s="240"/>
    </row>
    <row r="130" spans="1:8" hidden="1" x14ac:dyDescent="0.2">
      <c r="A130" s="220"/>
      <c r="B130" s="231"/>
      <c r="C130" s="232"/>
      <c r="D130" s="233"/>
      <c r="E130" s="234"/>
      <c r="F130" s="235"/>
      <c r="G130" s="220" t="str">
        <f t="shared" si="13"/>
        <v/>
      </c>
      <c r="H130" s="240"/>
    </row>
    <row r="131" spans="1:8" hidden="1" x14ac:dyDescent="0.2">
      <c r="A131" s="220"/>
      <c r="B131" s="231"/>
      <c r="C131" s="232"/>
      <c r="D131" s="233"/>
      <c r="E131" s="234"/>
      <c r="F131" s="235"/>
      <c r="G131" s="220" t="str">
        <f t="shared" si="13"/>
        <v/>
      </c>
      <c r="H131" s="240"/>
    </row>
    <row r="132" spans="1:8" hidden="1" x14ac:dyDescent="0.2">
      <c r="A132" s="220"/>
      <c r="B132" s="231"/>
      <c r="C132" s="232"/>
      <c r="D132" s="233"/>
      <c r="E132" s="234"/>
      <c r="F132" s="235"/>
      <c r="G132" s="220" t="str">
        <f t="shared" si="13"/>
        <v/>
      </c>
      <c r="H132" s="240"/>
    </row>
    <row r="133" spans="1:8" hidden="1" x14ac:dyDescent="0.2">
      <c r="A133" s="220"/>
      <c r="B133" s="231"/>
      <c r="C133" s="232"/>
      <c r="D133" s="233"/>
      <c r="E133" s="234"/>
      <c r="F133" s="235"/>
      <c r="G133" s="220" t="str">
        <f t="shared" si="13"/>
        <v/>
      </c>
      <c r="H133" s="240"/>
    </row>
    <row r="134" spans="1:8" hidden="1" x14ac:dyDescent="0.2">
      <c r="A134" s="220"/>
      <c r="B134" s="231" t="str">
        <f t="shared" ref="B134:B144" si="14">B29</f>
        <v/>
      </c>
      <c r="C134" s="232"/>
      <c r="D134" s="233"/>
      <c r="E134" s="234"/>
      <c r="F134" s="235"/>
      <c r="G134" s="220" t="str">
        <f t="shared" si="13"/>
        <v/>
      </c>
      <c r="H134" s="240"/>
    </row>
    <row r="135" spans="1:8" hidden="1" x14ac:dyDescent="0.2">
      <c r="A135" s="220"/>
      <c r="B135" s="231" t="str">
        <f t="shared" si="14"/>
        <v/>
      </c>
      <c r="C135" s="232"/>
      <c r="D135" s="233"/>
      <c r="E135" s="234"/>
      <c r="F135" s="235"/>
      <c r="G135" s="220" t="str">
        <f t="shared" si="13"/>
        <v/>
      </c>
      <c r="H135" s="240"/>
    </row>
    <row r="136" spans="1:8" hidden="1" x14ac:dyDescent="0.2">
      <c r="A136" s="220"/>
      <c r="B136" s="231" t="str">
        <f t="shared" si="14"/>
        <v/>
      </c>
      <c r="C136" s="232" t="str">
        <f>IF(ISBLANK('4. Billing Determinants'!C32), "", '4. Billing Determinants'!C32)</f>
        <v/>
      </c>
      <c r="D136" s="233"/>
      <c r="E136" s="234"/>
      <c r="F136" s="235"/>
      <c r="G136" s="220" t="str">
        <f t="shared" si="13"/>
        <v/>
      </c>
      <c r="H136" s="240"/>
    </row>
    <row r="137" spans="1:8" hidden="1" x14ac:dyDescent="0.2">
      <c r="A137" s="220"/>
      <c r="B137" s="231" t="str">
        <f t="shared" si="14"/>
        <v/>
      </c>
      <c r="C137" s="232" t="str">
        <f>IF(ISBLANK('4. Billing Determinants'!C33), "", '4. Billing Determinants'!C33)</f>
        <v/>
      </c>
      <c r="D137" s="233"/>
      <c r="E137" s="234"/>
      <c r="F137" s="235"/>
      <c r="G137" s="220" t="str">
        <f t="shared" si="13"/>
        <v/>
      </c>
      <c r="H137" s="240"/>
    </row>
    <row r="138" spans="1:8" hidden="1" x14ac:dyDescent="0.2">
      <c r="A138" s="220"/>
      <c r="B138" s="231" t="str">
        <f t="shared" si="14"/>
        <v/>
      </c>
      <c r="C138" s="232" t="str">
        <f>IF(ISBLANK('4. Billing Determinants'!C34), "", '4. Billing Determinants'!C34)</f>
        <v/>
      </c>
      <c r="D138" s="233"/>
      <c r="E138" s="234"/>
      <c r="F138" s="235"/>
      <c r="G138" s="220" t="str">
        <f t="shared" si="13"/>
        <v/>
      </c>
      <c r="H138" s="240"/>
    </row>
    <row r="139" spans="1:8" hidden="1" x14ac:dyDescent="0.2">
      <c r="A139" s="220"/>
      <c r="B139" s="231" t="str">
        <f t="shared" si="14"/>
        <v/>
      </c>
      <c r="C139" s="232" t="str">
        <f>IF(ISBLANK('4. Billing Determinants'!C35), "", '4. Billing Determinants'!C35)</f>
        <v/>
      </c>
      <c r="D139" s="233"/>
      <c r="E139" s="234"/>
      <c r="F139" s="235"/>
      <c r="G139" s="220" t="str">
        <f t="shared" si="13"/>
        <v/>
      </c>
      <c r="H139" s="240"/>
    </row>
    <row r="140" spans="1:8" hidden="1" x14ac:dyDescent="0.2">
      <c r="A140" s="220"/>
      <c r="B140" s="231" t="str">
        <f t="shared" si="14"/>
        <v/>
      </c>
      <c r="C140" s="232" t="str">
        <f>IF(ISBLANK('4. Billing Determinants'!C36), "", '4. Billing Determinants'!C36)</f>
        <v/>
      </c>
      <c r="D140" s="233"/>
      <c r="E140" s="234"/>
      <c r="F140" s="235"/>
      <c r="G140" s="220" t="str">
        <f t="shared" si="13"/>
        <v/>
      </c>
      <c r="H140" s="240"/>
    </row>
    <row r="141" spans="1:8" hidden="1" x14ac:dyDescent="0.2">
      <c r="A141" s="220"/>
      <c r="B141" s="231" t="str">
        <f t="shared" si="14"/>
        <v/>
      </c>
      <c r="C141" s="232" t="str">
        <f>IF(ISBLANK('4. Billing Determinants'!C37), "", '4. Billing Determinants'!C37)</f>
        <v/>
      </c>
      <c r="D141" s="233"/>
      <c r="E141" s="234"/>
      <c r="F141" s="235"/>
      <c r="G141" s="220" t="str">
        <f t="shared" si="13"/>
        <v/>
      </c>
      <c r="H141" s="240"/>
    </row>
    <row r="142" spans="1:8" hidden="1" x14ac:dyDescent="0.2">
      <c r="A142" s="220"/>
      <c r="B142" s="231" t="str">
        <f t="shared" si="14"/>
        <v/>
      </c>
      <c r="C142" s="232" t="str">
        <f>IF(ISBLANK('4. Billing Determinants'!C38), "", '4. Billing Determinants'!C38)</f>
        <v/>
      </c>
      <c r="D142" s="233"/>
      <c r="E142" s="234"/>
      <c r="F142" s="235"/>
      <c r="G142" s="220" t="str">
        <f t="shared" si="13"/>
        <v/>
      </c>
      <c r="H142" s="240"/>
    </row>
    <row r="143" spans="1:8" hidden="1" x14ac:dyDescent="0.2">
      <c r="A143" s="220"/>
      <c r="B143" s="231" t="str">
        <f t="shared" si="14"/>
        <v/>
      </c>
      <c r="C143" s="232" t="str">
        <f>IF(ISBLANK('4. Billing Determinants'!C39), "", '4. Billing Determinants'!C39)</f>
        <v/>
      </c>
      <c r="D143" s="233"/>
      <c r="E143" s="234"/>
      <c r="F143" s="235"/>
      <c r="G143" s="220" t="str">
        <f t="shared" si="13"/>
        <v/>
      </c>
      <c r="H143" s="240"/>
    </row>
    <row r="144" spans="1:8" hidden="1" x14ac:dyDescent="0.2">
      <c r="A144" s="220"/>
      <c r="B144" s="231" t="str">
        <f t="shared" si="14"/>
        <v/>
      </c>
      <c r="C144" s="232" t="str">
        <f>IF(ISBLANK('4. Billing Determinants'!C40), "", '4. Billing Determinants'!C40)</f>
        <v/>
      </c>
      <c r="D144" s="233"/>
      <c r="E144" s="234"/>
      <c r="F144" s="235"/>
      <c r="G144" s="220" t="str">
        <f t="shared" si="13"/>
        <v/>
      </c>
      <c r="H144" s="240"/>
    </row>
    <row r="145" spans="1:9" hidden="1" x14ac:dyDescent="0.2">
      <c r="A145" s="220"/>
      <c r="B145" s="236" t="s">
        <v>52</v>
      </c>
      <c r="C145" s="237"/>
      <c r="D145" s="238"/>
      <c r="E145" s="239"/>
      <c r="F145" s="236"/>
      <c r="G145" s="220"/>
      <c r="H145" s="240"/>
    </row>
    <row r="146" spans="1:9" hidden="1" x14ac:dyDescent="0.2"/>
    <row r="147" spans="1:9" hidden="1" x14ac:dyDescent="0.2"/>
    <row r="148" spans="1:9" ht="18" x14ac:dyDescent="0.25">
      <c r="B148" s="109" t="s">
        <v>156</v>
      </c>
    </row>
    <row r="149" spans="1:9" x14ac:dyDescent="0.2">
      <c r="B149" s="110"/>
    </row>
    <row r="150" spans="1:9" x14ac:dyDescent="0.2">
      <c r="B150" s="809" t="s">
        <v>60</v>
      </c>
      <c r="C150" s="808" t="s">
        <v>51</v>
      </c>
      <c r="D150" s="860" t="s">
        <v>65</v>
      </c>
      <c r="E150" s="860" t="s">
        <v>412</v>
      </c>
      <c r="F150" s="803" t="s">
        <v>371</v>
      </c>
    </row>
    <row r="151" spans="1:9" ht="55.15" customHeight="1" x14ac:dyDescent="0.2">
      <c r="B151" s="810"/>
      <c r="C151" s="808"/>
      <c r="D151" s="861"/>
      <c r="E151" s="861"/>
      <c r="F151" s="803"/>
      <c r="H151" s="323"/>
      <c r="I151" s="121"/>
    </row>
    <row r="152" spans="1:9" x14ac:dyDescent="0.2">
      <c r="B152" s="111" t="str">
        <f t="shared" ref="B152:B171" si="15">B20</f>
        <v>RESIDENTIAL SERVICE CLASSIFICATION</v>
      </c>
      <c r="C152" s="545" t="s">
        <v>59</v>
      </c>
      <c r="D152" s="112">
        <f>IF(C152="",0,IF(ISNUMBER(SEARCH("RESIDENTIAL",UPPER(B152),1)),'4. Billing Determinants'!D21, IF(C152="kWh",'4. Billing Determinants'!E21, IF(C152="kW",'4. Billing Determinants'!F21,'4. Billing Determinants'!D21))))</f>
        <v>30340</v>
      </c>
      <c r="E152" s="113">
        <f>HLOOKUP($B152, '5. Allocation of Balances'!$D$4:$Z$77, 70,FALSE)</f>
        <v>-235082.04212603142</v>
      </c>
      <c r="F152" s="122">
        <f>IF(ISERROR(E152/D152), 0, IF(C152="# of Customers", E152/D152/$D$13, (E152/D152)/($D$13/12)))</f>
        <v>-0.64568787663708915</v>
      </c>
      <c r="H152" s="37" t="str">
        <f t="shared" ref="H152:H171" si="16">IF(C152="", "", IF(C152="# of Customers", "per customer per month", "$/"&amp;C152))</f>
        <v>per customer per month</v>
      </c>
    </row>
    <row r="153" spans="1:9" x14ac:dyDescent="0.2">
      <c r="B153" s="111" t="str">
        <f t="shared" si="15"/>
        <v>GENERAL SERVICE LESS THAN 50 KW SERVICE CLASSIFICATION</v>
      </c>
      <c r="C153" s="48" t="s">
        <v>139</v>
      </c>
      <c r="D153" s="112">
        <f>IF(C153="",0,IF(ISNUMBER(SEARCH("RESIDENTIAL",UPPER(B153),1)),'4. Billing Determinants'!D22, IF(C153="kWh",'4. Billing Determinants'!E22, IF(C153="kW",'4. Billing Determinants'!F22,'4. Billing Determinants'!D22))))</f>
        <v>86539469</v>
      </c>
      <c r="E153" s="113">
        <f>HLOOKUP($B153, '5. Allocation of Balances'!$D$4:$Z$77, 70,FALSE)</f>
        <v>-80611.52975976927</v>
      </c>
      <c r="F153" s="146">
        <f t="shared" ref="F153:F171" si="17">IF(ISERROR(E153/D153), 0, IF(C153="# of Customers", E153/D153/$D$13, (E153/D153)/($D$13/12)))</f>
        <v>-9.3150016623939848E-4</v>
      </c>
      <c r="H153" s="37" t="str">
        <f t="shared" si="16"/>
        <v>$/kWh</v>
      </c>
    </row>
    <row r="154" spans="1:9" x14ac:dyDescent="0.2">
      <c r="B154" s="111" t="str">
        <f t="shared" si="15"/>
        <v>GENERAL SERVICE 50 TO 999 KW SERVICE CLASSIFICATION</v>
      </c>
      <c r="C154" s="48" t="s">
        <v>170</v>
      </c>
      <c r="D154" s="112">
        <f>IF(C154="",0,IF(ISNUMBER(SEARCH("RESIDENTIAL",UPPER(B154),1)),'4. Billing Determinants'!D23, IF(C154="kWh",'4. Billing Determinants'!E23, IF(C154="kW",'4. Billing Determinants'!F23,'4. Billing Determinants'!D23))))</f>
        <v>575372</v>
      </c>
      <c r="E154" s="113">
        <f>HLOOKUP($B154, '5. Allocation of Balances'!$D$4:$Z$77, 70,FALSE)</f>
        <v>-239320.74606140124</v>
      </c>
      <c r="F154" s="146">
        <f t="shared" si="17"/>
        <v>-0.41594089747398422</v>
      </c>
      <c r="H154" s="37" t="str">
        <f t="shared" si="16"/>
        <v>$/kW</v>
      </c>
    </row>
    <row r="155" spans="1:9" x14ac:dyDescent="0.2">
      <c r="B155" s="111" t="str">
        <f t="shared" si="15"/>
        <v>UNMETERED SCATTERED LOAD SERVICE CLASSIFICATION</v>
      </c>
      <c r="C155" s="48" t="s">
        <v>139</v>
      </c>
      <c r="D155" s="112">
        <f>IF(C155="",0,IF(ISNUMBER(SEARCH("RESIDENTIAL",UPPER(B155),1)),'4. Billing Determinants'!D24, IF(C155="kWh",'4. Billing Determinants'!E24, IF(C155="kW",'4. Billing Determinants'!F24,'4. Billing Determinants'!D24))))</f>
        <v>878528</v>
      </c>
      <c r="E155" s="113">
        <f>HLOOKUP($B155, '5. Allocation of Balances'!$D$4:$Z$77, 70,FALSE)</f>
        <v>-799.61661558349351</v>
      </c>
      <c r="F155" s="146">
        <f t="shared" si="17"/>
        <v>-9.1017772408334566E-4</v>
      </c>
      <c r="H155" s="37" t="str">
        <f t="shared" si="16"/>
        <v>$/kWh</v>
      </c>
    </row>
    <row r="156" spans="1:9" x14ac:dyDescent="0.2">
      <c r="B156" s="111" t="str">
        <f t="shared" si="15"/>
        <v>STREET LIGHTING SERVICE CLASSIFICATION</v>
      </c>
      <c r="C156" s="48" t="s">
        <v>170</v>
      </c>
      <c r="D156" s="112">
        <f>IF(C156="",0,IF(ISNUMBER(SEARCH("RESIDENTIAL",UPPER(B156),1)),'4. Billing Determinants'!D25, IF(C156="kWh",'4. Billing Determinants'!E25, IF(C156="kW",'4. Billing Determinants'!F25,'4. Billing Determinants'!D25))))</f>
        <v>7200</v>
      </c>
      <c r="E156" s="113">
        <f>HLOOKUP($B156, '5. Allocation of Balances'!$D$4:$Z$77, 70,FALSE)</f>
        <v>6996.9157239299657</v>
      </c>
      <c r="F156" s="146">
        <f t="shared" si="17"/>
        <v>0.97179385054582856</v>
      </c>
      <c r="H156" s="37" t="str">
        <f t="shared" si="16"/>
        <v>$/kW</v>
      </c>
    </row>
    <row r="157" spans="1:9" x14ac:dyDescent="0.2">
      <c r="B157" s="111" t="str">
        <f t="shared" si="15"/>
        <v>SENTINEL LIGHTING SERVICE CLASSIFICATION</v>
      </c>
      <c r="C157" s="48" t="s">
        <v>170</v>
      </c>
      <c r="D157" s="112">
        <f>IF(C157="",0,IF(ISNUMBER(SEARCH("RESIDENTIAL",UPPER(B157),1)),'4. Billing Determinants'!D26, IF(C157="kWh",'4. Billing Determinants'!E26, IF(C157="kW",'4. Billing Determinants'!F26,'4. Billing Determinants'!D26))))</f>
        <v>566</v>
      </c>
      <c r="E157" s="113">
        <f>HLOOKUP($B157, '5. Allocation of Balances'!$D$4:$Z$77, 70,FALSE)</f>
        <v>260.21768751869666</v>
      </c>
      <c r="F157" s="146">
        <f t="shared" si="17"/>
        <v>0.45974856452066548</v>
      </c>
      <c r="H157" s="37" t="str">
        <f t="shared" si="16"/>
        <v>$/kW</v>
      </c>
    </row>
    <row r="158" spans="1:9" x14ac:dyDescent="0.2">
      <c r="B158" s="111" t="str">
        <f t="shared" si="15"/>
        <v/>
      </c>
      <c r="C158" s="48"/>
      <c r="D158" s="112">
        <f>IF(C158="",0,IF(ISNUMBER(SEARCH("RESIDENTIAL",UPPER(B158),1)),'4. Billing Determinants'!D27, IF(C158="kWh",'4. Billing Determinants'!E27, IF(C158="kW",'4. Billing Determinants'!F27,'4. Billing Determinants'!D27))))</f>
        <v>0</v>
      </c>
      <c r="E158" s="113">
        <f>HLOOKUP($B158, '5. Allocation of Balances'!$D$4:$Z$77, 70,FALSE)</f>
        <v>0</v>
      </c>
      <c r="F158" s="146">
        <f t="shared" si="17"/>
        <v>0</v>
      </c>
      <c r="H158" s="37" t="str">
        <f t="shared" si="16"/>
        <v/>
      </c>
    </row>
    <row r="159" spans="1:9" x14ac:dyDescent="0.2">
      <c r="B159" s="111" t="str">
        <f t="shared" si="15"/>
        <v/>
      </c>
      <c r="C159" s="48"/>
      <c r="D159" s="112">
        <f>IF(C159="",0,IF(ISNUMBER(SEARCH("RESIDENTIAL",UPPER(B159),1)),'4. Billing Determinants'!D28, IF(C159="kWh",'4. Billing Determinants'!E28, IF(C159="kW",'4. Billing Determinants'!F28,'4. Billing Determinants'!D28))))</f>
        <v>0</v>
      </c>
      <c r="E159" s="113">
        <f>HLOOKUP($B159, '5. Allocation of Balances'!$D$4:$Z$77, 70,FALSE)</f>
        <v>0</v>
      </c>
      <c r="F159" s="146">
        <f t="shared" si="17"/>
        <v>0</v>
      </c>
      <c r="H159" s="37" t="str">
        <f t="shared" si="16"/>
        <v/>
      </c>
    </row>
    <row r="160" spans="1:9" x14ac:dyDescent="0.2">
      <c r="B160" s="111" t="str">
        <f t="shared" si="15"/>
        <v/>
      </c>
      <c r="C160" s="48"/>
      <c r="D160" s="112">
        <f>IF(C160="",0,IF(ISNUMBER(SEARCH("RESIDENTIAL",UPPER(B160),1)),'4. Billing Determinants'!D29, IF(C160="kWh",'4. Billing Determinants'!E29, IF(C160="kW",'4. Billing Determinants'!F29,'4. Billing Determinants'!D29))))</f>
        <v>0</v>
      </c>
      <c r="E160" s="113">
        <f>HLOOKUP($B160, '5. Allocation of Balances'!$D$4:$Z$77, 70,FALSE)</f>
        <v>0</v>
      </c>
      <c r="F160" s="146">
        <f t="shared" si="17"/>
        <v>0</v>
      </c>
      <c r="H160" s="37" t="str">
        <f t="shared" si="16"/>
        <v/>
      </c>
    </row>
    <row r="161" spans="2:8" x14ac:dyDescent="0.2">
      <c r="B161" s="111" t="str">
        <f t="shared" si="15"/>
        <v/>
      </c>
      <c r="C161" s="48"/>
      <c r="D161" s="112">
        <f>IF(C161="",0,IF(ISNUMBER(SEARCH("RESIDENTIAL",UPPER(B161),1)),'4. Billing Determinants'!D30, IF(C161="kWh",'4. Billing Determinants'!E30, IF(C161="kW",'4. Billing Determinants'!F30,'4. Billing Determinants'!D30))))</f>
        <v>0</v>
      </c>
      <c r="E161" s="113">
        <f>HLOOKUP($B161, '5. Allocation of Balances'!$D$4:$Z$77, 70,FALSE)</f>
        <v>0</v>
      </c>
      <c r="F161" s="146">
        <f t="shared" si="17"/>
        <v>0</v>
      </c>
      <c r="H161" s="37" t="str">
        <f t="shared" si="16"/>
        <v/>
      </c>
    </row>
    <row r="162" spans="2:8" x14ac:dyDescent="0.2">
      <c r="B162" s="111" t="str">
        <f t="shared" si="15"/>
        <v/>
      </c>
      <c r="C162" s="48"/>
      <c r="D162" s="112">
        <f>IF(C162="",0,IF(ISNUMBER(SEARCH("RESIDENTIAL",UPPER(B162),1)),'4. Billing Determinants'!D31, IF(C162="kWh",'4. Billing Determinants'!E31, IF(C162="kW",'4. Billing Determinants'!F31,'4. Billing Determinants'!D31))))</f>
        <v>0</v>
      </c>
      <c r="E162" s="113">
        <f>HLOOKUP($B162, '5. Allocation of Balances'!$D$4:$Z$77, 70,FALSE)</f>
        <v>0</v>
      </c>
      <c r="F162" s="146">
        <f t="shared" si="17"/>
        <v>0</v>
      </c>
      <c r="H162" s="37" t="str">
        <f t="shared" si="16"/>
        <v/>
      </c>
    </row>
    <row r="163" spans="2:8" x14ac:dyDescent="0.2">
      <c r="B163" s="111" t="str">
        <f t="shared" si="15"/>
        <v/>
      </c>
      <c r="C163" s="48"/>
      <c r="D163" s="112">
        <f>IF(C163="",0,IF(ISNUMBER(SEARCH("RESIDENTIAL",UPPER(B163),1)),'4. Billing Determinants'!D32, IF(C163="kWh",'4. Billing Determinants'!E32, IF(C163="kW",'4. Billing Determinants'!F32,'4. Billing Determinants'!D32))))</f>
        <v>0</v>
      </c>
      <c r="E163" s="113">
        <f>HLOOKUP($B163, '5. Allocation of Balances'!$D$4:$Z$77, 70,FALSE)</f>
        <v>0</v>
      </c>
      <c r="F163" s="146">
        <f t="shared" si="17"/>
        <v>0</v>
      </c>
      <c r="H163" s="37" t="str">
        <f t="shared" si="16"/>
        <v/>
      </c>
    </row>
    <row r="164" spans="2:8" x14ac:dyDescent="0.2">
      <c r="B164" s="111" t="str">
        <f t="shared" si="15"/>
        <v/>
      </c>
      <c r="C164" s="48"/>
      <c r="D164" s="112">
        <f>IF(C164="",0,IF(ISNUMBER(SEARCH("RESIDENTIAL",UPPER(B164),1)),'4. Billing Determinants'!D33, IF(C164="kWh",'4. Billing Determinants'!E33, IF(C164="kW",'4. Billing Determinants'!F33,'4. Billing Determinants'!D33))))</f>
        <v>0</v>
      </c>
      <c r="E164" s="113">
        <f>HLOOKUP($B164, '5. Allocation of Balances'!$D$4:$Z$77, 70,FALSE)</f>
        <v>0</v>
      </c>
      <c r="F164" s="146">
        <f t="shared" si="17"/>
        <v>0</v>
      </c>
      <c r="H164" s="37" t="str">
        <f t="shared" si="16"/>
        <v/>
      </c>
    </row>
    <row r="165" spans="2:8" x14ac:dyDescent="0.2">
      <c r="B165" s="111" t="str">
        <f t="shared" si="15"/>
        <v/>
      </c>
      <c r="C165" s="48"/>
      <c r="D165" s="112">
        <f>IF(C165="",0,IF(ISNUMBER(SEARCH("RESIDENTIAL",UPPER(B165),1)),'4. Billing Determinants'!D34, IF(C165="kWh",'4. Billing Determinants'!E34, IF(C165="kW",'4. Billing Determinants'!F34,'4. Billing Determinants'!D34))))</f>
        <v>0</v>
      </c>
      <c r="E165" s="113">
        <f>HLOOKUP($B165, '5. Allocation of Balances'!$D$4:$Z$77, 70,FALSE)</f>
        <v>0</v>
      </c>
      <c r="F165" s="146">
        <f t="shared" si="17"/>
        <v>0</v>
      </c>
      <c r="H165" s="37" t="str">
        <f t="shared" si="16"/>
        <v/>
      </c>
    </row>
    <row r="166" spans="2:8" x14ac:dyDescent="0.2">
      <c r="B166" s="111" t="str">
        <f t="shared" si="15"/>
        <v/>
      </c>
      <c r="C166" s="48"/>
      <c r="D166" s="112">
        <f>IF(C166="",0,IF(ISNUMBER(SEARCH("RESIDENTIAL",UPPER(B166),1)),'4. Billing Determinants'!D35, IF(C166="kWh",'4. Billing Determinants'!E35, IF(C166="kW",'4. Billing Determinants'!F35,'4. Billing Determinants'!D35))))</f>
        <v>0</v>
      </c>
      <c r="E166" s="113">
        <f>HLOOKUP($B166, '5. Allocation of Balances'!$D$4:$Z$77, 70,FALSE)</f>
        <v>0</v>
      </c>
      <c r="F166" s="146">
        <f t="shared" si="17"/>
        <v>0</v>
      </c>
      <c r="H166" s="37" t="str">
        <f t="shared" si="16"/>
        <v/>
      </c>
    </row>
    <row r="167" spans="2:8" x14ac:dyDescent="0.2">
      <c r="B167" s="111" t="str">
        <f t="shared" si="15"/>
        <v/>
      </c>
      <c r="C167" s="48"/>
      <c r="D167" s="112">
        <f>IF(C167="",0,IF(ISNUMBER(SEARCH("RESIDENTIAL",UPPER(B167),1)),'4. Billing Determinants'!D36, IF(C167="kWh",'4. Billing Determinants'!E36, IF(C167="kW",'4. Billing Determinants'!F36,'4. Billing Determinants'!D36))))</f>
        <v>0</v>
      </c>
      <c r="E167" s="113">
        <f>HLOOKUP($B167, '5. Allocation of Balances'!$D$4:$Z$77, 70,FALSE)</f>
        <v>0</v>
      </c>
      <c r="F167" s="146">
        <f t="shared" si="17"/>
        <v>0</v>
      </c>
      <c r="H167" s="37" t="str">
        <f t="shared" si="16"/>
        <v/>
      </c>
    </row>
    <row r="168" spans="2:8" x14ac:dyDescent="0.2">
      <c r="B168" s="111" t="str">
        <f t="shared" si="15"/>
        <v/>
      </c>
      <c r="C168" s="48"/>
      <c r="D168" s="112">
        <f>IF(C168="",0,IF(ISNUMBER(SEARCH("RESIDENTIAL",UPPER(B168),1)),'4. Billing Determinants'!D37, IF(C168="kWh",'4. Billing Determinants'!E37, IF(C168="kW",'4. Billing Determinants'!F37,'4. Billing Determinants'!D37))))</f>
        <v>0</v>
      </c>
      <c r="E168" s="113">
        <f>HLOOKUP($B168, '5. Allocation of Balances'!$D$4:$Z$77, 70,FALSE)</f>
        <v>0</v>
      </c>
      <c r="F168" s="146">
        <f t="shared" si="17"/>
        <v>0</v>
      </c>
      <c r="H168" s="37" t="str">
        <f t="shared" si="16"/>
        <v/>
      </c>
    </row>
    <row r="169" spans="2:8" x14ac:dyDescent="0.2">
      <c r="B169" s="111" t="str">
        <f t="shared" si="15"/>
        <v/>
      </c>
      <c r="C169" s="48"/>
      <c r="D169" s="112">
        <f>IF(C169="",0,IF(ISNUMBER(SEARCH("RESIDENTIAL",UPPER(B169),1)),'4. Billing Determinants'!D38, IF(C169="kWh",'4. Billing Determinants'!E38, IF(C169="kW",'4. Billing Determinants'!F38,'4. Billing Determinants'!D38))))</f>
        <v>0</v>
      </c>
      <c r="E169" s="113">
        <f>HLOOKUP($B169, '5. Allocation of Balances'!$D$4:$Z$77, 70,FALSE)</f>
        <v>0</v>
      </c>
      <c r="F169" s="146">
        <f t="shared" si="17"/>
        <v>0</v>
      </c>
      <c r="H169" s="37" t="str">
        <f t="shared" si="16"/>
        <v/>
      </c>
    </row>
    <row r="170" spans="2:8" x14ac:dyDescent="0.2">
      <c r="B170" s="111" t="str">
        <f t="shared" si="15"/>
        <v/>
      </c>
      <c r="C170" s="48"/>
      <c r="D170" s="112">
        <f>IF(C170="",0,IF(ISNUMBER(SEARCH("RESIDENTIAL",UPPER(B170),1)),'4. Billing Determinants'!D39, IF(C170="kWh",'4. Billing Determinants'!E39, IF(C170="kW",'4. Billing Determinants'!F39,'4. Billing Determinants'!D39))))</f>
        <v>0</v>
      </c>
      <c r="E170" s="113">
        <f>HLOOKUP($B170, '5. Allocation of Balances'!$D$4:$Z$77, 70,FALSE)</f>
        <v>0</v>
      </c>
      <c r="F170" s="146">
        <f t="shared" si="17"/>
        <v>0</v>
      </c>
      <c r="H170" s="37" t="str">
        <f t="shared" si="16"/>
        <v/>
      </c>
    </row>
    <row r="171" spans="2:8" x14ac:dyDescent="0.2">
      <c r="B171" s="111" t="str">
        <f t="shared" si="15"/>
        <v/>
      </c>
      <c r="C171" s="48"/>
      <c r="D171" s="112">
        <f>IF(C171="",0,IF(ISNUMBER(SEARCH("RESIDENTIAL",UPPER(B171),1)),'4. Billing Determinants'!D40, IF(C171="kWh",'4. Billing Determinants'!E40, IF(C171="kW",'4. Billing Determinants'!F40,'4. Billing Determinants'!D40))))</f>
        <v>0</v>
      </c>
      <c r="E171" s="113">
        <f>HLOOKUP($B171, '5. Allocation of Balances'!$D$4:$Z$77, 70,FALSE)</f>
        <v>0</v>
      </c>
      <c r="F171" s="146">
        <f t="shared" si="17"/>
        <v>0</v>
      </c>
      <c r="H171" s="37" t="str">
        <f t="shared" si="16"/>
        <v/>
      </c>
    </row>
    <row r="172" spans="2:8" x14ac:dyDescent="0.2">
      <c r="B172" s="116" t="s">
        <v>52</v>
      </c>
      <c r="C172" s="117"/>
      <c r="D172" s="118"/>
      <c r="E172" s="119">
        <f>SUM(E152:E171)</f>
        <v>-548556.80115133675</v>
      </c>
      <c r="F172" s="116"/>
    </row>
    <row r="174" spans="2:8" ht="18" x14ac:dyDescent="0.25">
      <c r="B174" s="109" t="s">
        <v>75</v>
      </c>
    </row>
    <row r="175" spans="2:8" ht="18" x14ac:dyDescent="0.25">
      <c r="B175" s="109"/>
    </row>
    <row r="176" spans="2:8" x14ac:dyDescent="0.2">
      <c r="B176" s="42" t="s">
        <v>426</v>
      </c>
      <c r="C176" s="43"/>
      <c r="D176" s="329">
        <v>12</v>
      </c>
    </row>
    <row r="177" spans="2:8" ht="12.75" customHeight="1" x14ac:dyDescent="0.2">
      <c r="C177" s="110"/>
    </row>
    <row r="178" spans="2:8" x14ac:dyDescent="0.2">
      <c r="B178" s="809" t="s">
        <v>60</v>
      </c>
      <c r="C178" s="808" t="s">
        <v>51</v>
      </c>
      <c r="D178" s="860" t="s">
        <v>65</v>
      </c>
      <c r="E178" s="860" t="s">
        <v>413</v>
      </c>
      <c r="F178" s="803" t="s">
        <v>76</v>
      </c>
    </row>
    <row r="179" spans="2:8" ht="25.5" customHeight="1" x14ac:dyDescent="0.2">
      <c r="B179" s="810"/>
      <c r="C179" s="808"/>
      <c r="D179" s="861"/>
      <c r="E179" s="861"/>
      <c r="F179" s="803"/>
    </row>
    <row r="180" spans="2:8" x14ac:dyDescent="0.2">
      <c r="B180" s="111" t="str">
        <f t="shared" ref="B180:B199" si="18">B20</f>
        <v>RESIDENTIAL SERVICE CLASSIFICATION</v>
      </c>
      <c r="C180" s="48" t="s">
        <v>59</v>
      </c>
      <c r="D180" s="112">
        <f>IF(C180="",0, IF(C180="kWh",'4. Billing Determinants'!E21, IF(C180="kW",'4. Billing Determinants'!F21,'4. Billing Determinants'!D21)))</f>
        <v>30340</v>
      </c>
      <c r="E180" s="113">
        <f>HLOOKUP($B180, '5. Allocation of Balances'!$C$4:$Y$77, 74,FALSE)</f>
        <v>0</v>
      </c>
      <c r="F180" s="114">
        <f>IF(ISERROR(E180/D180), 0, IF(C180="# of Customers", E180/D180/$D$176, (E180/D180)/($D$176/12)))</f>
        <v>0</v>
      </c>
      <c r="H180" s="37" t="str">
        <f t="shared" ref="H180:H199" si="19">IF(C180="", "", IF(C180="# of Customers", "per customer per month", "$/"&amp;C180))</f>
        <v>per customer per month</v>
      </c>
    </row>
    <row r="181" spans="2:8" x14ac:dyDescent="0.2">
      <c r="B181" s="111" t="str">
        <f t="shared" si="18"/>
        <v>GENERAL SERVICE LESS THAN 50 KW SERVICE CLASSIFICATION</v>
      </c>
      <c r="C181" s="48"/>
      <c r="D181" s="112">
        <f>IF(C181="",0,IF(ISNUMBER(SEARCH("RESIDENTIAL",UPPER(B181),1)),'4. Billing Determinants'!D22, IF(C181="kWh",'4. Billing Determinants'!E22, IF(C181="kW",'4. Billing Determinants'!F22,'4. Billing Determinants'!D22))))</f>
        <v>0</v>
      </c>
      <c r="E181" s="113">
        <f>HLOOKUP($B181, '5. Allocation of Balances'!$C$4:$Y$77, 74,FALSE)</f>
        <v>0</v>
      </c>
      <c r="F181" s="114">
        <f t="shared" ref="F181:F199" si="20">IF(ISERROR(E181/D181), 0, IF(C181="# of Customers", E181/D181/$D$176, (E181/D181)/($D$176/12)))</f>
        <v>0</v>
      </c>
      <c r="H181" s="37" t="str">
        <f t="shared" si="19"/>
        <v/>
      </c>
    </row>
    <row r="182" spans="2:8" x14ac:dyDescent="0.2">
      <c r="B182" s="111" t="str">
        <f t="shared" si="18"/>
        <v>GENERAL SERVICE 50 TO 999 KW SERVICE CLASSIFICATION</v>
      </c>
      <c r="C182" s="48"/>
      <c r="D182" s="112">
        <f>IF(C182="",0,IF(ISNUMBER(SEARCH("RESIDENTIAL",UPPER(B182),1)),'4. Billing Determinants'!D23, IF(C182="kWh",'4. Billing Determinants'!E23, IF(C182="kW",'4. Billing Determinants'!F23,'4. Billing Determinants'!D23))))</f>
        <v>0</v>
      </c>
      <c r="E182" s="113">
        <f>HLOOKUP($B182, '5. Allocation of Balances'!$C$4:$Y$77, 74,FALSE)</f>
        <v>0</v>
      </c>
      <c r="F182" s="114">
        <f t="shared" si="20"/>
        <v>0</v>
      </c>
      <c r="H182" s="37" t="str">
        <f t="shared" si="19"/>
        <v/>
      </c>
    </row>
    <row r="183" spans="2:8" x14ac:dyDescent="0.2">
      <c r="B183" s="111" t="str">
        <f t="shared" si="18"/>
        <v>UNMETERED SCATTERED LOAD SERVICE CLASSIFICATION</v>
      </c>
      <c r="C183" s="48"/>
      <c r="D183" s="112">
        <f>IF(C183="",0,IF(ISNUMBER(SEARCH("RESIDENTIAL",UPPER(B183),1)),'4. Billing Determinants'!D24, IF(C183="kWh",'4. Billing Determinants'!E24, IF(C183="kW",'4. Billing Determinants'!F24,'4. Billing Determinants'!D24))))</f>
        <v>0</v>
      </c>
      <c r="E183" s="113">
        <f>HLOOKUP($B183, '5. Allocation of Balances'!$C$4:$Y$77, 74,FALSE)</f>
        <v>0</v>
      </c>
      <c r="F183" s="114">
        <f t="shared" si="20"/>
        <v>0</v>
      </c>
      <c r="H183" s="37" t="str">
        <f t="shared" si="19"/>
        <v/>
      </c>
    </row>
    <row r="184" spans="2:8" x14ac:dyDescent="0.2">
      <c r="B184" s="111" t="str">
        <f t="shared" si="18"/>
        <v>STREET LIGHTING SERVICE CLASSIFICATION</v>
      </c>
      <c r="C184" s="48"/>
      <c r="D184" s="112">
        <f>IF(C184="",0,IF(ISNUMBER(SEARCH("RESIDENTIAL",UPPER(B184),1)),'4. Billing Determinants'!D25, IF(C184="kWh",'4. Billing Determinants'!E25, IF(C184="kW",'4. Billing Determinants'!F25,'4. Billing Determinants'!D25))))</f>
        <v>0</v>
      </c>
      <c r="E184" s="113">
        <f>HLOOKUP($B184, '5. Allocation of Balances'!$C$4:$Y$77, 74,FALSE)</f>
        <v>0</v>
      </c>
      <c r="F184" s="114">
        <f t="shared" si="20"/>
        <v>0</v>
      </c>
      <c r="H184" s="37" t="str">
        <f t="shared" si="19"/>
        <v/>
      </c>
    </row>
    <row r="185" spans="2:8" x14ac:dyDescent="0.2">
      <c r="B185" s="111" t="str">
        <f t="shared" si="18"/>
        <v>SENTINEL LIGHTING SERVICE CLASSIFICATION</v>
      </c>
      <c r="C185" s="48"/>
      <c r="D185" s="112">
        <f>IF(C185="",0,IF(ISNUMBER(SEARCH("RESIDENTIAL",UPPER(B185),1)),'4. Billing Determinants'!D26, IF(C185="kWh",'4. Billing Determinants'!E26, IF(C185="kW",'4. Billing Determinants'!F26,'4. Billing Determinants'!D26))))</f>
        <v>0</v>
      </c>
      <c r="E185" s="113">
        <f>HLOOKUP($B185, '5. Allocation of Balances'!$C$4:$Y$77, 74,FALSE)</f>
        <v>0</v>
      </c>
      <c r="F185" s="114">
        <f t="shared" si="20"/>
        <v>0</v>
      </c>
      <c r="H185" s="37" t="str">
        <f t="shared" si="19"/>
        <v/>
      </c>
    </row>
    <row r="186" spans="2:8" x14ac:dyDescent="0.2">
      <c r="B186" s="111" t="str">
        <f t="shared" si="18"/>
        <v/>
      </c>
      <c r="C186" s="48"/>
      <c r="D186" s="112">
        <f>IF(C186="",0,IF(ISNUMBER(SEARCH("RESIDENTIAL",UPPER(B186),1)),'4. Billing Determinants'!D27, IF(C186="kWh",'4. Billing Determinants'!E27, IF(C186="kW",'4. Billing Determinants'!F27,'4. Billing Determinants'!D27))))</f>
        <v>0</v>
      </c>
      <c r="E186" s="113">
        <f>HLOOKUP($B186, '5. Allocation of Balances'!$C$4:$Y$77, 74,FALSE)</f>
        <v>0</v>
      </c>
      <c r="F186" s="114">
        <f t="shared" si="20"/>
        <v>0</v>
      </c>
      <c r="H186" s="37" t="str">
        <f t="shared" si="19"/>
        <v/>
      </c>
    </row>
    <row r="187" spans="2:8" x14ac:dyDescent="0.2">
      <c r="B187" s="111" t="str">
        <f t="shared" si="18"/>
        <v/>
      </c>
      <c r="C187" s="48"/>
      <c r="D187" s="112">
        <f>IF(C187="",0,IF(ISNUMBER(SEARCH("RESIDENTIAL",UPPER(B187),1)),'4. Billing Determinants'!D28, IF(C187="kWh",'4. Billing Determinants'!E28, IF(C187="kW",'4. Billing Determinants'!F28,'4. Billing Determinants'!D28))))</f>
        <v>0</v>
      </c>
      <c r="E187" s="113">
        <f>HLOOKUP($B187, '5. Allocation of Balances'!$C$4:$Y$77, 74,FALSE)</f>
        <v>0</v>
      </c>
      <c r="F187" s="114">
        <f t="shared" si="20"/>
        <v>0</v>
      </c>
      <c r="H187" s="37" t="str">
        <f t="shared" si="19"/>
        <v/>
      </c>
    </row>
    <row r="188" spans="2:8" x14ac:dyDescent="0.2">
      <c r="B188" s="111" t="str">
        <f t="shared" si="18"/>
        <v/>
      </c>
      <c r="C188" s="48"/>
      <c r="D188" s="112">
        <f>IF(C188="",0,IF(ISNUMBER(SEARCH("RESIDENTIAL",UPPER(B188),1)),'4. Billing Determinants'!D29, IF(C188="kWh",'4. Billing Determinants'!E29, IF(C188="kW",'4. Billing Determinants'!F29,'4. Billing Determinants'!D29))))</f>
        <v>0</v>
      </c>
      <c r="E188" s="113">
        <f>HLOOKUP($B188, '5. Allocation of Balances'!$C$4:$Y$77, 74,FALSE)</f>
        <v>0</v>
      </c>
      <c r="F188" s="114">
        <f t="shared" si="20"/>
        <v>0</v>
      </c>
      <c r="H188" s="37" t="str">
        <f t="shared" si="19"/>
        <v/>
      </c>
    </row>
    <row r="189" spans="2:8" x14ac:dyDescent="0.2">
      <c r="B189" s="111" t="str">
        <f t="shared" si="18"/>
        <v/>
      </c>
      <c r="C189" s="48"/>
      <c r="D189" s="112">
        <f>IF(C189="",0,IF(ISNUMBER(SEARCH("RESIDENTIAL",UPPER(B189),1)),'4. Billing Determinants'!D30, IF(C189="kWh",'4. Billing Determinants'!E30, IF(C189="kW",'4. Billing Determinants'!F30,'4. Billing Determinants'!D30))))</f>
        <v>0</v>
      </c>
      <c r="E189" s="113">
        <f>HLOOKUP($B189, '5. Allocation of Balances'!$C$4:$Y$77, 74,FALSE)</f>
        <v>0</v>
      </c>
      <c r="F189" s="114">
        <f t="shared" si="20"/>
        <v>0</v>
      </c>
      <c r="H189" s="37" t="str">
        <f t="shared" si="19"/>
        <v/>
      </c>
    </row>
    <row r="190" spans="2:8" x14ac:dyDescent="0.2">
      <c r="B190" s="111" t="str">
        <f t="shared" si="18"/>
        <v/>
      </c>
      <c r="C190" s="48"/>
      <c r="D190" s="112">
        <f>IF(C190="",0,IF(ISNUMBER(SEARCH("RESIDENTIAL",UPPER(B190),1)),'4. Billing Determinants'!D31, IF(C190="kWh",'4. Billing Determinants'!E31, IF(C190="kW",'4. Billing Determinants'!F31,'4. Billing Determinants'!D31))))</f>
        <v>0</v>
      </c>
      <c r="E190" s="113">
        <f>HLOOKUP($B190, '5. Allocation of Balances'!$C$4:$Y$77, 74,FALSE)</f>
        <v>0</v>
      </c>
      <c r="F190" s="114">
        <f t="shared" si="20"/>
        <v>0</v>
      </c>
      <c r="H190" s="37" t="str">
        <f t="shared" si="19"/>
        <v/>
      </c>
    </row>
    <row r="191" spans="2:8" x14ac:dyDescent="0.2">
      <c r="B191" s="111" t="str">
        <f t="shared" si="18"/>
        <v/>
      </c>
      <c r="C191" s="48"/>
      <c r="D191" s="112">
        <f>IF(C191="",0,IF(ISNUMBER(SEARCH("RESIDENTIAL",UPPER(B191),1)),'4. Billing Determinants'!D32, IF(C191="kWh",'4. Billing Determinants'!E32, IF(C191="kW",'4. Billing Determinants'!F32,'4. Billing Determinants'!D32))))</f>
        <v>0</v>
      </c>
      <c r="E191" s="113">
        <f>HLOOKUP($B191, '5. Allocation of Balances'!$C$4:$Y$77, 74,FALSE)</f>
        <v>0</v>
      </c>
      <c r="F191" s="114">
        <f t="shared" si="20"/>
        <v>0</v>
      </c>
      <c r="H191" s="37" t="str">
        <f t="shared" si="19"/>
        <v/>
      </c>
    </row>
    <row r="192" spans="2:8" x14ac:dyDescent="0.2">
      <c r="B192" s="111" t="str">
        <f t="shared" si="18"/>
        <v/>
      </c>
      <c r="C192" s="48"/>
      <c r="D192" s="112">
        <f>IF(C192="",0,IF(ISNUMBER(SEARCH("RESIDENTIAL",UPPER(B192),1)),'4. Billing Determinants'!D33, IF(C192="kWh",'4. Billing Determinants'!E33, IF(C192="kW",'4. Billing Determinants'!F33,'4. Billing Determinants'!D33))))</f>
        <v>0</v>
      </c>
      <c r="E192" s="113">
        <f>HLOOKUP($B192, '5. Allocation of Balances'!$C$4:$Y$77, 74,FALSE)</f>
        <v>0</v>
      </c>
      <c r="F192" s="114">
        <f t="shared" si="20"/>
        <v>0</v>
      </c>
      <c r="H192" s="37" t="str">
        <f t="shared" si="19"/>
        <v/>
      </c>
    </row>
    <row r="193" spans="2:8" x14ac:dyDescent="0.2">
      <c r="B193" s="111" t="str">
        <f t="shared" si="18"/>
        <v/>
      </c>
      <c r="C193" s="48"/>
      <c r="D193" s="112">
        <f>IF(C193="",0,IF(ISNUMBER(SEARCH("RESIDENTIAL",UPPER(B193),1)),'4. Billing Determinants'!D34, IF(C193="kWh",'4. Billing Determinants'!E34, IF(C193="kW",'4. Billing Determinants'!F34,'4. Billing Determinants'!D34))))</f>
        <v>0</v>
      </c>
      <c r="E193" s="113">
        <f>HLOOKUP($B193, '5. Allocation of Balances'!$C$4:$Y$77, 74,FALSE)</f>
        <v>0</v>
      </c>
      <c r="F193" s="114">
        <f t="shared" si="20"/>
        <v>0</v>
      </c>
      <c r="H193" s="37" t="str">
        <f t="shared" si="19"/>
        <v/>
      </c>
    </row>
    <row r="194" spans="2:8" x14ac:dyDescent="0.2">
      <c r="B194" s="111" t="str">
        <f t="shared" si="18"/>
        <v/>
      </c>
      <c r="C194" s="48"/>
      <c r="D194" s="112">
        <f>IF(C194="",0,IF(ISNUMBER(SEARCH("RESIDENTIAL",UPPER(B194),1)),'4. Billing Determinants'!D35, IF(C194="kWh",'4. Billing Determinants'!E35, IF(C194="kW",'4. Billing Determinants'!F35,'4. Billing Determinants'!D35))))</f>
        <v>0</v>
      </c>
      <c r="E194" s="113">
        <f>HLOOKUP($B194, '5. Allocation of Balances'!$C$4:$Y$77, 74,FALSE)</f>
        <v>0</v>
      </c>
      <c r="F194" s="114">
        <f t="shared" si="20"/>
        <v>0</v>
      </c>
      <c r="H194" s="37" t="str">
        <f t="shared" si="19"/>
        <v/>
      </c>
    </row>
    <row r="195" spans="2:8" x14ac:dyDescent="0.2">
      <c r="B195" s="111" t="str">
        <f t="shared" si="18"/>
        <v/>
      </c>
      <c r="C195" s="48"/>
      <c r="D195" s="112">
        <f>IF(C195="",0,IF(ISNUMBER(SEARCH("RESIDENTIAL",UPPER(B195),1)),'4. Billing Determinants'!D36, IF(C195="kWh",'4. Billing Determinants'!E36, IF(C195="kW",'4. Billing Determinants'!F36,'4. Billing Determinants'!D36))))</f>
        <v>0</v>
      </c>
      <c r="E195" s="113">
        <f>HLOOKUP($B195, '5. Allocation of Balances'!$C$4:$Y$77, 74,FALSE)</f>
        <v>0</v>
      </c>
      <c r="F195" s="114">
        <f t="shared" si="20"/>
        <v>0</v>
      </c>
      <c r="H195" s="37" t="str">
        <f t="shared" si="19"/>
        <v/>
      </c>
    </row>
    <row r="196" spans="2:8" x14ac:dyDescent="0.2">
      <c r="B196" s="111" t="str">
        <f t="shared" si="18"/>
        <v/>
      </c>
      <c r="C196" s="48"/>
      <c r="D196" s="112">
        <f>IF(C196="",0,IF(ISNUMBER(SEARCH("RESIDENTIAL",UPPER(B196),1)),'4. Billing Determinants'!D37, IF(C196="kWh",'4. Billing Determinants'!E37, IF(C196="kW",'4. Billing Determinants'!F37,'4. Billing Determinants'!D37))))</f>
        <v>0</v>
      </c>
      <c r="E196" s="113">
        <f>HLOOKUP($B196, '5. Allocation of Balances'!$C$4:$Y$77, 74,FALSE)</f>
        <v>0</v>
      </c>
      <c r="F196" s="114">
        <f t="shared" si="20"/>
        <v>0</v>
      </c>
      <c r="H196" s="37" t="str">
        <f t="shared" si="19"/>
        <v/>
      </c>
    </row>
    <row r="197" spans="2:8" x14ac:dyDescent="0.2">
      <c r="B197" s="111" t="str">
        <f t="shared" si="18"/>
        <v/>
      </c>
      <c r="C197" s="48"/>
      <c r="D197" s="112">
        <f>IF(C197="",0,IF(ISNUMBER(SEARCH("RESIDENTIAL",UPPER(B197),1)),'4. Billing Determinants'!D38, IF(C197="kWh",'4. Billing Determinants'!E38, IF(C197="kW",'4. Billing Determinants'!F38,'4. Billing Determinants'!D38))))</f>
        <v>0</v>
      </c>
      <c r="E197" s="113">
        <f>HLOOKUP($B197, '5. Allocation of Balances'!$C$4:$Y$77, 74,FALSE)</f>
        <v>0</v>
      </c>
      <c r="F197" s="114">
        <f t="shared" si="20"/>
        <v>0</v>
      </c>
      <c r="H197" s="37" t="str">
        <f t="shared" si="19"/>
        <v/>
      </c>
    </row>
    <row r="198" spans="2:8" x14ac:dyDescent="0.2">
      <c r="B198" s="111" t="str">
        <f t="shared" si="18"/>
        <v/>
      </c>
      <c r="C198" s="48"/>
      <c r="D198" s="112">
        <f>IF(C198="",0,IF(ISNUMBER(SEARCH("RESIDENTIAL",UPPER(B198),1)),'4. Billing Determinants'!D39, IF(C198="kWh",'4. Billing Determinants'!E39, IF(C198="kW",'4. Billing Determinants'!F39,'4. Billing Determinants'!D39))))</f>
        <v>0</v>
      </c>
      <c r="E198" s="113">
        <f>HLOOKUP($B198, '5. Allocation of Balances'!$C$4:$Y$77, 74,FALSE)</f>
        <v>0</v>
      </c>
      <c r="F198" s="114">
        <f t="shared" si="20"/>
        <v>0</v>
      </c>
      <c r="H198" s="37" t="str">
        <f t="shared" si="19"/>
        <v/>
      </c>
    </row>
    <row r="199" spans="2:8" x14ac:dyDescent="0.2">
      <c r="B199" s="111" t="str">
        <f t="shared" si="18"/>
        <v/>
      </c>
      <c r="C199" s="48"/>
      <c r="D199" s="112">
        <f>IF(C199="",0,IF(ISNUMBER(SEARCH("RESIDENTIAL",UPPER(B199),1)),'4. Billing Determinants'!D40, IF(C199="kWh",'4. Billing Determinants'!E40, IF(C199="kW",'4. Billing Determinants'!F40,'4. Billing Determinants'!D40))))</f>
        <v>0</v>
      </c>
      <c r="E199" s="113">
        <f>HLOOKUP($B199, '5. Allocation of Balances'!$C$4:$Y$77, 74,FALSE)</f>
        <v>0</v>
      </c>
      <c r="F199" s="114">
        <f t="shared" si="20"/>
        <v>0</v>
      </c>
      <c r="H199" s="37" t="str">
        <f t="shared" si="19"/>
        <v/>
      </c>
    </row>
    <row r="200" spans="2:8" x14ac:dyDescent="0.2">
      <c r="B200" s="116" t="s">
        <v>52</v>
      </c>
      <c r="C200" s="117"/>
      <c r="D200" s="118"/>
      <c r="E200" s="119">
        <f>SUM(E180:E199)</f>
        <v>0</v>
      </c>
      <c r="F200" s="116"/>
    </row>
    <row r="202" spans="2:8" ht="18" x14ac:dyDescent="0.25">
      <c r="B202" s="109" t="s">
        <v>140</v>
      </c>
    </row>
    <row r="203" spans="2:8" ht="18" x14ac:dyDescent="0.25">
      <c r="B203" s="109"/>
    </row>
    <row r="204" spans="2:8" x14ac:dyDescent="0.2">
      <c r="B204" s="42" t="s">
        <v>426</v>
      </c>
      <c r="C204" s="43"/>
      <c r="D204" s="329">
        <v>12</v>
      </c>
    </row>
    <row r="206" spans="2:8" x14ac:dyDescent="0.2">
      <c r="B206" s="809" t="s">
        <v>60</v>
      </c>
      <c r="C206" s="808" t="s">
        <v>51</v>
      </c>
      <c r="D206" s="860" t="s">
        <v>65</v>
      </c>
      <c r="E206" s="860" t="s">
        <v>414</v>
      </c>
      <c r="F206" s="803" t="s">
        <v>141</v>
      </c>
    </row>
    <row r="207" spans="2:8" ht="28.5" customHeight="1" x14ac:dyDescent="0.2">
      <c r="B207" s="810"/>
      <c r="C207" s="808"/>
      <c r="D207" s="861"/>
      <c r="E207" s="861"/>
      <c r="F207" s="803"/>
    </row>
    <row r="208" spans="2:8" x14ac:dyDescent="0.2">
      <c r="B208" s="111" t="str">
        <f t="shared" ref="B208:B227" si="21">B20</f>
        <v>RESIDENTIAL SERVICE CLASSIFICATION</v>
      </c>
      <c r="C208" s="48" t="s">
        <v>139</v>
      </c>
      <c r="D208" s="112">
        <f>IF(C208="",0, IF(C208="kWh",'4. Billing Determinants'!E21, IF(C208="kW",'4. Billing Determinants'!F21,'4. Billing Determinants'!D21)))</f>
        <v>282922375</v>
      </c>
      <c r="E208" s="113">
        <f>HLOOKUP($B208, '5. Allocation of Balances'!$D$4:$Z$77, 56,FALSE)</f>
        <v>44507</v>
      </c>
      <c r="F208" s="114">
        <f>IF(ISERROR(E208/D208), 0, IF(C208="# of Customers", E208/D208/$D$204, (E208/D208)/($D$204/12)))</f>
        <v>1.5731170078011681E-4</v>
      </c>
      <c r="H208" s="37" t="str">
        <f t="shared" ref="H208:H227" si="22">IF(C208="", "", IF(C208="# of Customers", "per customer per month", "$/"&amp;C208))</f>
        <v>$/kWh</v>
      </c>
    </row>
    <row r="209" spans="2:8" x14ac:dyDescent="0.2">
      <c r="B209" s="111" t="str">
        <f t="shared" si="21"/>
        <v>GENERAL SERVICE LESS THAN 50 KW SERVICE CLASSIFICATION</v>
      </c>
      <c r="C209" s="48" t="s">
        <v>139</v>
      </c>
      <c r="D209" s="112">
        <f>IF(C209="",0, IF(C209="kWh",'4. Billing Determinants'!E22, IF(C209="kW",'4. Billing Determinants'!F22,'4. Billing Determinants'!D22)))</f>
        <v>86539469</v>
      </c>
      <c r="E209" s="113">
        <f>HLOOKUP($B209, '5. Allocation of Balances'!$D$4:$Z$77, 56,FALSE)</f>
        <v>-110221</v>
      </c>
      <c r="F209" s="114">
        <f t="shared" ref="F209:F227" si="23">IF(ISERROR(E209/D209), 0, IF(C209="# of Customers", E209/D209/$D$204, (E209/D209)/($D$204/12)))</f>
        <v>-1.2736500613379081E-3</v>
      </c>
      <c r="H209" s="37" t="str">
        <f t="shared" si="22"/>
        <v>$/kWh</v>
      </c>
    </row>
    <row r="210" spans="2:8" x14ac:dyDescent="0.2">
      <c r="B210" s="111" t="str">
        <f t="shared" si="21"/>
        <v>GENERAL SERVICE 50 TO 999 KW SERVICE CLASSIFICATION</v>
      </c>
      <c r="C210" s="48" t="s">
        <v>170</v>
      </c>
      <c r="D210" s="112">
        <f>IF(C210="",0, IF(C210="kWh",'4. Billing Determinants'!E23, IF(C210="kW",'4. Billing Determinants'!F23,'4. Billing Determinants'!D23)))</f>
        <v>575372</v>
      </c>
      <c r="E210" s="113">
        <f>HLOOKUP($B210, '5. Allocation of Balances'!$D$4:$Z$77, 56,FALSE)</f>
        <v>263903</v>
      </c>
      <c r="F210" s="114">
        <f t="shared" si="23"/>
        <v>0.45866500281556977</v>
      </c>
      <c r="H210" s="37" t="str">
        <f t="shared" si="22"/>
        <v>$/kW</v>
      </c>
    </row>
    <row r="211" spans="2:8" x14ac:dyDescent="0.2">
      <c r="B211" s="111" t="str">
        <f t="shared" si="21"/>
        <v>UNMETERED SCATTERED LOAD SERVICE CLASSIFICATION</v>
      </c>
      <c r="C211" s="48" t="s">
        <v>139</v>
      </c>
      <c r="D211" s="112">
        <f>IF(C211="",0, IF(C211="kWh",'4. Billing Determinants'!E24, IF(C211="kW",'4. Billing Determinants'!F24,'4. Billing Determinants'!D24)))</f>
        <v>878528</v>
      </c>
      <c r="E211" s="113">
        <f>HLOOKUP($B211, '5. Allocation of Balances'!$D$4:$Z$77, 56,FALSE)</f>
        <v>0</v>
      </c>
      <c r="F211" s="114">
        <f t="shared" si="23"/>
        <v>0</v>
      </c>
      <c r="H211" s="37" t="str">
        <f t="shared" si="22"/>
        <v>$/kWh</v>
      </c>
    </row>
    <row r="212" spans="2:8" x14ac:dyDescent="0.2">
      <c r="B212" s="111" t="str">
        <f t="shared" si="21"/>
        <v>STREET LIGHTING SERVICE CLASSIFICATION</v>
      </c>
      <c r="C212" s="48" t="s">
        <v>170</v>
      </c>
      <c r="D212" s="112">
        <f>IF(C212="",0, IF(C212="kWh",'4. Billing Determinants'!E25, IF(C212="kW",'4. Billing Determinants'!F25,'4. Billing Determinants'!D25)))</f>
        <v>7200</v>
      </c>
      <c r="E212" s="113">
        <f>HLOOKUP($B212, '5. Allocation of Balances'!$D$4:$Z$77, 56,FALSE)</f>
        <v>0</v>
      </c>
      <c r="F212" s="114">
        <f t="shared" si="23"/>
        <v>0</v>
      </c>
      <c r="H212" s="37" t="str">
        <f t="shared" si="22"/>
        <v>$/kW</v>
      </c>
    </row>
    <row r="213" spans="2:8" x14ac:dyDescent="0.2">
      <c r="B213" s="111" t="str">
        <f t="shared" si="21"/>
        <v>SENTINEL LIGHTING SERVICE CLASSIFICATION</v>
      </c>
      <c r="C213" s="48" t="s">
        <v>170</v>
      </c>
      <c r="D213" s="112">
        <f>IF(C213="",0, IF(C213="kWh",'4. Billing Determinants'!E26, IF(C213="kW",'4. Billing Determinants'!F26,'4. Billing Determinants'!D26)))</f>
        <v>566</v>
      </c>
      <c r="E213" s="113">
        <f>HLOOKUP($B213, '5. Allocation of Balances'!$D$4:$Z$77, 56,FALSE)</f>
        <v>0</v>
      </c>
      <c r="F213" s="114">
        <f t="shared" si="23"/>
        <v>0</v>
      </c>
      <c r="H213" s="37" t="str">
        <f t="shared" si="22"/>
        <v>$/kW</v>
      </c>
    </row>
    <row r="214" spans="2:8" x14ac:dyDescent="0.2">
      <c r="B214" s="111" t="str">
        <f t="shared" si="21"/>
        <v/>
      </c>
      <c r="C214" s="48"/>
      <c r="D214" s="112">
        <f>IF(C214="",0, IF(C214="kWh",'4. Billing Determinants'!E27, IF(C214="kW",'4. Billing Determinants'!F27,'4. Billing Determinants'!D27)))</f>
        <v>0</v>
      </c>
      <c r="E214" s="113">
        <f>HLOOKUP($B214, '5. Allocation of Balances'!$D$4:$Z$77, 56,FALSE)</f>
        <v>0</v>
      </c>
      <c r="F214" s="114">
        <f t="shared" si="23"/>
        <v>0</v>
      </c>
      <c r="H214" s="37" t="str">
        <f t="shared" si="22"/>
        <v/>
      </c>
    </row>
    <row r="215" spans="2:8" x14ac:dyDescent="0.2">
      <c r="B215" s="111" t="str">
        <f t="shared" si="21"/>
        <v/>
      </c>
      <c r="C215" s="48"/>
      <c r="D215" s="112">
        <f>IF(C215="",0, IF(C215="kWh",'4. Billing Determinants'!E28, IF(C215="kW",'4. Billing Determinants'!F28,'4. Billing Determinants'!D28)))</f>
        <v>0</v>
      </c>
      <c r="E215" s="113">
        <f>HLOOKUP($B215, '5. Allocation of Balances'!$D$4:$Z$77, 56,FALSE)</f>
        <v>0</v>
      </c>
      <c r="F215" s="114">
        <f t="shared" si="23"/>
        <v>0</v>
      </c>
      <c r="H215" s="37" t="str">
        <f t="shared" si="22"/>
        <v/>
      </c>
    </row>
    <row r="216" spans="2:8" x14ac:dyDescent="0.2">
      <c r="B216" s="111" t="str">
        <f t="shared" si="21"/>
        <v/>
      </c>
      <c r="C216" s="48"/>
      <c r="D216" s="112">
        <f>IF(C216="",0, IF(C216="kWh",'4. Billing Determinants'!E29, IF(C216="kW",'4. Billing Determinants'!F29,'4. Billing Determinants'!D29)))</f>
        <v>0</v>
      </c>
      <c r="E216" s="113">
        <f>HLOOKUP($B216, '5. Allocation of Balances'!$D$4:$Z$77, 56,FALSE)</f>
        <v>0</v>
      </c>
      <c r="F216" s="114">
        <f t="shared" si="23"/>
        <v>0</v>
      </c>
      <c r="H216" s="37" t="str">
        <f t="shared" si="22"/>
        <v/>
      </c>
    </row>
    <row r="217" spans="2:8" x14ac:dyDescent="0.2">
      <c r="B217" s="111" t="str">
        <f t="shared" si="21"/>
        <v/>
      </c>
      <c r="C217" s="48"/>
      <c r="D217" s="112">
        <f>IF(C217="",0, IF(C217="kWh",'4. Billing Determinants'!E30, IF(C217="kW",'4. Billing Determinants'!F30,'4. Billing Determinants'!D30)))</f>
        <v>0</v>
      </c>
      <c r="E217" s="113">
        <f>HLOOKUP($B217, '5. Allocation of Balances'!$D$4:$Z$77, 56,FALSE)</f>
        <v>0</v>
      </c>
      <c r="F217" s="114">
        <f t="shared" si="23"/>
        <v>0</v>
      </c>
      <c r="H217" s="37" t="str">
        <f t="shared" si="22"/>
        <v/>
      </c>
    </row>
    <row r="218" spans="2:8" x14ac:dyDescent="0.2">
      <c r="B218" s="111" t="str">
        <f t="shared" si="21"/>
        <v/>
      </c>
      <c r="C218" s="48"/>
      <c r="D218" s="112">
        <f>IF(C218="",0, IF(C218="kWh",'4. Billing Determinants'!E31, IF(C218="kW",'4. Billing Determinants'!F31,'4. Billing Determinants'!D31)))</f>
        <v>0</v>
      </c>
      <c r="E218" s="113">
        <f>HLOOKUP($B218, '5. Allocation of Balances'!$D$4:$Z$77, 56,FALSE)</f>
        <v>0</v>
      </c>
      <c r="F218" s="114">
        <f t="shared" si="23"/>
        <v>0</v>
      </c>
      <c r="H218" s="37" t="str">
        <f t="shared" si="22"/>
        <v/>
      </c>
    </row>
    <row r="219" spans="2:8" x14ac:dyDescent="0.2">
      <c r="B219" s="111" t="str">
        <f t="shared" si="21"/>
        <v/>
      </c>
      <c r="C219" s="48"/>
      <c r="D219" s="112">
        <f>IF(C219="",0, IF(C219="kWh",'4. Billing Determinants'!E32, IF(C219="kW",'4. Billing Determinants'!F32,'4. Billing Determinants'!D32)))</f>
        <v>0</v>
      </c>
      <c r="E219" s="113">
        <f>HLOOKUP($B219, '5. Allocation of Balances'!$D$4:$Z$77, 56,FALSE)</f>
        <v>0</v>
      </c>
      <c r="F219" s="114">
        <f t="shared" si="23"/>
        <v>0</v>
      </c>
      <c r="H219" s="37" t="str">
        <f t="shared" si="22"/>
        <v/>
      </c>
    </row>
    <row r="220" spans="2:8" x14ac:dyDescent="0.2">
      <c r="B220" s="111" t="str">
        <f t="shared" si="21"/>
        <v/>
      </c>
      <c r="C220" s="48"/>
      <c r="D220" s="112">
        <f>IF(C220="",0, IF(C220="kWh",'4. Billing Determinants'!E33, IF(C220="kW",'4. Billing Determinants'!F33,'4. Billing Determinants'!D33)))</f>
        <v>0</v>
      </c>
      <c r="E220" s="113">
        <f>HLOOKUP($B220, '5. Allocation of Balances'!$D$4:$Z$77, 56,FALSE)</f>
        <v>0</v>
      </c>
      <c r="F220" s="114">
        <f t="shared" si="23"/>
        <v>0</v>
      </c>
      <c r="H220" s="37" t="str">
        <f t="shared" si="22"/>
        <v/>
      </c>
    </row>
    <row r="221" spans="2:8" x14ac:dyDescent="0.2">
      <c r="B221" s="111" t="str">
        <f t="shared" si="21"/>
        <v/>
      </c>
      <c r="C221" s="48"/>
      <c r="D221" s="112">
        <f>IF(C221="",0, IF(C221="kWh",'4. Billing Determinants'!E34, IF(C221="kW",'4. Billing Determinants'!F34,'4. Billing Determinants'!D34)))</f>
        <v>0</v>
      </c>
      <c r="E221" s="113">
        <f>HLOOKUP($B221, '5. Allocation of Balances'!$D$4:$Z$77, 56,FALSE)</f>
        <v>0</v>
      </c>
      <c r="F221" s="114">
        <f t="shared" si="23"/>
        <v>0</v>
      </c>
      <c r="H221" s="37" t="str">
        <f t="shared" si="22"/>
        <v/>
      </c>
    </row>
    <row r="222" spans="2:8" x14ac:dyDescent="0.2">
      <c r="B222" s="111" t="str">
        <f t="shared" si="21"/>
        <v/>
      </c>
      <c r="C222" s="48"/>
      <c r="D222" s="112">
        <f>IF(C222="",0, IF(C222="kWh",'4. Billing Determinants'!E35, IF(C222="kW",'4. Billing Determinants'!F35,'4. Billing Determinants'!D35)))</f>
        <v>0</v>
      </c>
      <c r="E222" s="113">
        <f>HLOOKUP($B222, '5. Allocation of Balances'!$D$4:$Z$77, 56,FALSE)</f>
        <v>0</v>
      </c>
      <c r="F222" s="114">
        <f t="shared" si="23"/>
        <v>0</v>
      </c>
      <c r="H222" s="37" t="str">
        <f t="shared" si="22"/>
        <v/>
      </c>
    </row>
    <row r="223" spans="2:8" x14ac:dyDescent="0.2">
      <c r="B223" s="111" t="str">
        <f t="shared" si="21"/>
        <v/>
      </c>
      <c r="C223" s="48"/>
      <c r="D223" s="112">
        <f>IF(C223="",0, IF(C223="kWh",'4. Billing Determinants'!E36, IF(C223="kW",'4. Billing Determinants'!F36,'4. Billing Determinants'!D36)))</f>
        <v>0</v>
      </c>
      <c r="E223" s="113">
        <f>HLOOKUP($B223, '5. Allocation of Balances'!$D$4:$Z$77, 56,FALSE)</f>
        <v>0</v>
      </c>
      <c r="F223" s="114">
        <f t="shared" si="23"/>
        <v>0</v>
      </c>
      <c r="H223" s="37" t="str">
        <f t="shared" si="22"/>
        <v/>
      </c>
    </row>
    <row r="224" spans="2:8" x14ac:dyDescent="0.2">
      <c r="B224" s="111" t="str">
        <f t="shared" si="21"/>
        <v/>
      </c>
      <c r="C224" s="48"/>
      <c r="D224" s="112">
        <f>IF(C224="",0, IF(C224="kWh",'4. Billing Determinants'!E37, IF(C224="kW",'4. Billing Determinants'!F37,'4. Billing Determinants'!D37)))</f>
        <v>0</v>
      </c>
      <c r="E224" s="113">
        <f>HLOOKUP($B224, '5. Allocation of Balances'!$D$4:$Z$77, 56,FALSE)</f>
        <v>0</v>
      </c>
      <c r="F224" s="114">
        <f t="shared" si="23"/>
        <v>0</v>
      </c>
      <c r="H224" s="37" t="str">
        <f t="shared" si="22"/>
        <v/>
      </c>
    </row>
    <row r="225" spans="2:8" x14ac:dyDescent="0.2">
      <c r="B225" s="111" t="str">
        <f t="shared" si="21"/>
        <v/>
      </c>
      <c r="C225" s="48"/>
      <c r="D225" s="112">
        <f>IF(C225="",0, IF(C225="kWh",'4. Billing Determinants'!E38, IF(C225="kW",'4. Billing Determinants'!F38,'4. Billing Determinants'!D38)))</f>
        <v>0</v>
      </c>
      <c r="E225" s="113">
        <f>HLOOKUP($B225, '5. Allocation of Balances'!$D$4:$Z$77, 56,FALSE)</f>
        <v>0</v>
      </c>
      <c r="F225" s="114">
        <f t="shared" si="23"/>
        <v>0</v>
      </c>
      <c r="H225" s="37" t="str">
        <f t="shared" si="22"/>
        <v/>
      </c>
    </row>
    <row r="226" spans="2:8" x14ac:dyDescent="0.2">
      <c r="B226" s="111" t="str">
        <f t="shared" si="21"/>
        <v/>
      </c>
      <c r="C226" s="48"/>
      <c r="D226" s="112">
        <f>IF(C226="",0, IF(C226="kWh",'4. Billing Determinants'!E39, IF(C226="kW",'4. Billing Determinants'!F39,'4. Billing Determinants'!D39)))</f>
        <v>0</v>
      </c>
      <c r="E226" s="113">
        <f>HLOOKUP($B226, '5. Allocation of Balances'!$D$4:$Z$77, 56,FALSE)</f>
        <v>0</v>
      </c>
      <c r="F226" s="114">
        <f t="shared" si="23"/>
        <v>0</v>
      </c>
      <c r="H226" s="37" t="str">
        <f t="shared" si="22"/>
        <v/>
      </c>
    </row>
    <row r="227" spans="2:8" x14ac:dyDescent="0.2">
      <c r="B227" s="111" t="str">
        <f t="shared" si="21"/>
        <v/>
      </c>
      <c r="C227" s="48"/>
      <c r="D227" s="112">
        <f>IF(C227="",0, IF(C227="kWh",'4. Billing Determinants'!E40, IF(C227="kW",'4. Billing Determinants'!F40,'4. Billing Determinants'!D40)))</f>
        <v>0</v>
      </c>
      <c r="E227" s="113">
        <f>HLOOKUP($B227, '5. Allocation of Balances'!$D$4:$Z$77, 56,FALSE)</f>
        <v>0</v>
      </c>
      <c r="F227" s="114">
        <f t="shared" si="23"/>
        <v>0</v>
      </c>
      <c r="H227" s="37" t="str">
        <f t="shared" si="22"/>
        <v/>
      </c>
    </row>
    <row r="228" spans="2:8" x14ac:dyDescent="0.2">
      <c r="B228" s="116" t="s">
        <v>52</v>
      </c>
      <c r="C228" s="117"/>
      <c r="D228" s="118"/>
      <c r="E228" s="119">
        <f>SUM(E208:E227)</f>
        <v>198189</v>
      </c>
      <c r="F228" s="116"/>
    </row>
    <row r="230" spans="2:8" ht="18" x14ac:dyDescent="0.25">
      <c r="B230" s="109" t="s">
        <v>3461</v>
      </c>
    </row>
    <row r="231" spans="2:8" ht="12.75" customHeight="1" x14ac:dyDescent="0.25">
      <c r="B231" s="109"/>
    </row>
    <row r="232" spans="2:8" x14ac:dyDescent="0.2">
      <c r="B232" s="42" t="s">
        <v>426</v>
      </c>
      <c r="C232" s="43"/>
      <c r="D232" s="329">
        <v>12</v>
      </c>
    </row>
    <row r="233" spans="2:8" x14ac:dyDescent="0.2">
      <c r="B233" s="42"/>
      <c r="C233" s="43"/>
      <c r="D233" s="43"/>
    </row>
    <row r="234" spans="2:8" x14ac:dyDescent="0.2">
      <c r="B234" s="809" t="s">
        <v>60</v>
      </c>
      <c r="C234" s="808" t="s">
        <v>51</v>
      </c>
      <c r="D234" s="860" t="s">
        <v>65</v>
      </c>
      <c r="E234" s="860" t="s">
        <v>3462</v>
      </c>
      <c r="F234" s="803" t="s">
        <v>3463</v>
      </c>
    </row>
    <row r="235" spans="2:8" ht="22.9" customHeight="1" x14ac:dyDescent="0.2">
      <c r="B235" s="810"/>
      <c r="C235" s="808"/>
      <c r="D235" s="861"/>
      <c r="E235" s="861"/>
      <c r="F235" s="803"/>
    </row>
    <row r="236" spans="2:8" x14ac:dyDescent="0.2">
      <c r="B236" s="111" t="str">
        <f>B20</f>
        <v>RESIDENTIAL SERVICE CLASSIFICATION</v>
      </c>
      <c r="C236" s="545" t="s">
        <v>59</v>
      </c>
      <c r="D236" s="112">
        <f>IF(C236="",0, IF(C236="kWh",'4. Billing Determinants'!E21, IF(C236="kW",'4. Billing Determinants'!F21,'4. Billing Determinants'!D21)))</f>
        <v>30340</v>
      </c>
      <c r="E236" s="113">
        <f>HLOOKUP($B236, '5. Allocation of Balances'!$D$4:$Z$84, 81,FALSE)</f>
        <v>197336.97439183824</v>
      </c>
      <c r="F236" s="114">
        <f>IF(ISERROR(E236/D236), 0, IF(C236="# of Customers", E236/D236/$D$232, (E236/D236)/($D$232/12)))</f>
        <v>0.54201542076422282</v>
      </c>
    </row>
    <row r="237" spans="2:8" x14ac:dyDescent="0.2">
      <c r="B237" s="111" t="str">
        <f t="shared" ref="B237:B255" si="24">B21</f>
        <v>GENERAL SERVICE LESS THAN 50 KW SERVICE CLASSIFICATION</v>
      </c>
      <c r="C237" s="545" t="s">
        <v>59</v>
      </c>
      <c r="D237" s="112">
        <f>IF(C237="",0, IF(C237="kWh",'4. Billing Determinants'!E22, IF(C237="kW",'4. Billing Determinants'!F22,'4. Billing Determinants'!D22)))</f>
        <v>3400</v>
      </c>
      <c r="E237" s="113">
        <f>HLOOKUP($B237, '5. Allocation of Balances'!$D$4:$Z$84, 81,FALSE)</f>
        <v>49992.304974565261</v>
      </c>
      <c r="F237" s="114">
        <f t="shared" ref="F237:F255" si="25">IF(ISERROR(E237/D237), 0, IF(C237="# of Customers", E237/D237/$D$232, (E237/D237)/($D$232/12)))</f>
        <v>1.2253015925138544</v>
      </c>
    </row>
    <row r="238" spans="2:8" x14ac:dyDescent="0.2">
      <c r="B238" s="111" t="str">
        <f t="shared" si="24"/>
        <v>GENERAL SERVICE 50 TO 999 KW SERVICE CLASSIFICATION</v>
      </c>
      <c r="C238" s="545" t="s">
        <v>59</v>
      </c>
      <c r="D238" s="112">
        <f>IF(C238="",0, IF(C238="kWh",'4. Billing Determinants'!E23, IF(C238="kW",'4. Billing Determinants'!F23,'4. Billing Determinants'!D23)))</f>
        <v>344</v>
      </c>
      <c r="E238" s="113">
        <f>HLOOKUP($B238, '5. Allocation of Balances'!$D$4:$Z$84, 81,FALSE)</f>
        <v>73771.421497910633</v>
      </c>
      <c r="F238" s="114">
        <f t="shared" si="25"/>
        <v>17.870983889997731</v>
      </c>
    </row>
    <row r="239" spans="2:8" x14ac:dyDescent="0.2">
      <c r="B239" s="111" t="str">
        <f t="shared" si="24"/>
        <v>UNMETERED SCATTERED LOAD SERVICE CLASSIFICATION</v>
      </c>
      <c r="C239" s="545" t="s">
        <v>59</v>
      </c>
      <c r="D239" s="112">
        <f>IF(C239="",0, IF(C239="kWh",'4. Billing Determinants'!E24, IF(C239="kW",'4. Billing Determinants'!F24,'4. Billing Determinants'!D24)))</f>
        <v>25</v>
      </c>
      <c r="E239" s="113">
        <f>HLOOKUP($B239, '5. Allocation of Balances'!$D$4:$Z$84, 81,FALSE)</f>
        <v>645.11416610040271</v>
      </c>
      <c r="F239" s="114">
        <f t="shared" si="25"/>
        <v>2.150380553668009</v>
      </c>
    </row>
    <row r="240" spans="2:8" x14ac:dyDescent="0.2">
      <c r="B240" s="111" t="str">
        <f t="shared" si="24"/>
        <v>STREET LIGHTING SERVICE CLASSIFICATION</v>
      </c>
      <c r="C240" s="545" t="s">
        <v>59</v>
      </c>
      <c r="D240" s="112">
        <f>IF(C240="",0, IF(C240="kWh",'4. Billing Determinants'!E25, IF(C240="kW",'4. Billing Determinants'!F25,'4. Billing Determinants'!D25)))</f>
        <v>8037</v>
      </c>
      <c r="E240" s="113">
        <f>HLOOKUP($B240, '5. Allocation of Balances'!$D$4:$Z$84, 81,FALSE)</f>
        <v>3819.0944374629448</v>
      </c>
      <c r="F240" s="114">
        <f t="shared" si="25"/>
        <v>3.9599087941841325E-2</v>
      </c>
    </row>
    <row r="241" spans="2:6" x14ac:dyDescent="0.2">
      <c r="B241" s="111" t="str">
        <f t="shared" si="24"/>
        <v>SENTINEL LIGHTING SERVICE CLASSIFICATION</v>
      </c>
      <c r="C241" s="545" t="s">
        <v>59</v>
      </c>
      <c r="D241" s="112">
        <f>IF(C241="",0, IF(C241="kWh",'4. Billing Determinants'!E26, IF(C241="kW",'4. Billing Determinants'!F26,'4. Billing Determinants'!D26)))</f>
        <v>317</v>
      </c>
      <c r="E241" s="113">
        <f>HLOOKUP($B241, '5. Allocation of Balances'!$D$4:$Z$84, 81,FALSE)</f>
        <v>576.42016462240417</v>
      </c>
      <c r="F241" s="114">
        <f t="shared" si="25"/>
        <v>0.15153001173039016</v>
      </c>
    </row>
    <row r="242" spans="2:6" x14ac:dyDescent="0.2">
      <c r="B242" s="111" t="str">
        <f t="shared" si="24"/>
        <v/>
      </c>
      <c r="C242" s="545" t="s">
        <v>59</v>
      </c>
      <c r="D242" s="112">
        <f>IF(C242="",0, IF(C242="kWh",'4. Billing Determinants'!E27, IF(C242="kW",'4. Billing Determinants'!F27,'4. Billing Determinants'!D27)))</f>
        <v>0</v>
      </c>
      <c r="E242" s="113">
        <f>HLOOKUP($B242, '5. Allocation of Balances'!$D$4:$Z$84, 81,FALSE)</f>
        <v>0</v>
      </c>
      <c r="F242" s="114">
        <f t="shared" si="25"/>
        <v>0</v>
      </c>
    </row>
    <row r="243" spans="2:6" x14ac:dyDescent="0.2">
      <c r="B243" s="111" t="str">
        <f t="shared" si="24"/>
        <v/>
      </c>
      <c r="C243" s="545" t="s">
        <v>59</v>
      </c>
      <c r="D243" s="112">
        <f>IF(C243="",0, IF(C243="kWh",'4. Billing Determinants'!E28, IF(C243="kW",'4. Billing Determinants'!F28,'4. Billing Determinants'!D28)))</f>
        <v>0</v>
      </c>
      <c r="E243" s="113">
        <f>HLOOKUP($B243, '5. Allocation of Balances'!$D$4:$Z$84, 81,FALSE)</f>
        <v>0</v>
      </c>
      <c r="F243" s="114">
        <f t="shared" si="25"/>
        <v>0</v>
      </c>
    </row>
    <row r="244" spans="2:6" x14ac:dyDescent="0.2">
      <c r="B244" s="111" t="str">
        <f t="shared" si="24"/>
        <v/>
      </c>
      <c r="C244" s="545" t="s">
        <v>59</v>
      </c>
      <c r="D244" s="112">
        <f>IF(C244="",0, IF(C244="kWh",'4. Billing Determinants'!E29, IF(C244="kW",'4. Billing Determinants'!F29,'4. Billing Determinants'!D29)))</f>
        <v>0</v>
      </c>
      <c r="E244" s="113">
        <f>HLOOKUP($B244, '5. Allocation of Balances'!$D$4:$Z$84, 81,FALSE)</f>
        <v>0</v>
      </c>
      <c r="F244" s="114">
        <f t="shared" si="25"/>
        <v>0</v>
      </c>
    </row>
    <row r="245" spans="2:6" x14ac:dyDescent="0.2">
      <c r="B245" s="111" t="str">
        <f t="shared" si="24"/>
        <v/>
      </c>
      <c r="C245" s="545" t="s">
        <v>59</v>
      </c>
      <c r="D245" s="112">
        <f>IF(C245="",0, IF(C245="kWh",'4. Billing Determinants'!E30, IF(C245="kW",'4. Billing Determinants'!F30,'4. Billing Determinants'!D30)))</f>
        <v>0</v>
      </c>
      <c r="E245" s="113">
        <f>HLOOKUP($B245, '5. Allocation of Balances'!$D$4:$Z$84, 81,FALSE)</f>
        <v>0</v>
      </c>
      <c r="F245" s="114">
        <f t="shared" si="25"/>
        <v>0</v>
      </c>
    </row>
    <row r="246" spans="2:6" x14ac:dyDescent="0.2">
      <c r="B246" s="111" t="str">
        <f t="shared" si="24"/>
        <v/>
      </c>
      <c r="C246" s="545" t="s">
        <v>59</v>
      </c>
      <c r="D246" s="112">
        <f>IF(C246="",0, IF(C246="kWh",'4. Billing Determinants'!E31, IF(C246="kW",'4. Billing Determinants'!F31,'4. Billing Determinants'!D31)))</f>
        <v>0</v>
      </c>
      <c r="E246" s="113">
        <f>HLOOKUP($B246, '5. Allocation of Balances'!$D$4:$Z$84, 81,FALSE)</f>
        <v>0</v>
      </c>
      <c r="F246" s="114">
        <f t="shared" si="25"/>
        <v>0</v>
      </c>
    </row>
    <row r="247" spans="2:6" x14ac:dyDescent="0.2">
      <c r="B247" s="111" t="str">
        <f t="shared" si="24"/>
        <v/>
      </c>
      <c r="C247" s="545" t="s">
        <v>59</v>
      </c>
      <c r="D247" s="112">
        <f>IF(C247="",0, IF(C247="kWh",'4. Billing Determinants'!E32, IF(C247="kW",'4. Billing Determinants'!F32,'4. Billing Determinants'!D32)))</f>
        <v>0</v>
      </c>
      <c r="E247" s="113">
        <f>HLOOKUP($B247, '5. Allocation of Balances'!$D$4:$Z$84, 81,FALSE)</f>
        <v>0</v>
      </c>
      <c r="F247" s="114">
        <f t="shared" si="25"/>
        <v>0</v>
      </c>
    </row>
    <row r="248" spans="2:6" x14ac:dyDescent="0.2">
      <c r="B248" s="111" t="str">
        <f t="shared" si="24"/>
        <v/>
      </c>
      <c r="C248" s="545" t="s">
        <v>59</v>
      </c>
      <c r="D248" s="112">
        <f>IF(C248="",0, IF(C248="kWh",'4. Billing Determinants'!E33, IF(C248="kW",'4. Billing Determinants'!F33,'4. Billing Determinants'!D33)))</f>
        <v>0</v>
      </c>
      <c r="E248" s="113">
        <f>HLOOKUP($B248, '5. Allocation of Balances'!$D$4:$Z$84, 81,FALSE)</f>
        <v>0</v>
      </c>
      <c r="F248" s="114">
        <f t="shared" si="25"/>
        <v>0</v>
      </c>
    </row>
    <row r="249" spans="2:6" x14ac:dyDescent="0.2">
      <c r="B249" s="111" t="str">
        <f t="shared" si="24"/>
        <v/>
      </c>
      <c r="C249" s="545" t="s">
        <v>59</v>
      </c>
      <c r="D249" s="112">
        <f>IF(C249="",0, IF(C249="kWh",'4. Billing Determinants'!E34, IF(C249="kW",'4. Billing Determinants'!F34,'4. Billing Determinants'!D34)))</f>
        <v>0</v>
      </c>
      <c r="E249" s="113">
        <f>HLOOKUP($B249, '5. Allocation of Balances'!$D$4:$Z$84, 81,FALSE)</f>
        <v>0</v>
      </c>
      <c r="F249" s="114">
        <f t="shared" si="25"/>
        <v>0</v>
      </c>
    </row>
    <row r="250" spans="2:6" x14ac:dyDescent="0.2">
      <c r="B250" s="111" t="str">
        <f t="shared" si="24"/>
        <v/>
      </c>
      <c r="C250" s="545" t="s">
        <v>59</v>
      </c>
      <c r="D250" s="112">
        <f>IF(C250="",0, IF(C250="kWh",'4. Billing Determinants'!E35, IF(C250="kW",'4. Billing Determinants'!F35,'4. Billing Determinants'!D35)))</f>
        <v>0</v>
      </c>
      <c r="E250" s="113">
        <f>HLOOKUP($B250, '5. Allocation of Balances'!$D$4:$Z$84, 81,FALSE)</f>
        <v>0</v>
      </c>
      <c r="F250" s="114">
        <f t="shared" si="25"/>
        <v>0</v>
      </c>
    </row>
    <row r="251" spans="2:6" x14ac:dyDescent="0.2">
      <c r="B251" s="111" t="str">
        <f t="shared" si="24"/>
        <v/>
      </c>
      <c r="C251" s="545" t="s">
        <v>59</v>
      </c>
      <c r="D251" s="112">
        <f>IF(C251="",0, IF(C251="kWh",'4. Billing Determinants'!E36, IF(C251="kW",'4. Billing Determinants'!F36,'4. Billing Determinants'!D36)))</f>
        <v>0</v>
      </c>
      <c r="E251" s="113">
        <f>HLOOKUP($B251, '5. Allocation of Balances'!$D$4:$Z$84, 81,FALSE)</f>
        <v>0</v>
      </c>
      <c r="F251" s="114">
        <f t="shared" si="25"/>
        <v>0</v>
      </c>
    </row>
    <row r="252" spans="2:6" x14ac:dyDescent="0.2">
      <c r="B252" s="111" t="str">
        <f t="shared" si="24"/>
        <v/>
      </c>
      <c r="C252" s="545" t="s">
        <v>59</v>
      </c>
      <c r="D252" s="112">
        <f>IF(C252="",0, IF(C252="kWh",'4. Billing Determinants'!E37, IF(C252="kW",'4. Billing Determinants'!F37,'4. Billing Determinants'!D37)))</f>
        <v>0</v>
      </c>
      <c r="E252" s="113">
        <f>HLOOKUP($B252, '5. Allocation of Balances'!$D$4:$Z$84, 81,FALSE)</f>
        <v>0</v>
      </c>
      <c r="F252" s="114">
        <f t="shared" si="25"/>
        <v>0</v>
      </c>
    </row>
    <row r="253" spans="2:6" x14ac:dyDescent="0.2">
      <c r="B253" s="111" t="str">
        <f t="shared" si="24"/>
        <v/>
      </c>
      <c r="C253" s="545" t="s">
        <v>59</v>
      </c>
      <c r="D253" s="112">
        <f>IF(C253="",0, IF(C253="kWh",'4. Billing Determinants'!E38, IF(C253="kW",'4. Billing Determinants'!F38,'4. Billing Determinants'!D38)))</f>
        <v>0</v>
      </c>
      <c r="E253" s="113">
        <f>HLOOKUP($B253, '5. Allocation of Balances'!$D$4:$Z$84, 81,FALSE)</f>
        <v>0</v>
      </c>
      <c r="F253" s="114">
        <f t="shared" si="25"/>
        <v>0</v>
      </c>
    </row>
    <row r="254" spans="2:6" x14ac:dyDescent="0.2">
      <c r="B254" s="111" t="str">
        <f t="shared" si="24"/>
        <v/>
      </c>
      <c r="C254" s="545" t="s">
        <v>59</v>
      </c>
      <c r="D254" s="112">
        <f>IF(C254="",0, IF(C254="kWh",'4. Billing Determinants'!E39, IF(C254="kW",'4. Billing Determinants'!F39,'4. Billing Determinants'!D39)))</f>
        <v>0</v>
      </c>
      <c r="E254" s="113">
        <f>HLOOKUP($B254, '5. Allocation of Balances'!$D$4:$Z$84, 81,FALSE)</f>
        <v>0</v>
      </c>
      <c r="F254" s="114">
        <f t="shared" si="25"/>
        <v>0</v>
      </c>
    </row>
    <row r="255" spans="2:6" x14ac:dyDescent="0.2">
      <c r="B255" s="111" t="str">
        <f t="shared" si="24"/>
        <v/>
      </c>
      <c r="C255" s="545" t="s">
        <v>59</v>
      </c>
      <c r="D255" s="112">
        <f>IF(C255="",0, IF(C255="kWh",'4. Billing Determinants'!E40, IF(C255="kW",'4. Billing Determinants'!F40,'4. Billing Determinants'!D40)))</f>
        <v>0</v>
      </c>
      <c r="E255" s="113">
        <f>HLOOKUP($B255, '5. Allocation of Balances'!$D$4:$Z$84, 81,FALSE)</f>
        <v>0</v>
      </c>
      <c r="F255" s="114">
        <f t="shared" si="25"/>
        <v>0</v>
      </c>
    </row>
    <row r="256" spans="2:6" x14ac:dyDescent="0.2">
      <c r="B256" s="116" t="s">
        <v>52</v>
      </c>
      <c r="C256" s="117"/>
      <c r="D256" s="118"/>
      <c r="E256" s="119">
        <f>SUM(E236:E255)</f>
        <v>326141.32963249984</v>
      </c>
      <c r="F256" s="116"/>
    </row>
  </sheetData>
  <sheetProtection algorithmName="SHA-512" hashValue="ypkXqL2Yi+jgKv0N0fqHjkAWCQAheW9inuSrWZ0baqKArUmLuPNymbCJ5ETlAjnvk6IJrR8X5/yumyPzsmC0uw==" saltValue="9PDTIM4h9lhOcwgyGlT14w==" spinCount="100000" sheet="1" objects="1" scenarios="1"/>
  <mergeCells count="48">
    <mergeCell ref="B97:B98"/>
    <mergeCell ref="C97:C98"/>
    <mergeCell ref="E97:E98"/>
    <mergeCell ref="F97:F98"/>
    <mergeCell ref="D97:D98"/>
    <mergeCell ref="F123:F124"/>
    <mergeCell ref="B206:B207"/>
    <mergeCell ref="C206:C207"/>
    <mergeCell ref="D206:D207"/>
    <mergeCell ref="E206:E207"/>
    <mergeCell ref="F206:F207"/>
    <mergeCell ref="E70:E71"/>
    <mergeCell ref="F70:F71"/>
    <mergeCell ref="B178:B179"/>
    <mergeCell ref="C178:C179"/>
    <mergeCell ref="D178:D179"/>
    <mergeCell ref="E178:E179"/>
    <mergeCell ref="F178:F179"/>
    <mergeCell ref="B150:B151"/>
    <mergeCell ref="C150:C151"/>
    <mergeCell ref="D150:D151"/>
    <mergeCell ref="E150:E151"/>
    <mergeCell ref="F150:F151"/>
    <mergeCell ref="B123:B124"/>
    <mergeCell ref="C123:C124"/>
    <mergeCell ref="D123:D124"/>
    <mergeCell ref="E123:E124"/>
    <mergeCell ref="G70:G71"/>
    <mergeCell ref="I70:K76"/>
    <mergeCell ref="E18:E19"/>
    <mergeCell ref="F18:F19"/>
    <mergeCell ref="E44:E45"/>
    <mergeCell ref="F44:F45"/>
    <mergeCell ref="B67:F67"/>
    <mergeCell ref="C44:C45"/>
    <mergeCell ref="D44:D45"/>
    <mergeCell ref="B18:B19"/>
    <mergeCell ref="C18:C19"/>
    <mergeCell ref="B44:B45"/>
    <mergeCell ref="D18:D19"/>
    <mergeCell ref="B70:B71"/>
    <mergeCell ref="C70:C71"/>
    <mergeCell ref="D70:D71"/>
    <mergeCell ref="B234:B235"/>
    <mergeCell ref="C234:C235"/>
    <mergeCell ref="D234:D235"/>
    <mergeCell ref="E234:E235"/>
    <mergeCell ref="F234:F235"/>
  </mergeCells>
  <conditionalFormatting sqref="C20:C39">
    <cfRule type="cellIs" dxfId="15" priority="33" operator="equal">
      <formula>"kW"</formula>
    </cfRule>
  </conditionalFormatting>
  <conditionalFormatting sqref="H20:H39">
    <cfRule type="cellIs" dxfId="14" priority="30" operator="equal">
      <formula>"$/kW"</formula>
    </cfRule>
  </conditionalFormatting>
  <conditionalFormatting sqref="H180:H199">
    <cfRule type="cellIs" dxfId="13" priority="25" operator="equal">
      <formula>"$/kW"</formula>
    </cfRule>
  </conditionalFormatting>
  <conditionalFormatting sqref="G125:G144">
    <cfRule type="cellIs" dxfId="12" priority="21" operator="equal">
      <formula>"$/kW"</formula>
    </cfRule>
  </conditionalFormatting>
  <conditionalFormatting sqref="H152:H171">
    <cfRule type="cellIs" dxfId="11" priority="19" operator="equal">
      <formula>"$/kW"</formula>
    </cfRule>
  </conditionalFormatting>
  <conditionalFormatting sqref="H46:H65">
    <cfRule type="cellIs" dxfId="10" priority="17" operator="equal">
      <formula>"$/kW"</formula>
    </cfRule>
  </conditionalFormatting>
  <conditionalFormatting sqref="H99:H118">
    <cfRule type="cellIs" dxfId="9" priority="16" operator="equal">
      <formula>"$/kW"</formula>
    </cfRule>
  </conditionalFormatting>
  <conditionalFormatting sqref="H208:H227">
    <cfRule type="cellIs" dxfId="8" priority="15" operator="equal">
      <formula>"$/kW"</formula>
    </cfRule>
  </conditionalFormatting>
  <conditionalFormatting sqref="C46:C65">
    <cfRule type="cellIs" dxfId="7" priority="14" operator="equal">
      <formula>"kW"</formula>
    </cfRule>
  </conditionalFormatting>
  <conditionalFormatting sqref="C125:C144">
    <cfRule type="cellIs" dxfId="6" priority="12" operator="equal">
      <formula>"kW"</formula>
    </cfRule>
  </conditionalFormatting>
  <conditionalFormatting sqref="C181:C199">
    <cfRule type="cellIs" dxfId="5" priority="11" operator="equal">
      <formula>"kW"</formula>
    </cfRule>
  </conditionalFormatting>
  <conditionalFormatting sqref="C153:C171">
    <cfRule type="cellIs" dxfId="4" priority="8" operator="equal">
      <formula>"kW"</formula>
    </cfRule>
  </conditionalFormatting>
  <conditionalFormatting sqref="C72:C91">
    <cfRule type="cellIs" dxfId="3" priority="7" operator="equal">
      <formula>"kW"</formula>
    </cfRule>
  </conditionalFormatting>
  <conditionalFormatting sqref="H72:H91">
    <cfRule type="cellIs" dxfId="2" priority="6" operator="equal">
      <formula>"$/kW"</formula>
    </cfRule>
  </conditionalFormatting>
  <conditionalFormatting sqref="C208:C227">
    <cfRule type="cellIs" dxfId="1" priority="2" operator="equal">
      <formula>"kW"</formula>
    </cfRule>
  </conditionalFormatting>
  <conditionalFormatting sqref="C180">
    <cfRule type="cellIs" dxfId="0" priority="1" operator="equal">
      <formula>"kW"</formula>
    </cfRule>
  </conditionalFormatting>
  <dataValidations count="1">
    <dataValidation type="list" allowBlank="1" showInputMessage="1" showErrorMessage="1" sqref="C20:C39 C46:C65 C208:C227 C125:C144 C72:C91 C153:C171 C180:C199" xr:uid="{00000000-0002-0000-0D00-000000000000}">
      <formula1>"kWh, kW, # of Customers"</formula1>
    </dataValidation>
  </dataValidations>
  <pageMargins left="0.70866141732283472" right="0.70866141732283472" top="0.74803149606299213" bottom="0.74803149606299213" header="0.31496062992125984" footer="0.31496062992125984"/>
  <pageSetup scale="77" fitToHeight="4" orientation="portrait" r:id="rId1"/>
  <colBreaks count="1" manualBreakCount="1">
    <brk id="10"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L2874"/>
  <sheetViews>
    <sheetView showGridLines="0" workbookViewId="0">
      <selection sqref="A1:L2874"/>
    </sheetView>
  </sheetViews>
  <sheetFormatPr defaultRowHeight="12.75" x14ac:dyDescent="0.2"/>
  <cols>
    <col min="1" max="1" width="29" bestFit="1" customWidth="1"/>
    <col min="2" max="2" width="6.28515625" customWidth="1"/>
    <col min="3" max="3" width="9.85546875" bestFit="1" customWidth="1"/>
    <col min="4" max="4" width="24.28515625" customWidth="1"/>
    <col min="5" max="5" width="15" bestFit="1" customWidth="1"/>
    <col min="6" max="6" width="9.7109375" bestFit="1" customWidth="1"/>
    <col min="7" max="8" width="7" bestFit="1" customWidth="1"/>
    <col min="9" max="9" width="8.28515625" bestFit="1" customWidth="1"/>
    <col min="10" max="10" width="7" bestFit="1" customWidth="1"/>
    <col min="11" max="11" width="10.7109375" bestFit="1" customWidth="1"/>
    <col min="12" max="12" width="12.7109375" bestFit="1" customWidth="1"/>
    <col min="13" max="13" width="0.7109375" customWidth="1"/>
  </cols>
  <sheetData>
    <row r="1" spans="1:12" ht="15" x14ac:dyDescent="0.25">
      <c r="A1" s="556" t="s">
        <v>2911</v>
      </c>
      <c r="B1" s="555"/>
      <c r="C1" s="555"/>
      <c r="D1" s="555"/>
      <c r="E1" s="555"/>
      <c r="F1" s="555"/>
      <c r="G1" s="555"/>
      <c r="H1" s="555"/>
      <c r="I1" s="555"/>
      <c r="J1" s="555"/>
      <c r="K1" s="555"/>
      <c r="L1" s="555"/>
    </row>
    <row r="2" spans="1:12" ht="15" x14ac:dyDescent="0.25">
      <c r="A2" s="557" t="s">
        <v>3344</v>
      </c>
      <c r="B2" s="555"/>
      <c r="C2" s="555"/>
      <c r="D2" s="555"/>
      <c r="E2" s="555"/>
      <c r="F2" s="555"/>
      <c r="G2" s="555"/>
      <c r="H2" s="555"/>
      <c r="I2" s="555"/>
      <c r="J2" s="555"/>
      <c r="K2" s="555"/>
      <c r="L2" s="555"/>
    </row>
    <row r="3" spans="1:12" ht="15" x14ac:dyDescent="0.25">
      <c r="A3" s="558" t="s">
        <v>372</v>
      </c>
      <c r="B3" s="555"/>
      <c r="C3" s="555"/>
      <c r="D3" s="555"/>
      <c r="E3" s="555"/>
      <c r="F3" s="555"/>
      <c r="G3" s="555"/>
      <c r="H3" s="555"/>
      <c r="I3" s="555"/>
      <c r="J3" s="555"/>
      <c r="K3" s="555"/>
      <c r="L3" s="555"/>
    </row>
    <row r="4" spans="1:12" ht="22.5" x14ac:dyDescent="0.2">
      <c r="A4" s="559" t="s">
        <v>639</v>
      </c>
      <c r="B4" s="559" t="s">
        <v>640</v>
      </c>
      <c r="C4" s="559" t="s">
        <v>641</v>
      </c>
      <c r="D4" s="559" t="s">
        <v>642</v>
      </c>
      <c r="E4" s="559" t="s">
        <v>643</v>
      </c>
      <c r="F4" s="559" t="s">
        <v>644</v>
      </c>
      <c r="G4" s="559" t="s">
        <v>645</v>
      </c>
      <c r="H4" s="559" t="s">
        <v>646</v>
      </c>
      <c r="I4" s="559" t="s">
        <v>647</v>
      </c>
      <c r="J4" s="559" t="s">
        <v>648</v>
      </c>
      <c r="K4" s="559" t="s">
        <v>649</v>
      </c>
      <c r="L4" s="560" t="s">
        <v>650</v>
      </c>
    </row>
    <row r="5" spans="1:12" ht="22.5" x14ac:dyDescent="0.2">
      <c r="A5" s="561" t="s">
        <v>3345</v>
      </c>
      <c r="B5" s="562">
        <v>2021</v>
      </c>
      <c r="C5" s="561" t="s">
        <v>651</v>
      </c>
      <c r="D5" s="561" t="s">
        <v>3346</v>
      </c>
      <c r="E5" s="561" t="s">
        <v>653</v>
      </c>
      <c r="F5" s="563">
        <v>-364884.26</v>
      </c>
      <c r="G5" s="564"/>
      <c r="H5" s="561" t="s">
        <v>654</v>
      </c>
      <c r="I5" s="565"/>
      <c r="J5" s="565"/>
      <c r="K5" s="563">
        <v>0</v>
      </c>
      <c r="L5" s="566">
        <v>-364884.26</v>
      </c>
    </row>
    <row r="6" spans="1:12" ht="15" x14ac:dyDescent="0.2">
      <c r="A6" s="561" t="s">
        <v>3345</v>
      </c>
      <c r="B6" s="562">
        <v>2021</v>
      </c>
      <c r="C6" s="561" t="s">
        <v>655</v>
      </c>
      <c r="D6" s="561" t="s">
        <v>3347</v>
      </c>
      <c r="E6" s="561" t="s">
        <v>657</v>
      </c>
      <c r="F6" s="563">
        <v>0</v>
      </c>
      <c r="G6" s="564"/>
      <c r="H6" s="561" t="s">
        <v>654</v>
      </c>
      <c r="I6" s="565"/>
      <c r="J6" s="565"/>
      <c r="K6" s="563">
        <v>0</v>
      </c>
      <c r="L6" s="566">
        <v>0</v>
      </c>
    </row>
    <row r="7" spans="1:12" ht="56.25" x14ac:dyDescent="0.2">
      <c r="A7" s="561" t="s">
        <v>3345</v>
      </c>
      <c r="B7" s="562">
        <v>2021</v>
      </c>
      <c r="C7" s="561" t="s">
        <v>658</v>
      </c>
      <c r="D7" s="561" t="s">
        <v>3348</v>
      </c>
      <c r="E7" s="561" t="s">
        <v>447</v>
      </c>
      <c r="F7" s="563">
        <v>0</v>
      </c>
      <c r="G7" s="564"/>
      <c r="H7" s="561" t="s">
        <v>654</v>
      </c>
      <c r="I7" s="565"/>
      <c r="J7" s="565"/>
      <c r="K7" s="563">
        <v>0</v>
      </c>
      <c r="L7" s="566">
        <v>0</v>
      </c>
    </row>
    <row r="8" spans="1:12" ht="22.5" x14ac:dyDescent="0.2">
      <c r="A8" s="561" t="s">
        <v>3345</v>
      </c>
      <c r="B8" s="562">
        <v>2021</v>
      </c>
      <c r="C8" s="561" t="s">
        <v>660</v>
      </c>
      <c r="D8" s="561" t="s">
        <v>3349</v>
      </c>
      <c r="E8" s="561" t="s">
        <v>662</v>
      </c>
      <c r="F8" s="563">
        <v>0</v>
      </c>
      <c r="G8" s="564"/>
      <c r="H8" s="561" t="s">
        <v>654</v>
      </c>
      <c r="I8" s="565"/>
      <c r="J8" s="565"/>
      <c r="K8" s="563">
        <v>0</v>
      </c>
      <c r="L8" s="566">
        <v>0</v>
      </c>
    </row>
    <row r="9" spans="1:12" ht="33.75" x14ac:dyDescent="0.2">
      <c r="A9" s="561" t="s">
        <v>3345</v>
      </c>
      <c r="B9" s="562">
        <v>2021</v>
      </c>
      <c r="C9" s="561" t="s">
        <v>663</v>
      </c>
      <c r="D9" s="561" t="s">
        <v>3350</v>
      </c>
      <c r="E9" s="561" t="s">
        <v>665</v>
      </c>
      <c r="F9" s="563">
        <v>95928.79</v>
      </c>
      <c r="G9" s="564"/>
      <c r="H9" s="561" t="s">
        <v>654</v>
      </c>
      <c r="I9" s="565"/>
      <c r="J9" s="565"/>
      <c r="K9" s="563">
        <v>0</v>
      </c>
      <c r="L9" s="566">
        <v>95928.79</v>
      </c>
    </row>
    <row r="10" spans="1:12" ht="33.75" x14ac:dyDescent="0.2">
      <c r="A10" s="561" t="s">
        <v>3345</v>
      </c>
      <c r="B10" s="562">
        <v>2021</v>
      </c>
      <c r="C10" s="561" t="s">
        <v>666</v>
      </c>
      <c r="D10" s="561" t="s">
        <v>3351</v>
      </c>
      <c r="E10" s="561" t="s">
        <v>668</v>
      </c>
      <c r="F10" s="563">
        <v>0</v>
      </c>
      <c r="G10" s="564"/>
      <c r="H10" s="561" t="s">
        <v>654</v>
      </c>
      <c r="I10" s="565"/>
      <c r="J10" s="565"/>
      <c r="K10" s="563">
        <v>0</v>
      </c>
      <c r="L10" s="566">
        <v>0</v>
      </c>
    </row>
    <row r="11" spans="1:12" ht="56.25" x14ac:dyDescent="0.2">
      <c r="A11" s="561" t="s">
        <v>3345</v>
      </c>
      <c r="B11" s="562">
        <v>2021</v>
      </c>
      <c r="C11" s="561" t="s">
        <v>669</v>
      </c>
      <c r="D11" s="561" t="s">
        <v>3352</v>
      </c>
      <c r="E11" s="561" t="s">
        <v>671</v>
      </c>
      <c r="F11" s="563">
        <v>0</v>
      </c>
      <c r="G11" s="564"/>
      <c r="H11" s="561" t="s">
        <v>654</v>
      </c>
      <c r="I11" s="565"/>
      <c r="J11" s="565"/>
      <c r="K11" s="563">
        <v>0</v>
      </c>
      <c r="L11" s="566">
        <v>0</v>
      </c>
    </row>
    <row r="12" spans="1:12" ht="22.5" x14ac:dyDescent="0.2">
      <c r="A12" s="561" t="s">
        <v>3345</v>
      </c>
      <c r="B12" s="562">
        <v>2021</v>
      </c>
      <c r="C12" s="561" t="s">
        <v>672</v>
      </c>
      <c r="D12" s="561" t="s">
        <v>3353</v>
      </c>
      <c r="E12" s="561" t="s">
        <v>12</v>
      </c>
      <c r="F12" s="563">
        <v>0</v>
      </c>
      <c r="G12" s="564"/>
      <c r="H12" s="561" t="s">
        <v>654</v>
      </c>
      <c r="I12" s="565"/>
      <c r="J12" s="565"/>
      <c r="K12" s="563">
        <v>0</v>
      </c>
      <c r="L12" s="566">
        <v>0</v>
      </c>
    </row>
    <row r="13" spans="1:12" ht="22.5" x14ac:dyDescent="0.2">
      <c r="A13" s="561" t="s">
        <v>3345</v>
      </c>
      <c r="B13" s="562">
        <v>2021</v>
      </c>
      <c r="C13" s="561" t="s">
        <v>674</v>
      </c>
      <c r="D13" s="561" t="s">
        <v>3354</v>
      </c>
      <c r="E13" s="561" t="s">
        <v>13</v>
      </c>
      <c r="F13" s="563">
        <v>0</v>
      </c>
      <c r="G13" s="564"/>
      <c r="H13" s="561" t="s">
        <v>654</v>
      </c>
      <c r="I13" s="565"/>
      <c r="J13" s="565"/>
      <c r="K13" s="563">
        <v>0</v>
      </c>
      <c r="L13" s="566">
        <v>0</v>
      </c>
    </row>
    <row r="14" spans="1:12" ht="33.75" x14ac:dyDescent="0.2">
      <c r="A14" s="561" t="s">
        <v>3345</v>
      </c>
      <c r="B14" s="562">
        <v>2021</v>
      </c>
      <c r="C14" s="561" t="s">
        <v>676</v>
      </c>
      <c r="D14" s="561" t="s">
        <v>3355</v>
      </c>
      <c r="E14" s="561" t="s">
        <v>15</v>
      </c>
      <c r="F14" s="563">
        <v>0</v>
      </c>
      <c r="G14" s="564"/>
      <c r="H14" s="561" t="s">
        <v>654</v>
      </c>
      <c r="I14" s="565"/>
      <c r="J14" s="565"/>
      <c r="K14" s="563">
        <v>0</v>
      </c>
      <c r="L14" s="566">
        <v>0</v>
      </c>
    </row>
    <row r="15" spans="1:12" ht="15" x14ac:dyDescent="0.2">
      <c r="A15" s="561" t="s">
        <v>3345</v>
      </c>
      <c r="B15" s="562">
        <v>2021</v>
      </c>
      <c r="C15" s="561" t="s">
        <v>678</v>
      </c>
      <c r="D15" s="561" t="s">
        <v>3356</v>
      </c>
      <c r="E15" s="561" t="s">
        <v>680</v>
      </c>
      <c r="F15" s="563">
        <v>0</v>
      </c>
      <c r="G15" s="564"/>
      <c r="H15" s="561" t="s">
        <v>654</v>
      </c>
      <c r="I15" s="565"/>
      <c r="J15" s="565"/>
      <c r="K15" s="563">
        <v>0</v>
      </c>
      <c r="L15" s="566">
        <v>0</v>
      </c>
    </row>
    <row r="16" spans="1:12" ht="15" x14ac:dyDescent="0.2">
      <c r="A16" s="561" t="s">
        <v>3345</v>
      </c>
      <c r="B16" s="562">
        <v>2021</v>
      </c>
      <c r="C16" s="561" t="s">
        <v>681</v>
      </c>
      <c r="D16" s="561" t="s">
        <v>3357</v>
      </c>
      <c r="E16" s="561" t="s">
        <v>23</v>
      </c>
      <c r="F16" s="563">
        <v>1477239.14</v>
      </c>
      <c r="G16" s="561" t="s">
        <v>654</v>
      </c>
      <c r="H16" s="564"/>
      <c r="I16" s="563">
        <v>1430841.375</v>
      </c>
      <c r="J16" s="563">
        <v>46397.80078125</v>
      </c>
      <c r="K16" s="563">
        <v>1477239.125</v>
      </c>
      <c r="L16" s="566">
        <v>1477239.14</v>
      </c>
    </row>
    <row r="17" spans="1:12" ht="33.75" x14ac:dyDescent="0.2">
      <c r="A17" s="561" t="s">
        <v>3345</v>
      </c>
      <c r="B17" s="562">
        <v>2021</v>
      </c>
      <c r="C17" s="561" t="s">
        <v>683</v>
      </c>
      <c r="D17" s="561" t="s">
        <v>3358</v>
      </c>
      <c r="E17" s="561" t="s">
        <v>131</v>
      </c>
      <c r="F17" s="563">
        <v>-29539.14</v>
      </c>
      <c r="G17" s="561" t="s">
        <v>654</v>
      </c>
      <c r="H17" s="564"/>
      <c r="I17" s="563">
        <v>-28274.83984375</v>
      </c>
      <c r="J17" s="563">
        <v>-1264.30004882813</v>
      </c>
      <c r="K17" s="563">
        <v>-29539.140625</v>
      </c>
      <c r="L17" s="566">
        <v>-29539.14</v>
      </c>
    </row>
    <row r="18" spans="1:12" ht="33.75" x14ac:dyDescent="0.2">
      <c r="A18" s="561" t="s">
        <v>3345</v>
      </c>
      <c r="B18" s="562">
        <v>2021</v>
      </c>
      <c r="C18" s="561" t="s">
        <v>685</v>
      </c>
      <c r="D18" s="561" t="s">
        <v>3359</v>
      </c>
      <c r="E18" s="561" t="s">
        <v>687</v>
      </c>
      <c r="F18" s="563">
        <v>42930.41</v>
      </c>
      <c r="G18" s="564"/>
      <c r="H18" s="561" t="s">
        <v>654</v>
      </c>
      <c r="I18" s="565"/>
      <c r="J18" s="565"/>
      <c r="K18" s="563">
        <v>0</v>
      </c>
      <c r="L18" s="566">
        <v>42930.41</v>
      </c>
    </row>
    <row r="19" spans="1:12" ht="33.75" x14ac:dyDescent="0.2">
      <c r="A19" s="561" t="s">
        <v>3345</v>
      </c>
      <c r="B19" s="562">
        <v>2021</v>
      </c>
      <c r="C19" s="561" t="s">
        <v>685</v>
      </c>
      <c r="D19" s="561" t="s">
        <v>3359</v>
      </c>
      <c r="E19" s="561" t="s">
        <v>688</v>
      </c>
      <c r="F19" s="563">
        <v>42930.41</v>
      </c>
      <c r="G19" s="564"/>
      <c r="H19" s="561" t="s">
        <v>654</v>
      </c>
      <c r="I19" s="565"/>
      <c r="J19" s="565"/>
      <c r="K19" s="563">
        <v>0</v>
      </c>
      <c r="L19" s="566">
        <v>42930.41</v>
      </c>
    </row>
    <row r="20" spans="1:12" ht="22.5" x14ac:dyDescent="0.2">
      <c r="A20" s="561" t="s">
        <v>3345</v>
      </c>
      <c r="B20" s="562">
        <v>2021</v>
      </c>
      <c r="C20" s="561" t="s">
        <v>689</v>
      </c>
      <c r="D20" s="561" t="s">
        <v>3360</v>
      </c>
      <c r="E20" s="561" t="s">
        <v>691</v>
      </c>
      <c r="F20" s="563">
        <v>0</v>
      </c>
      <c r="G20" s="564"/>
      <c r="H20" s="561" t="s">
        <v>654</v>
      </c>
      <c r="I20" s="565"/>
      <c r="J20" s="565"/>
      <c r="K20" s="563">
        <v>0</v>
      </c>
      <c r="L20" s="566">
        <v>0</v>
      </c>
    </row>
    <row r="21" spans="1:12" ht="22.5" x14ac:dyDescent="0.2">
      <c r="A21" s="561" t="s">
        <v>3345</v>
      </c>
      <c r="B21" s="562">
        <v>2021</v>
      </c>
      <c r="C21" s="561" t="s">
        <v>692</v>
      </c>
      <c r="D21" s="561" t="s">
        <v>3361</v>
      </c>
      <c r="E21" s="561" t="s">
        <v>50</v>
      </c>
      <c r="F21" s="563">
        <v>79857.84</v>
      </c>
      <c r="G21" s="564"/>
      <c r="H21" s="561" t="s">
        <v>654</v>
      </c>
      <c r="I21" s="565"/>
      <c r="J21" s="565"/>
      <c r="K21" s="563">
        <v>0</v>
      </c>
      <c r="L21" s="566">
        <v>79857.84</v>
      </c>
    </row>
    <row r="22" spans="1:12" ht="22.5" x14ac:dyDescent="0.2">
      <c r="A22" s="561" t="s">
        <v>3345</v>
      </c>
      <c r="B22" s="562">
        <v>2021</v>
      </c>
      <c r="C22" s="561" t="s">
        <v>694</v>
      </c>
      <c r="D22" s="561" t="s">
        <v>3362</v>
      </c>
      <c r="E22" s="561" t="s">
        <v>696</v>
      </c>
      <c r="F22" s="563">
        <v>0</v>
      </c>
      <c r="G22" s="564"/>
      <c r="H22" s="561" t="s">
        <v>654</v>
      </c>
      <c r="I22" s="565"/>
      <c r="J22" s="565"/>
      <c r="K22" s="563">
        <v>0</v>
      </c>
      <c r="L22" s="566">
        <v>0</v>
      </c>
    </row>
    <row r="23" spans="1:12" ht="22.5" x14ac:dyDescent="0.2">
      <c r="A23" s="561" t="s">
        <v>3345</v>
      </c>
      <c r="B23" s="562">
        <v>2021</v>
      </c>
      <c r="C23" s="561" t="s">
        <v>697</v>
      </c>
      <c r="D23" s="561" t="s">
        <v>3363</v>
      </c>
      <c r="E23" s="561" t="s">
        <v>6</v>
      </c>
      <c r="F23" s="563">
        <v>0</v>
      </c>
      <c r="G23" s="564"/>
      <c r="H23" s="561" t="s">
        <v>654</v>
      </c>
      <c r="I23" s="565"/>
      <c r="J23" s="565"/>
      <c r="K23" s="563">
        <v>0</v>
      </c>
      <c r="L23" s="566">
        <v>0</v>
      </c>
    </row>
    <row r="24" spans="1:12" ht="33.75" x14ac:dyDescent="0.2">
      <c r="A24" s="561" t="s">
        <v>3345</v>
      </c>
      <c r="B24" s="562">
        <v>2021</v>
      </c>
      <c r="C24" s="561" t="s">
        <v>699</v>
      </c>
      <c r="D24" s="561" t="s">
        <v>3364</v>
      </c>
      <c r="E24" s="561" t="s">
        <v>701</v>
      </c>
      <c r="F24" s="563">
        <v>0</v>
      </c>
      <c r="G24" s="564"/>
      <c r="H24" s="561" t="s">
        <v>654</v>
      </c>
      <c r="I24" s="565"/>
      <c r="J24" s="565"/>
      <c r="K24" s="563">
        <v>0</v>
      </c>
      <c r="L24" s="566">
        <v>0</v>
      </c>
    </row>
    <row r="25" spans="1:12" ht="22.5" x14ac:dyDescent="0.2">
      <c r="A25" s="561" t="s">
        <v>3345</v>
      </c>
      <c r="B25" s="562">
        <v>2021</v>
      </c>
      <c r="C25" s="561" t="s">
        <v>702</v>
      </c>
      <c r="D25" s="561" t="s">
        <v>3365</v>
      </c>
      <c r="E25" s="561" t="s">
        <v>704</v>
      </c>
      <c r="F25" s="563">
        <v>9997.9699999999993</v>
      </c>
      <c r="G25" s="564"/>
      <c r="H25" s="561" t="s">
        <v>654</v>
      </c>
      <c r="I25" s="565"/>
      <c r="J25" s="565"/>
      <c r="K25" s="563">
        <v>0</v>
      </c>
      <c r="L25" s="566">
        <v>9997.9699999999993</v>
      </c>
    </row>
    <row r="26" spans="1:12" ht="33.75" x14ac:dyDescent="0.2">
      <c r="A26" s="561" t="s">
        <v>3345</v>
      </c>
      <c r="B26" s="562">
        <v>2021</v>
      </c>
      <c r="C26" s="561" t="s">
        <v>705</v>
      </c>
      <c r="D26" s="561" t="s">
        <v>3366</v>
      </c>
      <c r="E26" s="561" t="s">
        <v>1</v>
      </c>
      <c r="F26" s="563">
        <v>-2678632.48</v>
      </c>
      <c r="G26" s="561" t="s">
        <v>654</v>
      </c>
      <c r="H26" s="564"/>
      <c r="I26" s="563">
        <v>-2578702.25</v>
      </c>
      <c r="J26" s="563">
        <v>-99930.2421875</v>
      </c>
      <c r="K26" s="563">
        <v>-2678632.5</v>
      </c>
      <c r="L26" s="566">
        <v>-2678632.48</v>
      </c>
    </row>
    <row r="27" spans="1:12" ht="22.5" x14ac:dyDescent="0.2">
      <c r="A27" s="561" t="s">
        <v>3345</v>
      </c>
      <c r="B27" s="562">
        <v>2021</v>
      </c>
      <c r="C27" s="561" t="s">
        <v>705</v>
      </c>
      <c r="D27" s="561" t="s">
        <v>3366</v>
      </c>
      <c r="E27" s="561" t="s">
        <v>707</v>
      </c>
      <c r="F27" s="563">
        <v>0</v>
      </c>
      <c r="G27" s="564"/>
      <c r="H27" s="564"/>
      <c r="I27" s="565"/>
      <c r="J27" s="565"/>
      <c r="K27" s="563">
        <v>0</v>
      </c>
      <c r="L27" s="566">
        <v>0</v>
      </c>
    </row>
    <row r="28" spans="1:12" ht="22.5" x14ac:dyDescent="0.2">
      <c r="A28" s="561" t="s">
        <v>3345</v>
      </c>
      <c r="B28" s="562">
        <v>2021</v>
      </c>
      <c r="C28" s="561" t="s">
        <v>705</v>
      </c>
      <c r="D28" s="561" t="s">
        <v>3366</v>
      </c>
      <c r="E28" s="561" t="s">
        <v>708</v>
      </c>
      <c r="F28" s="563">
        <v>0</v>
      </c>
      <c r="G28" s="564"/>
      <c r="H28" s="564"/>
      <c r="I28" s="565"/>
      <c r="J28" s="565"/>
      <c r="K28" s="563">
        <v>0</v>
      </c>
      <c r="L28" s="566">
        <v>0</v>
      </c>
    </row>
    <row r="29" spans="1:12" ht="22.5" x14ac:dyDescent="0.2">
      <c r="A29" s="561" t="s">
        <v>3345</v>
      </c>
      <c r="B29" s="562">
        <v>2021</v>
      </c>
      <c r="C29" s="561" t="s">
        <v>705</v>
      </c>
      <c r="D29" s="561" t="s">
        <v>3366</v>
      </c>
      <c r="E29" s="561" t="s">
        <v>709</v>
      </c>
      <c r="F29" s="563">
        <v>0</v>
      </c>
      <c r="G29" s="564"/>
      <c r="H29" s="564"/>
      <c r="I29" s="565"/>
      <c r="J29" s="565"/>
      <c r="K29" s="563">
        <v>0</v>
      </c>
      <c r="L29" s="566">
        <v>0</v>
      </c>
    </row>
    <row r="30" spans="1:12" ht="22.5" x14ac:dyDescent="0.2">
      <c r="A30" s="561" t="s">
        <v>3345</v>
      </c>
      <c r="B30" s="562">
        <v>2021</v>
      </c>
      <c r="C30" s="561" t="s">
        <v>705</v>
      </c>
      <c r="D30" s="561" t="s">
        <v>3366</v>
      </c>
      <c r="E30" s="561" t="s">
        <v>710</v>
      </c>
      <c r="F30" s="563">
        <v>0</v>
      </c>
      <c r="G30" s="564"/>
      <c r="H30" s="564"/>
      <c r="I30" s="565"/>
      <c r="J30" s="565"/>
      <c r="K30" s="563">
        <v>0</v>
      </c>
      <c r="L30" s="566">
        <v>0</v>
      </c>
    </row>
    <row r="31" spans="1:12" ht="15" x14ac:dyDescent="0.2">
      <c r="A31" s="561" t="s">
        <v>3345</v>
      </c>
      <c r="B31" s="562">
        <v>2021</v>
      </c>
      <c r="C31" s="561" t="s">
        <v>711</v>
      </c>
      <c r="D31" s="561" t="s">
        <v>3367</v>
      </c>
      <c r="E31" s="561" t="s">
        <v>713</v>
      </c>
      <c r="F31" s="563">
        <v>0</v>
      </c>
      <c r="G31" s="564"/>
      <c r="H31" s="561" t="s">
        <v>654</v>
      </c>
      <c r="I31" s="565"/>
      <c r="J31" s="565"/>
      <c r="K31" s="563">
        <v>0</v>
      </c>
      <c r="L31" s="566">
        <v>0</v>
      </c>
    </row>
    <row r="32" spans="1:12" ht="33.75" x14ac:dyDescent="0.2">
      <c r="A32" s="561" t="s">
        <v>3345</v>
      </c>
      <c r="B32" s="562">
        <v>2021</v>
      </c>
      <c r="C32" s="561" t="s">
        <v>714</v>
      </c>
      <c r="D32" s="561" t="s">
        <v>3368</v>
      </c>
      <c r="E32" s="561" t="s">
        <v>2</v>
      </c>
      <c r="F32" s="563">
        <v>274215.13</v>
      </c>
      <c r="G32" s="561" t="s">
        <v>654</v>
      </c>
      <c r="H32" s="564"/>
      <c r="I32" s="563">
        <v>297132.5</v>
      </c>
      <c r="J32" s="563">
        <v>-22917.380859375</v>
      </c>
      <c r="K32" s="563">
        <v>274215.125</v>
      </c>
      <c r="L32" s="566">
        <v>274215.13</v>
      </c>
    </row>
    <row r="33" spans="1:12" ht="33.75" x14ac:dyDescent="0.2">
      <c r="A33" s="561" t="s">
        <v>3345</v>
      </c>
      <c r="B33" s="562">
        <v>2021</v>
      </c>
      <c r="C33" s="561" t="s">
        <v>716</v>
      </c>
      <c r="D33" s="561" t="s">
        <v>3369</v>
      </c>
      <c r="E33" s="561" t="s">
        <v>3</v>
      </c>
      <c r="F33" s="563">
        <v>572044.57999999996</v>
      </c>
      <c r="G33" s="561" t="s">
        <v>654</v>
      </c>
      <c r="H33" s="564"/>
      <c r="I33" s="563">
        <v>575812.8125</v>
      </c>
      <c r="J33" s="563">
        <v>-3768.25</v>
      </c>
      <c r="K33" s="563">
        <v>572044.5625</v>
      </c>
      <c r="L33" s="566">
        <v>572044.57999999996</v>
      </c>
    </row>
    <row r="34" spans="1:12" ht="33.75" x14ac:dyDescent="0.2">
      <c r="A34" s="561" t="s">
        <v>3345</v>
      </c>
      <c r="B34" s="562">
        <v>2021</v>
      </c>
      <c r="C34" s="561" t="s">
        <v>718</v>
      </c>
      <c r="D34" s="561" t="s">
        <v>3370</v>
      </c>
      <c r="E34" s="561" t="s">
        <v>38</v>
      </c>
      <c r="F34" s="563">
        <v>-745640.5</v>
      </c>
      <c r="G34" s="561" t="s">
        <v>654</v>
      </c>
      <c r="H34" s="564"/>
      <c r="I34" s="563">
        <v>-747854.6875</v>
      </c>
      <c r="J34" s="563">
        <v>2214.18994140625</v>
      </c>
      <c r="K34" s="563">
        <v>-745640.5</v>
      </c>
      <c r="L34" s="566">
        <v>-745640.5</v>
      </c>
    </row>
    <row r="35" spans="1:12" ht="22.5" x14ac:dyDescent="0.2">
      <c r="A35" s="561" t="s">
        <v>3345</v>
      </c>
      <c r="B35" s="562">
        <v>2021</v>
      </c>
      <c r="C35" s="561" t="s">
        <v>720</v>
      </c>
      <c r="D35" s="561" t="s">
        <v>3371</v>
      </c>
      <c r="E35" s="561" t="s">
        <v>66</v>
      </c>
      <c r="F35" s="563">
        <v>2636283.65</v>
      </c>
      <c r="G35" s="561" t="s">
        <v>654</v>
      </c>
      <c r="H35" s="564"/>
      <c r="I35" s="563">
        <v>2607701.75</v>
      </c>
      <c r="J35" s="563">
        <v>28581.9296875</v>
      </c>
      <c r="K35" s="563">
        <v>2636283.75</v>
      </c>
      <c r="L35" s="566">
        <v>2636283.65</v>
      </c>
    </row>
    <row r="36" spans="1:12" ht="45" x14ac:dyDescent="0.2">
      <c r="A36" s="561" t="s">
        <v>3345</v>
      </c>
      <c r="B36" s="562">
        <v>2021</v>
      </c>
      <c r="C36" s="561" t="s">
        <v>722</v>
      </c>
      <c r="D36" s="561" t="s">
        <v>3372</v>
      </c>
      <c r="E36" s="561" t="s">
        <v>724</v>
      </c>
      <c r="F36" s="563">
        <v>-150123.82</v>
      </c>
      <c r="G36" s="564"/>
      <c r="H36" s="561" t="s">
        <v>654</v>
      </c>
      <c r="I36" s="565"/>
      <c r="J36" s="565"/>
      <c r="K36" s="563">
        <v>0</v>
      </c>
      <c r="L36" s="566">
        <v>-150123.82</v>
      </c>
    </row>
    <row r="37" spans="1:12" ht="45" x14ac:dyDescent="0.2">
      <c r="A37" s="561" t="s">
        <v>3345</v>
      </c>
      <c r="B37" s="562">
        <v>2021</v>
      </c>
      <c r="C37" s="561" t="s">
        <v>725</v>
      </c>
      <c r="D37" s="561" t="s">
        <v>3373</v>
      </c>
      <c r="E37" s="561" t="s">
        <v>3024</v>
      </c>
      <c r="F37" s="563">
        <v>0</v>
      </c>
      <c r="G37" s="561" t="s">
        <v>654</v>
      </c>
      <c r="H37" s="564"/>
      <c r="I37" s="563">
        <v>30802</v>
      </c>
      <c r="J37" s="565"/>
      <c r="K37" s="563">
        <v>30802</v>
      </c>
      <c r="L37" s="566">
        <v>30802</v>
      </c>
    </row>
    <row r="38" spans="1:12" ht="45" x14ac:dyDescent="0.2">
      <c r="A38" s="561" t="s">
        <v>3345</v>
      </c>
      <c r="B38" s="562">
        <v>2021</v>
      </c>
      <c r="C38" s="561" t="s">
        <v>725</v>
      </c>
      <c r="D38" s="561" t="s">
        <v>3373</v>
      </c>
      <c r="E38" s="561" t="s">
        <v>3066</v>
      </c>
      <c r="F38" s="563">
        <v>0</v>
      </c>
      <c r="G38" s="561" t="s">
        <v>654</v>
      </c>
      <c r="H38" s="564"/>
      <c r="I38" s="565"/>
      <c r="J38" s="565"/>
      <c r="K38" s="563">
        <v>0</v>
      </c>
      <c r="L38" s="566">
        <v>0</v>
      </c>
    </row>
    <row r="39" spans="1:12" ht="45" x14ac:dyDescent="0.2">
      <c r="A39" s="561" t="s">
        <v>3345</v>
      </c>
      <c r="B39" s="562">
        <v>2021</v>
      </c>
      <c r="C39" s="561" t="s">
        <v>725</v>
      </c>
      <c r="D39" s="561" t="s">
        <v>3374</v>
      </c>
      <c r="E39" s="561" t="s">
        <v>728</v>
      </c>
      <c r="F39" s="563">
        <v>0</v>
      </c>
      <c r="G39" s="561" t="s">
        <v>654</v>
      </c>
      <c r="H39" s="564"/>
      <c r="I39" s="565"/>
      <c r="J39" s="565"/>
      <c r="K39" s="563">
        <v>0</v>
      </c>
      <c r="L39" s="566">
        <v>0</v>
      </c>
    </row>
    <row r="40" spans="1:12" ht="45" x14ac:dyDescent="0.2">
      <c r="A40" s="561" t="s">
        <v>3345</v>
      </c>
      <c r="B40" s="562">
        <v>2021</v>
      </c>
      <c r="C40" s="561" t="s">
        <v>725</v>
      </c>
      <c r="D40" s="561" t="s">
        <v>3375</v>
      </c>
      <c r="E40" s="561" t="s">
        <v>55</v>
      </c>
      <c r="F40" s="563">
        <v>0</v>
      </c>
      <c r="G40" s="561" t="s">
        <v>654</v>
      </c>
      <c r="H40" s="564"/>
      <c r="I40" s="565"/>
      <c r="J40" s="565"/>
      <c r="K40" s="563">
        <v>0</v>
      </c>
      <c r="L40" s="566">
        <v>0</v>
      </c>
    </row>
    <row r="41" spans="1:12" ht="45" x14ac:dyDescent="0.2">
      <c r="A41" s="561" t="s">
        <v>3345</v>
      </c>
      <c r="B41" s="562">
        <v>2021</v>
      </c>
      <c r="C41" s="561" t="s">
        <v>725</v>
      </c>
      <c r="D41" s="561" t="s">
        <v>3376</v>
      </c>
      <c r="E41" s="561" t="s">
        <v>56</v>
      </c>
      <c r="F41" s="563">
        <v>0</v>
      </c>
      <c r="G41" s="561" t="s">
        <v>654</v>
      </c>
      <c r="H41" s="564"/>
      <c r="I41" s="565"/>
      <c r="J41" s="565"/>
      <c r="K41" s="563">
        <v>0</v>
      </c>
      <c r="L41" s="566">
        <v>0</v>
      </c>
    </row>
    <row r="42" spans="1:12" ht="45" x14ac:dyDescent="0.2">
      <c r="A42" s="561" t="s">
        <v>3345</v>
      </c>
      <c r="B42" s="562">
        <v>2021</v>
      </c>
      <c r="C42" s="561" t="s">
        <v>725</v>
      </c>
      <c r="D42" s="561" t="s">
        <v>3377</v>
      </c>
      <c r="E42" s="561" t="s">
        <v>732</v>
      </c>
      <c r="F42" s="563">
        <v>0</v>
      </c>
      <c r="G42" s="561" t="s">
        <v>654</v>
      </c>
      <c r="H42" s="564"/>
      <c r="I42" s="565"/>
      <c r="J42" s="565"/>
      <c r="K42" s="563">
        <v>0</v>
      </c>
      <c r="L42" s="566">
        <v>0</v>
      </c>
    </row>
    <row r="43" spans="1:12" ht="45" x14ac:dyDescent="0.2">
      <c r="A43" s="561" t="s">
        <v>3345</v>
      </c>
      <c r="B43" s="562">
        <v>2021</v>
      </c>
      <c r="C43" s="561" t="s">
        <v>725</v>
      </c>
      <c r="D43" s="561" t="s">
        <v>3378</v>
      </c>
      <c r="E43" s="561" t="s">
        <v>734</v>
      </c>
      <c r="F43" s="563">
        <v>0</v>
      </c>
      <c r="G43" s="561" t="s">
        <v>654</v>
      </c>
      <c r="H43" s="564"/>
      <c r="I43" s="565"/>
      <c r="J43" s="563">
        <v>-21.469999313354499</v>
      </c>
      <c r="K43" s="563">
        <v>-21.469999313354499</v>
      </c>
      <c r="L43" s="566">
        <v>-21.47</v>
      </c>
    </row>
    <row r="44" spans="1:12" ht="45" x14ac:dyDescent="0.2">
      <c r="A44" s="561" t="s">
        <v>3345</v>
      </c>
      <c r="B44" s="562">
        <v>2021</v>
      </c>
      <c r="C44" s="561" t="s">
        <v>725</v>
      </c>
      <c r="D44" s="561" t="s">
        <v>3379</v>
      </c>
      <c r="E44" s="561" t="s">
        <v>142</v>
      </c>
      <c r="F44" s="563">
        <v>0</v>
      </c>
      <c r="G44" s="561" t="s">
        <v>654</v>
      </c>
      <c r="H44" s="564"/>
      <c r="I44" s="565"/>
      <c r="J44" s="563">
        <v>0.46000000834464999</v>
      </c>
      <c r="K44" s="563">
        <v>0.46000000834464999</v>
      </c>
      <c r="L44" s="566">
        <v>0.46</v>
      </c>
    </row>
    <row r="45" spans="1:12" ht="45" x14ac:dyDescent="0.2">
      <c r="A45" s="561" t="s">
        <v>3345</v>
      </c>
      <c r="B45" s="562">
        <v>2021</v>
      </c>
      <c r="C45" s="561" t="s">
        <v>725</v>
      </c>
      <c r="D45" s="561" t="s">
        <v>3380</v>
      </c>
      <c r="E45" s="561" t="s">
        <v>143</v>
      </c>
      <c r="F45" s="563">
        <v>0</v>
      </c>
      <c r="G45" s="561" t="s">
        <v>654</v>
      </c>
      <c r="H45" s="564"/>
      <c r="I45" s="565"/>
      <c r="J45" s="565"/>
      <c r="K45" s="563">
        <v>0</v>
      </c>
      <c r="L45" s="566">
        <v>0</v>
      </c>
    </row>
    <row r="46" spans="1:12" ht="45" x14ac:dyDescent="0.2">
      <c r="A46" s="561" t="s">
        <v>3345</v>
      </c>
      <c r="B46" s="562">
        <v>2021</v>
      </c>
      <c r="C46" s="561" t="s">
        <v>725</v>
      </c>
      <c r="D46" s="561" t="s">
        <v>3381</v>
      </c>
      <c r="E46" s="561" t="s">
        <v>182</v>
      </c>
      <c r="F46" s="563">
        <v>0</v>
      </c>
      <c r="G46" s="561" t="s">
        <v>654</v>
      </c>
      <c r="H46" s="564"/>
      <c r="I46" s="563">
        <v>260634.375</v>
      </c>
      <c r="J46" s="563">
        <v>83735.7734375</v>
      </c>
      <c r="K46" s="563">
        <v>344370.125</v>
      </c>
      <c r="L46" s="566">
        <v>344370.14</v>
      </c>
    </row>
    <row r="47" spans="1:12" ht="45" x14ac:dyDescent="0.2">
      <c r="A47" s="561" t="s">
        <v>3345</v>
      </c>
      <c r="B47" s="562">
        <v>2021</v>
      </c>
      <c r="C47" s="561" t="s">
        <v>725</v>
      </c>
      <c r="D47" s="561" t="s">
        <v>3382</v>
      </c>
      <c r="E47" s="561" t="s">
        <v>394</v>
      </c>
      <c r="F47" s="563">
        <v>0</v>
      </c>
      <c r="G47" s="561" t="s">
        <v>654</v>
      </c>
      <c r="H47" s="564"/>
      <c r="I47" s="563">
        <v>64938.94921875</v>
      </c>
      <c r="J47" s="563">
        <v>82897.921875</v>
      </c>
      <c r="K47" s="563">
        <v>147836.875</v>
      </c>
      <c r="L47" s="566">
        <v>147836.87</v>
      </c>
    </row>
    <row r="48" spans="1:12" ht="45" x14ac:dyDescent="0.2">
      <c r="A48" s="561" t="s">
        <v>3345</v>
      </c>
      <c r="B48" s="562">
        <v>2021</v>
      </c>
      <c r="C48" s="561" t="s">
        <v>725</v>
      </c>
      <c r="D48" s="561" t="s">
        <v>3383</v>
      </c>
      <c r="E48" s="561" t="s">
        <v>425</v>
      </c>
      <c r="F48" s="563">
        <v>0</v>
      </c>
      <c r="G48" s="561" t="s">
        <v>654</v>
      </c>
      <c r="H48" s="564"/>
      <c r="I48" s="565"/>
      <c r="J48" s="565"/>
      <c r="K48" s="563">
        <v>0</v>
      </c>
      <c r="L48" s="566">
        <v>0</v>
      </c>
    </row>
    <row r="49" spans="1:12" ht="45" x14ac:dyDescent="0.2">
      <c r="A49" s="561" t="s">
        <v>3345</v>
      </c>
      <c r="B49" s="562">
        <v>2021</v>
      </c>
      <c r="C49" s="561" t="s">
        <v>725</v>
      </c>
      <c r="D49" s="561" t="s">
        <v>3384</v>
      </c>
      <c r="E49" s="561" t="s">
        <v>443</v>
      </c>
      <c r="F49" s="563">
        <v>0</v>
      </c>
      <c r="G49" s="561" t="s">
        <v>654</v>
      </c>
      <c r="H49" s="564"/>
      <c r="I49" s="563">
        <v>33871.26953125</v>
      </c>
      <c r="J49" s="563">
        <v>-7370.85009765625</v>
      </c>
      <c r="K49" s="563">
        <v>26500.419921875</v>
      </c>
      <c r="L49" s="566">
        <v>26500.42</v>
      </c>
    </row>
    <row r="50" spans="1:12" ht="45" x14ac:dyDescent="0.2">
      <c r="A50" s="561" t="s">
        <v>3345</v>
      </c>
      <c r="B50" s="562">
        <v>2021</v>
      </c>
      <c r="C50" s="561" t="s">
        <v>725</v>
      </c>
      <c r="D50" s="561" t="s">
        <v>3385</v>
      </c>
      <c r="E50" s="561" t="s">
        <v>741</v>
      </c>
      <c r="F50" s="563">
        <v>549488.42000000004</v>
      </c>
      <c r="G50" s="564"/>
      <c r="H50" s="564"/>
      <c r="I50" s="565"/>
      <c r="J50" s="565"/>
      <c r="K50" s="563">
        <v>0</v>
      </c>
      <c r="L50" s="566">
        <v>549488.42000000004</v>
      </c>
    </row>
    <row r="51" spans="1:12" ht="22.5" x14ac:dyDescent="0.2">
      <c r="A51" s="561" t="s">
        <v>3345</v>
      </c>
      <c r="B51" s="562">
        <v>2021</v>
      </c>
      <c r="C51" s="561" t="s">
        <v>742</v>
      </c>
      <c r="D51" s="561" t="s">
        <v>3386</v>
      </c>
      <c r="E51" s="561" t="s">
        <v>7</v>
      </c>
      <c r="F51" s="563">
        <v>0</v>
      </c>
      <c r="G51" s="564"/>
      <c r="H51" s="561" t="s">
        <v>654</v>
      </c>
      <c r="I51" s="565"/>
      <c r="J51" s="565"/>
      <c r="K51" s="563">
        <v>0</v>
      </c>
      <c r="L51" s="566">
        <v>0</v>
      </c>
    </row>
    <row r="52" spans="1:12" ht="22.5" x14ac:dyDescent="0.2">
      <c r="A52" s="561" t="s">
        <v>197</v>
      </c>
      <c r="B52" s="562">
        <v>2021</v>
      </c>
      <c r="C52" s="561" t="s">
        <v>651</v>
      </c>
      <c r="D52" s="561" t="s">
        <v>652</v>
      </c>
      <c r="E52" s="561" t="s">
        <v>653</v>
      </c>
      <c r="F52" s="563">
        <v>-3656851.93</v>
      </c>
      <c r="G52" s="564"/>
      <c r="H52" s="561" t="s">
        <v>654</v>
      </c>
      <c r="I52" s="565"/>
      <c r="J52" s="565"/>
      <c r="K52" s="563">
        <v>0</v>
      </c>
      <c r="L52" s="566">
        <v>-3656851.93</v>
      </c>
    </row>
    <row r="53" spans="1:12" ht="15" x14ac:dyDescent="0.2">
      <c r="A53" s="561" t="s">
        <v>197</v>
      </c>
      <c r="B53" s="562">
        <v>2021</v>
      </c>
      <c r="C53" s="561" t="s">
        <v>655</v>
      </c>
      <c r="D53" s="561" t="s">
        <v>656</v>
      </c>
      <c r="E53" s="561" t="s">
        <v>657</v>
      </c>
      <c r="F53" s="563">
        <v>1529234.6</v>
      </c>
      <c r="G53" s="564"/>
      <c r="H53" s="561" t="s">
        <v>654</v>
      </c>
      <c r="I53" s="565"/>
      <c r="J53" s="565"/>
      <c r="K53" s="563">
        <v>0</v>
      </c>
      <c r="L53" s="566">
        <v>1529234.6</v>
      </c>
    </row>
    <row r="54" spans="1:12" ht="56.25" x14ac:dyDescent="0.2">
      <c r="A54" s="561" t="s">
        <v>197</v>
      </c>
      <c r="B54" s="562">
        <v>2021</v>
      </c>
      <c r="C54" s="561" t="s">
        <v>658</v>
      </c>
      <c r="D54" s="561" t="s">
        <v>659</v>
      </c>
      <c r="E54" s="561" t="s">
        <v>447</v>
      </c>
      <c r="F54" s="563">
        <v>-161252.03</v>
      </c>
      <c r="G54" s="564"/>
      <c r="H54" s="561" t="s">
        <v>654</v>
      </c>
      <c r="I54" s="565"/>
      <c r="J54" s="565"/>
      <c r="K54" s="563">
        <v>0</v>
      </c>
      <c r="L54" s="566">
        <v>-161252.03</v>
      </c>
    </row>
    <row r="55" spans="1:12" ht="22.5" x14ac:dyDescent="0.2">
      <c r="A55" s="561" t="s">
        <v>197</v>
      </c>
      <c r="B55" s="562">
        <v>2021</v>
      </c>
      <c r="C55" s="561" t="s">
        <v>660</v>
      </c>
      <c r="D55" s="561" t="s">
        <v>661</v>
      </c>
      <c r="E55" s="561" t="s">
        <v>662</v>
      </c>
      <c r="F55" s="563">
        <v>4552.82</v>
      </c>
      <c r="G55" s="564"/>
      <c r="H55" s="561" t="s">
        <v>654</v>
      </c>
      <c r="I55" s="565"/>
      <c r="J55" s="565"/>
      <c r="K55" s="563">
        <v>0</v>
      </c>
      <c r="L55" s="566">
        <v>4552.82</v>
      </c>
    </row>
    <row r="56" spans="1:12" ht="33.75" x14ac:dyDescent="0.2">
      <c r="A56" s="561" t="s">
        <v>197</v>
      </c>
      <c r="B56" s="562">
        <v>2021</v>
      </c>
      <c r="C56" s="561" t="s">
        <v>663</v>
      </c>
      <c r="D56" s="561" t="s">
        <v>664</v>
      </c>
      <c r="E56" s="561" t="s">
        <v>665</v>
      </c>
      <c r="F56" s="563">
        <v>942564.33</v>
      </c>
      <c r="G56" s="564"/>
      <c r="H56" s="561" t="s">
        <v>654</v>
      </c>
      <c r="I56" s="565"/>
      <c r="J56" s="565"/>
      <c r="K56" s="563">
        <v>0</v>
      </c>
      <c r="L56" s="566">
        <v>942564.33</v>
      </c>
    </row>
    <row r="57" spans="1:12" ht="33.75" x14ac:dyDescent="0.2">
      <c r="A57" s="561" t="s">
        <v>197</v>
      </c>
      <c r="B57" s="562">
        <v>2021</v>
      </c>
      <c r="C57" s="561" t="s">
        <v>666</v>
      </c>
      <c r="D57" s="561" t="s">
        <v>667</v>
      </c>
      <c r="E57" s="561" t="s">
        <v>668</v>
      </c>
      <c r="F57" s="563">
        <v>710817.25</v>
      </c>
      <c r="G57" s="564"/>
      <c r="H57" s="561" t="s">
        <v>654</v>
      </c>
      <c r="I57" s="565"/>
      <c r="J57" s="565"/>
      <c r="K57" s="563">
        <v>0</v>
      </c>
      <c r="L57" s="566">
        <v>710817.25</v>
      </c>
    </row>
    <row r="58" spans="1:12" ht="56.25" x14ac:dyDescent="0.2">
      <c r="A58" s="561" t="s">
        <v>197</v>
      </c>
      <c r="B58" s="562">
        <v>2021</v>
      </c>
      <c r="C58" s="561" t="s">
        <v>669</v>
      </c>
      <c r="D58" s="561" t="s">
        <v>670</v>
      </c>
      <c r="E58" s="561" t="s">
        <v>671</v>
      </c>
      <c r="F58" s="563">
        <v>-747029.25</v>
      </c>
      <c r="G58" s="564"/>
      <c r="H58" s="561" t="s">
        <v>654</v>
      </c>
      <c r="I58" s="565"/>
      <c r="J58" s="565"/>
      <c r="K58" s="563">
        <v>0</v>
      </c>
      <c r="L58" s="566">
        <v>-747029.25</v>
      </c>
    </row>
    <row r="59" spans="1:12" ht="22.5" x14ac:dyDescent="0.2">
      <c r="A59" s="561" t="s">
        <v>197</v>
      </c>
      <c r="B59" s="562">
        <v>2021</v>
      </c>
      <c r="C59" s="561" t="s">
        <v>672</v>
      </c>
      <c r="D59" s="561" t="s">
        <v>673</v>
      </c>
      <c r="E59" s="561" t="s">
        <v>12</v>
      </c>
      <c r="F59" s="563">
        <v>0</v>
      </c>
      <c r="G59" s="564"/>
      <c r="H59" s="561" t="s">
        <v>654</v>
      </c>
      <c r="I59" s="565"/>
      <c r="J59" s="565"/>
      <c r="K59" s="563">
        <v>0</v>
      </c>
      <c r="L59" s="566">
        <v>0</v>
      </c>
    </row>
    <row r="60" spans="1:12" ht="22.5" x14ac:dyDescent="0.2">
      <c r="A60" s="561" t="s">
        <v>197</v>
      </c>
      <c r="B60" s="562">
        <v>2021</v>
      </c>
      <c r="C60" s="561" t="s">
        <v>674</v>
      </c>
      <c r="D60" s="561" t="s">
        <v>675</v>
      </c>
      <c r="E60" s="561" t="s">
        <v>13</v>
      </c>
      <c r="F60" s="563">
        <v>2937825.65</v>
      </c>
      <c r="G60" s="564"/>
      <c r="H60" s="561" t="s">
        <v>654</v>
      </c>
      <c r="I60" s="565"/>
      <c r="J60" s="565"/>
      <c r="K60" s="563">
        <v>0</v>
      </c>
      <c r="L60" s="566">
        <v>2937825.65</v>
      </c>
    </row>
    <row r="61" spans="1:12" ht="33.75" x14ac:dyDescent="0.2">
      <c r="A61" s="561" t="s">
        <v>197</v>
      </c>
      <c r="B61" s="562">
        <v>2021</v>
      </c>
      <c r="C61" s="561" t="s">
        <v>676</v>
      </c>
      <c r="D61" s="561" t="s">
        <v>677</v>
      </c>
      <c r="E61" s="561" t="s">
        <v>15</v>
      </c>
      <c r="F61" s="563">
        <v>-6886.18</v>
      </c>
      <c r="G61" s="564"/>
      <c r="H61" s="561" t="s">
        <v>654</v>
      </c>
      <c r="I61" s="565"/>
      <c r="J61" s="565"/>
      <c r="K61" s="563">
        <v>0</v>
      </c>
      <c r="L61" s="566">
        <v>-6886.18</v>
      </c>
    </row>
    <row r="62" spans="1:12" ht="15" x14ac:dyDescent="0.2">
      <c r="A62" s="561" t="s">
        <v>197</v>
      </c>
      <c r="B62" s="562">
        <v>2021</v>
      </c>
      <c r="C62" s="561" t="s">
        <v>678</v>
      </c>
      <c r="D62" s="561" t="s">
        <v>679</v>
      </c>
      <c r="E62" s="561" t="s">
        <v>680</v>
      </c>
      <c r="F62" s="563">
        <v>564138.35</v>
      </c>
      <c r="G62" s="564"/>
      <c r="H62" s="561" t="s">
        <v>654</v>
      </c>
      <c r="I62" s="565"/>
      <c r="J62" s="565"/>
      <c r="K62" s="563">
        <v>0</v>
      </c>
      <c r="L62" s="566">
        <v>564138.35</v>
      </c>
    </row>
    <row r="63" spans="1:12" ht="15" x14ac:dyDescent="0.2">
      <c r="A63" s="561" t="s">
        <v>197</v>
      </c>
      <c r="B63" s="562">
        <v>2021</v>
      </c>
      <c r="C63" s="561" t="s">
        <v>681</v>
      </c>
      <c r="D63" s="561" t="s">
        <v>682</v>
      </c>
      <c r="E63" s="561" t="s">
        <v>23</v>
      </c>
      <c r="F63" s="563">
        <v>16749267.369999999</v>
      </c>
      <c r="G63" s="561" t="s">
        <v>654</v>
      </c>
      <c r="H63" s="564"/>
      <c r="I63" s="563">
        <v>16541152</v>
      </c>
      <c r="J63" s="563">
        <v>208115.28125</v>
      </c>
      <c r="K63" s="563">
        <v>16749267</v>
      </c>
      <c r="L63" s="566">
        <v>16749267.369999999</v>
      </c>
    </row>
    <row r="64" spans="1:12" ht="33.75" x14ac:dyDescent="0.2">
      <c r="A64" s="561" t="s">
        <v>197</v>
      </c>
      <c r="B64" s="562">
        <v>2021</v>
      </c>
      <c r="C64" s="561" t="s">
        <v>683</v>
      </c>
      <c r="D64" s="561" t="s">
        <v>684</v>
      </c>
      <c r="E64" s="561" t="s">
        <v>131</v>
      </c>
      <c r="F64" s="563">
        <v>-696333.35</v>
      </c>
      <c r="G64" s="561" t="s">
        <v>654</v>
      </c>
      <c r="H64" s="564"/>
      <c r="I64" s="563">
        <v>-671806.4375</v>
      </c>
      <c r="J64" s="563">
        <v>-24526.9296875</v>
      </c>
      <c r="K64" s="563">
        <v>-696333.375</v>
      </c>
      <c r="L64" s="566">
        <v>-696333.35</v>
      </c>
    </row>
    <row r="65" spans="1:12" ht="33.75" x14ac:dyDescent="0.2">
      <c r="A65" s="561" t="s">
        <v>197</v>
      </c>
      <c r="B65" s="562">
        <v>2021</v>
      </c>
      <c r="C65" s="561" t="s">
        <v>685</v>
      </c>
      <c r="D65" s="561" t="s">
        <v>686</v>
      </c>
      <c r="E65" s="561" t="s">
        <v>687</v>
      </c>
      <c r="F65" s="563">
        <v>433596.72</v>
      </c>
      <c r="G65" s="564"/>
      <c r="H65" s="561" t="s">
        <v>654</v>
      </c>
      <c r="I65" s="565"/>
      <c r="J65" s="565"/>
      <c r="K65" s="563">
        <v>0</v>
      </c>
      <c r="L65" s="566">
        <v>433596.72</v>
      </c>
    </row>
    <row r="66" spans="1:12" ht="33.75" x14ac:dyDescent="0.2">
      <c r="A66" s="561" t="s">
        <v>197</v>
      </c>
      <c r="B66" s="562">
        <v>2021</v>
      </c>
      <c r="C66" s="561" t="s">
        <v>685</v>
      </c>
      <c r="D66" s="561" t="s">
        <v>686</v>
      </c>
      <c r="E66" s="561" t="s">
        <v>688</v>
      </c>
      <c r="F66" s="563">
        <v>433596.72</v>
      </c>
      <c r="G66" s="564"/>
      <c r="H66" s="561" t="s">
        <v>654</v>
      </c>
      <c r="I66" s="565"/>
      <c r="J66" s="565"/>
      <c r="K66" s="563">
        <v>0</v>
      </c>
      <c r="L66" s="566">
        <v>433596.72</v>
      </c>
    </row>
    <row r="67" spans="1:12" ht="22.5" x14ac:dyDescent="0.2">
      <c r="A67" s="561" t="s">
        <v>197</v>
      </c>
      <c r="B67" s="562">
        <v>2021</v>
      </c>
      <c r="C67" s="561" t="s">
        <v>689</v>
      </c>
      <c r="D67" s="561" t="s">
        <v>690</v>
      </c>
      <c r="E67" s="561" t="s">
        <v>691</v>
      </c>
      <c r="F67" s="563">
        <v>10045651.58</v>
      </c>
      <c r="G67" s="564"/>
      <c r="H67" s="561" t="s">
        <v>654</v>
      </c>
      <c r="I67" s="565"/>
      <c r="J67" s="565"/>
      <c r="K67" s="563">
        <v>0</v>
      </c>
      <c r="L67" s="566">
        <v>10045651.58</v>
      </c>
    </row>
    <row r="68" spans="1:12" ht="22.5" x14ac:dyDescent="0.2">
      <c r="A68" s="561" t="s">
        <v>197</v>
      </c>
      <c r="B68" s="562">
        <v>2021</v>
      </c>
      <c r="C68" s="561" t="s">
        <v>692</v>
      </c>
      <c r="D68" s="561" t="s">
        <v>693</v>
      </c>
      <c r="E68" s="561" t="s">
        <v>50</v>
      </c>
      <c r="F68" s="563">
        <v>26814937.09</v>
      </c>
      <c r="G68" s="564"/>
      <c r="H68" s="561" t="s">
        <v>654</v>
      </c>
      <c r="I68" s="565"/>
      <c r="J68" s="565"/>
      <c r="K68" s="563">
        <v>0</v>
      </c>
      <c r="L68" s="566">
        <v>26814937.09</v>
      </c>
    </row>
    <row r="69" spans="1:12" ht="22.5" x14ac:dyDescent="0.2">
      <c r="A69" s="561" t="s">
        <v>197</v>
      </c>
      <c r="B69" s="562">
        <v>2021</v>
      </c>
      <c r="C69" s="561" t="s">
        <v>694</v>
      </c>
      <c r="D69" s="561" t="s">
        <v>695</v>
      </c>
      <c r="E69" s="561" t="s">
        <v>696</v>
      </c>
      <c r="F69" s="563">
        <v>0</v>
      </c>
      <c r="G69" s="564"/>
      <c r="H69" s="561" t="s">
        <v>654</v>
      </c>
      <c r="I69" s="565"/>
      <c r="J69" s="565"/>
      <c r="K69" s="563">
        <v>0</v>
      </c>
      <c r="L69" s="566">
        <v>0</v>
      </c>
    </row>
    <row r="70" spans="1:12" ht="22.5" x14ac:dyDescent="0.2">
      <c r="A70" s="561" t="s">
        <v>197</v>
      </c>
      <c r="B70" s="562">
        <v>2021</v>
      </c>
      <c r="C70" s="561" t="s">
        <v>697</v>
      </c>
      <c r="D70" s="561" t="s">
        <v>698</v>
      </c>
      <c r="E70" s="561" t="s">
        <v>6</v>
      </c>
      <c r="F70" s="563">
        <v>0</v>
      </c>
      <c r="G70" s="564"/>
      <c r="H70" s="561" t="s">
        <v>654</v>
      </c>
      <c r="I70" s="565"/>
      <c r="J70" s="565"/>
      <c r="K70" s="563">
        <v>0</v>
      </c>
      <c r="L70" s="566">
        <v>0</v>
      </c>
    </row>
    <row r="71" spans="1:12" ht="33.75" x14ac:dyDescent="0.2">
      <c r="A71" s="561" t="s">
        <v>197</v>
      </c>
      <c r="B71" s="562">
        <v>2021</v>
      </c>
      <c r="C71" s="561" t="s">
        <v>699</v>
      </c>
      <c r="D71" s="561" t="s">
        <v>700</v>
      </c>
      <c r="E71" s="561" t="s">
        <v>701</v>
      </c>
      <c r="F71" s="563">
        <v>0</v>
      </c>
      <c r="G71" s="564"/>
      <c r="H71" s="561" t="s">
        <v>654</v>
      </c>
      <c r="I71" s="565"/>
      <c r="J71" s="565"/>
      <c r="K71" s="563">
        <v>0</v>
      </c>
      <c r="L71" s="566">
        <v>0</v>
      </c>
    </row>
    <row r="72" spans="1:12" ht="22.5" x14ac:dyDescent="0.2">
      <c r="A72" s="561" t="s">
        <v>197</v>
      </c>
      <c r="B72" s="562">
        <v>2021</v>
      </c>
      <c r="C72" s="561" t="s">
        <v>702</v>
      </c>
      <c r="D72" s="561" t="s">
        <v>703</v>
      </c>
      <c r="E72" s="561" t="s">
        <v>704</v>
      </c>
      <c r="F72" s="563">
        <v>0</v>
      </c>
      <c r="G72" s="564"/>
      <c r="H72" s="561" t="s">
        <v>654</v>
      </c>
      <c r="I72" s="565"/>
      <c r="J72" s="565"/>
      <c r="K72" s="563">
        <v>0</v>
      </c>
      <c r="L72" s="566">
        <v>0</v>
      </c>
    </row>
    <row r="73" spans="1:12" ht="33.75" x14ac:dyDescent="0.2">
      <c r="A73" s="561" t="s">
        <v>197</v>
      </c>
      <c r="B73" s="562">
        <v>2021</v>
      </c>
      <c r="C73" s="561" t="s">
        <v>705</v>
      </c>
      <c r="D73" s="561" t="s">
        <v>706</v>
      </c>
      <c r="E73" s="561" t="s">
        <v>1</v>
      </c>
      <c r="F73" s="563">
        <v>-22839244.23</v>
      </c>
      <c r="G73" s="561" t="s">
        <v>654</v>
      </c>
      <c r="H73" s="564"/>
      <c r="I73" s="563">
        <v>-22575748</v>
      </c>
      <c r="J73" s="563">
        <v>-263497.21875</v>
      </c>
      <c r="K73" s="563">
        <v>-22839244</v>
      </c>
      <c r="L73" s="566">
        <v>-22839244.23</v>
      </c>
    </row>
    <row r="74" spans="1:12" ht="22.5" x14ac:dyDescent="0.2">
      <c r="A74" s="561" t="s">
        <v>197</v>
      </c>
      <c r="B74" s="562">
        <v>2021</v>
      </c>
      <c r="C74" s="561" t="s">
        <v>705</v>
      </c>
      <c r="D74" s="561" t="s">
        <v>706</v>
      </c>
      <c r="E74" s="561" t="s">
        <v>707</v>
      </c>
      <c r="F74" s="563">
        <v>0</v>
      </c>
      <c r="G74" s="564"/>
      <c r="H74" s="564"/>
      <c r="I74" s="565"/>
      <c r="J74" s="565"/>
      <c r="K74" s="563">
        <v>0</v>
      </c>
      <c r="L74" s="566">
        <v>0</v>
      </c>
    </row>
    <row r="75" spans="1:12" ht="22.5" x14ac:dyDescent="0.2">
      <c r="A75" s="561" t="s">
        <v>197</v>
      </c>
      <c r="B75" s="562">
        <v>2021</v>
      </c>
      <c r="C75" s="561" t="s">
        <v>705</v>
      </c>
      <c r="D75" s="561" t="s">
        <v>706</v>
      </c>
      <c r="E75" s="561" t="s">
        <v>708</v>
      </c>
      <c r="F75" s="563">
        <v>0</v>
      </c>
      <c r="G75" s="564"/>
      <c r="H75" s="564"/>
      <c r="I75" s="565"/>
      <c r="J75" s="565"/>
      <c r="K75" s="563">
        <v>0</v>
      </c>
      <c r="L75" s="566">
        <v>0</v>
      </c>
    </row>
    <row r="76" spans="1:12" ht="22.5" x14ac:dyDescent="0.2">
      <c r="A76" s="561" t="s">
        <v>197</v>
      </c>
      <c r="B76" s="562">
        <v>2021</v>
      </c>
      <c r="C76" s="561" t="s">
        <v>705</v>
      </c>
      <c r="D76" s="561" t="s">
        <v>706</v>
      </c>
      <c r="E76" s="561" t="s">
        <v>709</v>
      </c>
      <c r="F76" s="563">
        <v>-68675.69</v>
      </c>
      <c r="G76" s="564"/>
      <c r="H76" s="564"/>
      <c r="I76" s="565"/>
      <c r="J76" s="565"/>
      <c r="K76" s="563">
        <v>0</v>
      </c>
      <c r="L76" s="566">
        <v>-68675.69</v>
      </c>
    </row>
    <row r="77" spans="1:12" ht="22.5" x14ac:dyDescent="0.2">
      <c r="A77" s="561" t="s">
        <v>197</v>
      </c>
      <c r="B77" s="562">
        <v>2021</v>
      </c>
      <c r="C77" s="561" t="s">
        <v>705</v>
      </c>
      <c r="D77" s="561" t="s">
        <v>706</v>
      </c>
      <c r="E77" s="561" t="s">
        <v>710</v>
      </c>
      <c r="F77" s="563">
        <v>-2534364.37</v>
      </c>
      <c r="G77" s="564"/>
      <c r="H77" s="564"/>
      <c r="I77" s="565"/>
      <c r="J77" s="565"/>
      <c r="K77" s="563">
        <v>0</v>
      </c>
      <c r="L77" s="566">
        <v>-2534364.37</v>
      </c>
    </row>
    <row r="78" spans="1:12" ht="15" x14ac:dyDescent="0.2">
      <c r="A78" s="561" t="s">
        <v>197</v>
      </c>
      <c r="B78" s="562">
        <v>2021</v>
      </c>
      <c r="C78" s="561" t="s">
        <v>711</v>
      </c>
      <c r="D78" s="561" t="s">
        <v>712</v>
      </c>
      <c r="E78" s="561" t="s">
        <v>713</v>
      </c>
      <c r="F78" s="563">
        <v>0</v>
      </c>
      <c r="G78" s="564"/>
      <c r="H78" s="561" t="s">
        <v>654</v>
      </c>
      <c r="I78" s="565"/>
      <c r="J78" s="565"/>
      <c r="K78" s="563">
        <v>0</v>
      </c>
      <c r="L78" s="566">
        <v>0</v>
      </c>
    </row>
    <row r="79" spans="1:12" ht="33.75" x14ac:dyDescent="0.2">
      <c r="A79" s="561" t="s">
        <v>197</v>
      </c>
      <c r="B79" s="562">
        <v>2021</v>
      </c>
      <c r="C79" s="561" t="s">
        <v>714</v>
      </c>
      <c r="D79" s="561" t="s">
        <v>715</v>
      </c>
      <c r="E79" s="561" t="s">
        <v>2</v>
      </c>
      <c r="F79" s="563">
        <v>7175509.5599999996</v>
      </c>
      <c r="G79" s="561" t="s">
        <v>654</v>
      </c>
      <c r="H79" s="564"/>
      <c r="I79" s="563">
        <v>7075810.5</v>
      </c>
      <c r="J79" s="563">
        <v>99698.8984375</v>
      </c>
      <c r="K79" s="563">
        <v>7175509.5</v>
      </c>
      <c r="L79" s="566">
        <v>7175509.5599999996</v>
      </c>
    </row>
    <row r="80" spans="1:12" ht="33.75" x14ac:dyDescent="0.2">
      <c r="A80" s="561" t="s">
        <v>197</v>
      </c>
      <c r="B80" s="562">
        <v>2021</v>
      </c>
      <c r="C80" s="561" t="s">
        <v>716</v>
      </c>
      <c r="D80" s="561" t="s">
        <v>717</v>
      </c>
      <c r="E80" s="561" t="s">
        <v>3</v>
      </c>
      <c r="F80" s="563">
        <v>-3228245.43</v>
      </c>
      <c r="G80" s="561" t="s">
        <v>654</v>
      </c>
      <c r="H80" s="564"/>
      <c r="I80" s="563">
        <v>-3290332.75</v>
      </c>
      <c r="J80" s="563">
        <v>62087.2109375</v>
      </c>
      <c r="K80" s="563">
        <v>-3228245.5</v>
      </c>
      <c r="L80" s="566">
        <v>-3228245.43</v>
      </c>
    </row>
    <row r="81" spans="1:12" ht="33.75" x14ac:dyDescent="0.2">
      <c r="A81" s="561" t="s">
        <v>197</v>
      </c>
      <c r="B81" s="562">
        <v>2021</v>
      </c>
      <c r="C81" s="561" t="s">
        <v>718</v>
      </c>
      <c r="D81" s="561" t="s">
        <v>719</v>
      </c>
      <c r="E81" s="561" t="s">
        <v>38</v>
      </c>
      <c r="F81" s="563">
        <v>5426990.2699999996</v>
      </c>
      <c r="G81" s="561" t="s">
        <v>654</v>
      </c>
      <c r="H81" s="564"/>
      <c r="I81" s="563">
        <v>5520916</v>
      </c>
      <c r="J81" s="563">
        <v>-93925.5</v>
      </c>
      <c r="K81" s="563">
        <v>5426990.5</v>
      </c>
      <c r="L81" s="566">
        <v>5426990.2699999996</v>
      </c>
    </row>
    <row r="82" spans="1:12" ht="22.5" x14ac:dyDescent="0.2">
      <c r="A82" s="561" t="s">
        <v>197</v>
      </c>
      <c r="B82" s="562">
        <v>2021</v>
      </c>
      <c r="C82" s="561" t="s">
        <v>720</v>
      </c>
      <c r="D82" s="561" t="s">
        <v>721</v>
      </c>
      <c r="E82" s="561" t="s">
        <v>66</v>
      </c>
      <c r="F82" s="563">
        <v>27357055.399999999</v>
      </c>
      <c r="G82" s="561" t="s">
        <v>654</v>
      </c>
      <c r="H82" s="564"/>
      <c r="I82" s="563">
        <v>26629974</v>
      </c>
      <c r="J82" s="563">
        <v>727080.4375</v>
      </c>
      <c r="K82" s="563">
        <v>27357056</v>
      </c>
      <c r="L82" s="566">
        <v>27357055.399999999</v>
      </c>
    </row>
    <row r="83" spans="1:12" ht="45" x14ac:dyDescent="0.2">
      <c r="A83" s="561" t="s">
        <v>197</v>
      </c>
      <c r="B83" s="562">
        <v>2021</v>
      </c>
      <c r="C83" s="561" t="s">
        <v>722</v>
      </c>
      <c r="D83" s="561" t="s">
        <v>723</v>
      </c>
      <c r="E83" s="561" t="s">
        <v>724</v>
      </c>
      <c r="F83" s="563">
        <v>-16111300.74</v>
      </c>
      <c r="G83" s="564"/>
      <c r="H83" s="561" t="s">
        <v>654</v>
      </c>
      <c r="I83" s="565"/>
      <c r="J83" s="565"/>
      <c r="K83" s="563">
        <v>0</v>
      </c>
      <c r="L83" s="566">
        <v>-16111300.74</v>
      </c>
    </row>
    <row r="84" spans="1:12" ht="45" x14ac:dyDescent="0.2">
      <c r="A84" s="561" t="s">
        <v>197</v>
      </c>
      <c r="B84" s="562">
        <v>2021</v>
      </c>
      <c r="C84" s="561" t="s">
        <v>725</v>
      </c>
      <c r="D84" s="561" t="s">
        <v>726</v>
      </c>
      <c r="E84" s="561" t="s">
        <v>3024</v>
      </c>
      <c r="F84" s="563">
        <v>0</v>
      </c>
      <c r="G84" s="561" t="s">
        <v>654</v>
      </c>
      <c r="H84" s="564"/>
      <c r="I84" s="563">
        <v>-431702.0625</v>
      </c>
      <c r="J84" s="563">
        <v>-132460.203125</v>
      </c>
      <c r="K84" s="563">
        <v>-564162.25</v>
      </c>
      <c r="L84" s="566">
        <v>-564162.27</v>
      </c>
    </row>
    <row r="85" spans="1:12" ht="45" x14ac:dyDescent="0.2">
      <c r="A85" s="561" t="s">
        <v>197</v>
      </c>
      <c r="B85" s="562">
        <v>2021</v>
      </c>
      <c r="C85" s="561" t="s">
        <v>725</v>
      </c>
      <c r="D85" s="561" t="s">
        <v>726</v>
      </c>
      <c r="E85" s="561" t="s">
        <v>3066</v>
      </c>
      <c r="F85" s="563">
        <v>0</v>
      </c>
      <c r="G85" s="561" t="s">
        <v>654</v>
      </c>
      <c r="H85" s="564"/>
      <c r="I85" s="563">
        <v>-585169.9375</v>
      </c>
      <c r="J85" s="563">
        <v>-564287.8125</v>
      </c>
      <c r="K85" s="563">
        <v>-1149457.75</v>
      </c>
      <c r="L85" s="566">
        <v>-1149457.79</v>
      </c>
    </row>
    <row r="86" spans="1:12" ht="45" x14ac:dyDescent="0.2">
      <c r="A86" s="561" t="s">
        <v>197</v>
      </c>
      <c r="B86" s="562">
        <v>2021</v>
      </c>
      <c r="C86" s="561" t="s">
        <v>725</v>
      </c>
      <c r="D86" s="561" t="s">
        <v>727</v>
      </c>
      <c r="E86" s="561" t="s">
        <v>728</v>
      </c>
      <c r="F86" s="563">
        <v>0</v>
      </c>
      <c r="G86" s="561" t="s">
        <v>654</v>
      </c>
      <c r="H86" s="564"/>
      <c r="I86" s="565"/>
      <c r="J86" s="565"/>
      <c r="K86" s="563">
        <v>0</v>
      </c>
      <c r="L86" s="566">
        <v>0</v>
      </c>
    </row>
    <row r="87" spans="1:12" ht="45" x14ac:dyDescent="0.2">
      <c r="A87" s="561" t="s">
        <v>197</v>
      </c>
      <c r="B87" s="562">
        <v>2021</v>
      </c>
      <c r="C87" s="561" t="s">
        <v>725</v>
      </c>
      <c r="D87" s="561" t="s">
        <v>729</v>
      </c>
      <c r="E87" s="561" t="s">
        <v>55</v>
      </c>
      <c r="F87" s="563">
        <v>0</v>
      </c>
      <c r="G87" s="561" t="s">
        <v>654</v>
      </c>
      <c r="H87" s="564"/>
      <c r="I87" s="565"/>
      <c r="J87" s="565"/>
      <c r="K87" s="563">
        <v>0</v>
      </c>
      <c r="L87" s="566">
        <v>0</v>
      </c>
    </row>
    <row r="88" spans="1:12" ht="45" x14ac:dyDescent="0.2">
      <c r="A88" s="561" t="s">
        <v>197</v>
      </c>
      <c r="B88" s="562">
        <v>2021</v>
      </c>
      <c r="C88" s="561" t="s">
        <v>725</v>
      </c>
      <c r="D88" s="561" t="s">
        <v>730</v>
      </c>
      <c r="E88" s="561" t="s">
        <v>56</v>
      </c>
      <c r="F88" s="563">
        <v>0</v>
      </c>
      <c r="G88" s="561" t="s">
        <v>654</v>
      </c>
      <c r="H88" s="564"/>
      <c r="I88" s="565"/>
      <c r="J88" s="565"/>
      <c r="K88" s="563">
        <v>0</v>
      </c>
      <c r="L88" s="566">
        <v>0</v>
      </c>
    </row>
    <row r="89" spans="1:12" ht="45" x14ac:dyDescent="0.2">
      <c r="A89" s="561" t="s">
        <v>197</v>
      </c>
      <c r="B89" s="562">
        <v>2021</v>
      </c>
      <c r="C89" s="561" t="s">
        <v>725</v>
      </c>
      <c r="D89" s="561" t="s">
        <v>731</v>
      </c>
      <c r="E89" s="561" t="s">
        <v>732</v>
      </c>
      <c r="F89" s="563">
        <v>0</v>
      </c>
      <c r="G89" s="561" t="s">
        <v>654</v>
      </c>
      <c r="H89" s="564"/>
      <c r="I89" s="565"/>
      <c r="J89" s="565"/>
      <c r="K89" s="563">
        <v>0</v>
      </c>
      <c r="L89" s="566">
        <v>0</v>
      </c>
    </row>
    <row r="90" spans="1:12" ht="45" x14ac:dyDescent="0.2">
      <c r="A90" s="561" t="s">
        <v>197</v>
      </c>
      <c r="B90" s="562">
        <v>2021</v>
      </c>
      <c r="C90" s="561" t="s">
        <v>725</v>
      </c>
      <c r="D90" s="561" t="s">
        <v>733</v>
      </c>
      <c r="E90" s="561" t="s">
        <v>734</v>
      </c>
      <c r="F90" s="563">
        <v>0</v>
      </c>
      <c r="G90" s="561" t="s">
        <v>654</v>
      </c>
      <c r="H90" s="564"/>
      <c r="I90" s="565"/>
      <c r="J90" s="565"/>
      <c r="K90" s="563">
        <v>0</v>
      </c>
      <c r="L90" s="566">
        <v>0</v>
      </c>
    </row>
    <row r="91" spans="1:12" ht="45" x14ac:dyDescent="0.2">
      <c r="A91" s="561" t="s">
        <v>197</v>
      </c>
      <c r="B91" s="562">
        <v>2021</v>
      </c>
      <c r="C91" s="561" t="s">
        <v>725</v>
      </c>
      <c r="D91" s="561" t="s">
        <v>735</v>
      </c>
      <c r="E91" s="561" t="s">
        <v>142</v>
      </c>
      <c r="F91" s="563">
        <v>0</v>
      </c>
      <c r="G91" s="561" t="s">
        <v>654</v>
      </c>
      <c r="H91" s="564"/>
      <c r="I91" s="565"/>
      <c r="J91" s="565"/>
      <c r="K91" s="563">
        <v>0</v>
      </c>
      <c r="L91" s="566">
        <v>0</v>
      </c>
    </row>
    <row r="92" spans="1:12" ht="45" x14ac:dyDescent="0.2">
      <c r="A92" s="561" t="s">
        <v>197</v>
      </c>
      <c r="B92" s="562">
        <v>2021</v>
      </c>
      <c r="C92" s="561" t="s">
        <v>725</v>
      </c>
      <c r="D92" s="561" t="s">
        <v>736</v>
      </c>
      <c r="E92" s="561" t="s">
        <v>143</v>
      </c>
      <c r="F92" s="563">
        <v>0</v>
      </c>
      <c r="G92" s="561" t="s">
        <v>654</v>
      </c>
      <c r="H92" s="564"/>
      <c r="I92" s="565"/>
      <c r="J92" s="565"/>
      <c r="K92" s="563">
        <v>0</v>
      </c>
      <c r="L92" s="566">
        <v>0</v>
      </c>
    </row>
    <row r="93" spans="1:12" ht="45" x14ac:dyDescent="0.2">
      <c r="A93" s="561" t="s">
        <v>197</v>
      </c>
      <c r="B93" s="562">
        <v>2021</v>
      </c>
      <c r="C93" s="561" t="s">
        <v>725</v>
      </c>
      <c r="D93" s="561" t="s">
        <v>737</v>
      </c>
      <c r="E93" s="561" t="s">
        <v>182</v>
      </c>
      <c r="F93" s="563">
        <v>0</v>
      </c>
      <c r="G93" s="561" t="s">
        <v>654</v>
      </c>
      <c r="H93" s="564"/>
      <c r="I93" s="565"/>
      <c r="J93" s="565"/>
      <c r="K93" s="563">
        <v>0</v>
      </c>
      <c r="L93" s="566">
        <v>0</v>
      </c>
    </row>
    <row r="94" spans="1:12" ht="45" x14ac:dyDescent="0.2">
      <c r="A94" s="561" t="s">
        <v>197</v>
      </c>
      <c r="B94" s="562">
        <v>2021</v>
      </c>
      <c r="C94" s="561" t="s">
        <v>725</v>
      </c>
      <c r="D94" s="561" t="s">
        <v>738</v>
      </c>
      <c r="E94" s="561" t="s">
        <v>394</v>
      </c>
      <c r="F94" s="563">
        <v>0</v>
      </c>
      <c r="G94" s="561" t="s">
        <v>654</v>
      </c>
      <c r="H94" s="564"/>
      <c r="I94" s="563">
        <v>0</v>
      </c>
      <c r="J94" s="563">
        <v>-2461.64990234375</v>
      </c>
      <c r="K94" s="563">
        <v>-2461.64990234375</v>
      </c>
      <c r="L94" s="566">
        <v>-2461.65</v>
      </c>
    </row>
    <row r="95" spans="1:12" ht="45" x14ac:dyDescent="0.2">
      <c r="A95" s="561" t="s">
        <v>197</v>
      </c>
      <c r="B95" s="562">
        <v>2021</v>
      </c>
      <c r="C95" s="561" t="s">
        <v>725</v>
      </c>
      <c r="D95" s="561" t="s">
        <v>739</v>
      </c>
      <c r="E95" s="561" t="s">
        <v>425</v>
      </c>
      <c r="F95" s="563">
        <v>0</v>
      </c>
      <c r="G95" s="561" t="s">
        <v>654</v>
      </c>
      <c r="H95" s="564"/>
      <c r="I95" s="563">
        <v>-1181378.875</v>
      </c>
      <c r="J95" s="563">
        <v>323024.84375</v>
      </c>
      <c r="K95" s="563">
        <v>-858354.0625</v>
      </c>
      <c r="L95" s="566">
        <v>-858354.07</v>
      </c>
    </row>
    <row r="96" spans="1:12" ht="45" x14ac:dyDescent="0.2">
      <c r="A96" s="561" t="s">
        <v>197</v>
      </c>
      <c r="B96" s="562">
        <v>2021</v>
      </c>
      <c r="C96" s="561" t="s">
        <v>725</v>
      </c>
      <c r="D96" s="561" t="s">
        <v>3080</v>
      </c>
      <c r="E96" s="561" t="s">
        <v>443</v>
      </c>
      <c r="F96" s="563">
        <v>0</v>
      </c>
      <c r="G96" s="561" t="s">
        <v>654</v>
      </c>
      <c r="H96" s="564"/>
      <c r="I96" s="563">
        <v>1413315.125</v>
      </c>
      <c r="J96" s="563">
        <v>-1167492.375</v>
      </c>
      <c r="K96" s="563">
        <v>245822.65625</v>
      </c>
      <c r="L96" s="566">
        <v>245822.66</v>
      </c>
    </row>
    <row r="97" spans="1:12" ht="45" x14ac:dyDescent="0.2">
      <c r="A97" s="561" t="s">
        <v>197</v>
      </c>
      <c r="B97" s="562">
        <v>2021</v>
      </c>
      <c r="C97" s="561" t="s">
        <v>725</v>
      </c>
      <c r="D97" s="561" t="s">
        <v>740</v>
      </c>
      <c r="E97" s="561" t="s">
        <v>741</v>
      </c>
      <c r="F97" s="563">
        <v>-2328613.12</v>
      </c>
      <c r="G97" s="564"/>
      <c r="H97" s="564"/>
      <c r="I97" s="565"/>
      <c r="J97" s="565"/>
      <c r="K97" s="563">
        <v>0</v>
      </c>
      <c r="L97" s="566">
        <v>-2328613.12</v>
      </c>
    </row>
    <row r="98" spans="1:12" ht="22.5" x14ac:dyDescent="0.2">
      <c r="A98" s="561" t="s">
        <v>197</v>
      </c>
      <c r="B98" s="562">
        <v>2021</v>
      </c>
      <c r="C98" s="561" t="s">
        <v>742</v>
      </c>
      <c r="D98" s="561" t="s">
        <v>743</v>
      </c>
      <c r="E98" s="561" t="s">
        <v>7</v>
      </c>
      <c r="F98" s="563">
        <v>0</v>
      </c>
      <c r="G98" s="564"/>
      <c r="H98" s="561" t="s">
        <v>654</v>
      </c>
      <c r="I98" s="565"/>
      <c r="J98" s="565"/>
      <c r="K98" s="563">
        <v>0</v>
      </c>
      <c r="L98" s="566">
        <v>0</v>
      </c>
    </row>
    <row r="99" spans="1:12" ht="22.5" x14ac:dyDescent="0.2">
      <c r="A99" s="561" t="s">
        <v>77</v>
      </c>
      <c r="B99" s="562">
        <v>2021</v>
      </c>
      <c r="C99" s="561" t="s">
        <v>651</v>
      </c>
      <c r="D99" s="561" t="s">
        <v>744</v>
      </c>
      <c r="E99" s="561" t="s">
        <v>653</v>
      </c>
      <c r="F99" s="563">
        <v>-5725192.8700000001</v>
      </c>
      <c r="G99" s="564"/>
      <c r="H99" s="561" t="s">
        <v>654</v>
      </c>
      <c r="I99" s="565"/>
      <c r="J99" s="565"/>
      <c r="K99" s="563">
        <v>0</v>
      </c>
      <c r="L99" s="566">
        <v>-5725192.8700000001</v>
      </c>
    </row>
    <row r="100" spans="1:12" ht="15" x14ac:dyDescent="0.2">
      <c r="A100" s="561" t="s">
        <v>77</v>
      </c>
      <c r="B100" s="562">
        <v>2021</v>
      </c>
      <c r="C100" s="561" t="s">
        <v>655</v>
      </c>
      <c r="D100" s="561" t="s">
        <v>745</v>
      </c>
      <c r="E100" s="561" t="s">
        <v>657</v>
      </c>
      <c r="F100" s="563">
        <v>0</v>
      </c>
      <c r="G100" s="564"/>
      <c r="H100" s="561" t="s">
        <v>654</v>
      </c>
      <c r="I100" s="565"/>
      <c r="J100" s="565"/>
      <c r="K100" s="563">
        <v>0</v>
      </c>
      <c r="L100" s="566">
        <v>0</v>
      </c>
    </row>
    <row r="101" spans="1:12" ht="56.25" x14ac:dyDescent="0.2">
      <c r="A101" s="561" t="s">
        <v>77</v>
      </c>
      <c r="B101" s="562">
        <v>2021</v>
      </c>
      <c r="C101" s="561" t="s">
        <v>658</v>
      </c>
      <c r="D101" s="561" t="s">
        <v>746</v>
      </c>
      <c r="E101" s="561" t="s">
        <v>447</v>
      </c>
      <c r="F101" s="563">
        <v>-40763.449999999997</v>
      </c>
      <c r="G101" s="564"/>
      <c r="H101" s="561" t="s">
        <v>654</v>
      </c>
      <c r="I101" s="565"/>
      <c r="J101" s="565"/>
      <c r="K101" s="563">
        <v>0</v>
      </c>
      <c r="L101" s="566">
        <v>-40763.449999999997</v>
      </c>
    </row>
    <row r="102" spans="1:12" ht="22.5" x14ac:dyDescent="0.2">
      <c r="A102" s="561" t="s">
        <v>77</v>
      </c>
      <c r="B102" s="562">
        <v>2021</v>
      </c>
      <c r="C102" s="561" t="s">
        <v>660</v>
      </c>
      <c r="D102" s="561" t="s">
        <v>747</v>
      </c>
      <c r="E102" s="561" t="s">
        <v>662</v>
      </c>
      <c r="F102" s="563">
        <v>0</v>
      </c>
      <c r="G102" s="564"/>
      <c r="H102" s="561" t="s">
        <v>654</v>
      </c>
      <c r="I102" s="565"/>
      <c r="J102" s="565"/>
      <c r="K102" s="563">
        <v>0</v>
      </c>
      <c r="L102" s="566">
        <v>0</v>
      </c>
    </row>
    <row r="103" spans="1:12" ht="33.75" x14ac:dyDescent="0.2">
      <c r="A103" s="561" t="s">
        <v>77</v>
      </c>
      <c r="B103" s="562">
        <v>2021</v>
      </c>
      <c r="C103" s="561" t="s">
        <v>663</v>
      </c>
      <c r="D103" s="561" t="s">
        <v>748</v>
      </c>
      <c r="E103" s="561" t="s">
        <v>665</v>
      </c>
      <c r="F103" s="563">
        <v>0</v>
      </c>
      <c r="G103" s="564"/>
      <c r="H103" s="561" t="s">
        <v>654</v>
      </c>
      <c r="I103" s="565"/>
      <c r="J103" s="565"/>
      <c r="K103" s="563">
        <v>0</v>
      </c>
      <c r="L103" s="566">
        <v>0</v>
      </c>
    </row>
    <row r="104" spans="1:12" ht="33.75" x14ac:dyDescent="0.2">
      <c r="A104" s="561" t="s">
        <v>77</v>
      </c>
      <c r="B104" s="562">
        <v>2021</v>
      </c>
      <c r="C104" s="561" t="s">
        <v>666</v>
      </c>
      <c r="D104" s="561" t="s">
        <v>749</v>
      </c>
      <c r="E104" s="561" t="s">
        <v>668</v>
      </c>
      <c r="F104" s="563">
        <v>0</v>
      </c>
      <c r="G104" s="564"/>
      <c r="H104" s="561" t="s">
        <v>654</v>
      </c>
      <c r="I104" s="565"/>
      <c r="J104" s="565"/>
      <c r="K104" s="563">
        <v>0</v>
      </c>
      <c r="L104" s="566">
        <v>0</v>
      </c>
    </row>
    <row r="105" spans="1:12" ht="56.25" x14ac:dyDescent="0.2">
      <c r="A105" s="561" t="s">
        <v>77</v>
      </c>
      <c r="B105" s="562">
        <v>2021</v>
      </c>
      <c r="C105" s="561" t="s">
        <v>669</v>
      </c>
      <c r="D105" s="561" t="s">
        <v>750</v>
      </c>
      <c r="E105" s="561" t="s">
        <v>671</v>
      </c>
      <c r="F105" s="563">
        <v>0</v>
      </c>
      <c r="G105" s="564"/>
      <c r="H105" s="561" t="s">
        <v>654</v>
      </c>
      <c r="I105" s="565"/>
      <c r="J105" s="565"/>
      <c r="K105" s="563">
        <v>0</v>
      </c>
      <c r="L105" s="566">
        <v>0</v>
      </c>
    </row>
    <row r="106" spans="1:12" ht="22.5" x14ac:dyDescent="0.2">
      <c r="A106" s="561" t="s">
        <v>77</v>
      </c>
      <c r="B106" s="562">
        <v>2021</v>
      </c>
      <c r="C106" s="561" t="s">
        <v>672</v>
      </c>
      <c r="D106" s="561" t="s">
        <v>751</v>
      </c>
      <c r="E106" s="561" t="s">
        <v>12</v>
      </c>
      <c r="F106" s="563">
        <v>0</v>
      </c>
      <c r="G106" s="564"/>
      <c r="H106" s="561" t="s">
        <v>654</v>
      </c>
      <c r="I106" s="565"/>
      <c r="J106" s="565"/>
      <c r="K106" s="563">
        <v>0</v>
      </c>
      <c r="L106" s="566">
        <v>0</v>
      </c>
    </row>
    <row r="107" spans="1:12" ht="22.5" x14ac:dyDescent="0.2">
      <c r="A107" s="561" t="s">
        <v>77</v>
      </c>
      <c r="B107" s="562">
        <v>2021</v>
      </c>
      <c r="C107" s="561" t="s">
        <v>674</v>
      </c>
      <c r="D107" s="561" t="s">
        <v>752</v>
      </c>
      <c r="E107" s="561" t="s">
        <v>753</v>
      </c>
      <c r="F107" s="563">
        <v>0</v>
      </c>
      <c r="G107" s="564"/>
      <c r="H107" s="561" t="s">
        <v>654</v>
      </c>
      <c r="I107" s="565"/>
      <c r="J107" s="565"/>
      <c r="K107" s="563">
        <v>0</v>
      </c>
      <c r="L107" s="566">
        <v>0</v>
      </c>
    </row>
    <row r="108" spans="1:12" ht="33.75" x14ac:dyDescent="0.2">
      <c r="A108" s="561" t="s">
        <v>77</v>
      </c>
      <c r="B108" s="562">
        <v>2021</v>
      </c>
      <c r="C108" s="561" t="s">
        <v>676</v>
      </c>
      <c r="D108" s="561" t="s">
        <v>754</v>
      </c>
      <c r="E108" s="561" t="s">
        <v>15</v>
      </c>
      <c r="F108" s="563">
        <v>0</v>
      </c>
      <c r="G108" s="564"/>
      <c r="H108" s="561" t="s">
        <v>654</v>
      </c>
      <c r="I108" s="565"/>
      <c r="J108" s="565"/>
      <c r="K108" s="563">
        <v>0</v>
      </c>
      <c r="L108" s="566">
        <v>0</v>
      </c>
    </row>
    <row r="109" spans="1:12" ht="15" x14ac:dyDescent="0.2">
      <c r="A109" s="561" t="s">
        <v>77</v>
      </c>
      <c r="B109" s="562">
        <v>2021</v>
      </c>
      <c r="C109" s="561" t="s">
        <v>678</v>
      </c>
      <c r="D109" s="561" t="s">
        <v>755</v>
      </c>
      <c r="E109" s="561" t="s">
        <v>680</v>
      </c>
      <c r="F109" s="563">
        <v>0</v>
      </c>
      <c r="G109" s="564"/>
      <c r="H109" s="561" t="s">
        <v>654</v>
      </c>
      <c r="I109" s="565"/>
      <c r="J109" s="565"/>
      <c r="K109" s="563">
        <v>0</v>
      </c>
      <c r="L109" s="566">
        <v>0</v>
      </c>
    </row>
    <row r="110" spans="1:12" ht="15" x14ac:dyDescent="0.2">
      <c r="A110" s="561" t="s">
        <v>77</v>
      </c>
      <c r="B110" s="562">
        <v>2021</v>
      </c>
      <c r="C110" s="561" t="s">
        <v>681</v>
      </c>
      <c r="D110" s="561" t="s">
        <v>756</v>
      </c>
      <c r="E110" s="561" t="s">
        <v>23</v>
      </c>
      <c r="F110" s="563">
        <v>0</v>
      </c>
      <c r="G110" s="561" t="s">
        <v>654</v>
      </c>
      <c r="H110" s="564"/>
      <c r="I110" s="565"/>
      <c r="J110" s="565"/>
      <c r="K110" s="563">
        <v>0</v>
      </c>
      <c r="L110" s="566">
        <v>0</v>
      </c>
    </row>
    <row r="111" spans="1:12" ht="33.75" x14ac:dyDescent="0.2">
      <c r="A111" s="561" t="s">
        <v>77</v>
      </c>
      <c r="B111" s="562">
        <v>2021</v>
      </c>
      <c r="C111" s="561" t="s">
        <v>683</v>
      </c>
      <c r="D111" s="561" t="s">
        <v>757</v>
      </c>
      <c r="E111" s="561" t="s">
        <v>131</v>
      </c>
      <c r="F111" s="563">
        <v>-6901.31</v>
      </c>
      <c r="G111" s="561" t="s">
        <v>654</v>
      </c>
      <c r="H111" s="564"/>
      <c r="I111" s="563">
        <v>-6855.77001953125</v>
      </c>
      <c r="J111" s="563">
        <v>-45.540000915527301</v>
      </c>
      <c r="K111" s="563">
        <v>-6901.31005859375</v>
      </c>
      <c r="L111" s="566">
        <v>-6901.31</v>
      </c>
    </row>
    <row r="112" spans="1:12" ht="33.75" x14ac:dyDescent="0.2">
      <c r="A112" s="561" t="s">
        <v>77</v>
      </c>
      <c r="B112" s="562">
        <v>2021</v>
      </c>
      <c r="C112" s="561" t="s">
        <v>685</v>
      </c>
      <c r="D112" s="561" t="s">
        <v>758</v>
      </c>
      <c r="E112" s="561" t="s">
        <v>687</v>
      </c>
      <c r="F112" s="563">
        <v>0</v>
      </c>
      <c r="G112" s="564"/>
      <c r="H112" s="561" t="s">
        <v>654</v>
      </c>
      <c r="I112" s="565"/>
      <c r="J112" s="565"/>
      <c r="K112" s="563">
        <v>0</v>
      </c>
      <c r="L112" s="566">
        <v>0</v>
      </c>
    </row>
    <row r="113" spans="1:12" ht="33.75" x14ac:dyDescent="0.2">
      <c r="A113" s="561" t="s">
        <v>77</v>
      </c>
      <c r="B113" s="562">
        <v>2021</v>
      </c>
      <c r="C113" s="561" t="s">
        <v>685</v>
      </c>
      <c r="D113" s="561" t="s">
        <v>758</v>
      </c>
      <c r="E113" s="561" t="s">
        <v>688</v>
      </c>
      <c r="F113" s="563">
        <v>0</v>
      </c>
      <c r="G113" s="564"/>
      <c r="H113" s="561" t="s">
        <v>654</v>
      </c>
      <c r="I113" s="565"/>
      <c r="J113" s="565"/>
      <c r="K113" s="563">
        <v>0</v>
      </c>
      <c r="L113" s="566">
        <v>0</v>
      </c>
    </row>
    <row r="114" spans="1:12" ht="22.5" x14ac:dyDescent="0.2">
      <c r="A114" s="561" t="s">
        <v>77</v>
      </c>
      <c r="B114" s="562">
        <v>2021</v>
      </c>
      <c r="C114" s="561" t="s">
        <v>689</v>
      </c>
      <c r="D114" s="561" t="s">
        <v>759</v>
      </c>
      <c r="E114" s="561" t="s">
        <v>691</v>
      </c>
      <c r="F114" s="563">
        <v>0</v>
      </c>
      <c r="G114" s="564"/>
      <c r="H114" s="561" t="s">
        <v>654</v>
      </c>
      <c r="I114" s="565"/>
      <c r="J114" s="565"/>
      <c r="K114" s="563">
        <v>0</v>
      </c>
      <c r="L114" s="566">
        <v>0</v>
      </c>
    </row>
    <row r="115" spans="1:12" ht="22.5" x14ac:dyDescent="0.2">
      <c r="A115" s="561" t="s">
        <v>77</v>
      </c>
      <c r="B115" s="562">
        <v>2021</v>
      </c>
      <c r="C115" s="561" t="s">
        <v>692</v>
      </c>
      <c r="D115" s="561" t="s">
        <v>760</v>
      </c>
      <c r="E115" s="561" t="s">
        <v>50</v>
      </c>
      <c r="F115" s="563">
        <v>737.32</v>
      </c>
      <c r="G115" s="564"/>
      <c r="H115" s="561" t="s">
        <v>654</v>
      </c>
      <c r="I115" s="565"/>
      <c r="J115" s="565"/>
      <c r="K115" s="563">
        <v>0</v>
      </c>
      <c r="L115" s="566">
        <v>737.32</v>
      </c>
    </row>
    <row r="116" spans="1:12" ht="22.5" x14ac:dyDescent="0.2">
      <c r="A116" s="561" t="s">
        <v>77</v>
      </c>
      <c r="B116" s="562">
        <v>2021</v>
      </c>
      <c r="C116" s="561" t="s">
        <v>694</v>
      </c>
      <c r="D116" s="561" t="s">
        <v>761</v>
      </c>
      <c r="E116" s="561" t="s">
        <v>696</v>
      </c>
      <c r="F116" s="563">
        <v>0</v>
      </c>
      <c r="G116" s="564"/>
      <c r="H116" s="561" t="s">
        <v>654</v>
      </c>
      <c r="I116" s="565"/>
      <c r="J116" s="565"/>
      <c r="K116" s="563">
        <v>0</v>
      </c>
      <c r="L116" s="566">
        <v>0</v>
      </c>
    </row>
    <row r="117" spans="1:12" ht="22.5" x14ac:dyDescent="0.2">
      <c r="A117" s="561" t="s">
        <v>77</v>
      </c>
      <c r="B117" s="562">
        <v>2021</v>
      </c>
      <c r="C117" s="561" t="s">
        <v>697</v>
      </c>
      <c r="D117" s="561" t="s">
        <v>762</v>
      </c>
      <c r="E117" s="561" t="s">
        <v>6</v>
      </c>
      <c r="F117" s="563">
        <v>0</v>
      </c>
      <c r="G117" s="564"/>
      <c r="H117" s="561" t="s">
        <v>654</v>
      </c>
      <c r="I117" s="565"/>
      <c r="J117" s="565"/>
      <c r="K117" s="563">
        <v>0</v>
      </c>
      <c r="L117" s="566">
        <v>0</v>
      </c>
    </row>
    <row r="118" spans="1:12" ht="33.75" x14ac:dyDescent="0.2">
      <c r="A118" s="561" t="s">
        <v>77</v>
      </c>
      <c r="B118" s="562">
        <v>2021</v>
      </c>
      <c r="C118" s="561" t="s">
        <v>699</v>
      </c>
      <c r="D118" s="561" t="s">
        <v>763</v>
      </c>
      <c r="E118" s="561" t="s">
        <v>701</v>
      </c>
      <c r="F118" s="563">
        <v>0</v>
      </c>
      <c r="G118" s="564"/>
      <c r="H118" s="561" t="s">
        <v>654</v>
      </c>
      <c r="I118" s="565"/>
      <c r="J118" s="565"/>
      <c r="K118" s="563">
        <v>0</v>
      </c>
      <c r="L118" s="566">
        <v>0</v>
      </c>
    </row>
    <row r="119" spans="1:12" ht="22.5" x14ac:dyDescent="0.2">
      <c r="A119" s="561" t="s">
        <v>77</v>
      </c>
      <c r="B119" s="562">
        <v>2021</v>
      </c>
      <c r="C119" s="561" t="s">
        <v>702</v>
      </c>
      <c r="D119" s="561" t="s">
        <v>764</v>
      </c>
      <c r="E119" s="561" t="s">
        <v>704</v>
      </c>
      <c r="F119" s="563">
        <v>84971.53</v>
      </c>
      <c r="G119" s="564"/>
      <c r="H119" s="561" t="s">
        <v>654</v>
      </c>
      <c r="I119" s="565"/>
      <c r="J119" s="565"/>
      <c r="K119" s="563">
        <v>0</v>
      </c>
      <c r="L119" s="566">
        <v>84971.53</v>
      </c>
    </row>
    <row r="120" spans="1:12" ht="33.75" x14ac:dyDescent="0.2">
      <c r="A120" s="561" t="s">
        <v>77</v>
      </c>
      <c r="B120" s="562">
        <v>2021</v>
      </c>
      <c r="C120" s="561" t="s">
        <v>705</v>
      </c>
      <c r="D120" s="561" t="s">
        <v>765</v>
      </c>
      <c r="E120" s="561" t="s">
        <v>1</v>
      </c>
      <c r="F120" s="563">
        <v>-226585.75</v>
      </c>
      <c r="G120" s="561" t="s">
        <v>654</v>
      </c>
      <c r="H120" s="564"/>
      <c r="I120" s="563">
        <v>-225003.734375</v>
      </c>
      <c r="J120" s="563">
        <v>-1582.01000976563</v>
      </c>
      <c r="K120" s="563">
        <v>-226585.75</v>
      </c>
      <c r="L120" s="566">
        <v>-226585.75</v>
      </c>
    </row>
    <row r="121" spans="1:12" ht="22.5" x14ac:dyDescent="0.2">
      <c r="A121" s="561" t="s">
        <v>77</v>
      </c>
      <c r="B121" s="562">
        <v>2021</v>
      </c>
      <c r="C121" s="561" t="s">
        <v>705</v>
      </c>
      <c r="D121" s="561" t="s">
        <v>765</v>
      </c>
      <c r="E121" s="561" t="s">
        <v>707</v>
      </c>
      <c r="F121" s="563">
        <v>0</v>
      </c>
      <c r="G121" s="564"/>
      <c r="H121" s="564"/>
      <c r="I121" s="565"/>
      <c r="J121" s="565"/>
      <c r="K121" s="563">
        <v>0</v>
      </c>
      <c r="L121" s="566">
        <v>0</v>
      </c>
    </row>
    <row r="122" spans="1:12" ht="22.5" x14ac:dyDescent="0.2">
      <c r="A122" s="561" t="s">
        <v>77</v>
      </c>
      <c r="B122" s="562">
        <v>2021</v>
      </c>
      <c r="C122" s="561" t="s">
        <v>705</v>
      </c>
      <c r="D122" s="561" t="s">
        <v>765</v>
      </c>
      <c r="E122" s="561" t="s">
        <v>708</v>
      </c>
      <c r="F122" s="563">
        <v>0</v>
      </c>
      <c r="G122" s="564"/>
      <c r="H122" s="564"/>
      <c r="I122" s="565"/>
      <c r="J122" s="565"/>
      <c r="K122" s="563">
        <v>0</v>
      </c>
      <c r="L122" s="566">
        <v>0</v>
      </c>
    </row>
    <row r="123" spans="1:12" ht="22.5" x14ac:dyDescent="0.2">
      <c r="A123" s="561" t="s">
        <v>77</v>
      </c>
      <c r="B123" s="562">
        <v>2021</v>
      </c>
      <c r="C123" s="561" t="s">
        <v>705</v>
      </c>
      <c r="D123" s="561" t="s">
        <v>765</v>
      </c>
      <c r="E123" s="561" t="s">
        <v>709</v>
      </c>
      <c r="F123" s="563">
        <v>-523.73</v>
      </c>
      <c r="G123" s="564"/>
      <c r="H123" s="564"/>
      <c r="I123" s="565"/>
      <c r="J123" s="565"/>
      <c r="K123" s="563">
        <v>0</v>
      </c>
      <c r="L123" s="566">
        <v>-523.73</v>
      </c>
    </row>
    <row r="124" spans="1:12" ht="22.5" x14ac:dyDescent="0.2">
      <c r="A124" s="561" t="s">
        <v>77</v>
      </c>
      <c r="B124" s="562">
        <v>2021</v>
      </c>
      <c r="C124" s="561" t="s">
        <v>705</v>
      </c>
      <c r="D124" s="561" t="s">
        <v>765</v>
      </c>
      <c r="E124" s="561" t="s">
        <v>710</v>
      </c>
      <c r="F124" s="563">
        <v>-26695.040000000001</v>
      </c>
      <c r="G124" s="564"/>
      <c r="H124" s="564"/>
      <c r="I124" s="565"/>
      <c r="J124" s="565"/>
      <c r="K124" s="563">
        <v>0</v>
      </c>
      <c r="L124" s="566">
        <v>-26695.040000000001</v>
      </c>
    </row>
    <row r="125" spans="1:12" ht="15" x14ac:dyDescent="0.2">
      <c r="A125" s="561" t="s">
        <v>77</v>
      </c>
      <c r="B125" s="562">
        <v>2021</v>
      </c>
      <c r="C125" s="561" t="s">
        <v>711</v>
      </c>
      <c r="D125" s="561" t="s">
        <v>766</v>
      </c>
      <c r="E125" s="561" t="s">
        <v>713</v>
      </c>
      <c r="F125" s="563">
        <v>0</v>
      </c>
      <c r="G125" s="564"/>
      <c r="H125" s="561" t="s">
        <v>654</v>
      </c>
      <c r="I125" s="565"/>
      <c r="J125" s="565"/>
      <c r="K125" s="563">
        <v>0</v>
      </c>
      <c r="L125" s="566">
        <v>0</v>
      </c>
    </row>
    <row r="126" spans="1:12" ht="33.75" x14ac:dyDescent="0.2">
      <c r="A126" s="561" t="s">
        <v>77</v>
      </c>
      <c r="B126" s="562">
        <v>2021</v>
      </c>
      <c r="C126" s="561" t="s">
        <v>714</v>
      </c>
      <c r="D126" s="561" t="s">
        <v>767</v>
      </c>
      <c r="E126" s="561" t="s">
        <v>2</v>
      </c>
      <c r="F126" s="563">
        <v>166751.1</v>
      </c>
      <c r="G126" s="561" t="s">
        <v>654</v>
      </c>
      <c r="H126" s="564"/>
      <c r="I126" s="563">
        <v>163665.84375</v>
      </c>
      <c r="J126" s="563">
        <v>3085.26000976563</v>
      </c>
      <c r="K126" s="563">
        <v>166751.09375</v>
      </c>
      <c r="L126" s="566">
        <v>166751.1</v>
      </c>
    </row>
    <row r="127" spans="1:12" ht="33.75" x14ac:dyDescent="0.2">
      <c r="A127" s="561" t="s">
        <v>77</v>
      </c>
      <c r="B127" s="562">
        <v>2021</v>
      </c>
      <c r="C127" s="561" t="s">
        <v>716</v>
      </c>
      <c r="D127" s="561" t="s">
        <v>768</v>
      </c>
      <c r="E127" s="561" t="s">
        <v>3</v>
      </c>
      <c r="F127" s="563">
        <v>33462.129999999997</v>
      </c>
      <c r="G127" s="561" t="s">
        <v>654</v>
      </c>
      <c r="H127" s="564"/>
      <c r="I127" s="563">
        <v>32902.859375</v>
      </c>
      <c r="J127" s="563">
        <v>559.27001953125</v>
      </c>
      <c r="K127" s="563">
        <v>33462.12890625</v>
      </c>
      <c r="L127" s="566">
        <v>33462.129999999997</v>
      </c>
    </row>
    <row r="128" spans="1:12" ht="33.75" x14ac:dyDescent="0.2">
      <c r="A128" s="561" t="s">
        <v>77</v>
      </c>
      <c r="B128" s="562">
        <v>2021</v>
      </c>
      <c r="C128" s="561" t="s">
        <v>718</v>
      </c>
      <c r="D128" s="561" t="s">
        <v>769</v>
      </c>
      <c r="E128" s="561" t="s">
        <v>38</v>
      </c>
      <c r="F128" s="563">
        <v>382213.84</v>
      </c>
      <c r="G128" s="561" t="s">
        <v>654</v>
      </c>
      <c r="H128" s="564"/>
      <c r="I128" s="563">
        <v>379456.59375</v>
      </c>
      <c r="J128" s="563">
        <v>2757.26000976563</v>
      </c>
      <c r="K128" s="563">
        <v>382213.84375</v>
      </c>
      <c r="L128" s="566">
        <v>382213.84</v>
      </c>
    </row>
    <row r="129" spans="1:12" ht="22.5" x14ac:dyDescent="0.2">
      <c r="A129" s="561" t="s">
        <v>77</v>
      </c>
      <c r="B129" s="562">
        <v>2021</v>
      </c>
      <c r="C129" s="561" t="s">
        <v>720</v>
      </c>
      <c r="D129" s="561" t="s">
        <v>770</v>
      </c>
      <c r="E129" s="561" t="s">
        <v>66</v>
      </c>
      <c r="F129" s="563">
        <v>-99790.88</v>
      </c>
      <c r="G129" s="561" t="s">
        <v>654</v>
      </c>
      <c r="H129" s="564"/>
      <c r="I129" s="563">
        <v>-99666.3203125</v>
      </c>
      <c r="J129" s="563">
        <v>-124.55999755859401</v>
      </c>
      <c r="K129" s="563">
        <v>-99790.8828125</v>
      </c>
      <c r="L129" s="566">
        <v>-99790.88</v>
      </c>
    </row>
    <row r="130" spans="1:12" ht="22.5" x14ac:dyDescent="0.2">
      <c r="A130" s="561" t="s">
        <v>77</v>
      </c>
      <c r="B130" s="562">
        <v>2021</v>
      </c>
      <c r="C130" s="561" t="s">
        <v>722</v>
      </c>
      <c r="D130" s="561" t="s">
        <v>771</v>
      </c>
      <c r="E130" s="561" t="s">
        <v>772</v>
      </c>
      <c r="F130" s="563">
        <v>-275611.37</v>
      </c>
      <c r="G130" s="564"/>
      <c r="H130" s="561" t="s">
        <v>654</v>
      </c>
      <c r="I130" s="565"/>
      <c r="J130" s="565"/>
      <c r="K130" s="563">
        <v>0</v>
      </c>
      <c r="L130" s="566">
        <v>-275611.37</v>
      </c>
    </row>
    <row r="131" spans="1:12" ht="45" x14ac:dyDescent="0.2">
      <c r="A131" s="561" t="s">
        <v>77</v>
      </c>
      <c r="B131" s="562">
        <v>2021</v>
      </c>
      <c r="C131" s="561" t="s">
        <v>725</v>
      </c>
      <c r="D131" s="561" t="s">
        <v>773</v>
      </c>
      <c r="E131" s="561" t="s">
        <v>3024</v>
      </c>
      <c r="F131" s="563">
        <v>0</v>
      </c>
      <c r="G131" s="561" t="s">
        <v>654</v>
      </c>
      <c r="H131" s="564"/>
      <c r="I131" s="563">
        <v>45600.41015625</v>
      </c>
      <c r="J131" s="563">
        <v>1817.27001953125</v>
      </c>
      <c r="K131" s="563">
        <v>47417.6796875</v>
      </c>
      <c r="L131" s="566">
        <v>47417.68</v>
      </c>
    </row>
    <row r="132" spans="1:12" ht="45" x14ac:dyDescent="0.2">
      <c r="A132" s="561" t="s">
        <v>77</v>
      </c>
      <c r="B132" s="562">
        <v>2021</v>
      </c>
      <c r="C132" s="561" t="s">
        <v>725</v>
      </c>
      <c r="D132" s="561" t="s">
        <v>773</v>
      </c>
      <c r="E132" s="561" t="s">
        <v>3066</v>
      </c>
      <c r="F132" s="563">
        <v>0</v>
      </c>
      <c r="G132" s="561" t="s">
        <v>654</v>
      </c>
      <c r="H132" s="564"/>
      <c r="I132" s="563">
        <v>11276.0400390625</v>
      </c>
      <c r="J132" s="563">
        <v>192483.328125</v>
      </c>
      <c r="K132" s="563">
        <v>203759.375</v>
      </c>
      <c r="L132" s="566">
        <v>203759.37</v>
      </c>
    </row>
    <row r="133" spans="1:12" ht="45" x14ac:dyDescent="0.2">
      <c r="A133" s="561" t="s">
        <v>77</v>
      </c>
      <c r="B133" s="562">
        <v>2021</v>
      </c>
      <c r="C133" s="561" t="s">
        <v>725</v>
      </c>
      <c r="D133" s="561" t="s">
        <v>774</v>
      </c>
      <c r="E133" s="561" t="s">
        <v>728</v>
      </c>
      <c r="F133" s="563">
        <v>0</v>
      </c>
      <c r="G133" s="561" t="s">
        <v>654</v>
      </c>
      <c r="H133" s="564"/>
      <c r="I133" s="565"/>
      <c r="J133" s="565"/>
      <c r="K133" s="563">
        <v>0</v>
      </c>
      <c r="L133" s="566">
        <v>0</v>
      </c>
    </row>
    <row r="134" spans="1:12" ht="45" x14ac:dyDescent="0.2">
      <c r="A134" s="561" t="s">
        <v>77</v>
      </c>
      <c r="B134" s="562">
        <v>2021</v>
      </c>
      <c r="C134" s="561" t="s">
        <v>725</v>
      </c>
      <c r="D134" s="561" t="s">
        <v>775</v>
      </c>
      <c r="E134" s="561" t="s">
        <v>55</v>
      </c>
      <c r="F134" s="563">
        <v>0</v>
      </c>
      <c r="G134" s="561" t="s">
        <v>654</v>
      </c>
      <c r="H134" s="564"/>
      <c r="I134" s="565"/>
      <c r="J134" s="565"/>
      <c r="K134" s="563">
        <v>0</v>
      </c>
      <c r="L134" s="566">
        <v>0</v>
      </c>
    </row>
    <row r="135" spans="1:12" ht="45" x14ac:dyDescent="0.2">
      <c r="A135" s="561" t="s">
        <v>77</v>
      </c>
      <c r="B135" s="562">
        <v>2021</v>
      </c>
      <c r="C135" s="561" t="s">
        <v>725</v>
      </c>
      <c r="D135" s="561" t="s">
        <v>776</v>
      </c>
      <c r="E135" s="561" t="s">
        <v>56</v>
      </c>
      <c r="F135" s="563">
        <v>0</v>
      </c>
      <c r="G135" s="561" t="s">
        <v>654</v>
      </c>
      <c r="H135" s="564"/>
      <c r="I135" s="563">
        <v>455387.375</v>
      </c>
      <c r="J135" s="563">
        <v>0</v>
      </c>
      <c r="K135" s="563">
        <v>455387.375</v>
      </c>
      <c r="L135" s="566">
        <v>455387.36</v>
      </c>
    </row>
    <row r="136" spans="1:12" ht="45" x14ac:dyDescent="0.2">
      <c r="A136" s="561" t="s">
        <v>77</v>
      </c>
      <c r="B136" s="562">
        <v>2021</v>
      </c>
      <c r="C136" s="561" t="s">
        <v>725</v>
      </c>
      <c r="D136" s="561" t="s">
        <v>777</v>
      </c>
      <c r="E136" s="561" t="s">
        <v>732</v>
      </c>
      <c r="F136" s="563">
        <v>0</v>
      </c>
      <c r="G136" s="561" t="s">
        <v>654</v>
      </c>
      <c r="H136" s="564"/>
      <c r="I136" s="565"/>
      <c r="J136" s="565"/>
      <c r="K136" s="563">
        <v>0</v>
      </c>
      <c r="L136" s="566">
        <v>0</v>
      </c>
    </row>
    <row r="137" spans="1:12" ht="45" x14ac:dyDescent="0.2">
      <c r="A137" s="561" t="s">
        <v>77</v>
      </c>
      <c r="B137" s="562">
        <v>2021</v>
      </c>
      <c r="C137" s="561" t="s">
        <v>725</v>
      </c>
      <c r="D137" s="561" t="s">
        <v>778</v>
      </c>
      <c r="E137" s="561" t="s">
        <v>734</v>
      </c>
      <c r="F137" s="563">
        <v>0</v>
      </c>
      <c r="G137" s="561" t="s">
        <v>654</v>
      </c>
      <c r="H137" s="564"/>
      <c r="I137" s="565"/>
      <c r="J137" s="565"/>
      <c r="K137" s="563">
        <v>0</v>
      </c>
      <c r="L137" s="566">
        <v>0</v>
      </c>
    </row>
    <row r="138" spans="1:12" ht="45" x14ac:dyDescent="0.2">
      <c r="A138" s="561" t="s">
        <v>77</v>
      </c>
      <c r="B138" s="562">
        <v>2021</v>
      </c>
      <c r="C138" s="561" t="s">
        <v>725</v>
      </c>
      <c r="D138" s="561" t="s">
        <v>779</v>
      </c>
      <c r="E138" s="561" t="s">
        <v>142</v>
      </c>
      <c r="F138" s="563">
        <v>0</v>
      </c>
      <c r="G138" s="561" t="s">
        <v>654</v>
      </c>
      <c r="H138" s="564"/>
      <c r="I138" s="565"/>
      <c r="J138" s="565"/>
      <c r="K138" s="563">
        <v>0</v>
      </c>
      <c r="L138" s="566">
        <v>0</v>
      </c>
    </row>
    <row r="139" spans="1:12" ht="45" x14ac:dyDescent="0.2">
      <c r="A139" s="561" t="s">
        <v>77</v>
      </c>
      <c r="B139" s="562">
        <v>2021</v>
      </c>
      <c r="C139" s="561" t="s">
        <v>725</v>
      </c>
      <c r="D139" s="561" t="s">
        <v>780</v>
      </c>
      <c r="E139" s="561" t="s">
        <v>143</v>
      </c>
      <c r="F139" s="563">
        <v>0</v>
      </c>
      <c r="G139" s="561" t="s">
        <v>654</v>
      </c>
      <c r="H139" s="564"/>
      <c r="I139" s="565"/>
      <c r="J139" s="565"/>
      <c r="K139" s="563">
        <v>0</v>
      </c>
      <c r="L139" s="566">
        <v>0</v>
      </c>
    </row>
    <row r="140" spans="1:12" ht="45" x14ac:dyDescent="0.2">
      <c r="A140" s="561" t="s">
        <v>77</v>
      </c>
      <c r="B140" s="562">
        <v>2021</v>
      </c>
      <c r="C140" s="561" t="s">
        <v>725</v>
      </c>
      <c r="D140" s="561" t="s">
        <v>781</v>
      </c>
      <c r="E140" s="561" t="s">
        <v>182</v>
      </c>
      <c r="F140" s="563">
        <v>0</v>
      </c>
      <c r="G140" s="561" t="s">
        <v>654</v>
      </c>
      <c r="H140" s="564"/>
      <c r="I140" s="565"/>
      <c r="J140" s="565"/>
      <c r="K140" s="563">
        <v>0</v>
      </c>
      <c r="L140" s="566">
        <v>0</v>
      </c>
    </row>
    <row r="141" spans="1:12" ht="45" x14ac:dyDescent="0.2">
      <c r="A141" s="561" t="s">
        <v>77</v>
      </c>
      <c r="B141" s="562">
        <v>2021</v>
      </c>
      <c r="C141" s="561" t="s">
        <v>725</v>
      </c>
      <c r="D141" s="561" t="s">
        <v>782</v>
      </c>
      <c r="E141" s="561" t="s">
        <v>394</v>
      </c>
      <c r="F141" s="563">
        <v>0</v>
      </c>
      <c r="G141" s="561" t="s">
        <v>654</v>
      </c>
      <c r="H141" s="564"/>
      <c r="I141" s="565"/>
      <c r="J141" s="565"/>
      <c r="K141" s="563">
        <v>0</v>
      </c>
      <c r="L141" s="566">
        <v>0</v>
      </c>
    </row>
    <row r="142" spans="1:12" ht="45" x14ac:dyDescent="0.2">
      <c r="A142" s="561" t="s">
        <v>77</v>
      </c>
      <c r="B142" s="562">
        <v>2021</v>
      </c>
      <c r="C142" s="561" t="s">
        <v>725</v>
      </c>
      <c r="D142" s="561" t="s">
        <v>783</v>
      </c>
      <c r="E142" s="561" t="s">
        <v>425</v>
      </c>
      <c r="F142" s="563">
        <v>0</v>
      </c>
      <c r="G142" s="561" t="s">
        <v>654</v>
      </c>
      <c r="H142" s="564"/>
      <c r="I142" s="563">
        <v>13.199999809265099</v>
      </c>
      <c r="J142" s="563">
        <v>-404.760009765625</v>
      </c>
      <c r="K142" s="563">
        <v>-391.55999755859398</v>
      </c>
      <c r="L142" s="566">
        <v>-391.56</v>
      </c>
    </row>
    <row r="143" spans="1:12" ht="45" x14ac:dyDescent="0.2">
      <c r="A143" s="561" t="s">
        <v>77</v>
      </c>
      <c r="B143" s="562">
        <v>2021</v>
      </c>
      <c r="C143" s="561" t="s">
        <v>725</v>
      </c>
      <c r="D143" s="561" t="s">
        <v>3081</v>
      </c>
      <c r="E143" s="561" t="s">
        <v>443</v>
      </c>
      <c r="F143" s="563">
        <v>0</v>
      </c>
      <c r="G143" s="561" t="s">
        <v>654</v>
      </c>
      <c r="H143" s="564"/>
      <c r="I143" s="563">
        <v>41534.26171875</v>
      </c>
      <c r="J143" s="563">
        <v>1507.14001464844</v>
      </c>
      <c r="K143" s="563">
        <v>43041.3984375</v>
      </c>
      <c r="L143" s="566">
        <v>43041.4</v>
      </c>
    </row>
    <row r="144" spans="1:12" ht="45" x14ac:dyDescent="0.2">
      <c r="A144" s="561" t="s">
        <v>77</v>
      </c>
      <c r="B144" s="562">
        <v>2021</v>
      </c>
      <c r="C144" s="561" t="s">
        <v>725</v>
      </c>
      <c r="D144" s="561" t="s">
        <v>784</v>
      </c>
      <c r="E144" s="561" t="s">
        <v>741</v>
      </c>
      <c r="F144" s="563">
        <v>749214.25</v>
      </c>
      <c r="G144" s="564"/>
      <c r="H144" s="564"/>
      <c r="I144" s="565"/>
      <c r="J144" s="565"/>
      <c r="K144" s="563">
        <v>0</v>
      </c>
      <c r="L144" s="566">
        <v>749214.25</v>
      </c>
    </row>
    <row r="145" spans="1:12" ht="22.5" x14ac:dyDescent="0.2">
      <c r="A145" s="561" t="s">
        <v>77</v>
      </c>
      <c r="B145" s="562">
        <v>2021</v>
      </c>
      <c r="C145" s="561" t="s">
        <v>742</v>
      </c>
      <c r="D145" s="561" t="s">
        <v>785</v>
      </c>
      <c r="E145" s="561" t="s">
        <v>7</v>
      </c>
      <c r="F145" s="563">
        <v>-418429.52</v>
      </c>
      <c r="G145" s="564"/>
      <c r="H145" s="561" t="s">
        <v>654</v>
      </c>
      <c r="I145" s="565"/>
      <c r="J145" s="565"/>
      <c r="K145" s="563">
        <v>0</v>
      </c>
      <c r="L145" s="566">
        <v>-418429.52</v>
      </c>
    </row>
    <row r="146" spans="1:12" ht="22.5" x14ac:dyDescent="0.2">
      <c r="A146" s="561" t="s">
        <v>78</v>
      </c>
      <c r="B146" s="562">
        <v>2021</v>
      </c>
      <c r="C146" s="561" t="s">
        <v>651</v>
      </c>
      <c r="D146" s="561" t="s">
        <v>786</v>
      </c>
      <c r="E146" s="561" t="s">
        <v>653</v>
      </c>
      <c r="F146" s="563">
        <v>-66775.759999999995</v>
      </c>
      <c r="G146" s="564"/>
      <c r="H146" s="561" t="s">
        <v>654</v>
      </c>
      <c r="I146" s="565"/>
      <c r="J146" s="565"/>
      <c r="K146" s="563">
        <v>0</v>
      </c>
      <c r="L146" s="566">
        <v>-66775.759999999995</v>
      </c>
    </row>
    <row r="147" spans="1:12" ht="15" x14ac:dyDescent="0.2">
      <c r="A147" s="561" t="s">
        <v>78</v>
      </c>
      <c r="B147" s="562">
        <v>2021</v>
      </c>
      <c r="C147" s="561" t="s">
        <v>655</v>
      </c>
      <c r="D147" s="561" t="s">
        <v>787</v>
      </c>
      <c r="E147" s="561" t="s">
        <v>657</v>
      </c>
      <c r="F147" s="563">
        <v>-7650.07</v>
      </c>
      <c r="G147" s="564"/>
      <c r="H147" s="561" t="s">
        <v>654</v>
      </c>
      <c r="I147" s="565"/>
      <c r="J147" s="565"/>
      <c r="K147" s="563">
        <v>0</v>
      </c>
      <c r="L147" s="566">
        <v>-7650.07</v>
      </c>
    </row>
    <row r="148" spans="1:12" ht="56.25" x14ac:dyDescent="0.2">
      <c r="A148" s="561" t="s">
        <v>78</v>
      </c>
      <c r="B148" s="562">
        <v>2021</v>
      </c>
      <c r="C148" s="561" t="s">
        <v>658</v>
      </c>
      <c r="D148" s="561" t="s">
        <v>788</v>
      </c>
      <c r="E148" s="561" t="s">
        <v>447</v>
      </c>
      <c r="F148" s="563">
        <v>0</v>
      </c>
      <c r="G148" s="564"/>
      <c r="H148" s="561" t="s">
        <v>654</v>
      </c>
      <c r="I148" s="565"/>
      <c r="J148" s="565"/>
      <c r="K148" s="563">
        <v>0</v>
      </c>
      <c r="L148" s="566">
        <v>0</v>
      </c>
    </row>
    <row r="149" spans="1:12" ht="22.5" x14ac:dyDescent="0.2">
      <c r="A149" s="561" t="s">
        <v>78</v>
      </c>
      <c r="B149" s="562">
        <v>2021</v>
      </c>
      <c r="C149" s="561" t="s">
        <v>660</v>
      </c>
      <c r="D149" s="561" t="s">
        <v>789</v>
      </c>
      <c r="E149" s="561" t="s">
        <v>662</v>
      </c>
      <c r="F149" s="563">
        <v>0</v>
      </c>
      <c r="G149" s="564"/>
      <c r="H149" s="561" t="s">
        <v>654</v>
      </c>
      <c r="I149" s="565"/>
      <c r="J149" s="565"/>
      <c r="K149" s="563">
        <v>0</v>
      </c>
      <c r="L149" s="566">
        <v>0</v>
      </c>
    </row>
    <row r="150" spans="1:12" ht="33.75" x14ac:dyDescent="0.2">
      <c r="A150" s="561" t="s">
        <v>78</v>
      </c>
      <c r="B150" s="562">
        <v>2021</v>
      </c>
      <c r="C150" s="561" t="s">
        <v>663</v>
      </c>
      <c r="D150" s="561" t="s">
        <v>790</v>
      </c>
      <c r="E150" s="561" t="s">
        <v>665</v>
      </c>
      <c r="F150" s="563">
        <v>0</v>
      </c>
      <c r="G150" s="564"/>
      <c r="H150" s="561" t="s">
        <v>654</v>
      </c>
      <c r="I150" s="565"/>
      <c r="J150" s="565"/>
      <c r="K150" s="563">
        <v>0</v>
      </c>
      <c r="L150" s="566">
        <v>0</v>
      </c>
    </row>
    <row r="151" spans="1:12" ht="33.75" x14ac:dyDescent="0.2">
      <c r="A151" s="561" t="s">
        <v>78</v>
      </c>
      <c r="B151" s="562">
        <v>2021</v>
      </c>
      <c r="C151" s="561" t="s">
        <v>666</v>
      </c>
      <c r="D151" s="561" t="s">
        <v>791</v>
      </c>
      <c r="E151" s="561" t="s">
        <v>668</v>
      </c>
      <c r="F151" s="563">
        <v>0</v>
      </c>
      <c r="G151" s="564"/>
      <c r="H151" s="561" t="s">
        <v>654</v>
      </c>
      <c r="I151" s="565"/>
      <c r="J151" s="565"/>
      <c r="K151" s="563">
        <v>0</v>
      </c>
      <c r="L151" s="566">
        <v>0</v>
      </c>
    </row>
    <row r="152" spans="1:12" ht="56.25" x14ac:dyDescent="0.2">
      <c r="A152" s="561" t="s">
        <v>78</v>
      </c>
      <c r="B152" s="562">
        <v>2021</v>
      </c>
      <c r="C152" s="561" t="s">
        <v>669</v>
      </c>
      <c r="D152" s="561" t="s">
        <v>792</v>
      </c>
      <c r="E152" s="561" t="s">
        <v>671</v>
      </c>
      <c r="F152" s="563">
        <v>0</v>
      </c>
      <c r="G152" s="564"/>
      <c r="H152" s="561" t="s">
        <v>654</v>
      </c>
      <c r="I152" s="565"/>
      <c r="J152" s="565"/>
      <c r="K152" s="563">
        <v>0</v>
      </c>
      <c r="L152" s="566">
        <v>0</v>
      </c>
    </row>
    <row r="153" spans="1:12" ht="22.5" x14ac:dyDescent="0.2">
      <c r="A153" s="561" t="s">
        <v>78</v>
      </c>
      <c r="B153" s="562">
        <v>2021</v>
      </c>
      <c r="C153" s="561" t="s">
        <v>672</v>
      </c>
      <c r="D153" s="561" t="s">
        <v>793</v>
      </c>
      <c r="E153" s="561" t="s">
        <v>12</v>
      </c>
      <c r="F153" s="563">
        <v>0</v>
      </c>
      <c r="G153" s="564"/>
      <c r="H153" s="561" t="s">
        <v>654</v>
      </c>
      <c r="I153" s="565"/>
      <c r="J153" s="565"/>
      <c r="K153" s="563">
        <v>0</v>
      </c>
      <c r="L153" s="566">
        <v>0</v>
      </c>
    </row>
    <row r="154" spans="1:12" ht="22.5" x14ac:dyDescent="0.2">
      <c r="A154" s="561" t="s">
        <v>78</v>
      </c>
      <c r="B154" s="562">
        <v>2021</v>
      </c>
      <c r="C154" s="561" t="s">
        <v>674</v>
      </c>
      <c r="D154" s="561" t="s">
        <v>794</v>
      </c>
      <c r="E154" s="561" t="s">
        <v>13</v>
      </c>
      <c r="F154" s="563">
        <v>0</v>
      </c>
      <c r="G154" s="564"/>
      <c r="H154" s="561" t="s">
        <v>654</v>
      </c>
      <c r="I154" s="565"/>
      <c r="J154" s="565"/>
      <c r="K154" s="563">
        <v>0</v>
      </c>
      <c r="L154" s="566">
        <v>0</v>
      </c>
    </row>
    <row r="155" spans="1:12" ht="33.75" x14ac:dyDescent="0.2">
      <c r="A155" s="561" t="s">
        <v>78</v>
      </c>
      <c r="B155" s="562">
        <v>2021</v>
      </c>
      <c r="C155" s="561" t="s">
        <v>676</v>
      </c>
      <c r="D155" s="561" t="s">
        <v>795</v>
      </c>
      <c r="E155" s="561" t="s">
        <v>15</v>
      </c>
      <c r="F155" s="563">
        <v>0</v>
      </c>
      <c r="G155" s="564"/>
      <c r="H155" s="561" t="s">
        <v>654</v>
      </c>
      <c r="I155" s="565"/>
      <c r="J155" s="565"/>
      <c r="K155" s="563">
        <v>0</v>
      </c>
      <c r="L155" s="566">
        <v>0</v>
      </c>
    </row>
    <row r="156" spans="1:12" ht="15" x14ac:dyDescent="0.2">
      <c r="A156" s="561" t="s">
        <v>78</v>
      </c>
      <c r="B156" s="562">
        <v>2021</v>
      </c>
      <c r="C156" s="561" t="s">
        <v>678</v>
      </c>
      <c r="D156" s="561" t="s">
        <v>796</v>
      </c>
      <c r="E156" s="561" t="s">
        <v>680</v>
      </c>
      <c r="F156" s="563">
        <v>6027.41</v>
      </c>
      <c r="G156" s="564"/>
      <c r="H156" s="561" t="s">
        <v>654</v>
      </c>
      <c r="I156" s="565"/>
      <c r="J156" s="565"/>
      <c r="K156" s="563">
        <v>0</v>
      </c>
      <c r="L156" s="566">
        <v>6027.41</v>
      </c>
    </row>
    <row r="157" spans="1:12" ht="15" x14ac:dyDescent="0.2">
      <c r="A157" s="561" t="s">
        <v>78</v>
      </c>
      <c r="B157" s="562">
        <v>2021</v>
      </c>
      <c r="C157" s="561" t="s">
        <v>681</v>
      </c>
      <c r="D157" s="561" t="s">
        <v>797</v>
      </c>
      <c r="E157" s="561" t="s">
        <v>23</v>
      </c>
      <c r="F157" s="563">
        <v>0</v>
      </c>
      <c r="G157" s="561" t="s">
        <v>654</v>
      </c>
      <c r="H157" s="564"/>
      <c r="I157" s="565"/>
      <c r="J157" s="565"/>
      <c r="K157" s="563">
        <v>0</v>
      </c>
      <c r="L157" s="566">
        <v>0</v>
      </c>
    </row>
    <row r="158" spans="1:12" ht="33.75" x14ac:dyDescent="0.2">
      <c r="A158" s="561" t="s">
        <v>78</v>
      </c>
      <c r="B158" s="562">
        <v>2021</v>
      </c>
      <c r="C158" s="561" t="s">
        <v>683</v>
      </c>
      <c r="D158" s="561" t="s">
        <v>798</v>
      </c>
      <c r="E158" s="561" t="s">
        <v>131</v>
      </c>
      <c r="F158" s="563">
        <v>-103.52</v>
      </c>
      <c r="G158" s="561" t="s">
        <v>654</v>
      </c>
      <c r="H158" s="564"/>
      <c r="I158" s="563">
        <v>-103.51999664306599</v>
      </c>
      <c r="J158" s="565"/>
      <c r="K158" s="563">
        <v>-103.51999664306599</v>
      </c>
      <c r="L158" s="566">
        <v>-103.52</v>
      </c>
    </row>
    <row r="159" spans="1:12" ht="33.75" x14ac:dyDescent="0.2">
      <c r="A159" s="561" t="s">
        <v>78</v>
      </c>
      <c r="B159" s="562">
        <v>2021</v>
      </c>
      <c r="C159" s="561" t="s">
        <v>685</v>
      </c>
      <c r="D159" s="561" t="s">
        <v>799</v>
      </c>
      <c r="E159" s="561" t="s">
        <v>687</v>
      </c>
      <c r="F159" s="563">
        <v>0</v>
      </c>
      <c r="G159" s="564"/>
      <c r="H159" s="561" t="s">
        <v>654</v>
      </c>
      <c r="I159" s="565"/>
      <c r="J159" s="565"/>
      <c r="K159" s="563">
        <v>0</v>
      </c>
      <c r="L159" s="566">
        <v>0</v>
      </c>
    </row>
    <row r="160" spans="1:12" ht="33.75" x14ac:dyDescent="0.2">
      <c r="A160" s="561" t="s">
        <v>78</v>
      </c>
      <c r="B160" s="562">
        <v>2021</v>
      </c>
      <c r="C160" s="561" t="s">
        <v>685</v>
      </c>
      <c r="D160" s="561" t="s">
        <v>799</v>
      </c>
      <c r="E160" s="561" t="s">
        <v>688</v>
      </c>
      <c r="F160" s="563">
        <v>0</v>
      </c>
      <c r="G160" s="564"/>
      <c r="H160" s="561" t="s">
        <v>654</v>
      </c>
      <c r="I160" s="565"/>
      <c r="J160" s="565"/>
      <c r="K160" s="563">
        <v>0</v>
      </c>
      <c r="L160" s="566">
        <v>0</v>
      </c>
    </row>
    <row r="161" spans="1:12" ht="22.5" x14ac:dyDescent="0.2">
      <c r="A161" s="561" t="s">
        <v>78</v>
      </c>
      <c r="B161" s="562">
        <v>2021</v>
      </c>
      <c r="C161" s="561" t="s">
        <v>689</v>
      </c>
      <c r="D161" s="561" t="s">
        <v>800</v>
      </c>
      <c r="E161" s="561" t="s">
        <v>691</v>
      </c>
      <c r="F161" s="563">
        <v>0</v>
      </c>
      <c r="G161" s="564"/>
      <c r="H161" s="561" t="s">
        <v>654</v>
      </c>
      <c r="I161" s="565"/>
      <c r="J161" s="565"/>
      <c r="K161" s="563">
        <v>0</v>
      </c>
      <c r="L161" s="566">
        <v>0</v>
      </c>
    </row>
    <row r="162" spans="1:12" ht="22.5" x14ac:dyDescent="0.2">
      <c r="A162" s="561" t="s">
        <v>78</v>
      </c>
      <c r="B162" s="562">
        <v>2021</v>
      </c>
      <c r="C162" s="561" t="s">
        <v>692</v>
      </c>
      <c r="D162" s="561" t="s">
        <v>801</v>
      </c>
      <c r="E162" s="561" t="s">
        <v>50</v>
      </c>
      <c r="F162" s="563">
        <v>1910.27</v>
      </c>
      <c r="G162" s="564"/>
      <c r="H162" s="561" t="s">
        <v>654</v>
      </c>
      <c r="I162" s="565"/>
      <c r="J162" s="565"/>
      <c r="K162" s="563">
        <v>0</v>
      </c>
      <c r="L162" s="566">
        <v>1910.27</v>
      </c>
    </row>
    <row r="163" spans="1:12" ht="22.5" x14ac:dyDescent="0.2">
      <c r="A163" s="561" t="s">
        <v>78</v>
      </c>
      <c r="B163" s="562">
        <v>2021</v>
      </c>
      <c r="C163" s="561" t="s">
        <v>694</v>
      </c>
      <c r="D163" s="561" t="s">
        <v>802</v>
      </c>
      <c r="E163" s="561" t="s">
        <v>696</v>
      </c>
      <c r="F163" s="563">
        <v>0</v>
      </c>
      <c r="G163" s="564"/>
      <c r="H163" s="561" t="s">
        <v>654</v>
      </c>
      <c r="I163" s="565"/>
      <c r="J163" s="565"/>
      <c r="K163" s="563">
        <v>0</v>
      </c>
      <c r="L163" s="566">
        <v>0</v>
      </c>
    </row>
    <row r="164" spans="1:12" ht="22.5" x14ac:dyDescent="0.2">
      <c r="A164" s="561" t="s">
        <v>78</v>
      </c>
      <c r="B164" s="562">
        <v>2021</v>
      </c>
      <c r="C164" s="561" t="s">
        <v>697</v>
      </c>
      <c r="D164" s="561" t="s">
        <v>803</v>
      </c>
      <c r="E164" s="561" t="s">
        <v>6</v>
      </c>
      <c r="F164" s="563">
        <v>0</v>
      </c>
      <c r="G164" s="564"/>
      <c r="H164" s="561" t="s">
        <v>654</v>
      </c>
      <c r="I164" s="565"/>
      <c r="J164" s="565"/>
      <c r="K164" s="563">
        <v>0</v>
      </c>
      <c r="L164" s="566">
        <v>0</v>
      </c>
    </row>
    <row r="165" spans="1:12" ht="33.75" x14ac:dyDescent="0.2">
      <c r="A165" s="561" t="s">
        <v>78</v>
      </c>
      <c r="B165" s="562">
        <v>2021</v>
      </c>
      <c r="C165" s="561" t="s">
        <v>699</v>
      </c>
      <c r="D165" s="561" t="s">
        <v>804</v>
      </c>
      <c r="E165" s="561" t="s">
        <v>701</v>
      </c>
      <c r="F165" s="563">
        <v>0</v>
      </c>
      <c r="G165" s="564"/>
      <c r="H165" s="561" t="s">
        <v>654</v>
      </c>
      <c r="I165" s="565"/>
      <c r="J165" s="565"/>
      <c r="K165" s="563">
        <v>0</v>
      </c>
      <c r="L165" s="566">
        <v>0</v>
      </c>
    </row>
    <row r="166" spans="1:12" ht="22.5" x14ac:dyDescent="0.2">
      <c r="A166" s="561" t="s">
        <v>78</v>
      </c>
      <c r="B166" s="562">
        <v>2021</v>
      </c>
      <c r="C166" s="561" t="s">
        <v>702</v>
      </c>
      <c r="D166" s="561" t="s">
        <v>805</v>
      </c>
      <c r="E166" s="561" t="s">
        <v>704</v>
      </c>
      <c r="F166" s="563">
        <v>0</v>
      </c>
      <c r="G166" s="564"/>
      <c r="H166" s="561" t="s">
        <v>654</v>
      </c>
      <c r="I166" s="565"/>
      <c r="J166" s="565"/>
      <c r="K166" s="563">
        <v>0</v>
      </c>
      <c r="L166" s="566">
        <v>0</v>
      </c>
    </row>
    <row r="167" spans="1:12" ht="33.75" x14ac:dyDescent="0.2">
      <c r="A167" s="561" t="s">
        <v>78</v>
      </c>
      <c r="B167" s="562">
        <v>2021</v>
      </c>
      <c r="C167" s="561" t="s">
        <v>705</v>
      </c>
      <c r="D167" s="561" t="s">
        <v>806</v>
      </c>
      <c r="E167" s="561" t="s">
        <v>1</v>
      </c>
      <c r="F167" s="563">
        <v>-26004.07</v>
      </c>
      <c r="G167" s="561" t="s">
        <v>654</v>
      </c>
      <c r="H167" s="564"/>
      <c r="I167" s="563">
        <v>-25086.01953125</v>
      </c>
      <c r="J167" s="563">
        <v>-918.04998779296898</v>
      </c>
      <c r="K167" s="563">
        <v>-26004.0703125</v>
      </c>
      <c r="L167" s="566">
        <v>-26004.07</v>
      </c>
    </row>
    <row r="168" spans="1:12" ht="22.5" x14ac:dyDescent="0.2">
      <c r="A168" s="561" t="s">
        <v>78</v>
      </c>
      <c r="B168" s="562">
        <v>2021</v>
      </c>
      <c r="C168" s="561" t="s">
        <v>705</v>
      </c>
      <c r="D168" s="561" t="s">
        <v>806</v>
      </c>
      <c r="E168" s="561" t="s">
        <v>707</v>
      </c>
      <c r="F168" s="563">
        <v>0</v>
      </c>
      <c r="G168" s="564"/>
      <c r="H168" s="564"/>
      <c r="I168" s="565"/>
      <c r="J168" s="565"/>
      <c r="K168" s="563">
        <v>0</v>
      </c>
      <c r="L168" s="566">
        <v>0</v>
      </c>
    </row>
    <row r="169" spans="1:12" ht="22.5" x14ac:dyDescent="0.2">
      <c r="A169" s="561" t="s">
        <v>78</v>
      </c>
      <c r="B169" s="562">
        <v>2021</v>
      </c>
      <c r="C169" s="561" t="s">
        <v>705</v>
      </c>
      <c r="D169" s="561" t="s">
        <v>806</v>
      </c>
      <c r="E169" s="561" t="s">
        <v>708</v>
      </c>
      <c r="F169" s="563">
        <v>-0.03</v>
      </c>
      <c r="G169" s="564"/>
      <c r="H169" s="564"/>
      <c r="I169" s="565"/>
      <c r="J169" s="565"/>
      <c r="K169" s="563">
        <v>0</v>
      </c>
      <c r="L169" s="566">
        <v>-0.03</v>
      </c>
    </row>
    <row r="170" spans="1:12" ht="22.5" x14ac:dyDescent="0.2">
      <c r="A170" s="561" t="s">
        <v>78</v>
      </c>
      <c r="B170" s="562">
        <v>2021</v>
      </c>
      <c r="C170" s="561" t="s">
        <v>705</v>
      </c>
      <c r="D170" s="561" t="s">
        <v>806</v>
      </c>
      <c r="E170" s="561" t="s">
        <v>709</v>
      </c>
      <c r="F170" s="563">
        <v>152.31</v>
      </c>
      <c r="G170" s="564"/>
      <c r="H170" s="564"/>
      <c r="I170" s="565"/>
      <c r="J170" s="565"/>
      <c r="K170" s="563">
        <v>0</v>
      </c>
      <c r="L170" s="566">
        <v>152.31</v>
      </c>
    </row>
    <row r="171" spans="1:12" ht="22.5" x14ac:dyDescent="0.2">
      <c r="A171" s="561" t="s">
        <v>78</v>
      </c>
      <c r="B171" s="562">
        <v>2021</v>
      </c>
      <c r="C171" s="561" t="s">
        <v>705</v>
      </c>
      <c r="D171" s="561" t="s">
        <v>806</v>
      </c>
      <c r="E171" s="561" t="s">
        <v>710</v>
      </c>
      <c r="F171" s="563">
        <v>-2972.66</v>
      </c>
      <c r="G171" s="564"/>
      <c r="H171" s="564"/>
      <c r="I171" s="565"/>
      <c r="J171" s="565"/>
      <c r="K171" s="563">
        <v>0</v>
      </c>
      <c r="L171" s="566">
        <v>-2972.66</v>
      </c>
    </row>
    <row r="172" spans="1:12" ht="15" x14ac:dyDescent="0.2">
      <c r="A172" s="561" t="s">
        <v>78</v>
      </c>
      <c r="B172" s="562">
        <v>2021</v>
      </c>
      <c r="C172" s="561" t="s">
        <v>711</v>
      </c>
      <c r="D172" s="561" t="s">
        <v>807</v>
      </c>
      <c r="E172" s="561" t="s">
        <v>713</v>
      </c>
      <c r="F172" s="563">
        <v>0</v>
      </c>
      <c r="G172" s="564"/>
      <c r="H172" s="561" t="s">
        <v>654</v>
      </c>
      <c r="I172" s="565"/>
      <c r="J172" s="565"/>
      <c r="K172" s="563">
        <v>0</v>
      </c>
      <c r="L172" s="566">
        <v>0</v>
      </c>
    </row>
    <row r="173" spans="1:12" ht="33.75" x14ac:dyDescent="0.2">
      <c r="A173" s="561" t="s">
        <v>78</v>
      </c>
      <c r="B173" s="562">
        <v>2021</v>
      </c>
      <c r="C173" s="561" t="s">
        <v>714</v>
      </c>
      <c r="D173" s="561" t="s">
        <v>808</v>
      </c>
      <c r="E173" s="561" t="s">
        <v>2</v>
      </c>
      <c r="F173" s="563">
        <v>35086.81</v>
      </c>
      <c r="G173" s="561" t="s">
        <v>654</v>
      </c>
      <c r="H173" s="564"/>
      <c r="I173" s="563">
        <v>34298.91015625</v>
      </c>
      <c r="J173" s="563">
        <v>787.90002441406295</v>
      </c>
      <c r="K173" s="563">
        <v>35086.80859375</v>
      </c>
      <c r="L173" s="566">
        <v>35086.81</v>
      </c>
    </row>
    <row r="174" spans="1:12" ht="33.75" x14ac:dyDescent="0.2">
      <c r="A174" s="561" t="s">
        <v>78</v>
      </c>
      <c r="B174" s="562">
        <v>2021</v>
      </c>
      <c r="C174" s="561" t="s">
        <v>716</v>
      </c>
      <c r="D174" s="561" t="s">
        <v>809</v>
      </c>
      <c r="E174" s="561" t="s">
        <v>3</v>
      </c>
      <c r="F174" s="563">
        <v>10969.87</v>
      </c>
      <c r="G174" s="561" t="s">
        <v>654</v>
      </c>
      <c r="H174" s="564"/>
      <c r="I174" s="563">
        <v>10576.3603515625</v>
      </c>
      <c r="J174" s="563">
        <v>393.510009765625</v>
      </c>
      <c r="K174" s="563">
        <v>10969.8701171875</v>
      </c>
      <c r="L174" s="566">
        <v>10969.87</v>
      </c>
    </row>
    <row r="175" spans="1:12" ht="33.75" x14ac:dyDescent="0.2">
      <c r="A175" s="561" t="s">
        <v>78</v>
      </c>
      <c r="B175" s="562">
        <v>2021</v>
      </c>
      <c r="C175" s="561" t="s">
        <v>718</v>
      </c>
      <c r="D175" s="561" t="s">
        <v>810</v>
      </c>
      <c r="E175" s="561" t="s">
        <v>38</v>
      </c>
      <c r="F175" s="563">
        <v>-119752.97</v>
      </c>
      <c r="G175" s="561" t="s">
        <v>654</v>
      </c>
      <c r="H175" s="564"/>
      <c r="I175" s="563">
        <v>-120729.890625</v>
      </c>
      <c r="J175" s="563">
        <v>976.91998291015602</v>
      </c>
      <c r="K175" s="563">
        <v>-119752.96875</v>
      </c>
      <c r="L175" s="566">
        <v>-119752.97</v>
      </c>
    </row>
    <row r="176" spans="1:12" ht="22.5" x14ac:dyDescent="0.2">
      <c r="A176" s="561" t="s">
        <v>78</v>
      </c>
      <c r="B176" s="562">
        <v>2021</v>
      </c>
      <c r="C176" s="561" t="s">
        <v>720</v>
      </c>
      <c r="D176" s="561" t="s">
        <v>811</v>
      </c>
      <c r="E176" s="561" t="s">
        <v>66</v>
      </c>
      <c r="F176" s="563">
        <v>176325.34</v>
      </c>
      <c r="G176" s="561" t="s">
        <v>654</v>
      </c>
      <c r="H176" s="564"/>
      <c r="I176" s="563">
        <v>173394.59375</v>
      </c>
      <c r="J176" s="563">
        <v>2930.75</v>
      </c>
      <c r="K176" s="563">
        <v>176325.34375</v>
      </c>
      <c r="L176" s="566">
        <v>176325.34</v>
      </c>
    </row>
    <row r="177" spans="1:12" ht="45" x14ac:dyDescent="0.2">
      <c r="A177" s="561" t="s">
        <v>78</v>
      </c>
      <c r="B177" s="562">
        <v>2021</v>
      </c>
      <c r="C177" s="561" t="s">
        <v>722</v>
      </c>
      <c r="D177" s="561" t="s">
        <v>812</v>
      </c>
      <c r="E177" s="561" t="s">
        <v>724</v>
      </c>
      <c r="F177" s="563">
        <v>-2724</v>
      </c>
      <c r="G177" s="564"/>
      <c r="H177" s="561" t="s">
        <v>654</v>
      </c>
      <c r="I177" s="565"/>
      <c r="J177" s="565"/>
      <c r="K177" s="563">
        <v>0</v>
      </c>
      <c r="L177" s="566">
        <v>-2724</v>
      </c>
    </row>
    <row r="178" spans="1:12" ht="45" x14ac:dyDescent="0.2">
      <c r="A178" s="561" t="s">
        <v>78</v>
      </c>
      <c r="B178" s="562">
        <v>2021</v>
      </c>
      <c r="C178" s="561" t="s">
        <v>725</v>
      </c>
      <c r="D178" s="561" t="s">
        <v>813</v>
      </c>
      <c r="E178" s="561" t="s">
        <v>3024</v>
      </c>
      <c r="F178" s="563">
        <v>0</v>
      </c>
      <c r="G178" s="561" t="s">
        <v>654</v>
      </c>
      <c r="H178" s="564"/>
      <c r="I178" s="563">
        <v>77033.640625</v>
      </c>
      <c r="J178" s="563">
        <v>-22885.349609375</v>
      </c>
      <c r="K178" s="563">
        <v>54148.2890625</v>
      </c>
      <c r="L178" s="566">
        <v>54148.29</v>
      </c>
    </row>
    <row r="179" spans="1:12" ht="45" x14ac:dyDescent="0.2">
      <c r="A179" s="561" t="s">
        <v>78</v>
      </c>
      <c r="B179" s="562">
        <v>2021</v>
      </c>
      <c r="C179" s="561" t="s">
        <v>725</v>
      </c>
      <c r="D179" s="561" t="s">
        <v>813</v>
      </c>
      <c r="E179" s="561" t="s">
        <v>3066</v>
      </c>
      <c r="F179" s="563">
        <v>0</v>
      </c>
      <c r="G179" s="561" t="s">
        <v>654</v>
      </c>
      <c r="H179" s="564"/>
      <c r="I179" s="563">
        <v>-21212.48046875</v>
      </c>
      <c r="J179" s="563">
        <v>-2441.82006835938</v>
      </c>
      <c r="K179" s="563">
        <v>-23654.30078125</v>
      </c>
      <c r="L179" s="566">
        <v>-23654.3</v>
      </c>
    </row>
    <row r="180" spans="1:12" ht="45" x14ac:dyDescent="0.2">
      <c r="A180" s="561" t="s">
        <v>78</v>
      </c>
      <c r="B180" s="562">
        <v>2021</v>
      </c>
      <c r="C180" s="561" t="s">
        <v>725</v>
      </c>
      <c r="D180" s="561" t="s">
        <v>814</v>
      </c>
      <c r="E180" s="561" t="s">
        <v>728</v>
      </c>
      <c r="F180" s="563">
        <v>0</v>
      </c>
      <c r="G180" s="561" t="s">
        <v>654</v>
      </c>
      <c r="H180" s="564"/>
      <c r="I180" s="565"/>
      <c r="J180" s="565"/>
      <c r="K180" s="563">
        <v>0</v>
      </c>
      <c r="L180" s="566">
        <v>0</v>
      </c>
    </row>
    <row r="181" spans="1:12" ht="45" x14ac:dyDescent="0.2">
      <c r="A181" s="561" t="s">
        <v>78</v>
      </c>
      <c r="B181" s="562">
        <v>2021</v>
      </c>
      <c r="C181" s="561" t="s">
        <v>725</v>
      </c>
      <c r="D181" s="561" t="s">
        <v>815</v>
      </c>
      <c r="E181" s="561" t="s">
        <v>55</v>
      </c>
      <c r="F181" s="563">
        <v>0</v>
      </c>
      <c r="G181" s="561" t="s">
        <v>654</v>
      </c>
      <c r="H181" s="564"/>
      <c r="I181" s="565"/>
      <c r="J181" s="565"/>
      <c r="K181" s="563">
        <v>0</v>
      </c>
      <c r="L181" s="566">
        <v>0</v>
      </c>
    </row>
    <row r="182" spans="1:12" ht="45" x14ac:dyDescent="0.2">
      <c r="A182" s="561" t="s">
        <v>78</v>
      </c>
      <c r="B182" s="562">
        <v>2021</v>
      </c>
      <c r="C182" s="561" t="s">
        <v>725</v>
      </c>
      <c r="D182" s="561" t="s">
        <v>816</v>
      </c>
      <c r="E182" s="561" t="s">
        <v>56</v>
      </c>
      <c r="F182" s="563">
        <v>0</v>
      </c>
      <c r="G182" s="561" t="s">
        <v>654</v>
      </c>
      <c r="H182" s="564"/>
      <c r="I182" s="565"/>
      <c r="J182" s="565"/>
      <c r="K182" s="563">
        <v>0</v>
      </c>
      <c r="L182" s="566">
        <v>0</v>
      </c>
    </row>
    <row r="183" spans="1:12" ht="45" x14ac:dyDescent="0.2">
      <c r="A183" s="561" t="s">
        <v>78</v>
      </c>
      <c r="B183" s="562">
        <v>2021</v>
      </c>
      <c r="C183" s="561" t="s">
        <v>725</v>
      </c>
      <c r="D183" s="561" t="s">
        <v>817</v>
      </c>
      <c r="E183" s="561" t="s">
        <v>732</v>
      </c>
      <c r="F183" s="563">
        <v>0</v>
      </c>
      <c r="G183" s="561" t="s">
        <v>654</v>
      </c>
      <c r="H183" s="564"/>
      <c r="I183" s="565"/>
      <c r="J183" s="565"/>
      <c r="K183" s="563">
        <v>0</v>
      </c>
      <c r="L183" s="566">
        <v>0</v>
      </c>
    </row>
    <row r="184" spans="1:12" ht="45" x14ac:dyDescent="0.2">
      <c r="A184" s="561" t="s">
        <v>78</v>
      </c>
      <c r="B184" s="562">
        <v>2021</v>
      </c>
      <c r="C184" s="561" t="s">
        <v>725</v>
      </c>
      <c r="D184" s="561" t="s">
        <v>818</v>
      </c>
      <c r="E184" s="561" t="s">
        <v>734</v>
      </c>
      <c r="F184" s="563">
        <v>0</v>
      </c>
      <c r="G184" s="561" t="s">
        <v>654</v>
      </c>
      <c r="H184" s="564"/>
      <c r="I184" s="565"/>
      <c r="J184" s="565"/>
      <c r="K184" s="563">
        <v>0</v>
      </c>
      <c r="L184" s="566">
        <v>0</v>
      </c>
    </row>
    <row r="185" spans="1:12" ht="45" x14ac:dyDescent="0.2">
      <c r="A185" s="561" t="s">
        <v>78</v>
      </c>
      <c r="B185" s="562">
        <v>2021</v>
      </c>
      <c r="C185" s="561" t="s">
        <v>725</v>
      </c>
      <c r="D185" s="561" t="s">
        <v>819</v>
      </c>
      <c r="E185" s="561" t="s">
        <v>142</v>
      </c>
      <c r="F185" s="563">
        <v>0</v>
      </c>
      <c r="G185" s="561" t="s">
        <v>654</v>
      </c>
      <c r="H185" s="564"/>
      <c r="I185" s="565"/>
      <c r="J185" s="565"/>
      <c r="K185" s="563">
        <v>0</v>
      </c>
      <c r="L185" s="566">
        <v>0</v>
      </c>
    </row>
    <row r="186" spans="1:12" ht="45" x14ac:dyDescent="0.2">
      <c r="A186" s="561" t="s">
        <v>78</v>
      </c>
      <c r="B186" s="562">
        <v>2021</v>
      </c>
      <c r="C186" s="561" t="s">
        <v>725</v>
      </c>
      <c r="D186" s="561" t="s">
        <v>820</v>
      </c>
      <c r="E186" s="561" t="s">
        <v>143</v>
      </c>
      <c r="F186" s="563">
        <v>0</v>
      </c>
      <c r="G186" s="561" t="s">
        <v>654</v>
      </c>
      <c r="H186" s="564"/>
      <c r="I186" s="565"/>
      <c r="J186" s="565"/>
      <c r="K186" s="563">
        <v>0</v>
      </c>
      <c r="L186" s="566">
        <v>0</v>
      </c>
    </row>
    <row r="187" spans="1:12" ht="45" x14ac:dyDescent="0.2">
      <c r="A187" s="561" t="s">
        <v>78</v>
      </c>
      <c r="B187" s="562">
        <v>2021</v>
      </c>
      <c r="C187" s="561" t="s">
        <v>725</v>
      </c>
      <c r="D187" s="561" t="s">
        <v>821</v>
      </c>
      <c r="E187" s="561" t="s">
        <v>182</v>
      </c>
      <c r="F187" s="563">
        <v>0</v>
      </c>
      <c r="G187" s="561" t="s">
        <v>654</v>
      </c>
      <c r="H187" s="564"/>
      <c r="I187" s="565"/>
      <c r="J187" s="565"/>
      <c r="K187" s="563">
        <v>0</v>
      </c>
      <c r="L187" s="566">
        <v>0</v>
      </c>
    </row>
    <row r="188" spans="1:12" ht="45" x14ac:dyDescent="0.2">
      <c r="A188" s="561" t="s">
        <v>78</v>
      </c>
      <c r="B188" s="562">
        <v>2021</v>
      </c>
      <c r="C188" s="561" t="s">
        <v>725</v>
      </c>
      <c r="D188" s="561" t="s">
        <v>822</v>
      </c>
      <c r="E188" s="561" t="s">
        <v>394</v>
      </c>
      <c r="F188" s="563">
        <v>0</v>
      </c>
      <c r="G188" s="561" t="s">
        <v>654</v>
      </c>
      <c r="H188" s="564"/>
      <c r="I188" s="565"/>
      <c r="J188" s="565"/>
      <c r="K188" s="563">
        <v>0</v>
      </c>
      <c r="L188" s="566">
        <v>0</v>
      </c>
    </row>
    <row r="189" spans="1:12" ht="45" x14ac:dyDescent="0.2">
      <c r="A189" s="561" t="s">
        <v>78</v>
      </c>
      <c r="B189" s="562">
        <v>2021</v>
      </c>
      <c r="C189" s="561" t="s">
        <v>725</v>
      </c>
      <c r="D189" s="561" t="s">
        <v>823</v>
      </c>
      <c r="E189" s="561" t="s">
        <v>425</v>
      </c>
      <c r="F189" s="563">
        <v>0</v>
      </c>
      <c r="G189" s="561" t="s">
        <v>654</v>
      </c>
      <c r="H189" s="564"/>
      <c r="I189" s="565"/>
      <c r="J189" s="565"/>
      <c r="K189" s="563">
        <v>0</v>
      </c>
      <c r="L189" s="566">
        <v>0</v>
      </c>
    </row>
    <row r="190" spans="1:12" ht="45" x14ac:dyDescent="0.2">
      <c r="A190" s="561" t="s">
        <v>78</v>
      </c>
      <c r="B190" s="562">
        <v>2021</v>
      </c>
      <c r="C190" s="561" t="s">
        <v>725</v>
      </c>
      <c r="D190" s="561" t="s">
        <v>3082</v>
      </c>
      <c r="E190" s="561" t="s">
        <v>443</v>
      </c>
      <c r="F190" s="563">
        <v>0</v>
      </c>
      <c r="G190" s="561" t="s">
        <v>654</v>
      </c>
      <c r="H190" s="564"/>
      <c r="I190" s="563">
        <v>-4098.41015625</v>
      </c>
      <c r="J190" s="563">
        <v>-2206.8701171875</v>
      </c>
      <c r="K190" s="563">
        <v>-6305.27978515625</v>
      </c>
      <c r="L190" s="566">
        <v>-6305.28</v>
      </c>
    </row>
    <row r="191" spans="1:12" ht="45" x14ac:dyDescent="0.2">
      <c r="A191" s="561" t="s">
        <v>78</v>
      </c>
      <c r="B191" s="562">
        <v>2021</v>
      </c>
      <c r="C191" s="561" t="s">
        <v>725</v>
      </c>
      <c r="D191" s="561" t="s">
        <v>824</v>
      </c>
      <c r="E191" s="561" t="s">
        <v>741</v>
      </c>
      <c r="F191" s="563">
        <v>24188.71</v>
      </c>
      <c r="G191" s="564"/>
      <c r="H191" s="564"/>
      <c r="I191" s="565"/>
      <c r="J191" s="565"/>
      <c r="K191" s="563">
        <v>0</v>
      </c>
      <c r="L191" s="566">
        <v>24188.71</v>
      </c>
    </row>
    <row r="192" spans="1:12" ht="22.5" x14ac:dyDescent="0.2">
      <c r="A192" s="561" t="s">
        <v>78</v>
      </c>
      <c r="B192" s="562">
        <v>2021</v>
      </c>
      <c r="C192" s="561" t="s">
        <v>742</v>
      </c>
      <c r="D192" s="561" t="s">
        <v>825</v>
      </c>
      <c r="E192" s="561" t="s">
        <v>7</v>
      </c>
      <c r="F192" s="563">
        <v>0</v>
      </c>
      <c r="G192" s="564"/>
      <c r="H192" s="561" t="s">
        <v>654</v>
      </c>
      <c r="I192" s="565"/>
      <c r="J192" s="565"/>
      <c r="K192" s="563">
        <v>0</v>
      </c>
      <c r="L192" s="566">
        <v>0</v>
      </c>
    </row>
    <row r="193" spans="1:12" ht="22.5" x14ac:dyDescent="0.2">
      <c r="A193" s="561" t="s">
        <v>79</v>
      </c>
      <c r="B193" s="562">
        <v>2021</v>
      </c>
      <c r="C193" s="561" t="s">
        <v>651</v>
      </c>
      <c r="D193" s="561" t="s">
        <v>826</v>
      </c>
      <c r="E193" s="561" t="s">
        <v>653</v>
      </c>
      <c r="F193" s="563">
        <v>-56653</v>
      </c>
      <c r="G193" s="564"/>
      <c r="H193" s="561" t="s">
        <v>654</v>
      </c>
      <c r="I193" s="565"/>
      <c r="J193" s="565"/>
      <c r="K193" s="563">
        <v>0</v>
      </c>
      <c r="L193" s="566">
        <v>-56653</v>
      </c>
    </row>
    <row r="194" spans="1:12" ht="22.5" x14ac:dyDescent="0.2">
      <c r="A194" s="561" t="s">
        <v>79</v>
      </c>
      <c r="B194" s="562">
        <v>2021</v>
      </c>
      <c r="C194" s="561" t="s">
        <v>655</v>
      </c>
      <c r="D194" s="561" t="s">
        <v>827</v>
      </c>
      <c r="E194" s="561" t="s">
        <v>657</v>
      </c>
      <c r="F194" s="563">
        <v>0</v>
      </c>
      <c r="G194" s="564"/>
      <c r="H194" s="561" t="s">
        <v>654</v>
      </c>
      <c r="I194" s="565"/>
      <c r="J194" s="565"/>
      <c r="K194" s="563">
        <v>0</v>
      </c>
      <c r="L194" s="566">
        <v>0</v>
      </c>
    </row>
    <row r="195" spans="1:12" ht="56.25" x14ac:dyDescent="0.2">
      <c r="A195" s="561" t="s">
        <v>79</v>
      </c>
      <c r="B195" s="562">
        <v>2021</v>
      </c>
      <c r="C195" s="561" t="s">
        <v>658</v>
      </c>
      <c r="D195" s="561" t="s">
        <v>828</v>
      </c>
      <c r="E195" s="561" t="s">
        <v>447</v>
      </c>
      <c r="F195" s="563">
        <v>0</v>
      </c>
      <c r="G195" s="564"/>
      <c r="H195" s="561" t="s">
        <v>654</v>
      </c>
      <c r="I195" s="565"/>
      <c r="J195" s="565"/>
      <c r="K195" s="563">
        <v>0</v>
      </c>
      <c r="L195" s="566">
        <v>0</v>
      </c>
    </row>
    <row r="196" spans="1:12" ht="22.5" x14ac:dyDescent="0.2">
      <c r="A196" s="561" t="s">
        <v>79</v>
      </c>
      <c r="B196" s="562">
        <v>2021</v>
      </c>
      <c r="C196" s="561" t="s">
        <v>660</v>
      </c>
      <c r="D196" s="561" t="s">
        <v>829</v>
      </c>
      <c r="E196" s="561" t="s">
        <v>662</v>
      </c>
      <c r="F196" s="563">
        <v>0</v>
      </c>
      <c r="G196" s="564"/>
      <c r="H196" s="561" t="s">
        <v>654</v>
      </c>
      <c r="I196" s="565"/>
      <c r="J196" s="565"/>
      <c r="K196" s="563">
        <v>0</v>
      </c>
      <c r="L196" s="566">
        <v>0</v>
      </c>
    </row>
    <row r="197" spans="1:12" ht="33.75" x14ac:dyDescent="0.2">
      <c r="A197" s="561" t="s">
        <v>79</v>
      </c>
      <c r="B197" s="562">
        <v>2021</v>
      </c>
      <c r="C197" s="561" t="s">
        <v>663</v>
      </c>
      <c r="D197" s="561" t="s">
        <v>830</v>
      </c>
      <c r="E197" s="561" t="s">
        <v>665</v>
      </c>
      <c r="F197" s="563">
        <v>0</v>
      </c>
      <c r="G197" s="564"/>
      <c r="H197" s="561" t="s">
        <v>654</v>
      </c>
      <c r="I197" s="565"/>
      <c r="J197" s="565"/>
      <c r="K197" s="563">
        <v>0</v>
      </c>
      <c r="L197" s="566">
        <v>0</v>
      </c>
    </row>
    <row r="198" spans="1:12" ht="33.75" x14ac:dyDescent="0.2">
      <c r="A198" s="561" t="s">
        <v>79</v>
      </c>
      <c r="B198" s="562">
        <v>2021</v>
      </c>
      <c r="C198" s="561" t="s">
        <v>666</v>
      </c>
      <c r="D198" s="561" t="s">
        <v>831</v>
      </c>
      <c r="E198" s="561" t="s">
        <v>668</v>
      </c>
      <c r="F198" s="563">
        <v>0</v>
      </c>
      <c r="G198" s="564"/>
      <c r="H198" s="561" t="s">
        <v>654</v>
      </c>
      <c r="I198" s="565"/>
      <c r="J198" s="565"/>
      <c r="K198" s="563">
        <v>0</v>
      </c>
      <c r="L198" s="566">
        <v>0</v>
      </c>
    </row>
    <row r="199" spans="1:12" ht="56.25" x14ac:dyDescent="0.2">
      <c r="A199" s="561" t="s">
        <v>79</v>
      </c>
      <c r="B199" s="562">
        <v>2021</v>
      </c>
      <c r="C199" s="561" t="s">
        <v>669</v>
      </c>
      <c r="D199" s="561" t="s">
        <v>832</v>
      </c>
      <c r="E199" s="561" t="s">
        <v>671</v>
      </c>
      <c r="F199" s="563">
        <v>0</v>
      </c>
      <c r="G199" s="564"/>
      <c r="H199" s="561" t="s">
        <v>654</v>
      </c>
      <c r="I199" s="565"/>
      <c r="J199" s="565"/>
      <c r="K199" s="563">
        <v>0</v>
      </c>
      <c r="L199" s="566">
        <v>0</v>
      </c>
    </row>
    <row r="200" spans="1:12" ht="22.5" x14ac:dyDescent="0.2">
      <c r="A200" s="561" t="s">
        <v>79</v>
      </c>
      <c r="B200" s="562">
        <v>2021</v>
      </c>
      <c r="C200" s="561" t="s">
        <v>672</v>
      </c>
      <c r="D200" s="561" t="s">
        <v>833</v>
      </c>
      <c r="E200" s="561" t="s">
        <v>12</v>
      </c>
      <c r="F200" s="563">
        <v>61087</v>
      </c>
      <c r="G200" s="564"/>
      <c r="H200" s="561" t="s">
        <v>654</v>
      </c>
      <c r="I200" s="565"/>
      <c r="J200" s="565"/>
      <c r="K200" s="563">
        <v>0</v>
      </c>
      <c r="L200" s="566">
        <v>61087</v>
      </c>
    </row>
    <row r="201" spans="1:12" ht="22.5" x14ac:dyDescent="0.2">
      <c r="A201" s="561" t="s">
        <v>79</v>
      </c>
      <c r="B201" s="562">
        <v>2021</v>
      </c>
      <c r="C201" s="561" t="s">
        <v>674</v>
      </c>
      <c r="D201" s="561" t="s">
        <v>834</v>
      </c>
      <c r="E201" s="561" t="s">
        <v>13</v>
      </c>
      <c r="F201" s="563">
        <v>355418</v>
      </c>
      <c r="G201" s="564"/>
      <c r="H201" s="561" t="s">
        <v>654</v>
      </c>
      <c r="I201" s="565"/>
      <c r="J201" s="565"/>
      <c r="K201" s="563">
        <v>0</v>
      </c>
      <c r="L201" s="566">
        <v>355418</v>
      </c>
    </row>
    <row r="202" spans="1:12" ht="33.75" x14ac:dyDescent="0.2">
      <c r="A202" s="561" t="s">
        <v>79</v>
      </c>
      <c r="B202" s="562">
        <v>2021</v>
      </c>
      <c r="C202" s="561" t="s">
        <v>676</v>
      </c>
      <c r="D202" s="561" t="s">
        <v>835</v>
      </c>
      <c r="E202" s="561" t="s">
        <v>15</v>
      </c>
      <c r="F202" s="563">
        <v>0</v>
      </c>
      <c r="G202" s="564"/>
      <c r="H202" s="561" t="s">
        <v>654</v>
      </c>
      <c r="I202" s="565"/>
      <c r="J202" s="565"/>
      <c r="K202" s="563">
        <v>0</v>
      </c>
      <c r="L202" s="566">
        <v>0</v>
      </c>
    </row>
    <row r="203" spans="1:12" ht="22.5" x14ac:dyDescent="0.2">
      <c r="A203" s="561" t="s">
        <v>79</v>
      </c>
      <c r="B203" s="562">
        <v>2021</v>
      </c>
      <c r="C203" s="561" t="s">
        <v>678</v>
      </c>
      <c r="D203" s="561" t="s">
        <v>836</v>
      </c>
      <c r="E203" s="561" t="s">
        <v>680</v>
      </c>
      <c r="F203" s="563">
        <v>0</v>
      </c>
      <c r="G203" s="564"/>
      <c r="H203" s="561" t="s">
        <v>654</v>
      </c>
      <c r="I203" s="565"/>
      <c r="J203" s="565"/>
      <c r="K203" s="563">
        <v>0</v>
      </c>
      <c r="L203" s="566">
        <v>0</v>
      </c>
    </row>
    <row r="204" spans="1:12" ht="22.5" x14ac:dyDescent="0.2">
      <c r="A204" s="561" t="s">
        <v>79</v>
      </c>
      <c r="B204" s="562">
        <v>2021</v>
      </c>
      <c r="C204" s="561" t="s">
        <v>681</v>
      </c>
      <c r="D204" s="561" t="s">
        <v>837</v>
      </c>
      <c r="E204" s="561" t="s">
        <v>23</v>
      </c>
      <c r="F204" s="563">
        <v>187762</v>
      </c>
      <c r="G204" s="561" t="s">
        <v>654</v>
      </c>
      <c r="H204" s="564"/>
      <c r="I204" s="563">
        <v>183214</v>
      </c>
      <c r="J204" s="563">
        <v>4548</v>
      </c>
      <c r="K204" s="563">
        <v>187762</v>
      </c>
      <c r="L204" s="566">
        <v>187762</v>
      </c>
    </row>
    <row r="205" spans="1:12" ht="33.75" x14ac:dyDescent="0.2">
      <c r="A205" s="561" t="s">
        <v>79</v>
      </c>
      <c r="B205" s="562">
        <v>2021</v>
      </c>
      <c r="C205" s="561" t="s">
        <v>683</v>
      </c>
      <c r="D205" s="561" t="s">
        <v>838</v>
      </c>
      <c r="E205" s="561" t="s">
        <v>131</v>
      </c>
      <c r="F205" s="563">
        <v>-5551</v>
      </c>
      <c r="G205" s="561" t="s">
        <v>654</v>
      </c>
      <c r="H205" s="564"/>
      <c r="I205" s="563">
        <v>-5297</v>
      </c>
      <c r="J205" s="563">
        <v>-254</v>
      </c>
      <c r="K205" s="563">
        <v>-5551</v>
      </c>
      <c r="L205" s="566">
        <v>-5551</v>
      </c>
    </row>
    <row r="206" spans="1:12" ht="33.75" x14ac:dyDescent="0.2">
      <c r="A206" s="561" t="s">
        <v>79</v>
      </c>
      <c r="B206" s="562">
        <v>2021</v>
      </c>
      <c r="C206" s="561" t="s">
        <v>685</v>
      </c>
      <c r="D206" s="561" t="s">
        <v>839</v>
      </c>
      <c r="E206" s="561" t="s">
        <v>687</v>
      </c>
      <c r="F206" s="563">
        <v>53322</v>
      </c>
      <c r="G206" s="564"/>
      <c r="H206" s="561" t="s">
        <v>654</v>
      </c>
      <c r="I206" s="565"/>
      <c r="J206" s="565"/>
      <c r="K206" s="563">
        <v>0</v>
      </c>
      <c r="L206" s="566">
        <v>53322</v>
      </c>
    </row>
    <row r="207" spans="1:12" ht="33.75" x14ac:dyDescent="0.2">
      <c r="A207" s="561" t="s">
        <v>79</v>
      </c>
      <c r="B207" s="562">
        <v>2021</v>
      </c>
      <c r="C207" s="561" t="s">
        <v>685</v>
      </c>
      <c r="D207" s="561" t="s">
        <v>839</v>
      </c>
      <c r="E207" s="561" t="s">
        <v>688</v>
      </c>
      <c r="F207" s="563">
        <v>53322</v>
      </c>
      <c r="G207" s="564"/>
      <c r="H207" s="561" t="s">
        <v>654</v>
      </c>
      <c r="I207" s="565"/>
      <c r="J207" s="565"/>
      <c r="K207" s="563">
        <v>0</v>
      </c>
      <c r="L207" s="566">
        <v>53322</v>
      </c>
    </row>
    <row r="208" spans="1:12" ht="22.5" x14ac:dyDescent="0.2">
      <c r="A208" s="561" t="s">
        <v>79</v>
      </c>
      <c r="B208" s="562">
        <v>2021</v>
      </c>
      <c r="C208" s="561" t="s">
        <v>689</v>
      </c>
      <c r="D208" s="561" t="s">
        <v>840</v>
      </c>
      <c r="E208" s="561" t="s">
        <v>691</v>
      </c>
      <c r="F208" s="563">
        <v>0</v>
      </c>
      <c r="G208" s="564"/>
      <c r="H208" s="561" t="s">
        <v>654</v>
      </c>
      <c r="I208" s="565"/>
      <c r="J208" s="565"/>
      <c r="K208" s="563">
        <v>0</v>
      </c>
      <c r="L208" s="566">
        <v>0</v>
      </c>
    </row>
    <row r="209" spans="1:12" ht="22.5" x14ac:dyDescent="0.2">
      <c r="A209" s="561" t="s">
        <v>79</v>
      </c>
      <c r="B209" s="562">
        <v>2021</v>
      </c>
      <c r="C209" s="561" t="s">
        <v>692</v>
      </c>
      <c r="D209" s="561" t="s">
        <v>841</v>
      </c>
      <c r="E209" s="561" t="s">
        <v>50</v>
      </c>
      <c r="F209" s="563">
        <v>0</v>
      </c>
      <c r="G209" s="564"/>
      <c r="H209" s="561" t="s">
        <v>654</v>
      </c>
      <c r="I209" s="565"/>
      <c r="J209" s="565"/>
      <c r="K209" s="563">
        <v>0</v>
      </c>
      <c r="L209" s="566">
        <v>0</v>
      </c>
    </row>
    <row r="210" spans="1:12" ht="22.5" x14ac:dyDescent="0.2">
      <c r="A210" s="561" t="s">
        <v>79</v>
      </c>
      <c r="B210" s="562">
        <v>2021</v>
      </c>
      <c r="C210" s="561" t="s">
        <v>694</v>
      </c>
      <c r="D210" s="561" t="s">
        <v>842</v>
      </c>
      <c r="E210" s="561" t="s">
        <v>696</v>
      </c>
      <c r="F210" s="563">
        <v>0</v>
      </c>
      <c r="G210" s="564"/>
      <c r="H210" s="561" t="s">
        <v>654</v>
      </c>
      <c r="I210" s="565"/>
      <c r="J210" s="565"/>
      <c r="K210" s="563">
        <v>0</v>
      </c>
      <c r="L210" s="566">
        <v>0</v>
      </c>
    </row>
    <row r="211" spans="1:12" ht="22.5" x14ac:dyDescent="0.2">
      <c r="A211" s="561" t="s">
        <v>79</v>
      </c>
      <c r="B211" s="562">
        <v>2021</v>
      </c>
      <c r="C211" s="561" t="s">
        <v>697</v>
      </c>
      <c r="D211" s="561" t="s">
        <v>843</v>
      </c>
      <c r="E211" s="561" t="s">
        <v>6</v>
      </c>
      <c r="F211" s="563">
        <v>0</v>
      </c>
      <c r="G211" s="564"/>
      <c r="H211" s="561" t="s">
        <v>654</v>
      </c>
      <c r="I211" s="565"/>
      <c r="J211" s="565"/>
      <c r="K211" s="563">
        <v>0</v>
      </c>
      <c r="L211" s="566">
        <v>0</v>
      </c>
    </row>
    <row r="212" spans="1:12" ht="33.75" x14ac:dyDescent="0.2">
      <c r="A212" s="561" t="s">
        <v>79</v>
      </c>
      <c r="B212" s="562">
        <v>2021</v>
      </c>
      <c r="C212" s="561" t="s">
        <v>699</v>
      </c>
      <c r="D212" s="561" t="s">
        <v>844</v>
      </c>
      <c r="E212" s="561" t="s">
        <v>701</v>
      </c>
      <c r="F212" s="563">
        <v>0</v>
      </c>
      <c r="G212" s="564"/>
      <c r="H212" s="561" t="s">
        <v>654</v>
      </c>
      <c r="I212" s="565"/>
      <c r="J212" s="565"/>
      <c r="K212" s="563">
        <v>0</v>
      </c>
      <c r="L212" s="566">
        <v>0</v>
      </c>
    </row>
    <row r="213" spans="1:12" ht="22.5" x14ac:dyDescent="0.2">
      <c r="A213" s="561" t="s">
        <v>79</v>
      </c>
      <c r="B213" s="562">
        <v>2021</v>
      </c>
      <c r="C213" s="561" t="s">
        <v>702</v>
      </c>
      <c r="D213" s="561" t="s">
        <v>845</v>
      </c>
      <c r="E213" s="561" t="s">
        <v>704</v>
      </c>
      <c r="F213" s="563">
        <v>0</v>
      </c>
      <c r="G213" s="564"/>
      <c r="H213" s="561" t="s">
        <v>654</v>
      </c>
      <c r="I213" s="565"/>
      <c r="J213" s="565"/>
      <c r="K213" s="563">
        <v>0</v>
      </c>
      <c r="L213" s="566">
        <v>0</v>
      </c>
    </row>
    <row r="214" spans="1:12" ht="33.75" x14ac:dyDescent="0.2">
      <c r="A214" s="561" t="s">
        <v>79</v>
      </c>
      <c r="B214" s="562">
        <v>2021</v>
      </c>
      <c r="C214" s="561" t="s">
        <v>705</v>
      </c>
      <c r="D214" s="561" t="s">
        <v>846</v>
      </c>
      <c r="E214" s="561" t="s">
        <v>1</v>
      </c>
      <c r="F214" s="563">
        <v>-1188644</v>
      </c>
      <c r="G214" s="561" t="s">
        <v>654</v>
      </c>
      <c r="H214" s="564"/>
      <c r="I214" s="563">
        <v>-1154619</v>
      </c>
      <c r="J214" s="563">
        <v>-34025</v>
      </c>
      <c r="K214" s="563">
        <v>-1188644</v>
      </c>
      <c r="L214" s="566">
        <v>-1188644</v>
      </c>
    </row>
    <row r="215" spans="1:12" ht="22.5" x14ac:dyDescent="0.2">
      <c r="A215" s="561" t="s">
        <v>79</v>
      </c>
      <c r="B215" s="562">
        <v>2021</v>
      </c>
      <c r="C215" s="561" t="s">
        <v>705</v>
      </c>
      <c r="D215" s="561" t="s">
        <v>846</v>
      </c>
      <c r="E215" s="561" t="s">
        <v>707</v>
      </c>
      <c r="F215" s="563">
        <v>0</v>
      </c>
      <c r="G215" s="564"/>
      <c r="H215" s="564"/>
      <c r="I215" s="565"/>
      <c r="J215" s="565"/>
      <c r="K215" s="563">
        <v>0</v>
      </c>
      <c r="L215" s="566">
        <v>0</v>
      </c>
    </row>
    <row r="216" spans="1:12" ht="22.5" x14ac:dyDescent="0.2">
      <c r="A216" s="561" t="s">
        <v>79</v>
      </c>
      <c r="B216" s="562">
        <v>2021</v>
      </c>
      <c r="C216" s="561" t="s">
        <v>705</v>
      </c>
      <c r="D216" s="561" t="s">
        <v>846</v>
      </c>
      <c r="E216" s="561" t="s">
        <v>708</v>
      </c>
      <c r="F216" s="563">
        <v>0</v>
      </c>
      <c r="G216" s="564"/>
      <c r="H216" s="564"/>
      <c r="I216" s="565"/>
      <c r="J216" s="565"/>
      <c r="K216" s="563">
        <v>0</v>
      </c>
      <c r="L216" s="566">
        <v>0</v>
      </c>
    </row>
    <row r="217" spans="1:12" ht="22.5" x14ac:dyDescent="0.2">
      <c r="A217" s="561" t="s">
        <v>79</v>
      </c>
      <c r="B217" s="562">
        <v>2021</v>
      </c>
      <c r="C217" s="561" t="s">
        <v>705</v>
      </c>
      <c r="D217" s="561" t="s">
        <v>846</v>
      </c>
      <c r="E217" s="561" t="s">
        <v>709</v>
      </c>
      <c r="F217" s="563">
        <v>-1815</v>
      </c>
      <c r="G217" s="564"/>
      <c r="H217" s="564"/>
      <c r="I217" s="565"/>
      <c r="J217" s="565"/>
      <c r="K217" s="563">
        <v>0</v>
      </c>
      <c r="L217" s="566">
        <v>-1815</v>
      </c>
    </row>
    <row r="218" spans="1:12" ht="22.5" x14ac:dyDescent="0.2">
      <c r="A218" s="561" t="s">
        <v>79</v>
      </c>
      <c r="B218" s="562">
        <v>2021</v>
      </c>
      <c r="C218" s="561" t="s">
        <v>705</v>
      </c>
      <c r="D218" s="561" t="s">
        <v>846</v>
      </c>
      <c r="E218" s="561" t="s">
        <v>710</v>
      </c>
      <c r="F218" s="563">
        <v>-109761</v>
      </c>
      <c r="G218" s="564"/>
      <c r="H218" s="564"/>
      <c r="I218" s="565"/>
      <c r="J218" s="565"/>
      <c r="K218" s="563">
        <v>0</v>
      </c>
      <c r="L218" s="566">
        <v>-109761</v>
      </c>
    </row>
    <row r="219" spans="1:12" ht="22.5" x14ac:dyDescent="0.2">
      <c r="A219" s="561" t="s">
        <v>79</v>
      </c>
      <c r="B219" s="562">
        <v>2021</v>
      </c>
      <c r="C219" s="561" t="s">
        <v>711</v>
      </c>
      <c r="D219" s="561" t="s">
        <v>847</v>
      </c>
      <c r="E219" s="561" t="s">
        <v>713</v>
      </c>
      <c r="F219" s="563">
        <v>0</v>
      </c>
      <c r="G219" s="564"/>
      <c r="H219" s="561" t="s">
        <v>654</v>
      </c>
      <c r="I219" s="565"/>
      <c r="J219" s="565"/>
      <c r="K219" s="563">
        <v>0</v>
      </c>
      <c r="L219" s="566">
        <v>0</v>
      </c>
    </row>
    <row r="220" spans="1:12" ht="33.75" x14ac:dyDescent="0.2">
      <c r="A220" s="561" t="s">
        <v>79</v>
      </c>
      <c r="B220" s="562">
        <v>2021</v>
      </c>
      <c r="C220" s="561" t="s">
        <v>714</v>
      </c>
      <c r="D220" s="561" t="s">
        <v>848</v>
      </c>
      <c r="E220" s="561" t="s">
        <v>2</v>
      </c>
      <c r="F220" s="563">
        <v>532994</v>
      </c>
      <c r="G220" s="561" t="s">
        <v>654</v>
      </c>
      <c r="H220" s="564"/>
      <c r="I220" s="563">
        <v>524388</v>
      </c>
      <c r="J220" s="563">
        <v>8606</v>
      </c>
      <c r="K220" s="563">
        <v>532994</v>
      </c>
      <c r="L220" s="566">
        <v>532994</v>
      </c>
    </row>
    <row r="221" spans="1:12" ht="33.75" x14ac:dyDescent="0.2">
      <c r="A221" s="561" t="s">
        <v>79</v>
      </c>
      <c r="B221" s="562">
        <v>2021</v>
      </c>
      <c r="C221" s="561" t="s">
        <v>716</v>
      </c>
      <c r="D221" s="561" t="s">
        <v>849</v>
      </c>
      <c r="E221" s="561" t="s">
        <v>3</v>
      </c>
      <c r="F221" s="563">
        <v>75951</v>
      </c>
      <c r="G221" s="561" t="s">
        <v>654</v>
      </c>
      <c r="H221" s="564"/>
      <c r="I221" s="563">
        <v>75494</v>
      </c>
      <c r="J221" s="563">
        <v>457</v>
      </c>
      <c r="K221" s="563">
        <v>75951</v>
      </c>
      <c r="L221" s="566">
        <v>75951</v>
      </c>
    </row>
    <row r="222" spans="1:12" ht="33.75" x14ac:dyDescent="0.2">
      <c r="A222" s="561" t="s">
        <v>79</v>
      </c>
      <c r="B222" s="562">
        <v>2021</v>
      </c>
      <c r="C222" s="561" t="s">
        <v>718</v>
      </c>
      <c r="D222" s="561" t="s">
        <v>850</v>
      </c>
      <c r="E222" s="561" t="s">
        <v>38</v>
      </c>
      <c r="F222" s="563">
        <v>-19199</v>
      </c>
      <c r="G222" s="561" t="s">
        <v>654</v>
      </c>
      <c r="H222" s="564"/>
      <c r="I222" s="563">
        <v>-26563</v>
      </c>
      <c r="J222" s="563">
        <v>7364</v>
      </c>
      <c r="K222" s="563">
        <v>-19199</v>
      </c>
      <c r="L222" s="566">
        <v>-19199</v>
      </c>
    </row>
    <row r="223" spans="1:12" ht="22.5" x14ac:dyDescent="0.2">
      <c r="A223" s="561" t="s">
        <v>79</v>
      </c>
      <c r="B223" s="562">
        <v>2021</v>
      </c>
      <c r="C223" s="561" t="s">
        <v>720</v>
      </c>
      <c r="D223" s="561" t="s">
        <v>851</v>
      </c>
      <c r="E223" s="561" t="s">
        <v>66</v>
      </c>
      <c r="F223" s="563">
        <v>689331</v>
      </c>
      <c r="G223" s="561" t="s">
        <v>654</v>
      </c>
      <c r="H223" s="564"/>
      <c r="I223" s="563">
        <v>670523</v>
      </c>
      <c r="J223" s="563">
        <v>18808</v>
      </c>
      <c r="K223" s="563">
        <v>689331</v>
      </c>
      <c r="L223" s="566">
        <v>689331</v>
      </c>
    </row>
    <row r="224" spans="1:12" ht="45" x14ac:dyDescent="0.2">
      <c r="A224" s="561" t="s">
        <v>79</v>
      </c>
      <c r="B224" s="562">
        <v>2021</v>
      </c>
      <c r="C224" s="561" t="s">
        <v>722</v>
      </c>
      <c r="D224" s="561" t="s">
        <v>852</v>
      </c>
      <c r="E224" s="561" t="s">
        <v>724</v>
      </c>
      <c r="F224" s="563">
        <v>-854448</v>
      </c>
      <c r="G224" s="564"/>
      <c r="H224" s="561" t="s">
        <v>654</v>
      </c>
      <c r="I224" s="565"/>
      <c r="J224" s="565"/>
      <c r="K224" s="563">
        <v>0</v>
      </c>
      <c r="L224" s="566">
        <v>-854448</v>
      </c>
    </row>
    <row r="225" spans="1:12" ht="45" x14ac:dyDescent="0.2">
      <c r="A225" s="561" t="s">
        <v>79</v>
      </c>
      <c r="B225" s="562">
        <v>2021</v>
      </c>
      <c r="C225" s="561" t="s">
        <v>725</v>
      </c>
      <c r="D225" s="561" t="s">
        <v>853</v>
      </c>
      <c r="E225" s="561" t="s">
        <v>3024</v>
      </c>
      <c r="F225" s="563">
        <v>0</v>
      </c>
      <c r="G225" s="561" t="s">
        <v>654</v>
      </c>
      <c r="H225" s="564"/>
      <c r="I225" s="563">
        <v>-36662</v>
      </c>
      <c r="J225" s="563">
        <v>-15881</v>
      </c>
      <c r="K225" s="563">
        <v>-52543</v>
      </c>
      <c r="L225" s="566">
        <v>-52543</v>
      </c>
    </row>
    <row r="226" spans="1:12" ht="45" x14ac:dyDescent="0.2">
      <c r="A226" s="561" t="s">
        <v>79</v>
      </c>
      <c r="B226" s="562">
        <v>2021</v>
      </c>
      <c r="C226" s="561" t="s">
        <v>725</v>
      </c>
      <c r="D226" s="561" t="s">
        <v>853</v>
      </c>
      <c r="E226" s="561" t="s">
        <v>3066</v>
      </c>
      <c r="F226" s="563">
        <v>0</v>
      </c>
      <c r="G226" s="561" t="s">
        <v>654</v>
      </c>
      <c r="H226" s="564"/>
      <c r="I226" s="563">
        <v>-992694</v>
      </c>
      <c r="J226" s="563">
        <v>-5183</v>
      </c>
      <c r="K226" s="563">
        <v>-997877</v>
      </c>
      <c r="L226" s="566">
        <v>-997877</v>
      </c>
    </row>
    <row r="227" spans="1:12" ht="45" x14ac:dyDescent="0.2">
      <c r="A227" s="561" t="s">
        <v>79</v>
      </c>
      <c r="B227" s="562">
        <v>2021</v>
      </c>
      <c r="C227" s="561" t="s">
        <v>725</v>
      </c>
      <c r="D227" s="561" t="s">
        <v>854</v>
      </c>
      <c r="E227" s="561" t="s">
        <v>728</v>
      </c>
      <c r="F227" s="563">
        <v>0</v>
      </c>
      <c r="G227" s="561" t="s">
        <v>654</v>
      </c>
      <c r="H227" s="564"/>
      <c r="I227" s="565"/>
      <c r="J227" s="565"/>
      <c r="K227" s="563">
        <v>0</v>
      </c>
      <c r="L227" s="566">
        <v>0</v>
      </c>
    </row>
    <row r="228" spans="1:12" ht="45" x14ac:dyDescent="0.2">
      <c r="A228" s="561" t="s">
        <v>79</v>
      </c>
      <c r="B228" s="562">
        <v>2021</v>
      </c>
      <c r="C228" s="561" t="s">
        <v>725</v>
      </c>
      <c r="D228" s="561" t="s">
        <v>855</v>
      </c>
      <c r="E228" s="561" t="s">
        <v>55</v>
      </c>
      <c r="F228" s="563">
        <v>0</v>
      </c>
      <c r="G228" s="561" t="s">
        <v>654</v>
      </c>
      <c r="H228" s="564"/>
      <c r="I228" s="565"/>
      <c r="J228" s="565"/>
      <c r="K228" s="563">
        <v>0</v>
      </c>
      <c r="L228" s="566">
        <v>0</v>
      </c>
    </row>
    <row r="229" spans="1:12" ht="45" x14ac:dyDescent="0.2">
      <c r="A229" s="561" t="s">
        <v>79</v>
      </c>
      <c r="B229" s="562">
        <v>2021</v>
      </c>
      <c r="C229" s="561" t="s">
        <v>725</v>
      </c>
      <c r="D229" s="561" t="s">
        <v>856</v>
      </c>
      <c r="E229" s="561" t="s">
        <v>56</v>
      </c>
      <c r="F229" s="563">
        <v>0</v>
      </c>
      <c r="G229" s="561" t="s">
        <v>654</v>
      </c>
      <c r="H229" s="564"/>
      <c r="I229" s="565"/>
      <c r="J229" s="565"/>
      <c r="K229" s="563">
        <v>0</v>
      </c>
      <c r="L229" s="566">
        <v>0</v>
      </c>
    </row>
    <row r="230" spans="1:12" ht="45" x14ac:dyDescent="0.2">
      <c r="A230" s="561" t="s">
        <v>79</v>
      </c>
      <c r="B230" s="562">
        <v>2021</v>
      </c>
      <c r="C230" s="561" t="s">
        <v>725</v>
      </c>
      <c r="D230" s="561" t="s">
        <v>857</v>
      </c>
      <c r="E230" s="561" t="s">
        <v>732</v>
      </c>
      <c r="F230" s="563">
        <v>0</v>
      </c>
      <c r="G230" s="561" t="s">
        <v>654</v>
      </c>
      <c r="H230" s="564"/>
      <c r="I230" s="565"/>
      <c r="J230" s="565"/>
      <c r="K230" s="563">
        <v>0</v>
      </c>
      <c r="L230" s="566">
        <v>0</v>
      </c>
    </row>
    <row r="231" spans="1:12" ht="45" x14ac:dyDescent="0.2">
      <c r="A231" s="561" t="s">
        <v>79</v>
      </c>
      <c r="B231" s="562">
        <v>2021</v>
      </c>
      <c r="C231" s="561" t="s">
        <v>725</v>
      </c>
      <c r="D231" s="561" t="s">
        <v>858</v>
      </c>
      <c r="E231" s="561" t="s">
        <v>734</v>
      </c>
      <c r="F231" s="563">
        <v>0</v>
      </c>
      <c r="G231" s="561" t="s">
        <v>654</v>
      </c>
      <c r="H231" s="564"/>
      <c r="I231" s="565"/>
      <c r="J231" s="565"/>
      <c r="K231" s="563">
        <v>0</v>
      </c>
      <c r="L231" s="566">
        <v>0</v>
      </c>
    </row>
    <row r="232" spans="1:12" ht="45" x14ac:dyDescent="0.2">
      <c r="A232" s="561" t="s">
        <v>79</v>
      </c>
      <c r="B232" s="562">
        <v>2021</v>
      </c>
      <c r="C232" s="561" t="s">
        <v>725</v>
      </c>
      <c r="D232" s="561" t="s">
        <v>859</v>
      </c>
      <c r="E232" s="561" t="s">
        <v>142</v>
      </c>
      <c r="F232" s="563">
        <v>0</v>
      </c>
      <c r="G232" s="561" t="s">
        <v>654</v>
      </c>
      <c r="H232" s="564"/>
      <c r="I232" s="565"/>
      <c r="J232" s="565"/>
      <c r="K232" s="563">
        <v>0</v>
      </c>
      <c r="L232" s="566">
        <v>0</v>
      </c>
    </row>
    <row r="233" spans="1:12" ht="45" x14ac:dyDescent="0.2">
      <c r="A233" s="561" t="s">
        <v>79</v>
      </c>
      <c r="B233" s="562">
        <v>2021</v>
      </c>
      <c r="C233" s="561" t="s">
        <v>725</v>
      </c>
      <c r="D233" s="561" t="s">
        <v>860</v>
      </c>
      <c r="E233" s="561" t="s">
        <v>143</v>
      </c>
      <c r="F233" s="563">
        <v>0</v>
      </c>
      <c r="G233" s="561" t="s">
        <v>654</v>
      </c>
      <c r="H233" s="564"/>
      <c r="I233" s="565"/>
      <c r="J233" s="565"/>
      <c r="K233" s="563">
        <v>0</v>
      </c>
      <c r="L233" s="566">
        <v>0</v>
      </c>
    </row>
    <row r="234" spans="1:12" ht="45" x14ac:dyDescent="0.2">
      <c r="A234" s="561" t="s">
        <v>79</v>
      </c>
      <c r="B234" s="562">
        <v>2021</v>
      </c>
      <c r="C234" s="561" t="s">
        <v>725</v>
      </c>
      <c r="D234" s="561" t="s">
        <v>861</v>
      </c>
      <c r="E234" s="561" t="s">
        <v>182</v>
      </c>
      <c r="F234" s="563">
        <v>0</v>
      </c>
      <c r="G234" s="561" t="s">
        <v>654</v>
      </c>
      <c r="H234" s="564"/>
      <c r="I234" s="565"/>
      <c r="J234" s="565"/>
      <c r="K234" s="563">
        <v>0</v>
      </c>
      <c r="L234" s="566">
        <v>0</v>
      </c>
    </row>
    <row r="235" spans="1:12" ht="45" x14ac:dyDescent="0.2">
      <c r="A235" s="561" t="s">
        <v>79</v>
      </c>
      <c r="B235" s="562">
        <v>2021</v>
      </c>
      <c r="C235" s="561" t="s">
        <v>725</v>
      </c>
      <c r="D235" s="561" t="s">
        <v>862</v>
      </c>
      <c r="E235" s="561" t="s">
        <v>394</v>
      </c>
      <c r="F235" s="563">
        <v>0</v>
      </c>
      <c r="G235" s="561" t="s">
        <v>654</v>
      </c>
      <c r="H235" s="564"/>
      <c r="I235" s="565"/>
      <c r="J235" s="565"/>
      <c r="K235" s="563">
        <v>0</v>
      </c>
      <c r="L235" s="566">
        <v>0</v>
      </c>
    </row>
    <row r="236" spans="1:12" ht="45" x14ac:dyDescent="0.2">
      <c r="A236" s="561" t="s">
        <v>79</v>
      </c>
      <c r="B236" s="562">
        <v>2021</v>
      </c>
      <c r="C236" s="561" t="s">
        <v>725</v>
      </c>
      <c r="D236" s="561" t="s">
        <v>863</v>
      </c>
      <c r="E236" s="561" t="s">
        <v>425</v>
      </c>
      <c r="F236" s="563">
        <v>0</v>
      </c>
      <c r="G236" s="561" t="s">
        <v>654</v>
      </c>
      <c r="H236" s="564"/>
      <c r="I236" s="563">
        <v>45471</v>
      </c>
      <c r="J236" s="563">
        <v>-6029</v>
      </c>
      <c r="K236" s="563">
        <v>39442</v>
      </c>
      <c r="L236" s="566">
        <v>39442</v>
      </c>
    </row>
    <row r="237" spans="1:12" ht="45" x14ac:dyDescent="0.2">
      <c r="A237" s="561" t="s">
        <v>79</v>
      </c>
      <c r="B237" s="562">
        <v>2021</v>
      </c>
      <c r="C237" s="561" t="s">
        <v>725</v>
      </c>
      <c r="D237" s="561" t="s">
        <v>3083</v>
      </c>
      <c r="E237" s="561" t="s">
        <v>443</v>
      </c>
      <c r="F237" s="563">
        <v>0</v>
      </c>
      <c r="G237" s="561" t="s">
        <v>654</v>
      </c>
      <c r="H237" s="564"/>
      <c r="I237" s="563">
        <v>30493</v>
      </c>
      <c r="J237" s="563">
        <v>1462</v>
      </c>
      <c r="K237" s="563">
        <v>31955</v>
      </c>
      <c r="L237" s="566">
        <v>31955</v>
      </c>
    </row>
    <row r="238" spans="1:12" ht="45" x14ac:dyDescent="0.2">
      <c r="A238" s="561" t="s">
        <v>79</v>
      </c>
      <c r="B238" s="562">
        <v>2021</v>
      </c>
      <c r="C238" s="561" t="s">
        <v>725</v>
      </c>
      <c r="D238" s="561" t="s">
        <v>864</v>
      </c>
      <c r="E238" s="561" t="s">
        <v>741</v>
      </c>
      <c r="F238" s="563">
        <v>-979023</v>
      </c>
      <c r="G238" s="564"/>
      <c r="H238" s="564"/>
      <c r="I238" s="565"/>
      <c r="J238" s="565"/>
      <c r="K238" s="563">
        <v>0</v>
      </c>
      <c r="L238" s="566">
        <v>-979023</v>
      </c>
    </row>
    <row r="239" spans="1:12" ht="22.5" x14ac:dyDescent="0.2">
      <c r="A239" s="561" t="s">
        <v>79</v>
      </c>
      <c r="B239" s="562">
        <v>2021</v>
      </c>
      <c r="C239" s="561" t="s">
        <v>742</v>
      </c>
      <c r="D239" s="561" t="s">
        <v>865</v>
      </c>
      <c r="E239" s="561" t="s">
        <v>7</v>
      </c>
      <c r="F239" s="563">
        <v>0</v>
      </c>
      <c r="G239" s="564"/>
      <c r="H239" s="561" t="s">
        <v>654</v>
      </c>
      <c r="I239" s="565"/>
      <c r="J239" s="565"/>
      <c r="K239" s="563">
        <v>0</v>
      </c>
      <c r="L239" s="566">
        <v>0</v>
      </c>
    </row>
    <row r="240" spans="1:12" ht="22.5" x14ac:dyDescent="0.2">
      <c r="A240" s="561" t="s">
        <v>80</v>
      </c>
      <c r="B240" s="562">
        <v>2021</v>
      </c>
      <c r="C240" s="561" t="s">
        <v>651</v>
      </c>
      <c r="D240" s="561" t="s">
        <v>866</v>
      </c>
      <c r="E240" s="561" t="s">
        <v>653</v>
      </c>
      <c r="F240" s="563">
        <v>692983.51</v>
      </c>
      <c r="G240" s="564"/>
      <c r="H240" s="561" t="s">
        <v>654</v>
      </c>
      <c r="I240" s="565"/>
      <c r="J240" s="565"/>
      <c r="K240" s="563">
        <v>0</v>
      </c>
      <c r="L240" s="566">
        <v>692983.51</v>
      </c>
    </row>
    <row r="241" spans="1:12" ht="15" x14ac:dyDescent="0.2">
      <c r="A241" s="561" t="s">
        <v>80</v>
      </c>
      <c r="B241" s="562">
        <v>2021</v>
      </c>
      <c r="C241" s="561" t="s">
        <v>655</v>
      </c>
      <c r="D241" s="561" t="s">
        <v>867</v>
      </c>
      <c r="E241" s="561" t="s">
        <v>657</v>
      </c>
      <c r="F241" s="563">
        <v>-23160.19</v>
      </c>
      <c r="G241" s="564"/>
      <c r="H241" s="561" t="s">
        <v>654</v>
      </c>
      <c r="I241" s="565"/>
      <c r="J241" s="565"/>
      <c r="K241" s="563">
        <v>0</v>
      </c>
      <c r="L241" s="566">
        <v>-23160.19</v>
      </c>
    </row>
    <row r="242" spans="1:12" ht="56.25" x14ac:dyDescent="0.2">
      <c r="A242" s="561" t="s">
        <v>80</v>
      </c>
      <c r="B242" s="562">
        <v>2021</v>
      </c>
      <c r="C242" s="561" t="s">
        <v>658</v>
      </c>
      <c r="D242" s="561" t="s">
        <v>868</v>
      </c>
      <c r="E242" s="561" t="s">
        <v>447</v>
      </c>
      <c r="F242" s="563">
        <v>0</v>
      </c>
      <c r="G242" s="564"/>
      <c r="H242" s="561" t="s">
        <v>654</v>
      </c>
      <c r="I242" s="565"/>
      <c r="J242" s="565"/>
      <c r="K242" s="563">
        <v>0</v>
      </c>
      <c r="L242" s="566">
        <v>0</v>
      </c>
    </row>
    <row r="243" spans="1:12" ht="22.5" x14ac:dyDescent="0.2">
      <c r="A243" s="561" t="s">
        <v>80</v>
      </c>
      <c r="B243" s="562">
        <v>2021</v>
      </c>
      <c r="C243" s="561" t="s">
        <v>660</v>
      </c>
      <c r="D243" s="561" t="s">
        <v>869</v>
      </c>
      <c r="E243" s="561" t="s">
        <v>662</v>
      </c>
      <c r="F243" s="563">
        <v>0</v>
      </c>
      <c r="G243" s="564"/>
      <c r="H243" s="561" t="s">
        <v>654</v>
      </c>
      <c r="I243" s="565"/>
      <c r="J243" s="565"/>
      <c r="K243" s="563">
        <v>0</v>
      </c>
      <c r="L243" s="566">
        <v>0</v>
      </c>
    </row>
    <row r="244" spans="1:12" ht="33.75" x14ac:dyDescent="0.2">
      <c r="A244" s="561" t="s">
        <v>80</v>
      </c>
      <c r="B244" s="562">
        <v>2021</v>
      </c>
      <c r="C244" s="561" t="s">
        <v>663</v>
      </c>
      <c r="D244" s="561" t="s">
        <v>870</v>
      </c>
      <c r="E244" s="561" t="s">
        <v>665</v>
      </c>
      <c r="F244" s="563">
        <v>0</v>
      </c>
      <c r="G244" s="564"/>
      <c r="H244" s="561" t="s">
        <v>654</v>
      </c>
      <c r="I244" s="565"/>
      <c r="J244" s="565"/>
      <c r="K244" s="563">
        <v>0</v>
      </c>
      <c r="L244" s="566">
        <v>0</v>
      </c>
    </row>
    <row r="245" spans="1:12" ht="33.75" x14ac:dyDescent="0.2">
      <c r="A245" s="561" t="s">
        <v>80</v>
      </c>
      <c r="B245" s="562">
        <v>2021</v>
      </c>
      <c r="C245" s="561" t="s">
        <v>666</v>
      </c>
      <c r="D245" s="561" t="s">
        <v>871</v>
      </c>
      <c r="E245" s="561" t="s">
        <v>668</v>
      </c>
      <c r="F245" s="563">
        <v>0</v>
      </c>
      <c r="G245" s="564"/>
      <c r="H245" s="561" t="s">
        <v>654</v>
      </c>
      <c r="I245" s="565"/>
      <c r="J245" s="565"/>
      <c r="K245" s="563">
        <v>0</v>
      </c>
      <c r="L245" s="566">
        <v>0</v>
      </c>
    </row>
    <row r="246" spans="1:12" ht="56.25" x14ac:dyDescent="0.2">
      <c r="A246" s="561" t="s">
        <v>80</v>
      </c>
      <c r="B246" s="562">
        <v>2021</v>
      </c>
      <c r="C246" s="561" t="s">
        <v>669</v>
      </c>
      <c r="D246" s="561" t="s">
        <v>872</v>
      </c>
      <c r="E246" s="561" t="s">
        <v>671</v>
      </c>
      <c r="F246" s="563">
        <v>0</v>
      </c>
      <c r="G246" s="564"/>
      <c r="H246" s="561" t="s">
        <v>654</v>
      </c>
      <c r="I246" s="565"/>
      <c r="J246" s="565"/>
      <c r="K246" s="563">
        <v>0</v>
      </c>
      <c r="L246" s="566">
        <v>0</v>
      </c>
    </row>
    <row r="247" spans="1:12" ht="22.5" x14ac:dyDescent="0.2">
      <c r="A247" s="561" t="s">
        <v>80</v>
      </c>
      <c r="B247" s="562">
        <v>2021</v>
      </c>
      <c r="C247" s="561" t="s">
        <v>672</v>
      </c>
      <c r="D247" s="561" t="s">
        <v>873</v>
      </c>
      <c r="E247" s="561" t="s">
        <v>12</v>
      </c>
      <c r="F247" s="563">
        <v>0</v>
      </c>
      <c r="G247" s="564"/>
      <c r="H247" s="561" t="s">
        <v>654</v>
      </c>
      <c r="I247" s="565"/>
      <c r="J247" s="565"/>
      <c r="K247" s="563">
        <v>0</v>
      </c>
      <c r="L247" s="566">
        <v>0</v>
      </c>
    </row>
    <row r="248" spans="1:12" ht="22.5" x14ac:dyDescent="0.2">
      <c r="A248" s="561" t="s">
        <v>80</v>
      </c>
      <c r="B248" s="562">
        <v>2021</v>
      </c>
      <c r="C248" s="561" t="s">
        <v>674</v>
      </c>
      <c r="D248" s="561" t="s">
        <v>874</v>
      </c>
      <c r="E248" s="561" t="s">
        <v>13</v>
      </c>
      <c r="F248" s="563">
        <v>0</v>
      </c>
      <c r="G248" s="564"/>
      <c r="H248" s="561" t="s">
        <v>654</v>
      </c>
      <c r="I248" s="565"/>
      <c r="J248" s="565"/>
      <c r="K248" s="563">
        <v>0</v>
      </c>
      <c r="L248" s="566">
        <v>0</v>
      </c>
    </row>
    <row r="249" spans="1:12" ht="33.75" x14ac:dyDescent="0.2">
      <c r="A249" s="561" t="s">
        <v>80</v>
      </c>
      <c r="B249" s="562">
        <v>2021</v>
      </c>
      <c r="C249" s="561" t="s">
        <v>676</v>
      </c>
      <c r="D249" s="561" t="s">
        <v>875</v>
      </c>
      <c r="E249" s="561" t="s">
        <v>15</v>
      </c>
      <c r="F249" s="563">
        <v>0</v>
      </c>
      <c r="G249" s="564"/>
      <c r="H249" s="561" t="s">
        <v>654</v>
      </c>
      <c r="I249" s="565"/>
      <c r="J249" s="565"/>
      <c r="K249" s="563">
        <v>0</v>
      </c>
      <c r="L249" s="566">
        <v>0</v>
      </c>
    </row>
    <row r="250" spans="1:12" ht="15" x14ac:dyDescent="0.2">
      <c r="A250" s="561" t="s">
        <v>80</v>
      </c>
      <c r="B250" s="562">
        <v>2021</v>
      </c>
      <c r="C250" s="561" t="s">
        <v>678</v>
      </c>
      <c r="D250" s="561" t="s">
        <v>876</v>
      </c>
      <c r="E250" s="561" t="s">
        <v>680</v>
      </c>
      <c r="F250" s="563">
        <v>37927.410000000003</v>
      </c>
      <c r="G250" s="564"/>
      <c r="H250" s="561" t="s">
        <v>654</v>
      </c>
      <c r="I250" s="565"/>
      <c r="J250" s="565"/>
      <c r="K250" s="563">
        <v>0</v>
      </c>
      <c r="L250" s="566">
        <v>37927.410000000003</v>
      </c>
    </row>
    <row r="251" spans="1:12" ht="15" x14ac:dyDescent="0.2">
      <c r="A251" s="561" t="s">
        <v>80</v>
      </c>
      <c r="B251" s="562">
        <v>2021</v>
      </c>
      <c r="C251" s="561" t="s">
        <v>681</v>
      </c>
      <c r="D251" s="561" t="s">
        <v>877</v>
      </c>
      <c r="E251" s="561" t="s">
        <v>23</v>
      </c>
      <c r="F251" s="563">
        <v>0</v>
      </c>
      <c r="G251" s="561" t="s">
        <v>654</v>
      </c>
      <c r="H251" s="564"/>
      <c r="I251" s="565"/>
      <c r="J251" s="565"/>
      <c r="K251" s="563">
        <v>0</v>
      </c>
      <c r="L251" s="566">
        <v>0</v>
      </c>
    </row>
    <row r="252" spans="1:12" ht="33.75" x14ac:dyDescent="0.2">
      <c r="A252" s="561" t="s">
        <v>80</v>
      </c>
      <c r="B252" s="562">
        <v>2021</v>
      </c>
      <c r="C252" s="561" t="s">
        <v>683</v>
      </c>
      <c r="D252" s="561" t="s">
        <v>878</v>
      </c>
      <c r="E252" s="561" t="s">
        <v>131</v>
      </c>
      <c r="F252" s="563">
        <v>-51797.73</v>
      </c>
      <c r="G252" s="561" t="s">
        <v>654</v>
      </c>
      <c r="H252" s="564"/>
      <c r="I252" s="563">
        <v>-49874.55859375</v>
      </c>
      <c r="J252" s="563">
        <v>-1923.17004394531</v>
      </c>
      <c r="K252" s="563">
        <v>-51797.73046875</v>
      </c>
      <c r="L252" s="566">
        <v>-51797.73</v>
      </c>
    </row>
    <row r="253" spans="1:12" ht="33.75" x14ac:dyDescent="0.2">
      <c r="A253" s="561" t="s">
        <v>80</v>
      </c>
      <c r="B253" s="562">
        <v>2021</v>
      </c>
      <c r="C253" s="561" t="s">
        <v>685</v>
      </c>
      <c r="D253" s="561" t="s">
        <v>879</v>
      </c>
      <c r="E253" s="561" t="s">
        <v>687</v>
      </c>
      <c r="F253" s="563">
        <v>135829.14000000001</v>
      </c>
      <c r="G253" s="564"/>
      <c r="H253" s="561" t="s">
        <v>654</v>
      </c>
      <c r="I253" s="565"/>
      <c r="J253" s="565"/>
      <c r="K253" s="563">
        <v>0</v>
      </c>
      <c r="L253" s="566">
        <v>135829.14000000001</v>
      </c>
    </row>
    <row r="254" spans="1:12" ht="33.75" x14ac:dyDescent="0.2">
      <c r="A254" s="561" t="s">
        <v>80</v>
      </c>
      <c r="B254" s="562">
        <v>2021</v>
      </c>
      <c r="C254" s="561" t="s">
        <v>685</v>
      </c>
      <c r="D254" s="561" t="s">
        <v>879</v>
      </c>
      <c r="E254" s="561" t="s">
        <v>688</v>
      </c>
      <c r="F254" s="563">
        <v>0</v>
      </c>
      <c r="G254" s="564"/>
      <c r="H254" s="561" t="s">
        <v>654</v>
      </c>
      <c r="I254" s="565"/>
      <c r="J254" s="565"/>
      <c r="K254" s="563">
        <v>0</v>
      </c>
      <c r="L254" s="566">
        <v>0</v>
      </c>
    </row>
    <row r="255" spans="1:12" ht="22.5" x14ac:dyDescent="0.2">
      <c r="A255" s="561" t="s">
        <v>80</v>
      </c>
      <c r="B255" s="562">
        <v>2021</v>
      </c>
      <c r="C255" s="561" t="s">
        <v>689</v>
      </c>
      <c r="D255" s="561" t="s">
        <v>880</v>
      </c>
      <c r="E255" s="561" t="s">
        <v>691</v>
      </c>
      <c r="F255" s="563">
        <v>0</v>
      </c>
      <c r="G255" s="564"/>
      <c r="H255" s="561" t="s">
        <v>654</v>
      </c>
      <c r="I255" s="565"/>
      <c r="J255" s="565"/>
      <c r="K255" s="563">
        <v>0</v>
      </c>
      <c r="L255" s="566">
        <v>0</v>
      </c>
    </row>
    <row r="256" spans="1:12" ht="22.5" x14ac:dyDescent="0.2">
      <c r="A256" s="561" t="s">
        <v>80</v>
      </c>
      <c r="B256" s="562">
        <v>2021</v>
      </c>
      <c r="C256" s="561" t="s">
        <v>692</v>
      </c>
      <c r="D256" s="561" t="s">
        <v>881</v>
      </c>
      <c r="E256" s="561" t="s">
        <v>50</v>
      </c>
      <c r="F256" s="563">
        <v>46607.16</v>
      </c>
      <c r="G256" s="564"/>
      <c r="H256" s="561" t="s">
        <v>654</v>
      </c>
      <c r="I256" s="565"/>
      <c r="J256" s="565"/>
      <c r="K256" s="563">
        <v>0</v>
      </c>
      <c r="L256" s="566">
        <v>46607.16</v>
      </c>
    </row>
    <row r="257" spans="1:12" ht="22.5" x14ac:dyDescent="0.2">
      <c r="A257" s="561" t="s">
        <v>80</v>
      </c>
      <c r="B257" s="562">
        <v>2021</v>
      </c>
      <c r="C257" s="561" t="s">
        <v>694</v>
      </c>
      <c r="D257" s="561" t="s">
        <v>882</v>
      </c>
      <c r="E257" s="561" t="s">
        <v>696</v>
      </c>
      <c r="F257" s="563">
        <v>0</v>
      </c>
      <c r="G257" s="564"/>
      <c r="H257" s="561" t="s">
        <v>654</v>
      </c>
      <c r="I257" s="565"/>
      <c r="J257" s="565"/>
      <c r="K257" s="563">
        <v>0</v>
      </c>
      <c r="L257" s="566">
        <v>0</v>
      </c>
    </row>
    <row r="258" spans="1:12" ht="22.5" x14ac:dyDescent="0.2">
      <c r="A258" s="561" t="s">
        <v>80</v>
      </c>
      <c r="B258" s="562">
        <v>2021</v>
      </c>
      <c r="C258" s="561" t="s">
        <v>697</v>
      </c>
      <c r="D258" s="561" t="s">
        <v>883</v>
      </c>
      <c r="E258" s="561" t="s">
        <v>6</v>
      </c>
      <c r="F258" s="563">
        <v>0</v>
      </c>
      <c r="G258" s="564"/>
      <c r="H258" s="561" t="s">
        <v>654</v>
      </c>
      <c r="I258" s="565"/>
      <c r="J258" s="565"/>
      <c r="K258" s="563">
        <v>0</v>
      </c>
      <c r="L258" s="566">
        <v>0</v>
      </c>
    </row>
    <row r="259" spans="1:12" ht="33.75" x14ac:dyDescent="0.2">
      <c r="A259" s="561" t="s">
        <v>80</v>
      </c>
      <c r="B259" s="562">
        <v>2021</v>
      </c>
      <c r="C259" s="561" t="s">
        <v>699</v>
      </c>
      <c r="D259" s="561" t="s">
        <v>884</v>
      </c>
      <c r="E259" s="561" t="s">
        <v>701</v>
      </c>
      <c r="F259" s="563">
        <v>0</v>
      </c>
      <c r="G259" s="564"/>
      <c r="H259" s="561" t="s">
        <v>654</v>
      </c>
      <c r="I259" s="565"/>
      <c r="J259" s="565"/>
      <c r="K259" s="563">
        <v>0</v>
      </c>
      <c r="L259" s="566">
        <v>0</v>
      </c>
    </row>
    <row r="260" spans="1:12" ht="22.5" x14ac:dyDescent="0.2">
      <c r="A260" s="561" t="s">
        <v>80</v>
      </c>
      <c r="B260" s="562">
        <v>2021</v>
      </c>
      <c r="C260" s="561" t="s">
        <v>702</v>
      </c>
      <c r="D260" s="561" t="s">
        <v>885</v>
      </c>
      <c r="E260" s="561" t="s">
        <v>704</v>
      </c>
      <c r="F260" s="563">
        <v>0</v>
      </c>
      <c r="G260" s="564"/>
      <c r="H260" s="561" t="s">
        <v>654</v>
      </c>
      <c r="I260" s="565"/>
      <c r="J260" s="565"/>
      <c r="K260" s="563">
        <v>0</v>
      </c>
      <c r="L260" s="566">
        <v>0</v>
      </c>
    </row>
    <row r="261" spans="1:12" ht="33.75" x14ac:dyDescent="0.2">
      <c r="A261" s="561" t="s">
        <v>80</v>
      </c>
      <c r="B261" s="562">
        <v>2021</v>
      </c>
      <c r="C261" s="561" t="s">
        <v>705</v>
      </c>
      <c r="D261" s="561" t="s">
        <v>886</v>
      </c>
      <c r="E261" s="561" t="s">
        <v>1</v>
      </c>
      <c r="F261" s="563">
        <v>-983116.33</v>
      </c>
      <c r="G261" s="561" t="s">
        <v>654</v>
      </c>
      <c r="H261" s="564"/>
      <c r="I261" s="563">
        <v>-966322.25</v>
      </c>
      <c r="J261" s="563">
        <v>-16794.109375</v>
      </c>
      <c r="K261" s="563">
        <v>-983116.3125</v>
      </c>
      <c r="L261" s="566">
        <v>-983116.33</v>
      </c>
    </row>
    <row r="262" spans="1:12" ht="22.5" x14ac:dyDescent="0.2">
      <c r="A262" s="561" t="s">
        <v>80</v>
      </c>
      <c r="B262" s="562">
        <v>2021</v>
      </c>
      <c r="C262" s="561" t="s">
        <v>705</v>
      </c>
      <c r="D262" s="561" t="s">
        <v>886</v>
      </c>
      <c r="E262" s="561" t="s">
        <v>707</v>
      </c>
      <c r="F262" s="563">
        <v>0</v>
      </c>
      <c r="G262" s="564"/>
      <c r="H262" s="564"/>
      <c r="I262" s="565"/>
      <c r="J262" s="565"/>
      <c r="K262" s="563">
        <v>0</v>
      </c>
      <c r="L262" s="566">
        <v>0</v>
      </c>
    </row>
    <row r="263" spans="1:12" ht="22.5" x14ac:dyDescent="0.2">
      <c r="A263" s="561" t="s">
        <v>80</v>
      </c>
      <c r="B263" s="562">
        <v>2021</v>
      </c>
      <c r="C263" s="561" t="s">
        <v>705</v>
      </c>
      <c r="D263" s="561" t="s">
        <v>886</v>
      </c>
      <c r="E263" s="561" t="s">
        <v>708</v>
      </c>
      <c r="F263" s="563">
        <v>0</v>
      </c>
      <c r="G263" s="564"/>
      <c r="H263" s="564"/>
      <c r="I263" s="565"/>
      <c r="J263" s="565"/>
      <c r="K263" s="563">
        <v>0</v>
      </c>
      <c r="L263" s="566">
        <v>0</v>
      </c>
    </row>
    <row r="264" spans="1:12" ht="22.5" x14ac:dyDescent="0.2">
      <c r="A264" s="561" t="s">
        <v>80</v>
      </c>
      <c r="B264" s="562">
        <v>2021</v>
      </c>
      <c r="C264" s="561" t="s">
        <v>705</v>
      </c>
      <c r="D264" s="561" t="s">
        <v>886</v>
      </c>
      <c r="E264" s="561" t="s">
        <v>709</v>
      </c>
      <c r="F264" s="563">
        <v>-23643.91</v>
      </c>
      <c r="G264" s="564"/>
      <c r="H264" s="564"/>
      <c r="I264" s="565"/>
      <c r="J264" s="565"/>
      <c r="K264" s="563">
        <v>0</v>
      </c>
      <c r="L264" s="566">
        <v>-23643.91</v>
      </c>
    </row>
    <row r="265" spans="1:12" ht="22.5" x14ac:dyDescent="0.2">
      <c r="A265" s="561" t="s">
        <v>80</v>
      </c>
      <c r="B265" s="562">
        <v>2021</v>
      </c>
      <c r="C265" s="561" t="s">
        <v>705</v>
      </c>
      <c r="D265" s="561" t="s">
        <v>886</v>
      </c>
      <c r="E265" s="561" t="s">
        <v>710</v>
      </c>
      <c r="F265" s="563">
        <v>-581066.23999999999</v>
      </c>
      <c r="G265" s="564"/>
      <c r="H265" s="564"/>
      <c r="I265" s="565"/>
      <c r="J265" s="565"/>
      <c r="K265" s="563">
        <v>0</v>
      </c>
      <c r="L265" s="566">
        <v>-581066.23999999999</v>
      </c>
    </row>
    <row r="266" spans="1:12" ht="15" x14ac:dyDescent="0.2">
      <c r="A266" s="561" t="s">
        <v>80</v>
      </c>
      <c r="B266" s="562">
        <v>2021</v>
      </c>
      <c r="C266" s="561" t="s">
        <v>711</v>
      </c>
      <c r="D266" s="561" t="s">
        <v>887</v>
      </c>
      <c r="E266" s="561" t="s">
        <v>713</v>
      </c>
      <c r="F266" s="563">
        <v>0</v>
      </c>
      <c r="G266" s="564"/>
      <c r="H266" s="561" t="s">
        <v>654</v>
      </c>
      <c r="I266" s="565"/>
      <c r="J266" s="565"/>
      <c r="K266" s="563">
        <v>0</v>
      </c>
      <c r="L266" s="566">
        <v>0</v>
      </c>
    </row>
    <row r="267" spans="1:12" ht="33.75" x14ac:dyDescent="0.2">
      <c r="A267" s="561" t="s">
        <v>80</v>
      </c>
      <c r="B267" s="562">
        <v>2021</v>
      </c>
      <c r="C267" s="561" t="s">
        <v>714</v>
      </c>
      <c r="D267" s="561" t="s">
        <v>888</v>
      </c>
      <c r="E267" s="561" t="s">
        <v>2</v>
      </c>
      <c r="F267" s="563">
        <v>5162.18</v>
      </c>
      <c r="G267" s="561" t="s">
        <v>654</v>
      </c>
      <c r="H267" s="564"/>
      <c r="I267" s="563">
        <v>10015.740234375</v>
      </c>
      <c r="J267" s="563">
        <v>-4853.56005859375</v>
      </c>
      <c r="K267" s="563">
        <v>5162.18017578125</v>
      </c>
      <c r="L267" s="566">
        <v>5162.18</v>
      </c>
    </row>
    <row r="268" spans="1:12" ht="33.75" x14ac:dyDescent="0.2">
      <c r="A268" s="561" t="s">
        <v>80</v>
      </c>
      <c r="B268" s="562">
        <v>2021</v>
      </c>
      <c r="C268" s="561" t="s">
        <v>716</v>
      </c>
      <c r="D268" s="561" t="s">
        <v>889</v>
      </c>
      <c r="E268" s="561" t="s">
        <v>3</v>
      </c>
      <c r="F268" s="563">
        <v>288417.93</v>
      </c>
      <c r="G268" s="561" t="s">
        <v>654</v>
      </c>
      <c r="H268" s="564"/>
      <c r="I268" s="563">
        <v>272944.96875</v>
      </c>
      <c r="J268" s="563">
        <v>15472.9697265625</v>
      </c>
      <c r="K268" s="563">
        <v>288417.9375</v>
      </c>
      <c r="L268" s="566">
        <v>288417.93</v>
      </c>
    </row>
    <row r="269" spans="1:12" ht="33.75" x14ac:dyDescent="0.2">
      <c r="A269" s="561" t="s">
        <v>80</v>
      </c>
      <c r="B269" s="562">
        <v>2021</v>
      </c>
      <c r="C269" s="561" t="s">
        <v>718</v>
      </c>
      <c r="D269" s="561" t="s">
        <v>890</v>
      </c>
      <c r="E269" s="561" t="s">
        <v>38</v>
      </c>
      <c r="F269" s="563">
        <v>472487.77</v>
      </c>
      <c r="G269" s="561" t="s">
        <v>654</v>
      </c>
      <c r="H269" s="564"/>
      <c r="I269" s="563">
        <v>414773</v>
      </c>
      <c r="J269" s="563">
        <v>57714.78125</v>
      </c>
      <c r="K269" s="563">
        <v>472487.78125</v>
      </c>
      <c r="L269" s="566">
        <v>472487.77</v>
      </c>
    </row>
    <row r="270" spans="1:12" ht="22.5" x14ac:dyDescent="0.2">
      <c r="A270" s="561" t="s">
        <v>80</v>
      </c>
      <c r="B270" s="562">
        <v>2021</v>
      </c>
      <c r="C270" s="561" t="s">
        <v>720</v>
      </c>
      <c r="D270" s="561" t="s">
        <v>891</v>
      </c>
      <c r="E270" s="561" t="s">
        <v>66</v>
      </c>
      <c r="F270" s="563">
        <v>36984.519999999997</v>
      </c>
      <c r="G270" s="561" t="s">
        <v>654</v>
      </c>
      <c r="H270" s="564"/>
      <c r="I270" s="563">
        <v>33070.1796875</v>
      </c>
      <c r="J270" s="563">
        <v>3914.34008789063</v>
      </c>
      <c r="K270" s="563">
        <v>36984.51953125</v>
      </c>
      <c r="L270" s="566">
        <v>36984.519999999997</v>
      </c>
    </row>
    <row r="271" spans="1:12" ht="45" x14ac:dyDescent="0.2">
      <c r="A271" s="561" t="s">
        <v>80</v>
      </c>
      <c r="B271" s="562">
        <v>2021</v>
      </c>
      <c r="C271" s="561" t="s">
        <v>722</v>
      </c>
      <c r="D271" s="561" t="s">
        <v>892</v>
      </c>
      <c r="E271" s="561" t="s">
        <v>724</v>
      </c>
      <c r="F271" s="563">
        <v>-621116.02</v>
      </c>
      <c r="G271" s="564"/>
      <c r="H271" s="561" t="s">
        <v>654</v>
      </c>
      <c r="I271" s="565"/>
      <c r="J271" s="565"/>
      <c r="K271" s="563">
        <v>0</v>
      </c>
      <c r="L271" s="566">
        <v>-621116.02</v>
      </c>
    </row>
    <row r="272" spans="1:12" ht="45" x14ac:dyDescent="0.2">
      <c r="A272" s="561" t="s">
        <v>80</v>
      </c>
      <c r="B272" s="562">
        <v>2021</v>
      </c>
      <c r="C272" s="561" t="s">
        <v>725</v>
      </c>
      <c r="D272" s="561" t="s">
        <v>893</v>
      </c>
      <c r="E272" s="561" t="s">
        <v>3024</v>
      </c>
      <c r="F272" s="563">
        <v>0</v>
      </c>
      <c r="G272" s="561" t="s">
        <v>654</v>
      </c>
      <c r="H272" s="564"/>
      <c r="I272" s="563">
        <v>361510.5</v>
      </c>
      <c r="J272" s="563">
        <v>-279616.71875</v>
      </c>
      <c r="K272" s="563">
        <v>81893.796875</v>
      </c>
      <c r="L272" s="566">
        <v>81893.8</v>
      </c>
    </row>
    <row r="273" spans="1:12" ht="45" x14ac:dyDescent="0.2">
      <c r="A273" s="561" t="s">
        <v>80</v>
      </c>
      <c r="B273" s="562">
        <v>2021</v>
      </c>
      <c r="C273" s="561" t="s">
        <v>725</v>
      </c>
      <c r="D273" s="561" t="s">
        <v>893</v>
      </c>
      <c r="E273" s="561" t="s">
        <v>3066</v>
      </c>
      <c r="F273" s="563">
        <v>0</v>
      </c>
      <c r="G273" s="561" t="s">
        <v>654</v>
      </c>
      <c r="H273" s="564"/>
      <c r="I273" s="565"/>
      <c r="J273" s="565"/>
      <c r="K273" s="563">
        <v>0</v>
      </c>
      <c r="L273" s="566">
        <v>0</v>
      </c>
    </row>
    <row r="274" spans="1:12" ht="45" x14ac:dyDescent="0.2">
      <c r="A274" s="561" t="s">
        <v>80</v>
      </c>
      <c r="B274" s="562">
        <v>2021</v>
      </c>
      <c r="C274" s="561" t="s">
        <v>725</v>
      </c>
      <c r="D274" s="561" t="s">
        <v>894</v>
      </c>
      <c r="E274" s="561" t="s">
        <v>728</v>
      </c>
      <c r="F274" s="563">
        <v>0</v>
      </c>
      <c r="G274" s="561" t="s">
        <v>654</v>
      </c>
      <c r="H274" s="564"/>
      <c r="I274" s="565"/>
      <c r="J274" s="565"/>
      <c r="K274" s="563">
        <v>0</v>
      </c>
      <c r="L274" s="566">
        <v>0</v>
      </c>
    </row>
    <row r="275" spans="1:12" ht="45" x14ac:dyDescent="0.2">
      <c r="A275" s="561" t="s">
        <v>80</v>
      </c>
      <c r="B275" s="562">
        <v>2021</v>
      </c>
      <c r="C275" s="561" t="s">
        <v>725</v>
      </c>
      <c r="D275" s="561" t="s">
        <v>895</v>
      </c>
      <c r="E275" s="561" t="s">
        <v>55</v>
      </c>
      <c r="F275" s="563">
        <v>0</v>
      </c>
      <c r="G275" s="561" t="s">
        <v>654</v>
      </c>
      <c r="H275" s="564"/>
      <c r="I275" s="565"/>
      <c r="J275" s="565"/>
      <c r="K275" s="563">
        <v>0</v>
      </c>
      <c r="L275" s="566">
        <v>0</v>
      </c>
    </row>
    <row r="276" spans="1:12" ht="45" x14ac:dyDescent="0.2">
      <c r="A276" s="561" t="s">
        <v>80</v>
      </c>
      <c r="B276" s="562">
        <v>2021</v>
      </c>
      <c r="C276" s="561" t="s">
        <v>725</v>
      </c>
      <c r="D276" s="561" t="s">
        <v>896</v>
      </c>
      <c r="E276" s="561" t="s">
        <v>56</v>
      </c>
      <c r="F276" s="563">
        <v>0</v>
      </c>
      <c r="G276" s="561" t="s">
        <v>654</v>
      </c>
      <c r="H276" s="564"/>
      <c r="I276" s="565"/>
      <c r="J276" s="565"/>
      <c r="K276" s="563">
        <v>0</v>
      </c>
      <c r="L276" s="566">
        <v>0</v>
      </c>
    </row>
    <row r="277" spans="1:12" ht="45" x14ac:dyDescent="0.2">
      <c r="A277" s="561" t="s">
        <v>80</v>
      </c>
      <c r="B277" s="562">
        <v>2021</v>
      </c>
      <c r="C277" s="561" t="s">
        <v>725</v>
      </c>
      <c r="D277" s="561" t="s">
        <v>897</v>
      </c>
      <c r="E277" s="561" t="s">
        <v>732</v>
      </c>
      <c r="F277" s="563">
        <v>0</v>
      </c>
      <c r="G277" s="561" t="s">
        <v>654</v>
      </c>
      <c r="H277" s="564"/>
      <c r="I277" s="565"/>
      <c r="J277" s="565"/>
      <c r="K277" s="563">
        <v>0</v>
      </c>
      <c r="L277" s="566">
        <v>0</v>
      </c>
    </row>
    <row r="278" spans="1:12" ht="45" x14ac:dyDescent="0.2">
      <c r="A278" s="561" t="s">
        <v>80</v>
      </c>
      <c r="B278" s="562">
        <v>2021</v>
      </c>
      <c r="C278" s="561" t="s">
        <v>725</v>
      </c>
      <c r="D278" s="561" t="s">
        <v>898</v>
      </c>
      <c r="E278" s="561" t="s">
        <v>734</v>
      </c>
      <c r="F278" s="563">
        <v>0</v>
      </c>
      <c r="G278" s="561" t="s">
        <v>654</v>
      </c>
      <c r="H278" s="564"/>
      <c r="I278" s="565"/>
      <c r="J278" s="565"/>
      <c r="K278" s="563">
        <v>0</v>
      </c>
      <c r="L278" s="566">
        <v>0</v>
      </c>
    </row>
    <row r="279" spans="1:12" ht="45" x14ac:dyDescent="0.2">
      <c r="A279" s="561" t="s">
        <v>80</v>
      </c>
      <c r="B279" s="562">
        <v>2021</v>
      </c>
      <c r="C279" s="561" t="s">
        <v>725</v>
      </c>
      <c r="D279" s="561" t="s">
        <v>899</v>
      </c>
      <c r="E279" s="561" t="s">
        <v>142</v>
      </c>
      <c r="F279" s="563">
        <v>0</v>
      </c>
      <c r="G279" s="561" t="s">
        <v>654</v>
      </c>
      <c r="H279" s="564"/>
      <c r="I279" s="565"/>
      <c r="J279" s="565"/>
      <c r="K279" s="563">
        <v>0</v>
      </c>
      <c r="L279" s="566">
        <v>0</v>
      </c>
    </row>
    <row r="280" spans="1:12" ht="45" x14ac:dyDescent="0.2">
      <c r="A280" s="561" t="s">
        <v>80</v>
      </c>
      <c r="B280" s="562">
        <v>2021</v>
      </c>
      <c r="C280" s="561" t="s">
        <v>725</v>
      </c>
      <c r="D280" s="561" t="s">
        <v>900</v>
      </c>
      <c r="E280" s="561" t="s">
        <v>143</v>
      </c>
      <c r="F280" s="563">
        <v>0</v>
      </c>
      <c r="G280" s="561" t="s">
        <v>654</v>
      </c>
      <c r="H280" s="564"/>
      <c r="I280" s="565"/>
      <c r="J280" s="565"/>
      <c r="K280" s="563">
        <v>0</v>
      </c>
      <c r="L280" s="566">
        <v>0</v>
      </c>
    </row>
    <row r="281" spans="1:12" ht="45" x14ac:dyDescent="0.2">
      <c r="A281" s="561" t="s">
        <v>80</v>
      </c>
      <c r="B281" s="562">
        <v>2021</v>
      </c>
      <c r="C281" s="561" t="s">
        <v>725</v>
      </c>
      <c r="D281" s="561" t="s">
        <v>901</v>
      </c>
      <c r="E281" s="561" t="s">
        <v>182</v>
      </c>
      <c r="F281" s="563">
        <v>0</v>
      </c>
      <c r="G281" s="561" t="s">
        <v>654</v>
      </c>
      <c r="H281" s="564"/>
      <c r="I281" s="565"/>
      <c r="J281" s="563">
        <v>-49.529998779296903</v>
      </c>
      <c r="K281" s="563">
        <v>-49.529998779296903</v>
      </c>
      <c r="L281" s="566">
        <v>-49.53</v>
      </c>
    </row>
    <row r="282" spans="1:12" ht="45" x14ac:dyDescent="0.2">
      <c r="A282" s="561" t="s">
        <v>80</v>
      </c>
      <c r="B282" s="562">
        <v>2021</v>
      </c>
      <c r="C282" s="561" t="s">
        <v>725</v>
      </c>
      <c r="D282" s="561" t="s">
        <v>902</v>
      </c>
      <c r="E282" s="561" t="s">
        <v>394</v>
      </c>
      <c r="F282" s="563">
        <v>0</v>
      </c>
      <c r="G282" s="561" t="s">
        <v>654</v>
      </c>
      <c r="H282" s="564"/>
      <c r="I282" s="563">
        <v>1724.66003417969</v>
      </c>
      <c r="J282" s="563">
        <v>82.989997863769503</v>
      </c>
      <c r="K282" s="563">
        <v>1807.65002441406</v>
      </c>
      <c r="L282" s="566">
        <v>1807.65</v>
      </c>
    </row>
    <row r="283" spans="1:12" ht="45" x14ac:dyDescent="0.2">
      <c r="A283" s="561" t="s">
        <v>80</v>
      </c>
      <c r="B283" s="562">
        <v>2021</v>
      </c>
      <c r="C283" s="561" t="s">
        <v>725</v>
      </c>
      <c r="D283" s="561" t="s">
        <v>903</v>
      </c>
      <c r="E283" s="561" t="s">
        <v>425</v>
      </c>
      <c r="F283" s="563">
        <v>0</v>
      </c>
      <c r="G283" s="561" t="s">
        <v>654</v>
      </c>
      <c r="H283" s="564"/>
      <c r="I283" s="563">
        <v>11254.0302734375</v>
      </c>
      <c r="J283" s="563">
        <v>42988.890625</v>
      </c>
      <c r="K283" s="563">
        <v>54242.921875</v>
      </c>
      <c r="L283" s="566">
        <v>54242.92</v>
      </c>
    </row>
    <row r="284" spans="1:12" ht="45" x14ac:dyDescent="0.2">
      <c r="A284" s="561" t="s">
        <v>80</v>
      </c>
      <c r="B284" s="562">
        <v>2021</v>
      </c>
      <c r="C284" s="561" t="s">
        <v>725</v>
      </c>
      <c r="D284" s="561" t="s">
        <v>3084</v>
      </c>
      <c r="E284" s="561" t="s">
        <v>443</v>
      </c>
      <c r="F284" s="563">
        <v>0</v>
      </c>
      <c r="G284" s="561" t="s">
        <v>654</v>
      </c>
      <c r="H284" s="564"/>
      <c r="I284" s="563">
        <v>-9005.330078125</v>
      </c>
      <c r="J284" s="563">
        <v>7161.39990234375</v>
      </c>
      <c r="K284" s="563">
        <v>-1843.93005371094</v>
      </c>
      <c r="L284" s="566">
        <v>-1843.93</v>
      </c>
    </row>
    <row r="285" spans="1:12" ht="45" x14ac:dyDescent="0.2">
      <c r="A285" s="561" t="s">
        <v>80</v>
      </c>
      <c r="B285" s="562">
        <v>2021</v>
      </c>
      <c r="C285" s="561" t="s">
        <v>725</v>
      </c>
      <c r="D285" s="561" t="s">
        <v>904</v>
      </c>
      <c r="E285" s="561" t="s">
        <v>741</v>
      </c>
      <c r="F285" s="563">
        <v>136050.91</v>
      </c>
      <c r="G285" s="564"/>
      <c r="H285" s="564"/>
      <c r="I285" s="565"/>
      <c r="J285" s="565"/>
      <c r="K285" s="563">
        <v>0</v>
      </c>
      <c r="L285" s="566">
        <v>136050.91</v>
      </c>
    </row>
    <row r="286" spans="1:12" ht="22.5" x14ac:dyDescent="0.2">
      <c r="A286" s="561" t="s">
        <v>80</v>
      </c>
      <c r="B286" s="562">
        <v>2021</v>
      </c>
      <c r="C286" s="561" t="s">
        <v>742</v>
      </c>
      <c r="D286" s="561" t="s">
        <v>905</v>
      </c>
      <c r="E286" s="561" t="s">
        <v>7</v>
      </c>
      <c r="F286" s="563">
        <v>0</v>
      </c>
      <c r="G286" s="564"/>
      <c r="H286" s="561" t="s">
        <v>654</v>
      </c>
      <c r="I286" s="565"/>
      <c r="J286" s="565"/>
      <c r="K286" s="563">
        <v>0</v>
      </c>
      <c r="L286" s="566">
        <v>0</v>
      </c>
    </row>
    <row r="287" spans="1:12" ht="22.5" x14ac:dyDescent="0.2">
      <c r="A287" s="561" t="s">
        <v>81</v>
      </c>
      <c r="B287" s="562">
        <v>2021</v>
      </c>
      <c r="C287" s="561" t="s">
        <v>651</v>
      </c>
      <c r="D287" s="561" t="s">
        <v>906</v>
      </c>
      <c r="E287" s="561" t="s">
        <v>653</v>
      </c>
      <c r="F287" s="563">
        <v>3598806.54</v>
      </c>
      <c r="G287" s="564"/>
      <c r="H287" s="561" t="s">
        <v>654</v>
      </c>
      <c r="I287" s="565"/>
      <c r="J287" s="565"/>
      <c r="K287" s="563">
        <v>0</v>
      </c>
      <c r="L287" s="566">
        <v>3598806.54</v>
      </c>
    </row>
    <row r="288" spans="1:12" ht="15" x14ac:dyDescent="0.2">
      <c r="A288" s="561" t="s">
        <v>81</v>
      </c>
      <c r="B288" s="562">
        <v>2021</v>
      </c>
      <c r="C288" s="561" t="s">
        <v>655</v>
      </c>
      <c r="D288" s="561" t="s">
        <v>907</v>
      </c>
      <c r="E288" s="561" t="s">
        <v>657</v>
      </c>
      <c r="F288" s="563">
        <v>-14861.03</v>
      </c>
      <c r="G288" s="564"/>
      <c r="H288" s="561" t="s">
        <v>654</v>
      </c>
      <c r="I288" s="565"/>
      <c r="J288" s="565"/>
      <c r="K288" s="563">
        <v>0</v>
      </c>
      <c r="L288" s="566">
        <v>-14861.03</v>
      </c>
    </row>
    <row r="289" spans="1:12" ht="56.25" x14ac:dyDescent="0.2">
      <c r="A289" s="561" t="s">
        <v>81</v>
      </c>
      <c r="B289" s="562">
        <v>2021</v>
      </c>
      <c r="C289" s="561" t="s">
        <v>658</v>
      </c>
      <c r="D289" s="561" t="s">
        <v>908</v>
      </c>
      <c r="E289" s="561" t="s">
        <v>447</v>
      </c>
      <c r="F289" s="563">
        <v>0</v>
      </c>
      <c r="G289" s="564"/>
      <c r="H289" s="561" t="s">
        <v>654</v>
      </c>
      <c r="I289" s="565"/>
      <c r="J289" s="565"/>
      <c r="K289" s="563">
        <v>0</v>
      </c>
      <c r="L289" s="566">
        <v>0</v>
      </c>
    </row>
    <row r="290" spans="1:12" ht="22.5" x14ac:dyDescent="0.2">
      <c r="A290" s="561" t="s">
        <v>81</v>
      </c>
      <c r="B290" s="562">
        <v>2021</v>
      </c>
      <c r="C290" s="561" t="s">
        <v>660</v>
      </c>
      <c r="D290" s="561" t="s">
        <v>909</v>
      </c>
      <c r="E290" s="561" t="s">
        <v>662</v>
      </c>
      <c r="F290" s="563">
        <v>0</v>
      </c>
      <c r="G290" s="564"/>
      <c r="H290" s="561" t="s">
        <v>654</v>
      </c>
      <c r="I290" s="565"/>
      <c r="J290" s="565"/>
      <c r="K290" s="563">
        <v>0</v>
      </c>
      <c r="L290" s="566">
        <v>0</v>
      </c>
    </row>
    <row r="291" spans="1:12" ht="33.75" x14ac:dyDescent="0.2">
      <c r="A291" s="561" t="s">
        <v>81</v>
      </c>
      <c r="B291" s="562">
        <v>2021</v>
      </c>
      <c r="C291" s="561" t="s">
        <v>663</v>
      </c>
      <c r="D291" s="561" t="s">
        <v>910</v>
      </c>
      <c r="E291" s="561" t="s">
        <v>665</v>
      </c>
      <c r="F291" s="563">
        <v>0</v>
      </c>
      <c r="G291" s="564"/>
      <c r="H291" s="561" t="s">
        <v>654</v>
      </c>
      <c r="I291" s="565"/>
      <c r="J291" s="565"/>
      <c r="K291" s="563">
        <v>0</v>
      </c>
      <c r="L291" s="566">
        <v>0</v>
      </c>
    </row>
    <row r="292" spans="1:12" ht="33.75" x14ac:dyDescent="0.2">
      <c r="A292" s="561" t="s">
        <v>81</v>
      </c>
      <c r="B292" s="562">
        <v>2021</v>
      </c>
      <c r="C292" s="561" t="s">
        <v>666</v>
      </c>
      <c r="D292" s="561" t="s">
        <v>911</v>
      </c>
      <c r="E292" s="561" t="s">
        <v>668</v>
      </c>
      <c r="F292" s="563">
        <v>0</v>
      </c>
      <c r="G292" s="564"/>
      <c r="H292" s="561" t="s">
        <v>654</v>
      </c>
      <c r="I292" s="565"/>
      <c r="J292" s="565"/>
      <c r="K292" s="563">
        <v>0</v>
      </c>
      <c r="L292" s="566">
        <v>0</v>
      </c>
    </row>
    <row r="293" spans="1:12" ht="56.25" x14ac:dyDescent="0.2">
      <c r="A293" s="561" t="s">
        <v>81</v>
      </c>
      <c r="B293" s="562">
        <v>2021</v>
      </c>
      <c r="C293" s="561" t="s">
        <v>669</v>
      </c>
      <c r="D293" s="561" t="s">
        <v>912</v>
      </c>
      <c r="E293" s="561" t="s">
        <v>671</v>
      </c>
      <c r="F293" s="563">
        <v>0</v>
      </c>
      <c r="G293" s="564"/>
      <c r="H293" s="561" t="s">
        <v>654</v>
      </c>
      <c r="I293" s="565"/>
      <c r="J293" s="565"/>
      <c r="K293" s="563">
        <v>0</v>
      </c>
      <c r="L293" s="566">
        <v>0</v>
      </c>
    </row>
    <row r="294" spans="1:12" ht="22.5" x14ac:dyDescent="0.2">
      <c r="A294" s="561" t="s">
        <v>81</v>
      </c>
      <c r="B294" s="562">
        <v>2021</v>
      </c>
      <c r="C294" s="561" t="s">
        <v>672</v>
      </c>
      <c r="D294" s="561" t="s">
        <v>913</v>
      </c>
      <c r="E294" s="561" t="s">
        <v>12</v>
      </c>
      <c r="F294" s="563">
        <v>0</v>
      </c>
      <c r="G294" s="564"/>
      <c r="H294" s="561" t="s">
        <v>654</v>
      </c>
      <c r="I294" s="565"/>
      <c r="J294" s="565"/>
      <c r="K294" s="563">
        <v>0</v>
      </c>
      <c r="L294" s="566">
        <v>0</v>
      </c>
    </row>
    <row r="295" spans="1:12" ht="22.5" x14ac:dyDescent="0.2">
      <c r="A295" s="561" t="s">
        <v>81</v>
      </c>
      <c r="B295" s="562">
        <v>2021</v>
      </c>
      <c r="C295" s="561" t="s">
        <v>674</v>
      </c>
      <c r="D295" s="561" t="s">
        <v>914</v>
      </c>
      <c r="E295" s="561" t="s">
        <v>13</v>
      </c>
      <c r="F295" s="563">
        <v>0</v>
      </c>
      <c r="G295" s="564"/>
      <c r="H295" s="561" t="s">
        <v>654</v>
      </c>
      <c r="I295" s="565"/>
      <c r="J295" s="565"/>
      <c r="K295" s="563">
        <v>0</v>
      </c>
      <c r="L295" s="566">
        <v>0</v>
      </c>
    </row>
    <row r="296" spans="1:12" ht="33.75" x14ac:dyDescent="0.2">
      <c r="A296" s="561" t="s">
        <v>81</v>
      </c>
      <c r="B296" s="562">
        <v>2021</v>
      </c>
      <c r="C296" s="561" t="s">
        <v>676</v>
      </c>
      <c r="D296" s="561" t="s">
        <v>915</v>
      </c>
      <c r="E296" s="561" t="s">
        <v>15</v>
      </c>
      <c r="F296" s="563">
        <v>0</v>
      </c>
      <c r="G296" s="564"/>
      <c r="H296" s="561" t="s">
        <v>654</v>
      </c>
      <c r="I296" s="565"/>
      <c r="J296" s="565"/>
      <c r="K296" s="563">
        <v>0</v>
      </c>
      <c r="L296" s="566">
        <v>0</v>
      </c>
    </row>
    <row r="297" spans="1:12" ht="15" x14ac:dyDescent="0.2">
      <c r="A297" s="561" t="s">
        <v>81</v>
      </c>
      <c r="B297" s="562">
        <v>2021</v>
      </c>
      <c r="C297" s="561" t="s">
        <v>678</v>
      </c>
      <c r="D297" s="561" t="s">
        <v>916</v>
      </c>
      <c r="E297" s="561" t="s">
        <v>680</v>
      </c>
      <c r="F297" s="563">
        <v>2606.08</v>
      </c>
      <c r="G297" s="564"/>
      <c r="H297" s="561" t="s">
        <v>654</v>
      </c>
      <c r="I297" s="565"/>
      <c r="J297" s="565"/>
      <c r="K297" s="563">
        <v>0</v>
      </c>
      <c r="L297" s="566">
        <v>2606.08</v>
      </c>
    </row>
    <row r="298" spans="1:12" ht="15" x14ac:dyDescent="0.2">
      <c r="A298" s="561" t="s">
        <v>81</v>
      </c>
      <c r="B298" s="562">
        <v>2021</v>
      </c>
      <c r="C298" s="561" t="s">
        <v>681</v>
      </c>
      <c r="D298" s="561" t="s">
        <v>917</v>
      </c>
      <c r="E298" s="561" t="s">
        <v>23</v>
      </c>
      <c r="F298" s="563">
        <v>0</v>
      </c>
      <c r="G298" s="561" t="s">
        <v>654</v>
      </c>
      <c r="H298" s="564"/>
      <c r="I298" s="565"/>
      <c r="J298" s="565"/>
      <c r="K298" s="563">
        <v>0</v>
      </c>
      <c r="L298" s="566">
        <v>0</v>
      </c>
    </row>
    <row r="299" spans="1:12" ht="33.75" x14ac:dyDescent="0.2">
      <c r="A299" s="561" t="s">
        <v>81</v>
      </c>
      <c r="B299" s="562">
        <v>2021</v>
      </c>
      <c r="C299" s="561" t="s">
        <v>683</v>
      </c>
      <c r="D299" s="561" t="s">
        <v>918</v>
      </c>
      <c r="E299" s="561" t="s">
        <v>131</v>
      </c>
      <c r="F299" s="563">
        <v>-10235.950000000001</v>
      </c>
      <c r="G299" s="561" t="s">
        <v>654</v>
      </c>
      <c r="H299" s="564"/>
      <c r="I299" s="563">
        <v>-11335.150390625</v>
      </c>
      <c r="J299" s="563">
        <v>1099.19995117188</v>
      </c>
      <c r="K299" s="563">
        <v>-10235.9501953125</v>
      </c>
      <c r="L299" s="566">
        <v>-10235.950000000001</v>
      </c>
    </row>
    <row r="300" spans="1:12" ht="33.75" x14ac:dyDescent="0.2">
      <c r="A300" s="561" t="s">
        <v>81</v>
      </c>
      <c r="B300" s="562">
        <v>2021</v>
      </c>
      <c r="C300" s="561" t="s">
        <v>685</v>
      </c>
      <c r="D300" s="561" t="s">
        <v>919</v>
      </c>
      <c r="E300" s="561" t="s">
        <v>687</v>
      </c>
      <c r="F300" s="563">
        <v>0</v>
      </c>
      <c r="G300" s="564"/>
      <c r="H300" s="561" t="s">
        <v>654</v>
      </c>
      <c r="I300" s="565"/>
      <c r="J300" s="565"/>
      <c r="K300" s="563">
        <v>0</v>
      </c>
      <c r="L300" s="566">
        <v>0</v>
      </c>
    </row>
    <row r="301" spans="1:12" ht="33.75" x14ac:dyDescent="0.2">
      <c r="A301" s="561" t="s">
        <v>81</v>
      </c>
      <c r="B301" s="562">
        <v>2021</v>
      </c>
      <c r="C301" s="561" t="s">
        <v>685</v>
      </c>
      <c r="D301" s="561" t="s">
        <v>919</v>
      </c>
      <c r="E301" s="561" t="s">
        <v>688</v>
      </c>
      <c r="F301" s="563">
        <v>0</v>
      </c>
      <c r="G301" s="564"/>
      <c r="H301" s="561" t="s">
        <v>654</v>
      </c>
      <c r="I301" s="565"/>
      <c r="J301" s="565"/>
      <c r="K301" s="563">
        <v>0</v>
      </c>
      <c r="L301" s="566">
        <v>0</v>
      </c>
    </row>
    <row r="302" spans="1:12" ht="22.5" x14ac:dyDescent="0.2">
      <c r="A302" s="561" t="s">
        <v>81</v>
      </c>
      <c r="B302" s="562">
        <v>2021</v>
      </c>
      <c r="C302" s="561" t="s">
        <v>689</v>
      </c>
      <c r="D302" s="561" t="s">
        <v>920</v>
      </c>
      <c r="E302" s="561" t="s">
        <v>691</v>
      </c>
      <c r="F302" s="563">
        <v>0</v>
      </c>
      <c r="G302" s="564"/>
      <c r="H302" s="561" t="s">
        <v>654</v>
      </c>
      <c r="I302" s="565"/>
      <c r="J302" s="565"/>
      <c r="K302" s="563">
        <v>0</v>
      </c>
      <c r="L302" s="566">
        <v>0</v>
      </c>
    </row>
    <row r="303" spans="1:12" ht="22.5" x14ac:dyDescent="0.2">
      <c r="A303" s="561" t="s">
        <v>81</v>
      </c>
      <c r="B303" s="562">
        <v>2021</v>
      </c>
      <c r="C303" s="561" t="s">
        <v>692</v>
      </c>
      <c r="D303" s="561" t="s">
        <v>921</v>
      </c>
      <c r="E303" s="561" t="s">
        <v>50</v>
      </c>
      <c r="F303" s="563">
        <v>1062139.27</v>
      </c>
      <c r="G303" s="564"/>
      <c r="H303" s="561" t="s">
        <v>654</v>
      </c>
      <c r="I303" s="565"/>
      <c r="J303" s="565"/>
      <c r="K303" s="563">
        <v>0</v>
      </c>
      <c r="L303" s="566">
        <v>1062139.27</v>
      </c>
    </row>
    <row r="304" spans="1:12" ht="22.5" x14ac:dyDescent="0.2">
      <c r="A304" s="561" t="s">
        <v>81</v>
      </c>
      <c r="B304" s="562">
        <v>2021</v>
      </c>
      <c r="C304" s="561" t="s">
        <v>694</v>
      </c>
      <c r="D304" s="561" t="s">
        <v>922</v>
      </c>
      <c r="E304" s="561" t="s">
        <v>696</v>
      </c>
      <c r="F304" s="563">
        <v>8396.6299999999992</v>
      </c>
      <c r="G304" s="564"/>
      <c r="H304" s="561" t="s">
        <v>654</v>
      </c>
      <c r="I304" s="565"/>
      <c r="J304" s="565"/>
      <c r="K304" s="563">
        <v>0</v>
      </c>
      <c r="L304" s="566">
        <v>8396.6299999999992</v>
      </c>
    </row>
    <row r="305" spans="1:12" ht="22.5" x14ac:dyDescent="0.2">
      <c r="A305" s="561" t="s">
        <v>81</v>
      </c>
      <c r="B305" s="562">
        <v>2021</v>
      </c>
      <c r="C305" s="561" t="s">
        <v>697</v>
      </c>
      <c r="D305" s="561" t="s">
        <v>923</v>
      </c>
      <c r="E305" s="561" t="s">
        <v>6</v>
      </c>
      <c r="F305" s="563">
        <v>0</v>
      </c>
      <c r="G305" s="564"/>
      <c r="H305" s="561" t="s">
        <v>654</v>
      </c>
      <c r="I305" s="565"/>
      <c r="J305" s="565"/>
      <c r="K305" s="563">
        <v>0</v>
      </c>
      <c r="L305" s="566">
        <v>0</v>
      </c>
    </row>
    <row r="306" spans="1:12" ht="33.75" x14ac:dyDescent="0.2">
      <c r="A306" s="561" t="s">
        <v>81</v>
      </c>
      <c r="B306" s="562">
        <v>2021</v>
      </c>
      <c r="C306" s="561" t="s">
        <v>699</v>
      </c>
      <c r="D306" s="561" t="s">
        <v>924</v>
      </c>
      <c r="E306" s="561" t="s">
        <v>701</v>
      </c>
      <c r="F306" s="563">
        <v>739540.67</v>
      </c>
      <c r="G306" s="564"/>
      <c r="H306" s="561" t="s">
        <v>654</v>
      </c>
      <c r="I306" s="565"/>
      <c r="J306" s="565"/>
      <c r="K306" s="563">
        <v>0</v>
      </c>
      <c r="L306" s="566">
        <v>739540.67</v>
      </c>
    </row>
    <row r="307" spans="1:12" ht="22.5" x14ac:dyDescent="0.2">
      <c r="A307" s="561" t="s">
        <v>81</v>
      </c>
      <c r="B307" s="562">
        <v>2021</v>
      </c>
      <c r="C307" s="561" t="s">
        <v>702</v>
      </c>
      <c r="D307" s="561" t="s">
        <v>925</v>
      </c>
      <c r="E307" s="561" t="s">
        <v>704</v>
      </c>
      <c r="F307" s="563">
        <v>0</v>
      </c>
      <c r="G307" s="564"/>
      <c r="H307" s="561" t="s">
        <v>654</v>
      </c>
      <c r="I307" s="565"/>
      <c r="J307" s="565"/>
      <c r="K307" s="563">
        <v>0</v>
      </c>
      <c r="L307" s="566">
        <v>0</v>
      </c>
    </row>
    <row r="308" spans="1:12" ht="33.75" x14ac:dyDescent="0.2">
      <c r="A308" s="561" t="s">
        <v>81</v>
      </c>
      <c r="B308" s="562">
        <v>2021</v>
      </c>
      <c r="C308" s="561" t="s">
        <v>705</v>
      </c>
      <c r="D308" s="561" t="s">
        <v>926</v>
      </c>
      <c r="E308" s="561" t="s">
        <v>1</v>
      </c>
      <c r="F308" s="563">
        <v>-1165982.55</v>
      </c>
      <c r="G308" s="561" t="s">
        <v>654</v>
      </c>
      <c r="H308" s="564"/>
      <c r="I308" s="563">
        <v>-1154708.75</v>
      </c>
      <c r="J308" s="563">
        <v>-11273.7998046875</v>
      </c>
      <c r="K308" s="563">
        <v>-1165982.5</v>
      </c>
      <c r="L308" s="566">
        <v>-1165982.55</v>
      </c>
    </row>
    <row r="309" spans="1:12" ht="22.5" x14ac:dyDescent="0.2">
      <c r="A309" s="561" t="s">
        <v>81</v>
      </c>
      <c r="B309" s="562">
        <v>2021</v>
      </c>
      <c r="C309" s="561" t="s">
        <v>705</v>
      </c>
      <c r="D309" s="561" t="s">
        <v>926</v>
      </c>
      <c r="E309" s="561" t="s">
        <v>707</v>
      </c>
      <c r="F309" s="563">
        <v>0</v>
      </c>
      <c r="G309" s="564"/>
      <c r="H309" s="564"/>
      <c r="I309" s="565"/>
      <c r="J309" s="565"/>
      <c r="K309" s="563">
        <v>0</v>
      </c>
      <c r="L309" s="566">
        <v>0</v>
      </c>
    </row>
    <row r="310" spans="1:12" ht="22.5" x14ac:dyDescent="0.2">
      <c r="A310" s="561" t="s">
        <v>81</v>
      </c>
      <c r="B310" s="562">
        <v>2021</v>
      </c>
      <c r="C310" s="561" t="s">
        <v>705</v>
      </c>
      <c r="D310" s="561" t="s">
        <v>926</v>
      </c>
      <c r="E310" s="561" t="s">
        <v>708</v>
      </c>
      <c r="F310" s="563">
        <v>0</v>
      </c>
      <c r="G310" s="564"/>
      <c r="H310" s="564"/>
      <c r="I310" s="565"/>
      <c r="J310" s="565"/>
      <c r="K310" s="563">
        <v>0</v>
      </c>
      <c r="L310" s="566">
        <v>0</v>
      </c>
    </row>
    <row r="311" spans="1:12" ht="22.5" x14ac:dyDescent="0.2">
      <c r="A311" s="561" t="s">
        <v>81</v>
      </c>
      <c r="B311" s="562">
        <v>2021</v>
      </c>
      <c r="C311" s="561" t="s">
        <v>705</v>
      </c>
      <c r="D311" s="561" t="s">
        <v>926</v>
      </c>
      <c r="E311" s="561" t="s">
        <v>709</v>
      </c>
      <c r="F311" s="563">
        <v>-1831.35</v>
      </c>
      <c r="G311" s="564"/>
      <c r="H311" s="564"/>
      <c r="I311" s="565"/>
      <c r="J311" s="565"/>
      <c r="K311" s="563">
        <v>0</v>
      </c>
      <c r="L311" s="566">
        <v>-1831.35</v>
      </c>
    </row>
    <row r="312" spans="1:12" ht="22.5" x14ac:dyDescent="0.2">
      <c r="A312" s="561" t="s">
        <v>81</v>
      </c>
      <c r="B312" s="562">
        <v>2021</v>
      </c>
      <c r="C312" s="561" t="s">
        <v>705</v>
      </c>
      <c r="D312" s="561" t="s">
        <v>926</v>
      </c>
      <c r="E312" s="561" t="s">
        <v>710</v>
      </c>
      <c r="F312" s="563">
        <v>-156343.07999999999</v>
      </c>
      <c r="G312" s="564"/>
      <c r="H312" s="564"/>
      <c r="I312" s="565"/>
      <c r="J312" s="565"/>
      <c r="K312" s="563">
        <v>0</v>
      </c>
      <c r="L312" s="566">
        <v>-156343.07999999999</v>
      </c>
    </row>
    <row r="313" spans="1:12" ht="15" x14ac:dyDescent="0.2">
      <c r="A313" s="561" t="s">
        <v>81</v>
      </c>
      <c r="B313" s="562">
        <v>2021</v>
      </c>
      <c r="C313" s="561" t="s">
        <v>711</v>
      </c>
      <c r="D313" s="561" t="s">
        <v>927</v>
      </c>
      <c r="E313" s="561" t="s">
        <v>713</v>
      </c>
      <c r="F313" s="563">
        <v>0</v>
      </c>
      <c r="G313" s="564"/>
      <c r="H313" s="561" t="s">
        <v>654</v>
      </c>
      <c r="I313" s="565"/>
      <c r="J313" s="565"/>
      <c r="K313" s="563">
        <v>0</v>
      </c>
      <c r="L313" s="566">
        <v>0</v>
      </c>
    </row>
    <row r="314" spans="1:12" ht="33.75" x14ac:dyDescent="0.2">
      <c r="A314" s="561" t="s">
        <v>81</v>
      </c>
      <c r="B314" s="562">
        <v>2021</v>
      </c>
      <c r="C314" s="561" t="s">
        <v>714</v>
      </c>
      <c r="D314" s="561" t="s">
        <v>928</v>
      </c>
      <c r="E314" s="561" t="s">
        <v>2</v>
      </c>
      <c r="F314" s="563">
        <v>378318.62</v>
      </c>
      <c r="G314" s="561" t="s">
        <v>654</v>
      </c>
      <c r="H314" s="564"/>
      <c r="I314" s="563">
        <v>378756.6875</v>
      </c>
      <c r="J314" s="563">
        <v>-438.07000732421898</v>
      </c>
      <c r="K314" s="563">
        <v>378318.625</v>
      </c>
      <c r="L314" s="566">
        <v>378318.62</v>
      </c>
    </row>
    <row r="315" spans="1:12" ht="33.75" x14ac:dyDescent="0.2">
      <c r="A315" s="561" t="s">
        <v>81</v>
      </c>
      <c r="B315" s="562">
        <v>2021</v>
      </c>
      <c r="C315" s="561" t="s">
        <v>716</v>
      </c>
      <c r="D315" s="561" t="s">
        <v>929</v>
      </c>
      <c r="E315" s="561" t="s">
        <v>3</v>
      </c>
      <c r="F315" s="563">
        <v>803456.55</v>
      </c>
      <c r="G315" s="561" t="s">
        <v>654</v>
      </c>
      <c r="H315" s="564"/>
      <c r="I315" s="563">
        <v>798431.3125</v>
      </c>
      <c r="J315" s="563">
        <v>5025.22998046875</v>
      </c>
      <c r="K315" s="563">
        <v>803456.5625</v>
      </c>
      <c r="L315" s="566">
        <v>803456.55</v>
      </c>
    </row>
    <row r="316" spans="1:12" ht="33.75" x14ac:dyDescent="0.2">
      <c r="A316" s="561" t="s">
        <v>81</v>
      </c>
      <c r="B316" s="562">
        <v>2021</v>
      </c>
      <c r="C316" s="561" t="s">
        <v>718</v>
      </c>
      <c r="D316" s="561" t="s">
        <v>930</v>
      </c>
      <c r="E316" s="561" t="s">
        <v>38</v>
      </c>
      <c r="F316" s="563">
        <v>1573769.8</v>
      </c>
      <c r="G316" s="561" t="s">
        <v>654</v>
      </c>
      <c r="H316" s="564"/>
      <c r="I316" s="563">
        <v>1534191.25</v>
      </c>
      <c r="J316" s="563">
        <v>39578.55859375</v>
      </c>
      <c r="K316" s="563">
        <v>1573769.75</v>
      </c>
      <c r="L316" s="566">
        <v>1573769.8</v>
      </c>
    </row>
    <row r="317" spans="1:12" ht="22.5" x14ac:dyDescent="0.2">
      <c r="A317" s="561" t="s">
        <v>81</v>
      </c>
      <c r="B317" s="562">
        <v>2021</v>
      </c>
      <c r="C317" s="561" t="s">
        <v>720</v>
      </c>
      <c r="D317" s="561" t="s">
        <v>931</v>
      </c>
      <c r="E317" s="561" t="s">
        <v>66</v>
      </c>
      <c r="F317" s="563">
        <v>2762829.85</v>
      </c>
      <c r="G317" s="561" t="s">
        <v>654</v>
      </c>
      <c r="H317" s="564"/>
      <c r="I317" s="563">
        <v>2668766.5</v>
      </c>
      <c r="J317" s="563">
        <v>94063.3125</v>
      </c>
      <c r="K317" s="563">
        <v>2762829.75</v>
      </c>
      <c r="L317" s="566">
        <v>2762829.85</v>
      </c>
    </row>
    <row r="318" spans="1:12" ht="45" x14ac:dyDescent="0.2">
      <c r="A318" s="561" t="s">
        <v>81</v>
      </c>
      <c r="B318" s="562">
        <v>2021</v>
      </c>
      <c r="C318" s="561" t="s">
        <v>722</v>
      </c>
      <c r="D318" s="561" t="s">
        <v>932</v>
      </c>
      <c r="E318" s="561" t="s">
        <v>724</v>
      </c>
      <c r="F318" s="563">
        <v>-747685.29</v>
      </c>
      <c r="G318" s="564"/>
      <c r="H318" s="561" t="s">
        <v>654</v>
      </c>
      <c r="I318" s="565"/>
      <c r="J318" s="565"/>
      <c r="K318" s="563">
        <v>0</v>
      </c>
      <c r="L318" s="566">
        <v>-747685.29</v>
      </c>
    </row>
    <row r="319" spans="1:12" ht="45" x14ac:dyDescent="0.2">
      <c r="A319" s="561" t="s">
        <v>81</v>
      </c>
      <c r="B319" s="562">
        <v>2021</v>
      </c>
      <c r="C319" s="561" t="s">
        <v>725</v>
      </c>
      <c r="D319" s="561" t="s">
        <v>933</v>
      </c>
      <c r="E319" s="561" t="s">
        <v>3024</v>
      </c>
      <c r="F319" s="563">
        <v>0</v>
      </c>
      <c r="G319" s="561" t="s">
        <v>654</v>
      </c>
      <c r="H319" s="564"/>
      <c r="I319" s="563">
        <v>12057.2802734375</v>
      </c>
      <c r="J319" s="563">
        <v>20118.01953125</v>
      </c>
      <c r="K319" s="563">
        <v>32175.30078125</v>
      </c>
      <c r="L319" s="566">
        <v>32175.3</v>
      </c>
    </row>
    <row r="320" spans="1:12" ht="45" x14ac:dyDescent="0.2">
      <c r="A320" s="561" t="s">
        <v>81</v>
      </c>
      <c r="B320" s="562">
        <v>2021</v>
      </c>
      <c r="C320" s="561" t="s">
        <v>725</v>
      </c>
      <c r="D320" s="561" t="s">
        <v>933</v>
      </c>
      <c r="E320" s="561" t="s">
        <v>3066</v>
      </c>
      <c r="F320" s="563">
        <v>0</v>
      </c>
      <c r="G320" s="561" t="s">
        <v>654</v>
      </c>
      <c r="H320" s="564"/>
      <c r="I320" s="563">
        <v>-342286.375</v>
      </c>
      <c r="J320" s="563">
        <v>721742.8125</v>
      </c>
      <c r="K320" s="563">
        <v>379456.4375</v>
      </c>
      <c r="L320" s="566">
        <v>379456.44</v>
      </c>
    </row>
    <row r="321" spans="1:12" ht="45" x14ac:dyDescent="0.2">
      <c r="A321" s="561" t="s">
        <v>81</v>
      </c>
      <c r="B321" s="562">
        <v>2021</v>
      </c>
      <c r="C321" s="561" t="s">
        <v>725</v>
      </c>
      <c r="D321" s="561" t="s">
        <v>934</v>
      </c>
      <c r="E321" s="561" t="s">
        <v>728</v>
      </c>
      <c r="F321" s="563">
        <v>0</v>
      </c>
      <c r="G321" s="561" t="s">
        <v>654</v>
      </c>
      <c r="H321" s="564"/>
      <c r="I321" s="565"/>
      <c r="J321" s="565"/>
      <c r="K321" s="563">
        <v>0</v>
      </c>
      <c r="L321" s="566">
        <v>0</v>
      </c>
    </row>
    <row r="322" spans="1:12" ht="45" x14ac:dyDescent="0.2">
      <c r="A322" s="561" t="s">
        <v>81</v>
      </c>
      <c r="B322" s="562">
        <v>2021</v>
      </c>
      <c r="C322" s="561" t="s">
        <v>725</v>
      </c>
      <c r="D322" s="561" t="s">
        <v>935</v>
      </c>
      <c r="E322" s="561" t="s">
        <v>55</v>
      </c>
      <c r="F322" s="563">
        <v>0</v>
      </c>
      <c r="G322" s="561" t="s">
        <v>654</v>
      </c>
      <c r="H322" s="564"/>
      <c r="I322" s="565"/>
      <c r="J322" s="565"/>
      <c r="K322" s="563">
        <v>0</v>
      </c>
      <c r="L322" s="566">
        <v>0</v>
      </c>
    </row>
    <row r="323" spans="1:12" ht="45" x14ac:dyDescent="0.2">
      <c r="A323" s="561" t="s">
        <v>81</v>
      </c>
      <c r="B323" s="562">
        <v>2021</v>
      </c>
      <c r="C323" s="561" t="s">
        <v>725</v>
      </c>
      <c r="D323" s="561" t="s">
        <v>936</v>
      </c>
      <c r="E323" s="561" t="s">
        <v>56</v>
      </c>
      <c r="F323" s="563">
        <v>0</v>
      </c>
      <c r="G323" s="561" t="s">
        <v>654</v>
      </c>
      <c r="H323" s="564"/>
      <c r="I323" s="565"/>
      <c r="J323" s="565"/>
      <c r="K323" s="563">
        <v>0</v>
      </c>
      <c r="L323" s="566">
        <v>0</v>
      </c>
    </row>
    <row r="324" spans="1:12" ht="45" x14ac:dyDescent="0.2">
      <c r="A324" s="561" t="s">
        <v>81</v>
      </c>
      <c r="B324" s="562">
        <v>2021</v>
      </c>
      <c r="C324" s="561" t="s">
        <v>725</v>
      </c>
      <c r="D324" s="561" t="s">
        <v>937</v>
      </c>
      <c r="E324" s="561" t="s">
        <v>732</v>
      </c>
      <c r="F324" s="563">
        <v>0</v>
      </c>
      <c r="G324" s="561" t="s">
        <v>654</v>
      </c>
      <c r="H324" s="564"/>
      <c r="I324" s="565"/>
      <c r="J324" s="565"/>
      <c r="K324" s="563">
        <v>0</v>
      </c>
      <c r="L324" s="566">
        <v>0</v>
      </c>
    </row>
    <row r="325" spans="1:12" ht="45" x14ac:dyDescent="0.2">
      <c r="A325" s="561" t="s">
        <v>81</v>
      </c>
      <c r="B325" s="562">
        <v>2021</v>
      </c>
      <c r="C325" s="561" t="s">
        <v>725</v>
      </c>
      <c r="D325" s="561" t="s">
        <v>938</v>
      </c>
      <c r="E325" s="561" t="s">
        <v>734</v>
      </c>
      <c r="F325" s="563">
        <v>0</v>
      </c>
      <c r="G325" s="561" t="s">
        <v>654</v>
      </c>
      <c r="H325" s="564"/>
      <c r="I325" s="565"/>
      <c r="J325" s="565"/>
      <c r="K325" s="563">
        <v>0</v>
      </c>
      <c r="L325" s="566">
        <v>0</v>
      </c>
    </row>
    <row r="326" spans="1:12" ht="45" x14ac:dyDescent="0.2">
      <c r="A326" s="561" t="s">
        <v>81</v>
      </c>
      <c r="B326" s="562">
        <v>2021</v>
      </c>
      <c r="C326" s="561" t="s">
        <v>725</v>
      </c>
      <c r="D326" s="561" t="s">
        <v>939</v>
      </c>
      <c r="E326" s="561" t="s">
        <v>142</v>
      </c>
      <c r="F326" s="563">
        <v>0</v>
      </c>
      <c r="G326" s="561" t="s">
        <v>654</v>
      </c>
      <c r="H326" s="564"/>
      <c r="I326" s="565"/>
      <c r="J326" s="565"/>
      <c r="K326" s="563">
        <v>0</v>
      </c>
      <c r="L326" s="566">
        <v>0</v>
      </c>
    </row>
    <row r="327" spans="1:12" ht="45" x14ac:dyDescent="0.2">
      <c r="A327" s="561" t="s">
        <v>81</v>
      </c>
      <c r="B327" s="562">
        <v>2021</v>
      </c>
      <c r="C327" s="561" t="s">
        <v>725</v>
      </c>
      <c r="D327" s="561" t="s">
        <v>940</v>
      </c>
      <c r="E327" s="561" t="s">
        <v>143</v>
      </c>
      <c r="F327" s="563">
        <v>0</v>
      </c>
      <c r="G327" s="561" t="s">
        <v>654</v>
      </c>
      <c r="H327" s="564"/>
      <c r="I327" s="565"/>
      <c r="J327" s="565"/>
      <c r="K327" s="563">
        <v>0</v>
      </c>
      <c r="L327" s="566">
        <v>0</v>
      </c>
    </row>
    <row r="328" spans="1:12" ht="45" x14ac:dyDescent="0.2">
      <c r="A328" s="561" t="s">
        <v>81</v>
      </c>
      <c r="B328" s="562">
        <v>2021</v>
      </c>
      <c r="C328" s="561" t="s">
        <v>725</v>
      </c>
      <c r="D328" s="561" t="s">
        <v>941</v>
      </c>
      <c r="E328" s="561" t="s">
        <v>182</v>
      </c>
      <c r="F328" s="563">
        <v>0</v>
      </c>
      <c r="G328" s="561" t="s">
        <v>654</v>
      </c>
      <c r="H328" s="564"/>
      <c r="I328" s="565"/>
      <c r="J328" s="565"/>
      <c r="K328" s="563">
        <v>0</v>
      </c>
      <c r="L328" s="566">
        <v>0</v>
      </c>
    </row>
    <row r="329" spans="1:12" ht="45" x14ac:dyDescent="0.2">
      <c r="A329" s="561" t="s">
        <v>81</v>
      </c>
      <c r="B329" s="562">
        <v>2021</v>
      </c>
      <c r="C329" s="561" t="s">
        <v>725</v>
      </c>
      <c r="D329" s="561" t="s">
        <v>942</v>
      </c>
      <c r="E329" s="561" t="s">
        <v>394</v>
      </c>
      <c r="F329" s="563">
        <v>0</v>
      </c>
      <c r="G329" s="561" t="s">
        <v>654</v>
      </c>
      <c r="H329" s="564"/>
      <c r="I329" s="565"/>
      <c r="J329" s="565"/>
      <c r="K329" s="563">
        <v>0</v>
      </c>
      <c r="L329" s="566">
        <v>0</v>
      </c>
    </row>
    <row r="330" spans="1:12" ht="45" x14ac:dyDescent="0.2">
      <c r="A330" s="561" t="s">
        <v>81</v>
      </c>
      <c r="B330" s="562">
        <v>2021</v>
      </c>
      <c r="C330" s="561" t="s">
        <v>725</v>
      </c>
      <c r="D330" s="561" t="s">
        <v>943</v>
      </c>
      <c r="E330" s="561" t="s">
        <v>425</v>
      </c>
      <c r="F330" s="563">
        <v>0</v>
      </c>
      <c r="G330" s="561" t="s">
        <v>654</v>
      </c>
      <c r="H330" s="564"/>
      <c r="I330" s="565"/>
      <c r="J330" s="565"/>
      <c r="K330" s="563">
        <v>0</v>
      </c>
      <c r="L330" s="566">
        <v>0</v>
      </c>
    </row>
    <row r="331" spans="1:12" ht="45" x14ac:dyDescent="0.2">
      <c r="A331" s="561" t="s">
        <v>81</v>
      </c>
      <c r="B331" s="562">
        <v>2021</v>
      </c>
      <c r="C331" s="561" t="s">
        <v>725</v>
      </c>
      <c r="D331" s="561" t="s">
        <v>3085</v>
      </c>
      <c r="E331" s="561" t="s">
        <v>443</v>
      </c>
      <c r="F331" s="563">
        <v>0</v>
      </c>
      <c r="G331" s="561" t="s">
        <v>654</v>
      </c>
      <c r="H331" s="564"/>
      <c r="I331" s="563">
        <v>-83414.25</v>
      </c>
      <c r="J331" s="563">
        <v>157740.84375</v>
      </c>
      <c r="K331" s="563">
        <v>74326.59375</v>
      </c>
      <c r="L331" s="566">
        <v>74326.59</v>
      </c>
    </row>
    <row r="332" spans="1:12" ht="45" x14ac:dyDescent="0.2">
      <c r="A332" s="561" t="s">
        <v>81</v>
      </c>
      <c r="B332" s="562">
        <v>2021</v>
      </c>
      <c r="C332" s="561" t="s">
        <v>725</v>
      </c>
      <c r="D332" s="561" t="s">
        <v>944</v>
      </c>
      <c r="E332" s="561" t="s">
        <v>741</v>
      </c>
      <c r="F332" s="563">
        <v>485958.33</v>
      </c>
      <c r="G332" s="564"/>
      <c r="H332" s="564"/>
      <c r="I332" s="565"/>
      <c r="J332" s="565"/>
      <c r="K332" s="563">
        <v>0</v>
      </c>
      <c r="L332" s="566">
        <v>485958.33</v>
      </c>
    </row>
    <row r="333" spans="1:12" ht="22.5" x14ac:dyDescent="0.2">
      <c r="A333" s="561" t="s">
        <v>81</v>
      </c>
      <c r="B333" s="562">
        <v>2021</v>
      </c>
      <c r="C333" s="561" t="s">
        <v>742</v>
      </c>
      <c r="D333" s="561" t="s">
        <v>945</v>
      </c>
      <c r="E333" s="561" t="s">
        <v>7</v>
      </c>
      <c r="F333" s="563">
        <v>0</v>
      </c>
      <c r="G333" s="564"/>
      <c r="H333" s="561" t="s">
        <v>654</v>
      </c>
      <c r="I333" s="565"/>
      <c r="J333" s="565"/>
      <c r="K333" s="563">
        <v>0</v>
      </c>
      <c r="L333" s="566">
        <v>0</v>
      </c>
    </row>
    <row r="334" spans="1:12" ht="22.5" x14ac:dyDescent="0.2">
      <c r="A334" s="561" t="s">
        <v>82</v>
      </c>
      <c r="B334" s="562">
        <v>2021</v>
      </c>
      <c r="C334" s="561" t="s">
        <v>651</v>
      </c>
      <c r="D334" s="561" t="s">
        <v>946</v>
      </c>
      <c r="E334" s="561" t="s">
        <v>653</v>
      </c>
      <c r="F334" s="563">
        <v>-3039055.82</v>
      </c>
      <c r="G334" s="564"/>
      <c r="H334" s="561" t="s">
        <v>654</v>
      </c>
      <c r="I334" s="565"/>
      <c r="J334" s="565"/>
      <c r="K334" s="563">
        <v>0</v>
      </c>
      <c r="L334" s="566">
        <v>-3039055.82</v>
      </c>
    </row>
    <row r="335" spans="1:12" ht="15" x14ac:dyDescent="0.2">
      <c r="A335" s="561" t="s">
        <v>82</v>
      </c>
      <c r="B335" s="562">
        <v>2021</v>
      </c>
      <c r="C335" s="561" t="s">
        <v>655</v>
      </c>
      <c r="D335" s="561" t="s">
        <v>947</v>
      </c>
      <c r="E335" s="561" t="s">
        <v>657</v>
      </c>
      <c r="F335" s="563">
        <v>0</v>
      </c>
      <c r="G335" s="564"/>
      <c r="H335" s="561" t="s">
        <v>654</v>
      </c>
      <c r="I335" s="565"/>
      <c r="J335" s="565"/>
      <c r="K335" s="563">
        <v>0</v>
      </c>
      <c r="L335" s="566">
        <v>0</v>
      </c>
    </row>
    <row r="336" spans="1:12" ht="56.25" x14ac:dyDescent="0.2">
      <c r="A336" s="561" t="s">
        <v>82</v>
      </c>
      <c r="B336" s="562">
        <v>2021</v>
      </c>
      <c r="C336" s="561" t="s">
        <v>658</v>
      </c>
      <c r="D336" s="561" t="s">
        <v>948</v>
      </c>
      <c r="E336" s="561" t="s">
        <v>447</v>
      </c>
      <c r="F336" s="563">
        <v>-49451.66</v>
      </c>
      <c r="G336" s="564"/>
      <c r="H336" s="561" t="s">
        <v>654</v>
      </c>
      <c r="I336" s="565"/>
      <c r="J336" s="565"/>
      <c r="K336" s="563">
        <v>0</v>
      </c>
      <c r="L336" s="566">
        <v>-49451.66</v>
      </c>
    </row>
    <row r="337" spans="1:12" ht="22.5" x14ac:dyDescent="0.2">
      <c r="A337" s="561" t="s">
        <v>82</v>
      </c>
      <c r="B337" s="562">
        <v>2021</v>
      </c>
      <c r="C337" s="561" t="s">
        <v>660</v>
      </c>
      <c r="D337" s="561" t="s">
        <v>949</v>
      </c>
      <c r="E337" s="561" t="s">
        <v>662</v>
      </c>
      <c r="F337" s="563">
        <v>0</v>
      </c>
      <c r="G337" s="564"/>
      <c r="H337" s="561" t="s">
        <v>654</v>
      </c>
      <c r="I337" s="565"/>
      <c r="J337" s="565"/>
      <c r="K337" s="563">
        <v>0</v>
      </c>
      <c r="L337" s="566">
        <v>0</v>
      </c>
    </row>
    <row r="338" spans="1:12" ht="33.75" x14ac:dyDescent="0.2">
      <c r="A338" s="561" t="s">
        <v>82</v>
      </c>
      <c r="B338" s="562">
        <v>2021</v>
      </c>
      <c r="C338" s="561" t="s">
        <v>663</v>
      </c>
      <c r="D338" s="561" t="s">
        <v>950</v>
      </c>
      <c r="E338" s="561" t="s">
        <v>665</v>
      </c>
      <c r="F338" s="563">
        <v>0</v>
      </c>
      <c r="G338" s="564"/>
      <c r="H338" s="561" t="s">
        <v>654</v>
      </c>
      <c r="I338" s="565"/>
      <c r="J338" s="565"/>
      <c r="K338" s="563">
        <v>0</v>
      </c>
      <c r="L338" s="566">
        <v>0</v>
      </c>
    </row>
    <row r="339" spans="1:12" ht="33.75" x14ac:dyDescent="0.2">
      <c r="A339" s="561" t="s">
        <v>82</v>
      </c>
      <c r="B339" s="562">
        <v>2021</v>
      </c>
      <c r="C339" s="561" t="s">
        <v>666</v>
      </c>
      <c r="D339" s="561" t="s">
        <v>951</v>
      </c>
      <c r="E339" s="561" t="s">
        <v>668</v>
      </c>
      <c r="F339" s="563">
        <v>0</v>
      </c>
      <c r="G339" s="564"/>
      <c r="H339" s="561" t="s">
        <v>654</v>
      </c>
      <c r="I339" s="565"/>
      <c r="J339" s="565"/>
      <c r="K339" s="563">
        <v>0</v>
      </c>
      <c r="L339" s="566">
        <v>0</v>
      </c>
    </row>
    <row r="340" spans="1:12" ht="56.25" x14ac:dyDescent="0.2">
      <c r="A340" s="561" t="s">
        <v>82</v>
      </c>
      <c r="B340" s="562">
        <v>2021</v>
      </c>
      <c r="C340" s="561" t="s">
        <v>669</v>
      </c>
      <c r="D340" s="561" t="s">
        <v>952</v>
      </c>
      <c r="E340" s="561" t="s">
        <v>671</v>
      </c>
      <c r="F340" s="563">
        <v>0</v>
      </c>
      <c r="G340" s="564"/>
      <c r="H340" s="561" t="s">
        <v>654</v>
      </c>
      <c r="I340" s="565"/>
      <c r="J340" s="565"/>
      <c r="K340" s="563">
        <v>0</v>
      </c>
      <c r="L340" s="566">
        <v>0</v>
      </c>
    </row>
    <row r="341" spans="1:12" ht="22.5" x14ac:dyDescent="0.2">
      <c r="A341" s="561" t="s">
        <v>82</v>
      </c>
      <c r="B341" s="562">
        <v>2021</v>
      </c>
      <c r="C341" s="561" t="s">
        <v>672</v>
      </c>
      <c r="D341" s="561" t="s">
        <v>953</v>
      </c>
      <c r="E341" s="561" t="s">
        <v>12</v>
      </c>
      <c r="F341" s="563">
        <v>0</v>
      </c>
      <c r="G341" s="564"/>
      <c r="H341" s="561" t="s">
        <v>654</v>
      </c>
      <c r="I341" s="565"/>
      <c r="J341" s="565"/>
      <c r="K341" s="563">
        <v>0</v>
      </c>
      <c r="L341" s="566">
        <v>0</v>
      </c>
    </row>
    <row r="342" spans="1:12" ht="22.5" x14ac:dyDescent="0.2">
      <c r="A342" s="561" t="s">
        <v>82</v>
      </c>
      <c r="B342" s="562">
        <v>2021</v>
      </c>
      <c r="C342" s="561" t="s">
        <v>674</v>
      </c>
      <c r="D342" s="561" t="s">
        <v>954</v>
      </c>
      <c r="E342" s="561" t="s">
        <v>753</v>
      </c>
      <c r="F342" s="563">
        <v>0</v>
      </c>
      <c r="G342" s="564"/>
      <c r="H342" s="561" t="s">
        <v>654</v>
      </c>
      <c r="I342" s="565"/>
      <c r="J342" s="565"/>
      <c r="K342" s="563">
        <v>0</v>
      </c>
      <c r="L342" s="566">
        <v>0</v>
      </c>
    </row>
    <row r="343" spans="1:12" ht="33.75" x14ac:dyDescent="0.2">
      <c r="A343" s="561" t="s">
        <v>82</v>
      </c>
      <c r="B343" s="562">
        <v>2021</v>
      </c>
      <c r="C343" s="561" t="s">
        <v>676</v>
      </c>
      <c r="D343" s="561" t="s">
        <v>955</v>
      </c>
      <c r="E343" s="561" t="s">
        <v>15</v>
      </c>
      <c r="F343" s="563">
        <v>0</v>
      </c>
      <c r="G343" s="564"/>
      <c r="H343" s="561" t="s">
        <v>654</v>
      </c>
      <c r="I343" s="565"/>
      <c r="J343" s="565"/>
      <c r="K343" s="563">
        <v>0</v>
      </c>
      <c r="L343" s="566">
        <v>0</v>
      </c>
    </row>
    <row r="344" spans="1:12" ht="15" x14ac:dyDescent="0.2">
      <c r="A344" s="561" t="s">
        <v>82</v>
      </c>
      <c r="B344" s="562">
        <v>2021</v>
      </c>
      <c r="C344" s="561" t="s">
        <v>678</v>
      </c>
      <c r="D344" s="561" t="s">
        <v>956</v>
      </c>
      <c r="E344" s="561" t="s">
        <v>680</v>
      </c>
      <c r="F344" s="563">
        <v>0</v>
      </c>
      <c r="G344" s="564"/>
      <c r="H344" s="561" t="s">
        <v>654</v>
      </c>
      <c r="I344" s="565"/>
      <c r="J344" s="565"/>
      <c r="K344" s="563">
        <v>0</v>
      </c>
      <c r="L344" s="566">
        <v>0</v>
      </c>
    </row>
    <row r="345" spans="1:12" ht="15" x14ac:dyDescent="0.2">
      <c r="A345" s="561" t="s">
        <v>82</v>
      </c>
      <c r="B345" s="562">
        <v>2021</v>
      </c>
      <c r="C345" s="561" t="s">
        <v>681</v>
      </c>
      <c r="D345" s="561" t="s">
        <v>957</v>
      </c>
      <c r="E345" s="561" t="s">
        <v>23</v>
      </c>
      <c r="F345" s="563">
        <v>41675.93</v>
      </c>
      <c r="G345" s="561" t="s">
        <v>654</v>
      </c>
      <c r="H345" s="564"/>
      <c r="I345" s="563">
        <v>40938.578125</v>
      </c>
      <c r="J345" s="563">
        <v>737.34997558593795</v>
      </c>
      <c r="K345" s="563">
        <v>41675.9296875</v>
      </c>
      <c r="L345" s="566">
        <v>41675.93</v>
      </c>
    </row>
    <row r="346" spans="1:12" ht="33.75" x14ac:dyDescent="0.2">
      <c r="A346" s="561" t="s">
        <v>82</v>
      </c>
      <c r="B346" s="562">
        <v>2021</v>
      </c>
      <c r="C346" s="561" t="s">
        <v>683</v>
      </c>
      <c r="D346" s="561" t="s">
        <v>958</v>
      </c>
      <c r="E346" s="561" t="s">
        <v>131</v>
      </c>
      <c r="F346" s="563">
        <v>-13015.69</v>
      </c>
      <c r="G346" s="561" t="s">
        <v>654</v>
      </c>
      <c r="H346" s="564"/>
      <c r="I346" s="563">
        <v>-12873.73046875</v>
      </c>
      <c r="J346" s="563">
        <v>-141.96000671386699</v>
      </c>
      <c r="K346" s="563">
        <v>-13015.6904296875</v>
      </c>
      <c r="L346" s="566">
        <v>-13015.69</v>
      </c>
    </row>
    <row r="347" spans="1:12" ht="33.75" x14ac:dyDescent="0.2">
      <c r="A347" s="561" t="s">
        <v>82</v>
      </c>
      <c r="B347" s="562">
        <v>2021</v>
      </c>
      <c r="C347" s="561" t="s">
        <v>685</v>
      </c>
      <c r="D347" s="561" t="s">
        <v>959</v>
      </c>
      <c r="E347" s="561" t="s">
        <v>687</v>
      </c>
      <c r="F347" s="563">
        <v>0</v>
      </c>
      <c r="G347" s="564"/>
      <c r="H347" s="561" t="s">
        <v>654</v>
      </c>
      <c r="I347" s="565"/>
      <c r="J347" s="565"/>
      <c r="K347" s="563">
        <v>0</v>
      </c>
      <c r="L347" s="566">
        <v>0</v>
      </c>
    </row>
    <row r="348" spans="1:12" ht="33.75" x14ac:dyDescent="0.2">
      <c r="A348" s="561" t="s">
        <v>82</v>
      </c>
      <c r="B348" s="562">
        <v>2021</v>
      </c>
      <c r="C348" s="561" t="s">
        <v>685</v>
      </c>
      <c r="D348" s="561" t="s">
        <v>959</v>
      </c>
      <c r="E348" s="561" t="s">
        <v>688</v>
      </c>
      <c r="F348" s="563">
        <v>0</v>
      </c>
      <c r="G348" s="564"/>
      <c r="H348" s="561" t="s">
        <v>654</v>
      </c>
      <c r="I348" s="565"/>
      <c r="J348" s="565"/>
      <c r="K348" s="563">
        <v>0</v>
      </c>
      <c r="L348" s="566">
        <v>0</v>
      </c>
    </row>
    <row r="349" spans="1:12" ht="22.5" x14ac:dyDescent="0.2">
      <c r="A349" s="561" t="s">
        <v>82</v>
      </c>
      <c r="B349" s="562">
        <v>2021</v>
      </c>
      <c r="C349" s="561" t="s">
        <v>689</v>
      </c>
      <c r="D349" s="561" t="s">
        <v>960</v>
      </c>
      <c r="E349" s="561" t="s">
        <v>691</v>
      </c>
      <c r="F349" s="563">
        <v>40490.54</v>
      </c>
      <c r="G349" s="564"/>
      <c r="H349" s="561" t="s">
        <v>654</v>
      </c>
      <c r="I349" s="565"/>
      <c r="J349" s="565"/>
      <c r="K349" s="563">
        <v>0</v>
      </c>
      <c r="L349" s="566">
        <v>40490.54</v>
      </c>
    </row>
    <row r="350" spans="1:12" ht="22.5" x14ac:dyDescent="0.2">
      <c r="A350" s="561" t="s">
        <v>82</v>
      </c>
      <c r="B350" s="562">
        <v>2021</v>
      </c>
      <c r="C350" s="561" t="s">
        <v>692</v>
      </c>
      <c r="D350" s="561" t="s">
        <v>961</v>
      </c>
      <c r="E350" s="561" t="s">
        <v>50</v>
      </c>
      <c r="F350" s="563">
        <v>316102</v>
      </c>
      <c r="G350" s="564"/>
      <c r="H350" s="561" t="s">
        <v>654</v>
      </c>
      <c r="I350" s="565"/>
      <c r="J350" s="565"/>
      <c r="K350" s="563">
        <v>0</v>
      </c>
      <c r="L350" s="566">
        <v>316102</v>
      </c>
    </row>
    <row r="351" spans="1:12" ht="22.5" x14ac:dyDescent="0.2">
      <c r="A351" s="561" t="s">
        <v>82</v>
      </c>
      <c r="B351" s="562">
        <v>2021</v>
      </c>
      <c r="C351" s="561" t="s">
        <v>694</v>
      </c>
      <c r="D351" s="561" t="s">
        <v>962</v>
      </c>
      <c r="E351" s="561" t="s">
        <v>696</v>
      </c>
      <c r="F351" s="563">
        <v>258050</v>
      </c>
      <c r="G351" s="564"/>
      <c r="H351" s="561" t="s">
        <v>654</v>
      </c>
      <c r="I351" s="565"/>
      <c r="J351" s="565"/>
      <c r="K351" s="563">
        <v>0</v>
      </c>
      <c r="L351" s="566">
        <v>258050</v>
      </c>
    </row>
    <row r="352" spans="1:12" ht="22.5" x14ac:dyDescent="0.2">
      <c r="A352" s="561" t="s">
        <v>82</v>
      </c>
      <c r="B352" s="562">
        <v>2021</v>
      </c>
      <c r="C352" s="561" t="s">
        <v>697</v>
      </c>
      <c r="D352" s="561" t="s">
        <v>963</v>
      </c>
      <c r="E352" s="561" t="s">
        <v>6</v>
      </c>
      <c r="F352" s="563">
        <v>0</v>
      </c>
      <c r="G352" s="564"/>
      <c r="H352" s="561" t="s">
        <v>654</v>
      </c>
      <c r="I352" s="565"/>
      <c r="J352" s="565"/>
      <c r="K352" s="563">
        <v>0</v>
      </c>
      <c r="L352" s="566">
        <v>0</v>
      </c>
    </row>
    <row r="353" spans="1:12" ht="33.75" x14ac:dyDescent="0.2">
      <c r="A353" s="561" t="s">
        <v>82</v>
      </c>
      <c r="B353" s="562">
        <v>2021</v>
      </c>
      <c r="C353" s="561" t="s">
        <v>699</v>
      </c>
      <c r="D353" s="561" t="s">
        <v>964</v>
      </c>
      <c r="E353" s="561" t="s">
        <v>701</v>
      </c>
      <c r="F353" s="563">
        <v>0</v>
      </c>
      <c r="G353" s="564"/>
      <c r="H353" s="561" t="s">
        <v>654</v>
      </c>
      <c r="I353" s="565"/>
      <c r="J353" s="565"/>
      <c r="K353" s="563">
        <v>0</v>
      </c>
      <c r="L353" s="566">
        <v>0</v>
      </c>
    </row>
    <row r="354" spans="1:12" ht="22.5" x14ac:dyDescent="0.2">
      <c r="A354" s="561" t="s">
        <v>82</v>
      </c>
      <c r="B354" s="562">
        <v>2021</v>
      </c>
      <c r="C354" s="561" t="s">
        <v>702</v>
      </c>
      <c r="D354" s="561" t="s">
        <v>965</v>
      </c>
      <c r="E354" s="561" t="s">
        <v>704</v>
      </c>
      <c r="F354" s="563">
        <v>0</v>
      </c>
      <c r="G354" s="564"/>
      <c r="H354" s="561" t="s">
        <v>654</v>
      </c>
      <c r="I354" s="565"/>
      <c r="J354" s="565"/>
      <c r="K354" s="563">
        <v>0</v>
      </c>
      <c r="L354" s="566">
        <v>0</v>
      </c>
    </row>
    <row r="355" spans="1:12" ht="33.75" x14ac:dyDescent="0.2">
      <c r="A355" s="561" t="s">
        <v>82</v>
      </c>
      <c r="B355" s="562">
        <v>2021</v>
      </c>
      <c r="C355" s="561" t="s">
        <v>705</v>
      </c>
      <c r="D355" s="561" t="s">
        <v>966</v>
      </c>
      <c r="E355" s="561" t="s">
        <v>1</v>
      </c>
      <c r="F355" s="563">
        <v>-431653.76</v>
      </c>
      <c r="G355" s="561" t="s">
        <v>654</v>
      </c>
      <c r="H355" s="564"/>
      <c r="I355" s="563">
        <v>-427650.9375</v>
      </c>
      <c r="J355" s="563">
        <v>-4002.82006835938</v>
      </c>
      <c r="K355" s="563">
        <v>-431653.75</v>
      </c>
      <c r="L355" s="566">
        <v>-431653.76</v>
      </c>
    </row>
    <row r="356" spans="1:12" ht="22.5" x14ac:dyDescent="0.2">
      <c r="A356" s="561" t="s">
        <v>82</v>
      </c>
      <c r="B356" s="562">
        <v>2021</v>
      </c>
      <c r="C356" s="561" t="s">
        <v>705</v>
      </c>
      <c r="D356" s="561" t="s">
        <v>966</v>
      </c>
      <c r="E356" s="561" t="s">
        <v>707</v>
      </c>
      <c r="F356" s="563">
        <v>0</v>
      </c>
      <c r="G356" s="564"/>
      <c r="H356" s="564"/>
      <c r="I356" s="565"/>
      <c r="J356" s="565"/>
      <c r="K356" s="563">
        <v>0</v>
      </c>
      <c r="L356" s="566">
        <v>0</v>
      </c>
    </row>
    <row r="357" spans="1:12" ht="22.5" x14ac:dyDescent="0.2">
      <c r="A357" s="561" t="s">
        <v>82</v>
      </c>
      <c r="B357" s="562">
        <v>2021</v>
      </c>
      <c r="C357" s="561" t="s">
        <v>705</v>
      </c>
      <c r="D357" s="561" t="s">
        <v>966</v>
      </c>
      <c r="E357" s="561" t="s">
        <v>708</v>
      </c>
      <c r="F357" s="563">
        <v>0</v>
      </c>
      <c r="G357" s="564"/>
      <c r="H357" s="564"/>
      <c r="I357" s="565"/>
      <c r="J357" s="565"/>
      <c r="K357" s="563">
        <v>0</v>
      </c>
      <c r="L357" s="566">
        <v>0</v>
      </c>
    </row>
    <row r="358" spans="1:12" ht="22.5" x14ac:dyDescent="0.2">
      <c r="A358" s="561" t="s">
        <v>82</v>
      </c>
      <c r="B358" s="562">
        <v>2021</v>
      </c>
      <c r="C358" s="561" t="s">
        <v>705</v>
      </c>
      <c r="D358" s="561" t="s">
        <v>966</v>
      </c>
      <c r="E358" s="561" t="s">
        <v>709</v>
      </c>
      <c r="F358" s="563">
        <v>-1170.1600000000001</v>
      </c>
      <c r="G358" s="564"/>
      <c r="H358" s="564"/>
      <c r="I358" s="565"/>
      <c r="J358" s="565"/>
      <c r="K358" s="563">
        <v>0</v>
      </c>
      <c r="L358" s="566">
        <v>-1170.1600000000001</v>
      </c>
    </row>
    <row r="359" spans="1:12" ht="22.5" x14ac:dyDescent="0.2">
      <c r="A359" s="561" t="s">
        <v>82</v>
      </c>
      <c r="B359" s="562">
        <v>2021</v>
      </c>
      <c r="C359" s="561" t="s">
        <v>705</v>
      </c>
      <c r="D359" s="561" t="s">
        <v>966</v>
      </c>
      <c r="E359" s="561" t="s">
        <v>710</v>
      </c>
      <c r="F359" s="563">
        <v>-53865.43</v>
      </c>
      <c r="G359" s="564"/>
      <c r="H359" s="564"/>
      <c r="I359" s="565"/>
      <c r="J359" s="565"/>
      <c r="K359" s="563">
        <v>0</v>
      </c>
      <c r="L359" s="566">
        <v>-53865.43</v>
      </c>
    </row>
    <row r="360" spans="1:12" ht="15" x14ac:dyDescent="0.2">
      <c r="A360" s="561" t="s">
        <v>82</v>
      </c>
      <c r="B360" s="562">
        <v>2021</v>
      </c>
      <c r="C360" s="561" t="s">
        <v>711</v>
      </c>
      <c r="D360" s="561" t="s">
        <v>967</v>
      </c>
      <c r="E360" s="561" t="s">
        <v>713</v>
      </c>
      <c r="F360" s="563">
        <v>0</v>
      </c>
      <c r="G360" s="564"/>
      <c r="H360" s="561" t="s">
        <v>654</v>
      </c>
      <c r="I360" s="565"/>
      <c r="J360" s="565"/>
      <c r="K360" s="563">
        <v>0</v>
      </c>
      <c r="L360" s="566">
        <v>0</v>
      </c>
    </row>
    <row r="361" spans="1:12" ht="33.75" x14ac:dyDescent="0.2">
      <c r="A361" s="561" t="s">
        <v>82</v>
      </c>
      <c r="B361" s="562">
        <v>2021</v>
      </c>
      <c r="C361" s="561" t="s">
        <v>714</v>
      </c>
      <c r="D361" s="561" t="s">
        <v>968</v>
      </c>
      <c r="E361" s="561" t="s">
        <v>2</v>
      </c>
      <c r="F361" s="563">
        <v>187578.3</v>
      </c>
      <c r="G361" s="561" t="s">
        <v>654</v>
      </c>
      <c r="H361" s="564"/>
      <c r="I361" s="563">
        <v>188704.0625</v>
      </c>
      <c r="J361" s="563">
        <v>-1125.77001953125</v>
      </c>
      <c r="K361" s="563">
        <v>187578.296875</v>
      </c>
      <c r="L361" s="566">
        <v>187578.3</v>
      </c>
    </row>
    <row r="362" spans="1:12" ht="33.75" x14ac:dyDescent="0.2">
      <c r="A362" s="561" t="s">
        <v>82</v>
      </c>
      <c r="B362" s="562">
        <v>2021</v>
      </c>
      <c r="C362" s="561" t="s">
        <v>716</v>
      </c>
      <c r="D362" s="561" t="s">
        <v>969</v>
      </c>
      <c r="E362" s="561" t="s">
        <v>3</v>
      </c>
      <c r="F362" s="563">
        <v>-191396.65</v>
      </c>
      <c r="G362" s="561" t="s">
        <v>654</v>
      </c>
      <c r="H362" s="564"/>
      <c r="I362" s="563">
        <v>-185215.015625</v>
      </c>
      <c r="J362" s="563">
        <v>-6181.6298828125</v>
      </c>
      <c r="K362" s="563">
        <v>-191396.65625</v>
      </c>
      <c r="L362" s="566">
        <v>-191396.65</v>
      </c>
    </row>
    <row r="363" spans="1:12" ht="33.75" x14ac:dyDescent="0.2">
      <c r="A363" s="561" t="s">
        <v>82</v>
      </c>
      <c r="B363" s="562">
        <v>2021</v>
      </c>
      <c r="C363" s="561" t="s">
        <v>718</v>
      </c>
      <c r="D363" s="561" t="s">
        <v>970</v>
      </c>
      <c r="E363" s="561" t="s">
        <v>38</v>
      </c>
      <c r="F363" s="563">
        <v>-125372.63</v>
      </c>
      <c r="G363" s="561" t="s">
        <v>654</v>
      </c>
      <c r="H363" s="564"/>
      <c r="I363" s="563">
        <v>-125203.453125</v>
      </c>
      <c r="J363" s="563">
        <v>-169.17999267578099</v>
      </c>
      <c r="K363" s="563">
        <v>-125372.6328125</v>
      </c>
      <c r="L363" s="566">
        <v>-125372.63</v>
      </c>
    </row>
    <row r="364" spans="1:12" ht="22.5" x14ac:dyDescent="0.2">
      <c r="A364" s="561" t="s">
        <v>82</v>
      </c>
      <c r="B364" s="562">
        <v>2021</v>
      </c>
      <c r="C364" s="561" t="s">
        <v>720</v>
      </c>
      <c r="D364" s="561" t="s">
        <v>971</v>
      </c>
      <c r="E364" s="561" t="s">
        <v>66</v>
      </c>
      <c r="F364" s="563">
        <v>-103633.55</v>
      </c>
      <c r="G364" s="561" t="s">
        <v>654</v>
      </c>
      <c r="H364" s="564"/>
      <c r="I364" s="563">
        <v>-105202.59375</v>
      </c>
      <c r="J364" s="563">
        <v>1569.0400390625</v>
      </c>
      <c r="K364" s="563">
        <v>-103633.546875</v>
      </c>
      <c r="L364" s="566">
        <v>-103633.55</v>
      </c>
    </row>
    <row r="365" spans="1:12" ht="22.5" x14ac:dyDescent="0.2">
      <c r="A365" s="561" t="s">
        <v>82</v>
      </c>
      <c r="B365" s="562">
        <v>2021</v>
      </c>
      <c r="C365" s="561" t="s">
        <v>722</v>
      </c>
      <c r="D365" s="561" t="s">
        <v>972</v>
      </c>
      <c r="E365" s="561" t="s">
        <v>772</v>
      </c>
      <c r="F365" s="563">
        <v>-963258.19</v>
      </c>
      <c r="G365" s="564"/>
      <c r="H365" s="561" t="s">
        <v>654</v>
      </c>
      <c r="I365" s="565"/>
      <c r="J365" s="565"/>
      <c r="K365" s="563">
        <v>0</v>
      </c>
      <c r="L365" s="566">
        <v>-963258.19</v>
      </c>
    </row>
    <row r="366" spans="1:12" ht="45" x14ac:dyDescent="0.2">
      <c r="A366" s="561" t="s">
        <v>82</v>
      </c>
      <c r="B366" s="562">
        <v>2021</v>
      </c>
      <c r="C366" s="561" t="s">
        <v>725</v>
      </c>
      <c r="D366" s="561" t="s">
        <v>973</v>
      </c>
      <c r="E366" s="561" t="s">
        <v>3024</v>
      </c>
      <c r="F366" s="563">
        <v>0</v>
      </c>
      <c r="G366" s="561" t="s">
        <v>654</v>
      </c>
      <c r="H366" s="564"/>
      <c r="I366" s="563">
        <v>9556.6904296875</v>
      </c>
      <c r="J366" s="563">
        <v>-23139.919921875</v>
      </c>
      <c r="K366" s="563">
        <v>-13583.23046875</v>
      </c>
      <c r="L366" s="566">
        <v>-13583.23</v>
      </c>
    </row>
    <row r="367" spans="1:12" ht="45" x14ac:dyDescent="0.2">
      <c r="A367" s="561" t="s">
        <v>82</v>
      </c>
      <c r="B367" s="562">
        <v>2021</v>
      </c>
      <c r="C367" s="561" t="s">
        <v>725</v>
      </c>
      <c r="D367" s="561" t="s">
        <v>973</v>
      </c>
      <c r="E367" s="561" t="s">
        <v>3066</v>
      </c>
      <c r="F367" s="563">
        <v>0</v>
      </c>
      <c r="G367" s="561" t="s">
        <v>654</v>
      </c>
      <c r="H367" s="564"/>
      <c r="I367" s="563">
        <v>2308.34008789063</v>
      </c>
      <c r="J367" s="563">
        <v>61876.7890625</v>
      </c>
      <c r="K367" s="563">
        <v>64185.12890625</v>
      </c>
      <c r="L367" s="566">
        <v>64185.13</v>
      </c>
    </row>
    <row r="368" spans="1:12" ht="45" x14ac:dyDescent="0.2">
      <c r="A368" s="561" t="s">
        <v>82</v>
      </c>
      <c r="B368" s="562">
        <v>2021</v>
      </c>
      <c r="C368" s="561" t="s">
        <v>725</v>
      </c>
      <c r="D368" s="561" t="s">
        <v>974</v>
      </c>
      <c r="E368" s="561" t="s">
        <v>728</v>
      </c>
      <c r="F368" s="563">
        <v>0</v>
      </c>
      <c r="G368" s="561" t="s">
        <v>654</v>
      </c>
      <c r="H368" s="564"/>
      <c r="I368" s="565"/>
      <c r="J368" s="565"/>
      <c r="K368" s="563">
        <v>0</v>
      </c>
      <c r="L368" s="566">
        <v>0</v>
      </c>
    </row>
    <row r="369" spans="1:12" ht="45" x14ac:dyDescent="0.2">
      <c r="A369" s="561" t="s">
        <v>82</v>
      </c>
      <c r="B369" s="562">
        <v>2021</v>
      </c>
      <c r="C369" s="561" t="s">
        <v>725</v>
      </c>
      <c r="D369" s="561" t="s">
        <v>975</v>
      </c>
      <c r="E369" s="561" t="s">
        <v>55</v>
      </c>
      <c r="F369" s="563">
        <v>0</v>
      </c>
      <c r="G369" s="561" t="s">
        <v>654</v>
      </c>
      <c r="H369" s="564"/>
      <c r="I369" s="565"/>
      <c r="J369" s="565"/>
      <c r="K369" s="563">
        <v>0</v>
      </c>
      <c r="L369" s="566">
        <v>0</v>
      </c>
    </row>
    <row r="370" spans="1:12" ht="45" x14ac:dyDescent="0.2">
      <c r="A370" s="561" t="s">
        <v>82</v>
      </c>
      <c r="B370" s="562">
        <v>2021</v>
      </c>
      <c r="C370" s="561" t="s">
        <v>725</v>
      </c>
      <c r="D370" s="561" t="s">
        <v>976</v>
      </c>
      <c r="E370" s="561" t="s">
        <v>56</v>
      </c>
      <c r="F370" s="563">
        <v>0</v>
      </c>
      <c r="G370" s="561" t="s">
        <v>654</v>
      </c>
      <c r="H370" s="564"/>
      <c r="I370" s="565"/>
      <c r="J370" s="565"/>
      <c r="K370" s="563">
        <v>0</v>
      </c>
      <c r="L370" s="566">
        <v>0</v>
      </c>
    </row>
    <row r="371" spans="1:12" ht="45" x14ac:dyDescent="0.2">
      <c r="A371" s="561" t="s">
        <v>82</v>
      </c>
      <c r="B371" s="562">
        <v>2021</v>
      </c>
      <c r="C371" s="561" t="s">
        <v>725</v>
      </c>
      <c r="D371" s="561" t="s">
        <v>977</v>
      </c>
      <c r="E371" s="561" t="s">
        <v>732</v>
      </c>
      <c r="F371" s="563">
        <v>0</v>
      </c>
      <c r="G371" s="561" t="s">
        <v>654</v>
      </c>
      <c r="H371" s="564"/>
      <c r="I371" s="565"/>
      <c r="J371" s="565"/>
      <c r="K371" s="563">
        <v>0</v>
      </c>
      <c r="L371" s="566">
        <v>0</v>
      </c>
    </row>
    <row r="372" spans="1:12" ht="45" x14ac:dyDescent="0.2">
      <c r="A372" s="561" t="s">
        <v>82</v>
      </c>
      <c r="B372" s="562">
        <v>2021</v>
      </c>
      <c r="C372" s="561" t="s">
        <v>725</v>
      </c>
      <c r="D372" s="561" t="s">
        <v>978</v>
      </c>
      <c r="E372" s="561" t="s">
        <v>734</v>
      </c>
      <c r="F372" s="563">
        <v>0</v>
      </c>
      <c r="G372" s="561" t="s">
        <v>654</v>
      </c>
      <c r="H372" s="564"/>
      <c r="I372" s="565"/>
      <c r="J372" s="565"/>
      <c r="K372" s="563">
        <v>0</v>
      </c>
      <c r="L372" s="566">
        <v>0</v>
      </c>
    </row>
    <row r="373" spans="1:12" ht="45" x14ac:dyDescent="0.2">
      <c r="A373" s="561" t="s">
        <v>82</v>
      </c>
      <c r="B373" s="562">
        <v>2021</v>
      </c>
      <c r="C373" s="561" t="s">
        <v>725</v>
      </c>
      <c r="D373" s="561" t="s">
        <v>979</v>
      </c>
      <c r="E373" s="561" t="s">
        <v>142</v>
      </c>
      <c r="F373" s="563">
        <v>0</v>
      </c>
      <c r="G373" s="561" t="s">
        <v>654</v>
      </c>
      <c r="H373" s="564"/>
      <c r="I373" s="565"/>
      <c r="J373" s="565"/>
      <c r="K373" s="563">
        <v>0</v>
      </c>
      <c r="L373" s="566">
        <v>0</v>
      </c>
    </row>
    <row r="374" spans="1:12" ht="45" x14ac:dyDescent="0.2">
      <c r="A374" s="561" t="s">
        <v>82</v>
      </c>
      <c r="B374" s="562">
        <v>2021</v>
      </c>
      <c r="C374" s="561" t="s">
        <v>725</v>
      </c>
      <c r="D374" s="561" t="s">
        <v>980</v>
      </c>
      <c r="E374" s="561" t="s">
        <v>143</v>
      </c>
      <c r="F374" s="563">
        <v>0</v>
      </c>
      <c r="G374" s="561" t="s">
        <v>654</v>
      </c>
      <c r="H374" s="564"/>
      <c r="I374" s="565"/>
      <c r="J374" s="565"/>
      <c r="K374" s="563">
        <v>0</v>
      </c>
      <c r="L374" s="566">
        <v>0</v>
      </c>
    </row>
    <row r="375" spans="1:12" ht="45" x14ac:dyDescent="0.2">
      <c r="A375" s="561" t="s">
        <v>82</v>
      </c>
      <c r="B375" s="562">
        <v>2021</v>
      </c>
      <c r="C375" s="561" t="s">
        <v>725</v>
      </c>
      <c r="D375" s="561" t="s">
        <v>981</v>
      </c>
      <c r="E375" s="561" t="s">
        <v>182</v>
      </c>
      <c r="F375" s="563">
        <v>0</v>
      </c>
      <c r="G375" s="561" t="s">
        <v>654</v>
      </c>
      <c r="H375" s="564"/>
      <c r="I375" s="563">
        <v>0.28999999165535001</v>
      </c>
      <c r="J375" s="563">
        <v>-0.28999999165535001</v>
      </c>
      <c r="K375" s="563">
        <v>0</v>
      </c>
      <c r="L375" s="566">
        <v>0</v>
      </c>
    </row>
    <row r="376" spans="1:12" ht="45" x14ac:dyDescent="0.2">
      <c r="A376" s="561" t="s">
        <v>82</v>
      </c>
      <c r="B376" s="562">
        <v>2021</v>
      </c>
      <c r="C376" s="561" t="s">
        <v>725</v>
      </c>
      <c r="D376" s="561" t="s">
        <v>982</v>
      </c>
      <c r="E376" s="561" t="s">
        <v>394</v>
      </c>
      <c r="F376" s="563">
        <v>0</v>
      </c>
      <c r="G376" s="561" t="s">
        <v>654</v>
      </c>
      <c r="H376" s="564"/>
      <c r="I376" s="563">
        <v>2.2300000190734899</v>
      </c>
      <c r="J376" s="563">
        <v>-362.41000366210898</v>
      </c>
      <c r="K376" s="563">
        <v>-360.17999267578102</v>
      </c>
      <c r="L376" s="566">
        <v>-360.18</v>
      </c>
    </row>
    <row r="377" spans="1:12" ht="45" x14ac:dyDescent="0.2">
      <c r="A377" s="561" t="s">
        <v>82</v>
      </c>
      <c r="B377" s="562">
        <v>2021</v>
      </c>
      <c r="C377" s="561" t="s">
        <v>725</v>
      </c>
      <c r="D377" s="561" t="s">
        <v>983</v>
      </c>
      <c r="E377" s="561" t="s">
        <v>425</v>
      </c>
      <c r="F377" s="563">
        <v>0</v>
      </c>
      <c r="G377" s="561" t="s">
        <v>654</v>
      </c>
      <c r="H377" s="564"/>
      <c r="I377" s="563">
        <v>10715.0302734375</v>
      </c>
      <c r="J377" s="563">
        <v>-1158.53002929688</v>
      </c>
      <c r="K377" s="563">
        <v>9556.5</v>
      </c>
      <c r="L377" s="566">
        <v>9556.5</v>
      </c>
    </row>
    <row r="378" spans="1:12" ht="45" x14ac:dyDescent="0.2">
      <c r="A378" s="561" t="s">
        <v>82</v>
      </c>
      <c r="B378" s="562">
        <v>2021</v>
      </c>
      <c r="C378" s="561" t="s">
        <v>725</v>
      </c>
      <c r="D378" s="561" t="s">
        <v>3086</v>
      </c>
      <c r="E378" s="561" t="s">
        <v>443</v>
      </c>
      <c r="F378" s="563">
        <v>0</v>
      </c>
      <c r="G378" s="561" t="s">
        <v>654</v>
      </c>
      <c r="H378" s="564"/>
      <c r="I378" s="563">
        <v>-47132.46875</v>
      </c>
      <c r="J378" s="563">
        <v>-30823.919921875</v>
      </c>
      <c r="K378" s="563">
        <v>-77956.390625</v>
      </c>
      <c r="L378" s="566">
        <v>-77956.39</v>
      </c>
    </row>
    <row r="379" spans="1:12" ht="45" x14ac:dyDescent="0.2">
      <c r="A379" s="561" t="s">
        <v>82</v>
      </c>
      <c r="B379" s="562">
        <v>2021</v>
      </c>
      <c r="C379" s="561" t="s">
        <v>725</v>
      </c>
      <c r="D379" s="561" t="s">
        <v>984</v>
      </c>
      <c r="E379" s="561" t="s">
        <v>741</v>
      </c>
      <c r="F379" s="563">
        <v>-18158.169999999998</v>
      </c>
      <c r="G379" s="564"/>
      <c r="H379" s="564"/>
      <c r="I379" s="565"/>
      <c r="J379" s="565"/>
      <c r="K379" s="563">
        <v>0</v>
      </c>
      <c r="L379" s="566">
        <v>-18158.169999999998</v>
      </c>
    </row>
    <row r="380" spans="1:12" ht="22.5" x14ac:dyDescent="0.2">
      <c r="A380" s="561" t="s">
        <v>82</v>
      </c>
      <c r="B380" s="562">
        <v>2021</v>
      </c>
      <c r="C380" s="561" t="s">
        <v>742</v>
      </c>
      <c r="D380" s="561" t="s">
        <v>985</v>
      </c>
      <c r="E380" s="561" t="s">
        <v>7</v>
      </c>
      <c r="F380" s="563">
        <v>-1549471.47</v>
      </c>
      <c r="G380" s="564"/>
      <c r="H380" s="561" t="s">
        <v>654</v>
      </c>
      <c r="I380" s="565"/>
      <c r="J380" s="565"/>
      <c r="K380" s="563">
        <v>0</v>
      </c>
      <c r="L380" s="566">
        <v>-1549471.47</v>
      </c>
    </row>
    <row r="381" spans="1:12" ht="22.5" x14ac:dyDescent="0.2">
      <c r="A381" s="561" t="s">
        <v>83</v>
      </c>
      <c r="B381" s="562">
        <v>2021</v>
      </c>
      <c r="C381" s="561" t="s">
        <v>651</v>
      </c>
      <c r="D381" s="561" t="s">
        <v>986</v>
      </c>
      <c r="E381" s="561" t="s">
        <v>653</v>
      </c>
      <c r="F381" s="563">
        <v>-99554.21</v>
      </c>
      <c r="G381" s="564"/>
      <c r="H381" s="561" t="s">
        <v>654</v>
      </c>
      <c r="I381" s="565"/>
      <c r="J381" s="565"/>
      <c r="K381" s="563">
        <v>0</v>
      </c>
      <c r="L381" s="566">
        <v>-99554.21</v>
      </c>
    </row>
    <row r="382" spans="1:12" ht="15" x14ac:dyDescent="0.2">
      <c r="A382" s="561" t="s">
        <v>83</v>
      </c>
      <c r="B382" s="562">
        <v>2021</v>
      </c>
      <c r="C382" s="561" t="s">
        <v>655</v>
      </c>
      <c r="D382" s="561" t="s">
        <v>987</v>
      </c>
      <c r="E382" s="561" t="s">
        <v>657</v>
      </c>
      <c r="F382" s="563">
        <v>38786.46</v>
      </c>
      <c r="G382" s="564"/>
      <c r="H382" s="561" t="s">
        <v>654</v>
      </c>
      <c r="I382" s="565"/>
      <c r="J382" s="565"/>
      <c r="K382" s="563">
        <v>0</v>
      </c>
      <c r="L382" s="566">
        <v>38786.46</v>
      </c>
    </row>
    <row r="383" spans="1:12" ht="56.25" x14ac:dyDescent="0.2">
      <c r="A383" s="561" t="s">
        <v>83</v>
      </c>
      <c r="B383" s="562">
        <v>2021</v>
      </c>
      <c r="C383" s="561" t="s">
        <v>658</v>
      </c>
      <c r="D383" s="561" t="s">
        <v>988</v>
      </c>
      <c r="E383" s="561" t="s">
        <v>447</v>
      </c>
      <c r="F383" s="563">
        <v>0</v>
      </c>
      <c r="G383" s="564"/>
      <c r="H383" s="561" t="s">
        <v>654</v>
      </c>
      <c r="I383" s="565"/>
      <c r="J383" s="565"/>
      <c r="K383" s="563">
        <v>0</v>
      </c>
      <c r="L383" s="566">
        <v>0</v>
      </c>
    </row>
    <row r="384" spans="1:12" ht="22.5" x14ac:dyDescent="0.2">
      <c r="A384" s="561" t="s">
        <v>83</v>
      </c>
      <c r="B384" s="562">
        <v>2021</v>
      </c>
      <c r="C384" s="561" t="s">
        <v>660</v>
      </c>
      <c r="D384" s="561" t="s">
        <v>989</v>
      </c>
      <c r="E384" s="561" t="s">
        <v>662</v>
      </c>
      <c r="F384" s="563">
        <v>0</v>
      </c>
      <c r="G384" s="564"/>
      <c r="H384" s="561" t="s">
        <v>654</v>
      </c>
      <c r="I384" s="565"/>
      <c r="J384" s="565"/>
      <c r="K384" s="563">
        <v>0</v>
      </c>
      <c r="L384" s="566">
        <v>0</v>
      </c>
    </row>
    <row r="385" spans="1:12" ht="33.75" x14ac:dyDescent="0.2">
      <c r="A385" s="561" t="s">
        <v>83</v>
      </c>
      <c r="B385" s="562">
        <v>2021</v>
      </c>
      <c r="C385" s="561" t="s">
        <v>663</v>
      </c>
      <c r="D385" s="561" t="s">
        <v>990</v>
      </c>
      <c r="E385" s="561" t="s">
        <v>665</v>
      </c>
      <c r="F385" s="563">
        <v>0</v>
      </c>
      <c r="G385" s="564"/>
      <c r="H385" s="561" t="s">
        <v>654</v>
      </c>
      <c r="I385" s="565"/>
      <c r="J385" s="565"/>
      <c r="K385" s="563">
        <v>0</v>
      </c>
      <c r="L385" s="566">
        <v>0</v>
      </c>
    </row>
    <row r="386" spans="1:12" ht="33.75" x14ac:dyDescent="0.2">
      <c r="A386" s="561" t="s">
        <v>83</v>
      </c>
      <c r="B386" s="562">
        <v>2021</v>
      </c>
      <c r="C386" s="561" t="s">
        <v>666</v>
      </c>
      <c r="D386" s="561" t="s">
        <v>991</v>
      </c>
      <c r="E386" s="561" t="s">
        <v>668</v>
      </c>
      <c r="F386" s="563">
        <v>0</v>
      </c>
      <c r="G386" s="564"/>
      <c r="H386" s="561" t="s">
        <v>654</v>
      </c>
      <c r="I386" s="565"/>
      <c r="J386" s="565"/>
      <c r="K386" s="563">
        <v>0</v>
      </c>
      <c r="L386" s="566">
        <v>0</v>
      </c>
    </row>
    <row r="387" spans="1:12" ht="56.25" x14ac:dyDescent="0.2">
      <c r="A387" s="561" t="s">
        <v>83</v>
      </c>
      <c r="B387" s="562">
        <v>2021</v>
      </c>
      <c r="C387" s="561" t="s">
        <v>669</v>
      </c>
      <c r="D387" s="561" t="s">
        <v>992</v>
      </c>
      <c r="E387" s="561" t="s">
        <v>671</v>
      </c>
      <c r="F387" s="563">
        <v>0</v>
      </c>
      <c r="G387" s="564"/>
      <c r="H387" s="561" t="s">
        <v>654</v>
      </c>
      <c r="I387" s="565"/>
      <c r="J387" s="565"/>
      <c r="K387" s="563">
        <v>0</v>
      </c>
      <c r="L387" s="566">
        <v>0</v>
      </c>
    </row>
    <row r="388" spans="1:12" ht="22.5" x14ac:dyDescent="0.2">
      <c r="A388" s="561" t="s">
        <v>83</v>
      </c>
      <c r="B388" s="562">
        <v>2021</v>
      </c>
      <c r="C388" s="561" t="s">
        <v>672</v>
      </c>
      <c r="D388" s="561" t="s">
        <v>993</v>
      </c>
      <c r="E388" s="561" t="s">
        <v>12</v>
      </c>
      <c r="F388" s="563">
        <v>0</v>
      </c>
      <c r="G388" s="564"/>
      <c r="H388" s="561" t="s">
        <v>654</v>
      </c>
      <c r="I388" s="565"/>
      <c r="J388" s="565"/>
      <c r="K388" s="563">
        <v>0</v>
      </c>
      <c r="L388" s="566">
        <v>0</v>
      </c>
    </row>
    <row r="389" spans="1:12" ht="22.5" x14ac:dyDescent="0.2">
      <c r="A389" s="561" t="s">
        <v>83</v>
      </c>
      <c r="B389" s="562">
        <v>2021</v>
      </c>
      <c r="C389" s="561" t="s">
        <v>674</v>
      </c>
      <c r="D389" s="561" t="s">
        <v>994</v>
      </c>
      <c r="E389" s="561" t="s">
        <v>13</v>
      </c>
      <c r="F389" s="563">
        <v>0</v>
      </c>
      <c r="G389" s="564"/>
      <c r="H389" s="561" t="s">
        <v>654</v>
      </c>
      <c r="I389" s="565"/>
      <c r="J389" s="565"/>
      <c r="K389" s="563">
        <v>0</v>
      </c>
      <c r="L389" s="566">
        <v>0</v>
      </c>
    </row>
    <row r="390" spans="1:12" ht="33.75" x14ac:dyDescent="0.2">
      <c r="A390" s="561" t="s">
        <v>83</v>
      </c>
      <c r="B390" s="562">
        <v>2021</v>
      </c>
      <c r="C390" s="561" t="s">
        <v>676</v>
      </c>
      <c r="D390" s="561" t="s">
        <v>995</v>
      </c>
      <c r="E390" s="561" t="s">
        <v>15</v>
      </c>
      <c r="F390" s="563">
        <v>0</v>
      </c>
      <c r="G390" s="564"/>
      <c r="H390" s="561" t="s">
        <v>654</v>
      </c>
      <c r="I390" s="565"/>
      <c r="J390" s="565"/>
      <c r="K390" s="563">
        <v>0</v>
      </c>
      <c r="L390" s="566">
        <v>0</v>
      </c>
    </row>
    <row r="391" spans="1:12" ht="15" x14ac:dyDescent="0.2">
      <c r="A391" s="561" t="s">
        <v>83</v>
      </c>
      <c r="B391" s="562">
        <v>2021</v>
      </c>
      <c r="C391" s="561" t="s">
        <v>678</v>
      </c>
      <c r="D391" s="561" t="s">
        <v>996</v>
      </c>
      <c r="E391" s="561" t="s">
        <v>680</v>
      </c>
      <c r="F391" s="563">
        <v>261.85000000000002</v>
      </c>
      <c r="G391" s="564"/>
      <c r="H391" s="561" t="s">
        <v>654</v>
      </c>
      <c r="I391" s="565"/>
      <c r="J391" s="565"/>
      <c r="K391" s="563">
        <v>0</v>
      </c>
      <c r="L391" s="566">
        <v>261.85000000000002</v>
      </c>
    </row>
    <row r="392" spans="1:12" ht="15" x14ac:dyDescent="0.2">
      <c r="A392" s="561" t="s">
        <v>83</v>
      </c>
      <c r="B392" s="562">
        <v>2021</v>
      </c>
      <c r="C392" s="561" t="s">
        <v>681</v>
      </c>
      <c r="D392" s="561" t="s">
        <v>997</v>
      </c>
      <c r="E392" s="561" t="s">
        <v>23</v>
      </c>
      <c r="F392" s="563">
        <v>113386.44</v>
      </c>
      <c r="G392" s="561" t="s">
        <v>654</v>
      </c>
      <c r="H392" s="564"/>
      <c r="I392" s="563">
        <v>112521.2109375</v>
      </c>
      <c r="J392" s="563">
        <v>865.22998046875</v>
      </c>
      <c r="K392" s="563">
        <v>113386.4375</v>
      </c>
      <c r="L392" s="566">
        <v>113386.44</v>
      </c>
    </row>
    <row r="393" spans="1:12" ht="33.75" x14ac:dyDescent="0.2">
      <c r="A393" s="561" t="s">
        <v>83</v>
      </c>
      <c r="B393" s="562">
        <v>2021</v>
      </c>
      <c r="C393" s="561" t="s">
        <v>683</v>
      </c>
      <c r="D393" s="561" t="s">
        <v>998</v>
      </c>
      <c r="E393" s="561" t="s">
        <v>131</v>
      </c>
      <c r="F393" s="563">
        <v>-9246.15</v>
      </c>
      <c r="G393" s="561" t="s">
        <v>654</v>
      </c>
      <c r="H393" s="564"/>
      <c r="I393" s="563">
        <v>-8896.6396484375</v>
      </c>
      <c r="J393" s="563">
        <v>-349.510009765625</v>
      </c>
      <c r="K393" s="563">
        <v>-9246.150390625</v>
      </c>
      <c r="L393" s="566">
        <v>-9246.15</v>
      </c>
    </row>
    <row r="394" spans="1:12" ht="33.75" x14ac:dyDescent="0.2">
      <c r="A394" s="561" t="s">
        <v>83</v>
      </c>
      <c r="B394" s="562">
        <v>2021</v>
      </c>
      <c r="C394" s="561" t="s">
        <v>685</v>
      </c>
      <c r="D394" s="561" t="s">
        <v>999</v>
      </c>
      <c r="E394" s="561" t="s">
        <v>687</v>
      </c>
      <c r="F394" s="563">
        <v>2030.66</v>
      </c>
      <c r="G394" s="564"/>
      <c r="H394" s="561" t="s">
        <v>654</v>
      </c>
      <c r="I394" s="565"/>
      <c r="J394" s="565"/>
      <c r="K394" s="563">
        <v>0</v>
      </c>
      <c r="L394" s="566">
        <v>2030.66</v>
      </c>
    </row>
    <row r="395" spans="1:12" ht="33.75" x14ac:dyDescent="0.2">
      <c r="A395" s="561" t="s">
        <v>83</v>
      </c>
      <c r="B395" s="562">
        <v>2021</v>
      </c>
      <c r="C395" s="561" t="s">
        <v>685</v>
      </c>
      <c r="D395" s="561" t="s">
        <v>999</v>
      </c>
      <c r="E395" s="561" t="s">
        <v>688</v>
      </c>
      <c r="F395" s="563">
        <v>0</v>
      </c>
      <c r="G395" s="564"/>
      <c r="H395" s="561" t="s">
        <v>654</v>
      </c>
      <c r="I395" s="565"/>
      <c r="J395" s="565"/>
      <c r="K395" s="563">
        <v>0</v>
      </c>
      <c r="L395" s="566">
        <v>0</v>
      </c>
    </row>
    <row r="396" spans="1:12" ht="22.5" x14ac:dyDescent="0.2">
      <c r="A396" s="561" t="s">
        <v>83</v>
      </c>
      <c r="B396" s="562">
        <v>2021</v>
      </c>
      <c r="C396" s="561" t="s">
        <v>689</v>
      </c>
      <c r="D396" s="561" t="s">
        <v>1000</v>
      </c>
      <c r="E396" s="561" t="s">
        <v>691</v>
      </c>
      <c r="F396" s="563">
        <v>0</v>
      </c>
      <c r="G396" s="564"/>
      <c r="H396" s="561" t="s">
        <v>654</v>
      </c>
      <c r="I396" s="565"/>
      <c r="J396" s="565"/>
      <c r="K396" s="563">
        <v>0</v>
      </c>
      <c r="L396" s="566">
        <v>0</v>
      </c>
    </row>
    <row r="397" spans="1:12" ht="22.5" x14ac:dyDescent="0.2">
      <c r="A397" s="561" t="s">
        <v>83</v>
      </c>
      <c r="B397" s="562">
        <v>2021</v>
      </c>
      <c r="C397" s="561" t="s">
        <v>692</v>
      </c>
      <c r="D397" s="561" t="s">
        <v>1001</v>
      </c>
      <c r="E397" s="561" t="s">
        <v>50</v>
      </c>
      <c r="F397" s="563">
        <v>0</v>
      </c>
      <c r="G397" s="564"/>
      <c r="H397" s="561" t="s">
        <v>654</v>
      </c>
      <c r="I397" s="565"/>
      <c r="J397" s="565"/>
      <c r="K397" s="563">
        <v>0</v>
      </c>
      <c r="L397" s="566">
        <v>0</v>
      </c>
    </row>
    <row r="398" spans="1:12" ht="22.5" x14ac:dyDescent="0.2">
      <c r="A398" s="561" t="s">
        <v>83</v>
      </c>
      <c r="B398" s="562">
        <v>2021</v>
      </c>
      <c r="C398" s="561" t="s">
        <v>694</v>
      </c>
      <c r="D398" s="561" t="s">
        <v>1002</v>
      </c>
      <c r="E398" s="561" t="s">
        <v>696</v>
      </c>
      <c r="F398" s="563">
        <v>0</v>
      </c>
      <c r="G398" s="564"/>
      <c r="H398" s="561" t="s">
        <v>654</v>
      </c>
      <c r="I398" s="565"/>
      <c r="J398" s="565"/>
      <c r="K398" s="563">
        <v>0</v>
      </c>
      <c r="L398" s="566">
        <v>0</v>
      </c>
    </row>
    <row r="399" spans="1:12" ht="22.5" x14ac:dyDescent="0.2">
      <c r="A399" s="561" t="s">
        <v>83</v>
      </c>
      <c r="B399" s="562">
        <v>2021</v>
      </c>
      <c r="C399" s="561" t="s">
        <v>697</v>
      </c>
      <c r="D399" s="561" t="s">
        <v>1003</v>
      </c>
      <c r="E399" s="561" t="s">
        <v>6</v>
      </c>
      <c r="F399" s="563">
        <v>0</v>
      </c>
      <c r="G399" s="564"/>
      <c r="H399" s="561" t="s">
        <v>654</v>
      </c>
      <c r="I399" s="565"/>
      <c r="J399" s="565"/>
      <c r="K399" s="563">
        <v>0</v>
      </c>
      <c r="L399" s="566">
        <v>0</v>
      </c>
    </row>
    <row r="400" spans="1:12" ht="33.75" x14ac:dyDescent="0.2">
      <c r="A400" s="561" t="s">
        <v>83</v>
      </c>
      <c r="B400" s="562">
        <v>2021</v>
      </c>
      <c r="C400" s="561" t="s">
        <v>699</v>
      </c>
      <c r="D400" s="561" t="s">
        <v>1004</v>
      </c>
      <c r="E400" s="561" t="s">
        <v>701</v>
      </c>
      <c r="F400" s="563">
        <v>0</v>
      </c>
      <c r="G400" s="564"/>
      <c r="H400" s="561" t="s">
        <v>654</v>
      </c>
      <c r="I400" s="565"/>
      <c r="J400" s="565"/>
      <c r="K400" s="563">
        <v>0</v>
      </c>
      <c r="L400" s="566">
        <v>0</v>
      </c>
    </row>
    <row r="401" spans="1:12" ht="22.5" x14ac:dyDescent="0.2">
      <c r="A401" s="561" t="s">
        <v>83</v>
      </c>
      <c r="B401" s="562">
        <v>2021</v>
      </c>
      <c r="C401" s="561" t="s">
        <v>702</v>
      </c>
      <c r="D401" s="561" t="s">
        <v>1005</v>
      </c>
      <c r="E401" s="561" t="s">
        <v>704</v>
      </c>
      <c r="F401" s="563">
        <v>0</v>
      </c>
      <c r="G401" s="564"/>
      <c r="H401" s="561" t="s">
        <v>654</v>
      </c>
      <c r="I401" s="565"/>
      <c r="J401" s="565"/>
      <c r="K401" s="563">
        <v>0</v>
      </c>
      <c r="L401" s="566">
        <v>0</v>
      </c>
    </row>
    <row r="402" spans="1:12" ht="33.75" x14ac:dyDescent="0.2">
      <c r="A402" s="561" t="s">
        <v>83</v>
      </c>
      <c r="B402" s="562">
        <v>2021</v>
      </c>
      <c r="C402" s="561" t="s">
        <v>705</v>
      </c>
      <c r="D402" s="561" t="s">
        <v>1006</v>
      </c>
      <c r="E402" s="561" t="s">
        <v>1</v>
      </c>
      <c r="F402" s="563">
        <v>-64135.02</v>
      </c>
      <c r="G402" s="561" t="s">
        <v>654</v>
      </c>
      <c r="H402" s="564"/>
      <c r="I402" s="563">
        <v>-63065.44140625</v>
      </c>
      <c r="J402" s="563">
        <v>-1069.57995605469</v>
      </c>
      <c r="K402" s="563">
        <v>-64135.01953125</v>
      </c>
      <c r="L402" s="566">
        <v>-64135.02</v>
      </c>
    </row>
    <row r="403" spans="1:12" ht="22.5" x14ac:dyDescent="0.2">
      <c r="A403" s="561" t="s">
        <v>83</v>
      </c>
      <c r="B403" s="562">
        <v>2021</v>
      </c>
      <c r="C403" s="561" t="s">
        <v>705</v>
      </c>
      <c r="D403" s="561" t="s">
        <v>1006</v>
      </c>
      <c r="E403" s="561" t="s">
        <v>707</v>
      </c>
      <c r="F403" s="563">
        <v>0</v>
      </c>
      <c r="G403" s="564"/>
      <c r="H403" s="564"/>
      <c r="I403" s="565"/>
      <c r="J403" s="565"/>
      <c r="K403" s="563">
        <v>0</v>
      </c>
      <c r="L403" s="566">
        <v>0</v>
      </c>
    </row>
    <row r="404" spans="1:12" ht="22.5" x14ac:dyDescent="0.2">
      <c r="A404" s="561" t="s">
        <v>83</v>
      </c>
      <c r="B404" s="562">
        <v>2021</v>
      </c>
      <c r="C404" s="561" t="s">
        <v>705</v>
      </c>
      <c r="D404" s="561" t="s">
        <v>1006</v>
      </c>
      <c r="E404" s="561" t="s">
        <v>708</v>
      </c>
      <c r="F404" s="563">
        <v>0</v>
      </c>
      <c r="G404" s="564"/>
      <c r="H404" s="564"/>
      <c r="I404" s="565"/>
      <c r="J404" s="565"/>
      <c r="K404" s="563">
        <v>0</v>
      </c>
      <c r="L404" s="566">
        <v>0</v>
      </c>
    </row>
    <row r="405" spans="1:12" ht="22.5" x14ac:dyDescent="0.2">
      <c r="A405" s="561" t="s">
        <v>83</v>
      </c>
      <c r="B405" s="562">
        <v>2021</v>
      </c>
      <c r="C405" s="561" t="s">
        <v>705</v>
      </c>
      <c r="D405" s="561" t="s">
        <v>1006</v>
      </c>
      <c r="E405" s="561" t="s">
        <v>709</v>
      </c>
      <c r="F405" s="563">
        <v>-85.64</v>
      </c>
      <c r="G405" s="564"/>
      <c r="H405" s="564"/>
      <c r="I405" s="565"/>
      <c r="J405" s="565"/>
      <c r="K405" s="563">
        <v>0</v>
      </c>
      <c r="L405" s="566">
        <v>-85.64</v>
      </c>
    </row>
    <row r="406" spans="1:12" ht="22.5" x14ac:dyDescent="0.2">
      <c r="A406" s="561" t="s">
        <v>83</v>
      </c>
      <c r="B406" s="562">
        <v>2021</v>
      </c>
      <c r="C406" s="561" t="s">
        <v>705</v>
      </c>
      <c r="D406" s="561" t="s">
        <v>1006</v>
      </c>
      <c r="E406" s="561" t="s">
        <v>710</v>
      </c>
      <c r="F406" s="563">
        <v>-3272.51</v>
      </c>
      <c r="G406" s="564"/>
      <c r="H406" s="564"/>
      <c r="I406" s="565"/>
      <c r="J406" s="565"/>
      <c r="K406" s="563">
        <v>0</v>
      </c>
      <c r="L406" s="566">
        <v>-3272.51</v>
      </c>
    </row>
    <row r="407" spans="1:12" ht="15" x14ac:dyDescent="0.2">
      <c r="A407" s="561" t="s">
        <v>83</v>
      </c>
      <c r="B407" s="562">
        <v>2021</v>
      </c>
      <c r="C407" s="561" t="s">
        <v>711</v>
      </c>
      <c r="D407" s="561" t="s">
        <v>1007</v>
      </c>
      <c r="E407" s="561" t="s">
        <v>713</v>
      </c>
      <c r="F407" s="563">
        <v>0</v>
      </c>
      <c r="G407" s="564"/>
      <c r="H407" s="561" t="s">
        <v>654</v>
      </c>
      <c r="I407" s="565"/>
      <c r="J407" s="565"/>
      <c r="K407" s="563">
        <v>0</v>
      </c>
      <c r="L407" s="566">
        <v>0</v>
      </c>
    </row>
    <row r="408" spans="1:12" ht="33.75" x14ac:dyDescent="0.2">
      <c r="A408" s="561" t="s">
        <v>83</v>
      </c>
      <c r="B408" s="562">
        <v>2021</v>
      </c>
      <c r="C408" s="561" t="s">
        <v>714</v>
      </c>
      <c r="D408" s="561" t="s">
        <v>1008</v>
      </c>
      <c r="E408" s="561" t="s">
        <v>2</v>
      </c>
      <c r="F408" s="563">
        <v>-13176.05</v>
      </c>
      <c r="G408" s="561" t="s">
        <v>654</v>
      </c>
      <c r="H408" s="564"/>
      <c r="I408" s="563">
        <v>-11968.25</v>
      </c>
      <c r="J408" s="563">
        <v>-1207.80004882813</v>
      </c>
      <c r="K408" s="563">
        <v>-13176.0498046875</v>
      </c>
      <c r="L408" s="566">
        <v>-13176.05</v>
      </c>
    </row>
    <row r="409" spans="1:12" ht="33.75" x14ac:dyDescent="0.2">
      <c r="A409" s="561" t="s">
        <v>83</v>
      </c>
      <c r="B409" s="562">
        <v>2021</v>
      </c>
      <c r="C409" s="561" t="s">
        <v>716</v>
      </c>
      <c r="D409" s="561" t="s">
        <v>1009</v>
      </c>
      <c r="E409" s="561" t="s">
        <v>3</v>
      </c>
      <c r="F409" s="563">
        <v>-2758.79</v>
      </c>
      <c r="G409" s="561" t="s">
        <v>654</v>
      </c>
      <c r="H409" s="564"/>
      <c r="I409" s="563">
        <v>-2031.66003417969</v>
      </c>
      <c r="J409" s="563">
        <v>-727.13000488281295</v>
      </c>
      <c r="K409" s="563">
        <v>-2758.7900390625</v>
      </c>
      <c r="L409" s="566">
        <v>-2758.79</v>
      </c>
    </row>
    <row r="410" spans="1:12" ht="33.75" x14ac:dyDescent="0.2">
      <c r="A410" s="561" t="s">
        <v>83</v>
      </c>
      <c r="B410" s="562">
        <v>2021</v>
      </c>
      <c r="C410" s="561" t="s">
        <v>718</v>
      </c>
      <c r="D410" s="561" t="s">
        <v>1010</v>
      </c>
      <c r="E410" s="561" t="s">
        <v>38</v>
      </c>
      <c r="F410" s="563">
        <v>107511.92</v>
      </c>
      <c r="G410" s="561" t="s">
        <v>654</v>
      </c>
      <c r="H410" s="564"/>
      <c r="I410" s="563">
        <v>105646.0625</v>
      </c>
      <c r="J410" s="563">
        <v>1865.85998535156</v>
      </c>
      <c r="K410" s="563">
        <v>107511.921875</v>
      </c>
      <c r="L410" s="566">
        <v>107511.92</v>
      </c>
    </row>
    <row r="411" spans="1:12" ht="22.5" x14ac:dyDescent="0.2">
      <c r="A411" s="561" t="s">
        <v>83</v>
      </c>
      <c r="B411" s="562">
        <v>2021</v>
      </c>
      <c r="C411" s="561" t="s">
        <v>720</v>
      </c>
      <c r="D411" s="561" t="s">
        <v>1011</v>
      </c>
      <c r="E411" s="561" t="s">
        <v>66</v>
      </c>
      <c r="F411" s="563">
        <v>122898.8</v>
      </c>
      <c r="G411" s="561" t="s">
        <v>654</v>
      </c>
      <c r="H411" s="564"/>
      <c r="I411" s="563">
        <v>118741.671875</v>
      </c>
      <c r="J411" s="563">
        <v>4157.1298828125</v>
      </c>
      <c r="K411" s="563">
        <v>122898.796875</v>
      </c>
      <c r="L411" s="566">
        <v>122898.8</v>
      </c>
    </row>
    <row r="412" spans="1:12" ht="45" x14ac:dyDescent="0.2">
      <c r="A412" s="561" t="s">
        <v>83</v>
      </c>
      <c r="B412" s="562">
        <v>2021</v>
      </c>
      <c r="C412" s="561" t="s">
        <v>722</v>
      </c>
      <c r="D412" s="561" t="s">
        <v>1012</v>
      </c>
      <c r="E412" s="561" t="s">
        <v>724</v>
      </c>
      <c r="F412" s="563">
        <v>0</v>
      </c>
      <c r="G412" s="564"/>
      <c r="H412" s="561" t="s">
        <v>654</v>
      </c>
      <c r="I412" s="565"/>
      <c r="J412" s="565"/>
      <c r="K412" s="563">
        <v>0</v>
      </c>
      <c r="L412" s="566">
        <v>0</v>
      </c>
    </row>
    <row r="413" spans="1:12" ht="45" x14ac:dyDescent="0.2">
      <c r="A413" s="561" t="s">
        <v>83</v>
      </c>
      <c r="B413" s="562">
        <v>2021</v>
      </c>
      <c r="C413" s="561" t="s">
        <v>725</v>
      </c>
      <c r="D413" s="561" t="s">
        <v>1013</v>
      </c>
      <c r="E413" s="561" t="s">
        <v>3024</v>
      </c>
      <c r="F413" s="563">
        <v>0</v>
      </c>
      <c r="G413" s="561" t="s">
        <v>654</v>
      </c>
      <c r="H413" s="564"/>
      <c r="I413" s="563">
        <v>-6852.330078125</v>
      </c>
      <c r="J413" s="563">
        <v>2721.82006835938</v>
      </c>
      <c r="K413" s="563">
        <v>-4130.509765625</v>
      </c>
      <c r="L413" s="566">
        <v>-4130.51</v>
      </c>
    </row>
    <row r="414" spans="1:12" ht="45" x14ac:dyDescent="0.2">
      <c r="A414" s="561" t="s">
        <v>83</v>
      </c>
      <c r="B414" s="562">
        <v>2021</v>
      </c>
      <c r="C414" s="561" t="s">
        <v>725</v>
      </c>
      <c r="D414" s="561" t="s">
        <v>1013</v>
      </c>
      <c r="E414" s="561" t="s">
        <v>3066</v>
      </c>
      <c r="F414" s="563">
        <v>0</v>
      </c>
      <c r="G414" s="561" t="s">
        <v>654</v>
      </c>
      <c r="H414" s="564"/>
      <c r="I414" s="563">
        <v>-2608.25</v>
      </c>
      <c r="J414" s="563">
        <v>296.42999267578102</v>
      </c>
      <c r="K414" s="563">
        <v>-2311.82006835938</v>
      </c>
      <c r="L414" s="566">
        <v>-2311.8200000000002</v>
      </c>
    </row>
    <row r="415" spans="1:12" ht="45" x14ac:dyDescent="0.2">
      <c r="A415" s="561" t="s">
        <v>83</v>
      </c>
      <c r="B415" s="562">
        <v>2021</v>
      </c>
      <c r="C415" s="561" t="s">
        <v>725</v>
      </c>
      <c r="D415" s="561" t="s">
        <v>1014</v>
      </c>
      <c r="E415" s="561" t="s">
        <v>728</v>
      </c>
      <c r="F415" s="563">
        <v>0</v>
      </c>
      <c r="G415" s="561" t="s">
        <v>654</v>
      </c>
      <c r="H415" s="564"/>
      <c r="I415" s="565"/>
      <c r="J415" s="565"/>
      <c r="K415" s="563">
        <v>0</v>
      </c>
      <c r="L415" s="566">
        <v>0</v>
      </c>
    </row>
    <row r="416" spans="1:12" ht="45" x14ac:dyDescent="0.2">
      <c r="A416" s="561" t="s">
        <v>83</v>
      </c>
      <c r="B416" s="562">
        <v>2021</v>
      </c>
      <c r="C416" s="561" t="s">
        <v>725</v>
      </c>
      <c r="D416" s="561" t="s">
        <v>1015</v>
      </c>
      <c r="E416" s="561" t="s">
        <v>55</v>
      </c>
      <c r="F416" s="563">
        <v>0</v>
      </c>
      <c r="G416" s="561" t="s">
        <v>654</v>
      </c>
      <c r="H416" s="564"/>
      <c r="I416" s="565"/>
      <c r="J416" s="565"/>
      <c r="K416" s="563">
        <v>0</v>
      </c>
      <c r="L416" s="566">
        <v>0</v>
      </c>
    </row>
    <row r="417" spans="1:12" ht="45" x14ac:dyDescent="0.2">
      <c r="A417" s="561" t="s">
        <v>83</v>
      </c>
      <c r="B417" s="562">
        <v>2021</v>
      </c>
      <c r="C417" s="561" t="s">
        <v>725</v>
      </c>
      <c r="D417" s="561" t="s">
        <v>1016</v>
      </c>
      <c r="E417" s="561" t="s">
        <v>56</v>
      </c>
      <c r="F417" s="563">
        <v>0</v>
      </c>
      <c r="G417" s="561" t="s">
        <v>654</v>
      </c>
      <c r="H417" s="564"/>
      <c r="I417" s="565"/>
      <c r="J417" s="565"/>
      <c r="K417" s="563">
        <v>0</v>
      </c>
      <c r="L417" s="566">
        <v>0</v>
      </c>
    </row>
    <row r="418" spans="1:12" ht="45" x14ac:dyDescent="0.2">
      <c r="A418" s="561" t="s">
        <v>83</v>
      </c>
      <c r="B418" s="562">
        <v>2021</v>
      </c>
      <c r="C418" s="561" t="s">
        <v>725</v>
      </c>
      <c r="D418" s="561" t="s">
        <v>1017</v>
      </c>
      <c r="E418" s="561" t="s">
        <v>732</v>
      </c>
      <c r="F418" s="563">
        <v>0</v>
      </c>
      <c r="G418" s="561" t="s">
        <v>654</v>
      </c>
      <c r="H418" s="564"/>
      <c r="I418" s="565"/>
      <c r="J418" s="565"/>
      <c r="K418" s="563">
        <v>0</v>
      </c>
      <c r="L418" s="566">
        <v>0</v>
      </c>
    </row>
    <row r="419" spans="1:12" ht="45" x14ac:dyDescent="0.2">
      <c r="A419" s="561" t="s">
        <v>83</v>
      </c>
      <c r="B419" s="562">
        <v>2021</v>
      </c>
      <c r="C419" s="561" t="s">
        <v>725</v>
      </c>
      <c r="D419" s="561" t="s">
        <v>1018</v>
      </c>
      <c r="E419" s="561" t="s">
        <v>734</v>
      </c>
      <c r="F419" s="563">
        <v>0</v>
      </c>
      <c r="G419" s="561" t="s">
        <v>654</v>
      </c>
      <c r="H419" s="564"/>
      <c r="I419" s="565"/>
      <c r="J419" s="565"/>
      <c r="K419" s="563">
        <v>0</v>
      </c>
      <c r="L419" s="566">
        <v>0</v>
      </c>
    </row>
    <row r="420" spans="1:12" ht="45" x14ac:dyDescent="0.2">
      <c r="A420" s="561" t="s">
        <v>83</v>
      </c>
      <c r="B420" s="562">
        <v>2021</v>
      </c>
      <c r="C420" s="561" t="s">
        <v>725</v>
      </c>
      <c r="D420" s="561" t="s">
        <v>1019</v>
      </c>
      <c r="E420" s="561" t="s">
        <v>142</v>
      </c>
      <c r="F420" s="563">
        <v>0</v>
      </c>
      <c r="G420" s="561" t="s">
        <v>654</v>
      </c>
      <c r="H420" s="564"/>
      <c r="I420" s="565"/>
      <c r="J420" s="565"/>
      <c r="K420" s="563">
        <v>0</v>
      </c>
      <c r="L420" s="566">
        <v>0</v>
      </c>
    </row>
    <row r="421" spans="1:12" ht="45" x14ac:dyDescent="0.2">
      <c r="A421" s="561" t="s">
        <v>83</v>
      </c>
      <c r="B421" s="562">
        <v>2021</v>
      </c>
      <c r="C421" s="561" t="s">
        <v>725</v>
      </c>
      <c r="D421" s="561" t="s">
        <v>1020</v>
      </c>
      <c r="E421" s="561" t="s">
        <v>143</v>
      </c>
      <c r="F421" s="563">
        <v>0</v>
      </c>
      <c r="G421" s="561" t="s">
        <v>654</v>
      </c>
      <c r="H421" s="564"/>
      <c r="I421" s="565"/>
      <c r="J421" s="565"/>
      <c r="K421" s="563">
        <v>0</v>
      </c>
      <c r="L421" s="566">
        <v>0</v>
      </c>
    </row>
    <row r="422" spans="1:12" ht="45" x14ac:dyDescent="0.2">
      <c r="A422" s="561" t="s">
        <v>83</v>
      </c>
      <c r="B422" s="562">
        <v>2021</v>
      </c>
      <c r="C422" s="561" t="s">
        <v>725</v>
      </c>
      <c r="D422" s="561" t="s">
        <v>1021</v>
      </c>
      <c r="E422" s="561" t="s">
        <v>182</v>
      </c>
      <c r="F422" s="563">
        <v>0</v>
      </c>
      <c r="G422" s="561" t="s">
        <v>654</v>
      </c>
      <c r="H422" s="564"/>
      <c r="I422" s="565"/>
      <c r="J422" s="565"/>
      <c r="K422" s="563">
        <v>0</v>
      </c>
      <c r="L422" s="566">
        <v>0</v>
      </c>
    </row>
    <row r="423" spans="1:12" ht="45" x14ac:dyDescent="0.2">
      <c r="A423" s="561" t="s">
        <v>83</v>
      </c>
      <c r="B423" s="562">
        <v>2021</v>
      </c>
      <c r="C423" s="561" t="s">
        <v>725</v>
      </c>
      <c r="D423" s="561" t="s">
        <v>1022</v>
      </c>
      <c r="E423" s="561" t="s">
        <v>394</v>
      </c>
      <c r="F423" s="563">
        <v>0</v>
      </c>
      <c r="G423" s="561" t="s">
        <v>654</v>
      </c>
      <c r="H423" s="564"/>
      <c r="I423" s="565"/>
      <c r="J423" s="565"/>
      <c r="K423" s="563">
        <v>0</v>
      </c>
      <c r="L423" s="566">
        <v>0</v>
      </c>
    </row>
    <row r="424" spans="1:12" ht="45" x14ac:dyDescent="0.2">
      <c r="A424" s="561" t="s">
        <v>83</v>
      </c>
      <c r="B424" s="562">
        <v>2021</v>
      </c>
      <c r="C424" s="561" t="s">
        <v>725</v>
      </c>
      <c r="D424" s="561" t="s">
        <v>1023</v>
      </c>
      <c r="E424" s="561" t="s">
        <v>425</v>
      </c>
      <c r="F424" s="563">
        <v>0</v>
      </c>
      <c r="G424" s="561" t="s">
        <v>654</v>
      </c>
      <c r="H424" s="564"/>
      <c r="I424" s="563">
        <v>-8616.1103515625</v>
      </c>
      <c r="J424" s="563">
        <v>-75.449996948242202</v>
      </c>
      <c r="K424" s="563">
        <v>-8691.5595703125</v>
      </c>
      <c r="L424" s="566">
        <v>-8691.56</v>
      </c>
    </row>
    <row r="425" spans="1:12" ht="45" x14ac:dyDescent="0.2">
      <c r="A425" s="561" t="s">
        <v>83</v>
      </c>
      <c r="B425" s="562">
        <v>2021</v>
      </c>
      <c r="C425" s="561" t="s">
        <v>725</v>
      </c>
      <c r="D425" s="561" t="s">
        <v>3087</v>
      </c>
      <c r="E425" s="561" t="s">
        <v>443</v>
      </c>
      <c r="F425" s="563">
        <v>0</v>
      </c>
      <c r="G425" s="561" t="s">
        <v>654</v>
      </c>
      <c r="H425" s="564"/>
      <c r="I425" s="563">
        <v>49091.5703125</v>
      </c>
      <c r="J425" s="563">
        <v>9281.2900390625</v>
      </c>
      <c r="K425" s="563">
        <v>58372.859375</v>
      </c>
      <c r="L425" s="566">
        <v>58372.86</v>
      </c>
    </row>
    <row r="426" spans="1:12" ht="45" x14ac:dyDescent="0.2">
      <c r="A426" s="561" t="s">
        <v>83</v>
      </c>
      <c r="B426" s="562">
        <v>2021</v>
      </c>
      <c r="C426" s="561" t="s">
        <v>725</v>
      </c>
      <c r="D426" s="561" t="s">
        <v>1024</v>
      </c>
      <c r="E426" s="561" t="s">
        <v>741</v>
      </c>
      <c r="F426" s="563">
        <v>43238.97</v>
      </c>
      <c r="G426" s="564"/>
      <c r="H426" s="564"/>
      <c r="I426" s="565"/>
      <c r="J426" s="565"/>
      <c r="K426" s="563">
        <v>0</v>
      </c>
      <c r="L426" s="566">
        <v>43238.97</v>
      </c>
    </row>
    <row r="427" spans="1:12" ht="22.5" x14ac:dyDescent="0.2">
      <c r="A427" s="561" t="s">
        <v>83</v>
      </c>
      <c r="B427" s="562">
        <v>2021</v>
      </c>
      <c r="C427" s="561" t="s">
        <v>742</v>
      </c>
      <c r="D427" s="561" t="s">
        <v>1025</v>
      </c>
      <c r="E427" s="561" t="s">
        <v>7</v>
      </c>
      <c r="F427" s="563">
        <v>0</v>
      </c>
      <c r="G427" s="564"/>
      <c r="H427" s="561" t="s">
        <v>654</v>
      </c>
      <c r="I427" s="565"/>
      <c r="J427" s="565"/>
      <c r="K427" s="563">
        <v>0</v>
      </c>
      <c r="L427" s="566">
        <v>0</v>
      </c>
    </row>
    <row r="428" spans="1:12" ht="22.5" x14ac:dyDescent="0.2">
      <c r="A428" s="561" t="s">
        <v>84</v>
      </c>
      <c r="B428" s="562">
        <v>2021</v>
      </c>
      <c r="C428" s="561" t="s">
        <v>651</v>
      </c>
      <c r="D428" s="561" t="s">
        <v>1026</v>
      </c>
      <c r="E428" s="561" t="s">
        <v>653</v>
      </c>
      <c r="F428" s="563">
        <v>-6558.65</v>
      </c>
      <c r="G428" s="564"/>
      <c r="H428" s="561" t="s">
        <v>654</v>
      </c>
      <c r="I428" s="565"/>
      <c r="J428" s="565"/>
      <c r="K428" s="563">
        <v>0</v>
      </c>
      <c r="L428" s="566">
        <v>-6558.65</v>
      </c>
    </row>
    <row r="429" spans="1:12" ht="22.5" x14ac:dyDescent="0.2">
      <c r="A429" s="561" t="s">
        <v>84</v>
      </c>
      <c r="B429" s="562">
        <v>2021</v>
      </c>
      <c r="C429" s="561" t="s">
        <v>655</v>
      </c>
      <c r="D429" s="561" t="s">
        <v>1027</v>
      </c>
      <c r="E429" s="561" t="s">
        <v>657</v>
      </c>
      <c r="F429" s="563">
        <v>-661.08</v>
      </c>
      <c r="G429" s="564"/>
      <c r="H429" s="561" t="s">
        <v>654</v>
      </c>
      <c r="I429" s="565"/>
      <c r="J429" s="565"/>
      <c r="K429" s="563">
        <v>0</v>
      </c>
      <c r="L429" s="566">
        <v>-661.08</v>
      </c>
    </row>
    <row r="430" spans="1:12" ht="56.25" x14ac:dyDescent="0.2">
      <c r="A430" s="561" t="s">
        <v>84</v>
      </c>
      <c r="B430" s="562">
        <v>2021</v>
      </c>
      <c r="C430" s="561" t="s">
        <v>658</v>
      </c>
      <c r="D430" s="561" t="s">
        <v>1028</v>
      </c>
      <c r="E430" s="561" t="s">
        <v>447</v>
      </c>
      <c r="F430" s="563">
        <v>0</v>
      </c>
      <c r="G430" s="564"/>
      <c r="H430" s="561" t="s">
        <v>654</v>
      </c>
      <c r="I430" s="565"/>
      <c r="J430" s="565"/>
      <c r="K430" s="563">
        <v>0</v>
      </c>
      <c r="L430" s="566">
        <v>0</v>
      </c>
    </row>
    <row r="431" spans="1:12" ht="22.5" x14ac:dyDescent="0.2">
      <c r="A431" s="561" t="s">
        <v>84</v>
      </c>
      <c r="B431" s="562">
        <v>2021</v>
      </c>
      <c r="C431" s="561" t="s">
        <v>660</v>
      </c>
      <c r="D431" s="561" t="s">
        <v>1029</v>
      </c>
      <c r="E431" s="561" t="s">
        <v>662</v>
      </c>
      <c r="F431" s="563">
        <v>0</v>
      </c>
      <c r="G431" s="564"/>
      <c r="H431" s="561" t="s">
        <v>654</v>
      </c>
      <c r="I431" s="565"/>
      <c r="J431" s="565"/>
      <c r="K431" s="563">
        <v>0</v>
      </c>
      <c r="L431" s="566">
        <v>0</v>
      </c>
    </row>
    <row r="432" spans="1:12" ht="33.75" x14ac:dyDescent="0.2">
      <c r="A432" s="561" t="s">
        <v>84</v>
      </c>
      <c r="B432" s="562">
        <v>2021</v>
      </c>
      <c r="C432" s="561" t="s">
        <v>663</v>
      </c>
      <c r="D432" s="561" t="s">
        <v>1030</v>
      </c>
      <c r="E432" s="561" t="s">
        <v>665</v>
      </c>
      <c r="F432" s="563">
        <v>0</v>
      </c>
      <c r="G432" s="564"/>
      <c r="H432" s="561" t="s">
        <v>654</v>
      </c>
      <c r="I432" s="565"/>
      <c r="J432" s="565"/>
      <c r="K432" s="563">
        <v>0</v>
      </c>
      <c r="L432" s="566">
        <v>0</v>
      </c>
    </row>
    <row r="433" spans="1:12" ht="33.75" x14ac:dyDescent="0.2">
      <c r="A433" s="561" t="s">
        <v>84</v>
      </c>
      <c r="B433" s="562">
        <v>2021</v>
      </c>
      <c r="C433" s="561" t="s">
        <v>666</v>
      </c>
      <c r="D433" s="561" t="s">
        <v>1031</v>
      </c>
      <c r="E433" s="561" t="s">
        <v>668</v>
      </c>
      <c r="F433" s="563">
        <v>0</v>
      </c>
      <c r="G433" s="564"/>
      <c r="H433" s="561" t="s">
        <v>654</v>
      </c>
      <c r="I433" s="565"/>
      <c r="J433" s="565"/>
      <c r="K433" s="563">
        <v>0</v>
      </c>
      <c r="L433" s="566">
        <v>0</v>
      </c>
    </row>
    <row r="434" spans="1:12" ht="56.25" x14ac:dyDescent="0.2">
      <c r="A434" s="561" t="s">
        <v>84</v>
      </c>
      <c r="B434" s="562">
        <v>2021</v>
      </c>
      <c r="C434" s="561" t="s">
        <v>669</v>
      </c>
      <c r="D434" s="561" t="s">
        <v>1032</v>
      </c>
      <c r="E434" s="561" t="s">
        <v>671</v>
      </c>
      <c r="F434" s="563">
        <v>0</v>
      </c>
      <c r="G434" s="564"/>
      <c r="H434" s="561" t="s">
        <v>654</v>
      </c>
      <c r="I434" s="565"/>
      <c r="J434" s="565"/>
      <c r="K434" s="563">
        <v>0</v>
      </c>
      <c r="L434" s="566">
        <v>0</v>
      </c>
    </row>
    <row r="435" spans="1:12" ht="22.5" x14ac:dyDescent="0.2">
      <c r="A435" s="561" t="s">
        <v>84</v>
      </c>
      <c r="B435" s="562">
        <v>2021</v>
      </c>
      <c r="C435" s="561" t="s">
        <v>672</v>
      </c>
      <c r="D435" s="561" t="s">
        <v>1033</v>
      </c>
      <c r="E435" s="561" t="s">
        <v>12</v>
      </c>
      <c r="F435" s="563">
        <v>0</v>
      </c>
      <c r="G435" s="564"/>
      <c r="H435" s="561" t="s">
        <v>654</v>
      </c>
      <c r="I435" s="565"/>
      <c r="J435" s="565"/>
      <c r="K435" s="563">
        <v>0</v>
      </c>
      <c r="L435" s="566">
        <v>0</v>
      </c>
    </row>
    <row r="436" spans="1:12" ht="22.5" x14ac:dyDescent="0.2">
      <c r="A436" s="561" t="s">
        <v>84</v>
      </c>
      <c r="B436" s="562">
        <v>2021</v>
      </c>
      <c r="C436" s="561" t="s">
        <v>674</v>
      </c>
      <c r="D436" s="561" t="s">
        <v>1034</v>
      </c>
      <c r="E436" s="561" t="s">
        <v>13</v>
      </c>
      <c r="F436" s="563">
        <v>0</v>
      </c>
      <c r="G436" s="564"/>
      <c r="H436" s="561" t="s">
        <v>654</v>
      </c>
      <c r="I436" s="565"/>
      <c r="J436" s="565"/>
      <c r="K436" s="563">
        <v>0</v>
      </c>
      <c r="L436" s="566">
        <v>0</v>
      </c>
    </row>
    <row r="437" spans="1:12" ht="33.75" x14ac:dyDescent="0.2">
      <c r="A437" s="561" t="s">
        <v>84</v>
      </c>
      <c r="B437" s="562">
        <v>2021</v>
      </c>
      <c r="C437" s="561" t="s">
        <v>676</v>
      </c>
      <c r="D437" s="561" t="s">
        <v>1035</v>
      </c>
      <c r="E437" s="561" t="s">
        <v>15</v>
      </c>
      <c r="F437" s="563">
        <v>0</v>
      </c>
      <c r="G437" s="564"/>
      <c r="H437" s="561" t="s">
        <v>654</v>
      </c>
      <c r="I437" s="565"/>
      <c r="J437" s="565"/>
      <c r="K437" s="563">
        <v>0</v>
      </c>
      <c r="L437" s="566">
        <v>0</v>
      </c>
    </row>
    <row r="438" spans="1:12" ht="22.5" x14ac:dyDescent="0.2">
      <c r="A438" s="561" t="s">
        <v>84</v>
      </c>
      <c r="B438" s="562">
        <v>2021</v>
      </c>
      <c r="C438" s="561" t="s">
        <v>678</v>
      </c>
      <c r="D438" s="561" t="s">
        <v>1036</v>
      </c>
      <c r="E438" s="561" t="s">
        <v>680</v>
      </c>
      <c r="F438" s="563">
        <v>0</v>
      </c>
      <c r="G438" s="564"/>
      <c r="H438" s="561" t="s">
        <v>654</v>
      </c>
      <c r="I438" s="565"/>
      <c r="J438" s="565"/>
      <c r="K438" s="563">
        <v>0</v>
      </c>
      <c r="L438" s="566">
        <v>0</v>
      </c>
    </row>
    <row r="439" spans="1:12" ht="22.5" x14ac:dyDescent="0.2">
      <c r="A439" s="561" t="s">
        <v>84</v>
      </c>
      <c r="B439" s="562">
        <v>2021</v>
      </c>
      <c r="C439" s="561" t="s">
        <v>681</v>
      </c>
      <c r="D439" s="561" t="s">
        <v>1037</v>
      </c>
      <c r="E439" s="561" t="s">
        <v>23</v>
      </c>
      <c r="F439" s="563">
        <v>29882.54</v>
      </c>
      <c r="G439" s="561" t="s">
        <v>654</v>
      </c>
      <c r="H439" s="564"/>
      <c r="I439" s="563">
        <v>27407.30078125</v>
      </c>
      <c r="J439" s="563">
        <v>2475.23999023438</v>
      </c>
      <c r="K439" s="563">
        <v>29882.5390625</v>
      </c>
      <c r="L439" s="566">
        <v>29882.54</v>
      </c>
    </row>
    <row r="440" spans="1:12" ht="33.75" x14ac:dyDescent="0.2">
      <c r="A440" s="561" t="s">
        <v>84</v>
      </c>
      <c r="B440" s="562">
        <v>2021</v>
      </c>
      <c r="C440" s="561" t="s">
        <v>683</v>
      </c>
      <c r="D440" s="561" t="s">
        <v>1038</v>
      </c>
      <c r="E440" s="561" t="s">
        <v>131</v>
      </c>
      <c r="F440" s="563">
        <v>-274.20999999999998</v>
      </c>
      <c r="G440" s="561" t="s">
        <v>654</v>
      </c>
      <c r="H440" s="564"/>
      <c r="I440" s="563">
        <v>-269.69000244140602</v>
      </c>
      <c r="J440" s="563">
        <v>-4.5199999809265101</v>
      </c>
      <c r="K440" s="563">
        <v>-274.20999145507801</v>
      </c>
      <c r="L440" s="566">
        <v>-274.20999999999998</v>
      </c>
    </row>
    <row r="441" spans="1:12" ht="33.75" x14ac:dyDescent="0.2">
      <c r="A441" s="561" t="s">
        <v>84</v>
      </c>
      <c r="B441" s="562">
        <v>2021</v>
      </c>
      <c r="C441" s="561" t="s">
        <v>685</v>
      </c>
      <c r="D441" s="561" t="s">
        <v>1039</v>
      </c>
      <c r="E441" s="561" t="s">
        <v>687</v>
      </c>
      <c r="F441" s="563">
        <v>4438.32</v>
      </c>
      <c r="G441" s="564"/>
      <c r="H441" s="561" t="s">
        <v>654</v>
      </c>
      <c r="I441" s="565"/>
      <c r="J441" s="565"/>
      <c r="K441" s="563">
        <v>0</v>
      </c>
      <c r="L441" s="566">
        <v>4438.32</v>
      </c>
    </row>
    <row r="442" spans="1:12" ht="33.75" x14ac:dyDescent="0.2">
      <c r="A442" s="561" t="s">
        <v>84</v>
      </c>
      <c r="B442" s="562">
        <v>2021</v>
      </c>
      <c r="C442" s="561" t="s">
        <v>685</v>
      </c>
      <c r="D442" s="561" t="s">
        <v>1039</v>
      </c>
      <c r="E442" s="561" t="s">
        <v>688</v>
      </c>
      <c r="F442" s="563">
        <v>4438.32</v>
      </c>
      <c r="G442" s="564"/>
      <c r="H442" s="561" t="s">
        <v>654</v>
      </c>
      <c r="I442" s="565"/>
      <c r="J442" s="565"/>
      <c r="K442" s="563">
        <v>0</v>
      </c>
      <c r="L442" s="566">
        <v>4438.32</v>
      </c>
    </row>
    <row r="443" spans="1:12" ht="22.5" x14ac:dyDescent="0.2">
      <c r="A443" s="561" t="s">
        <v>84</v>
      </c>
      <c r="B443" s="562">
        <v>2021</v>
      </c>
      <c r="C443" s="561" t="s">
        <v>689</v>
      </c>
      <c r="D443" s="561" t="s">
        <v>1040</v>
      </c>
      <c r="E443" s="561" t="s">
        <v>691</v>
      </c>
      <c r="F443" s="563">
        <v>0</v>
      </c>
      <c r="G443" s="564"/>
      <c r="H443" s="561" t="s">
        <v>654</v>
      </c>
      <c r="I443" s="565"/>
      <c r="J443" s="565"/>
      <c r="K443" s="563">
        <v>0</v>
      </c>
      <c r="L443" s="566">
        <v>0</v>
      </c>
    </row>
    <row r="444" spans="1:12" ht="22.5" x14ac:dyDescent="0.2">
      <c r="A444" s="561" t="s">
        <v>84</v>
      </c>
      <c r="B444" s="562">
        <v>2021</v>
      </c>
      <c r="C444" s="561" t="s">
        <v>692</v>
      </c>
      <c r="D444" s="561" t="s">
        <v>1041</v>
      </c>
      <c r="E444" s="561" t="s">
        <v>50</v>
      </c>
      <c r="F444" s="563">
        <v>0</v>
      </c>
      <c r="G444" s="564"/>
      <c r="H444" s="561" t="s">
        <v>654</v>
      </c>
      <c r="I444" s="565"/>
      <c r="J444" s="565"/>
      <c r="K444" s="563">
        <v>0</v>
      </c>
      <c r="L444" s="566">
        <v>0</v>
      </c>
    </row>
    <row r="445" spans="1:12" ht="22.5" x14ac:dyDescent="0.2">
      <c r="A445" s="561" t="s">
        <v>84</v>
      </c>
      <c r="B445" s="562">
        <v>2021</v>
      </c>
      <c r="C445" s="561" t="s">
        <v>694</v>
      </c>
      <c r="D445" s="561" t="s">
        <v>1042</v>
      </c>
      <c r="E445" s="561" t="s">
        <v>696</v>
      </c>
      <c r="F445" s="563">
        <v>0</v>
      </c>
      <c r="G445" s="564"/>
      <c r="H445" s="561" t="s">
        <v>654</v>
      </c>
      <c r="I445" s="565"/>
      <c r="J445" s="565"/>
      <c r="K445" s="563">
        <v>0</v>
      </c>
      <c r="L445" s="566">
        <v>0</v>
      </c>
    </row>
    <row r="446" spans="1:12" ht="22.5" x14ac:dyDescent="0.2">
      <c r="A446" s="561" t="s">
        <v>84</v>
      </c>
      <c r="B446" s="562">
        <v>2021</v>
      </c>
      <c r="C446" s="561" t="s">
        <v>697</v>
      </c>
      <c r="D446" s="561" t="s">
        <v>1043</v>
      </c>
      <c r="E446" s="561" t="s">
        <v>6</v>
      </c>
      <c r="F446" s="563">
        <v>0</v>
      </c>
      <c r="G446" s="564"/>
      <c r="H446" s="561" t="s">
        <v>654</v>
      </c>
      <c r="I446" s="565"/>
      <c r="J446" s="565"/>
      <c r="K446" s="563">
        <v>0</v>
      </c>
      <c r="L446" s="566">
        <v>0</v>
      </c>
    </row>
    <row r="447" spans="1:12" ht="33.75" x14ac:dyDescent="0.2">
      <c r="A447" s="561" t="s">
        <v>84</v>
      </c>
      <c r="B447" s="562">
        <v>2021</v>
      </c>
      <c r="C447" s="561" t="s">
        <v>699</v>
      </c>
      <c r="D447" s="561" t="s">
        <v>1044</v>
      </c>
      <c r="E447" s="561" t="s">
        <v>701</v>
      </c>
      <c r="F447" s="563">
        <v>0</v>
      </c>
      <c r="G447" s="564"/>
      <c r="H447" s="561" t="s">
        <v>654</v>
      </c>
      <c r="I447" s="565"/>
      <c r="J447" s="565"/>
      <c r="K447" s="563">
        <v>0</v>
      </c>
      <c r="L447" s="566">
        <v>0</v>
      </c>
    </row>
    <row r="448" spans="1:12" ht="22.5" x14ac:dyDescent="0.2">
      <c r="A448" s="561" t="s">
        <v>84</v>
      </c>
      <c r="B448" s="562">
        <v>2021</v>
      </c>
      <c r="C448" s="561" t="s">
        <v>702</v>
      </c>
      <c r="D448" s="561" t="s">
        <v>1045</v>
      </c>
      <c r="E448" s="561" t="s">
        <v>704</v>
      </c>
      <c r="F448" s="563">
        <v>33497</v>
      </c>
      <c r="G448" s="564"/>
      <c r="H448" s="561" t="s">
        <v>654</v>
      </c>
      <c r="I448" s="565"/>
      <c r="J448" s="565"/>
      <c r="K448" s="563">
        <v>0</v>
      </c>
      <c r="L448" s="566">
        <v>33497</v>
      </c>
    </row>
    <row r="449" spans="1:12" ht="33.75" x14ac:dyDescent="0.2">
      <c r="A449" s="561" t="s">
        <v>84</v>
      </c>
      <c r="B449" s="562">
        <v>2021</v>
      </c>
      <c r="C449" s="561" t="s">
        <v>705</v>
      </c>
      <c r="D449" s="561" t="s">
        <v>1046</v>
      </c>
      <c r="E449" s="561" t="s">
        <v>1</v>
      </c>
      <c r="F449" s="563">
        <v>-24736.01</v>
      </c>
      <c r="G449" s="561" t="s">
        <v>654</v>
      </c>
      <c r="H449" s="564"/>
      <c r="I449" s="563">
        <v>-23476.4609375</v>
      </c>
      <c r="J449" s="563">
        <v>-1259.55004882813</v>
      </c>
      <c r="K449" s="563">
        <v>-24736.009765625</v>
      </c>
      <c r="L449" s="566">
        <v>-24736.01</v>
      </c>
    </row>
    <row r="450" spans="1:12" ht="22.5" x14ac:dyDescent="0.2">
      <c r="A450" s="561" t="s">
        <v>84</v>
      </c>
      <c r="B450" s="562">
        <v>2021</v>
      </c>
      <c r="C450" s="561" t="s">
        <v>705</v>
      </c>
      <c r="D450" s="561" t="s">
        <v>1046</v>
      </c>
      <c r="E450" s="561" t="s">
        <v>707</v>
      </c>
      <c r="F450" s="563">
        <v>0</v>
      </c>
      <c r="G450" s="564"/>
      <c r="H450" s="564"/>
      <c r="I450" s="565"/>
      <c r="J450" s="565"/>
      <c r="K450" s="563">
        <v>0</v>
      </c>
      <c r="L450" s="566">
        <v>0</v>
      </c>
    </row>
    <row r="451" spans="1:12" ht="22.5" x14ac:dyDescent="0.2">
      <c r="A451" s="561" t="s">
        <v>84</v>
      </c>
      <c r="B451" s="562">
        <v>2021</v>
      </c>
      <c r="C451" s="561" t="s">
        <v>705</v>
      </c>
      <c r="D451" s="561" t="s">
        <v>1046</v>
      </c>
      <c r="E451" s="561" t="s">
        <v>708</v>
      </c>
      <c r="F451" s="563">
        <v>0</v>
      </c>
      <c r="G451" s="564"/>
      <c r="H451" s="564"/>
      <c r="I451" s="565"/>
      <c r="J451" s="565"/>
      <c r="K451" s="563">
        <v>0</v>
      </c>
      <c r="L451" s="566">
        <v>0</v>
      </c>
    </row>
    <row r="452" spans="1:12" ht="22.5" x14ac:dyDescent="0.2">
      <c r="A452" s="561" t="s">
        <v>84</v>
      </c>
      <c r="B452" s="562">
        <v>2021</v>
      </c>
      <c r="C452" s="561" t="s">
        <v>705</v>
      </c>
      <c r="D452" s="561" t="s">
        <v>1046</v>
      </c>
      <c r="E452" s="561" t="s">
        <v>709</v>
      </c>
      <c r="F452" s="563">
        <v>-85.83</v>
      </c>
      <c r="G452" s="564"/>
      <c r="H452" s="564"/>
      <c r="I452" s="565"/>
      <c r="J452" s="565"/>
      <c r="K452" s="563">
        <v>0</v>
      </c>
      <c r="L452" s="566">
        <v>-85.83</v>
      </c>
    </row>
    <row r="453" spans="1:12" ht="22.5" x14ac:dyDescent="0.2">
      <c r="A453" s="561" t="s">
        <v>84</v>
      </c>
      <c r="B453" s="562">
        <v>2021</v>
      </c>
      <c r="C453" s="561" t="s">
        <v>705</v>
      </c>
      <c r="D453" s="561" t="s">
        <v>1046</v>
      </c>
      <c r="E453" s="561" t="s">
        <v>710</v>
      </c>
      <c r="F453" s="563">
        <v>-3906.06</v>
      </c>
      <c r="G453" s="564"/>
      <c r="H453" s="564"/>
      <c r="I453" s="565"/>
      <c r="J453" s="565"/>
      <c r="K453" s="563">
        <v>0</v>
      </c>
      <c r="L453" s="566">
        <v>-3906.06</v>
      </c>
    </row>
    <row r="454" spans="1:12" ht="22.5" x14ac:dyDescent="0.2">
      <c r="A454" s="561" t="s">
        <v>84</v>
      </c>
      <c r="B454" s="562">
        <v>2021</v>
      </c>
      <c r="C454" s="561" t="s">
        <v>711</v>
      </c>
      <c r="D454" s="561" t="s">
        <v>1047</v>
      </c>
      <c r="E454" s="561" t="s">
        <v>713</v>
      </c>
      <c r="F454" s="563">
        <v>0</v>
      </c>
      <c r="G454" s="564"/>
      <c r="H454" s="561" t="s">
        <v>654</v>
      </c>
      <c r="I454" s="565"/>
      <c r="J454" s="565"/>
      <c r="K454" s="563">
        <v>0</v>
      </c>
      <c r="L454" s="566">
        <v>0</v>
      </c>
    </row>
    <row r="455" spans="1:12" ht="33.75" x14ac:dyDescent="0.2">
      <c r="A455" s="561" t="s">
        <v>84</v>
      </c>
      <c r="B455" s="562">
        <v>2021</v>
      </c>
      <c r="C455" s="561" t="s">
        <v>714</v>
      </c>
      <c r="D455" s="561" t="s">
        <v>1048</v>
      </c>
      <c r="E455" s="561" t="s">
        <v>2</v>
      </c>
      <c r="F455" s="563">
        <v>9357.23</v>
      </c>
      <c r="G455" s="561" t="s">
        <v>654</v>
      </c>
      <c r="H455" s="564"/>
      <c r="I455" s="563">
        <v>9288.6796875</v>
      </c>
      <c r="J455" s="563">
        <v>68.550003051757798</v>
      </c>
      <c r="K455" s="563">
        <v>9357.23046875</v>
      </c>
      <c r="L455" s="566">
        <v>9357.23</v>
      </c>
    </row>
    <row r="456" spans="1:12" ht="33.75" x14ac:dyDescent="0.2">
      <c r="A456" s="561" t="s">
        <v>84</v>
      </c>
      <c r="B456" s="562">
        <v>2021</v>
      </c>
      <c r="C456" s="561" t="s">
        <v>716</v>
      </c>
      <c r="D456" s="561" t="s">
        <v>1049</v>
      </c>
      <c r="E456" s="561" t="s">
        <v>3</v>
      </c>
      <c r="F456" s="563">
        <v>5422.44</v>
      </c>
      <c r="G456" s="561" t="s">
        <v>654</v>
      </c>
      <c r="H456" s="564"/>
      <c r="I456" s="563">
        <v>5268.52001953125</v>
      </c>
      <c r="J456" s="563">
        <v>153.919998168945</v>
      </c>
      <c r="K456" s="563">
        <v>5422.43994140625</v>
      </c>
      <c r="L456" s="566">
        <v>5422.44</v>
      </c>
    </row>
    <row r="457" spans="1:12" ht="33.75" x14ac:dyDescent="0.2">
      <c r="A457" s="561" t="s">
        <v>84</v>
      </c>
      <c r="B457" s="562">
        <v>2021</v>
      </c>
      <c r="C457" s="561" t="s">
        <v>718</v>
      </c>
      <c r="D457" s="561" t="s">
        <v>1050</v>
      </c>
      <c r="E457" s="561" t="s">
        <v>38</v>
      </c>
      <c r="F457" s="563">
        <v>-3273.54</v>
      </c>
      <c r="G457" s="561" t="s">
        <v>654</v>
      </c>
      <c r="H457" s="564"/>
      <c r="I457" s="563">
        <v>-3383.26000976563</v>
      </c>
      <c r="J457" s="563">
        <v>109.720001220703</v>
      </c>
      <c r="K457" s="563">
        <v>-3273.5400390625</v>
      </c>
      <c r="L457" s="566">
        <v>-3273.54</v>
      </c>
    </row>
    <row r="458" spans="1:12" ht="22.5" x14ac:dyDescent="0.2">
      <c r="A458" s="561" t="s">
        <v>84</v>
      </c>
      <c r="B458" s="562">
        <v>2021</v>
      </c>
      <c r="C458" s="561" t="s">
        <v>720</v>
      </c>
      <c r="D458" s="561" t="s">
        <v>1051</v>
      </c>
      <c r="E458" s="561" t="s">
        <v>66</v>
      </c>
      <c r="F458" s="563">
        <v>24406.78</v>
      </c>
      <c r="G458" s="561" t="s">
        <v>654</v>
      </c>
      <c r="H458" s="564"/>
      <c r="I458" s="563">
        <v>24301.150390625</v>
      </c>
      <c r="J458" s="563">
        <v>105.629997253418</v>
      </c>
      <c r="K458" s="563">
        <v>24406.779296875</v>
      </c>
      <c r="L458" s="566">
        <v>24406.78</v>
      </c>
    </row>
    <row r="459" spans="1:12" ht="45" x14ac:dyDescent="0.2">
      <c r="A459" s="561" t="s">
        <v>84</v>
      </c>
      <c r="B459" s="562">
        <v>2021</v>
      </c>
      <c r="C459" s="561" t="s">
        <v>722</v>
      </c>
      <c r="D459" s="561" t="s">
        <v>1052</v>
      </c>
      <c r="E459" s="561" t="s">
        <v>724</v>
      </c>
      <c r="F459" s="563">
        <v>0</v>
      </c>
      <c r="G459" s="564"/>
      <c r="H459" s="561" t="s">
        <v>654</v>
      </c>
      <c r="I459" s="565"/>
      <c r="J459" s="565"/>
      <c r="K459" s="563">
        <v>0</v>
      </c>
      <c r="L459" s="566">
        <v>0</v>
      </c>
    </row>
    <row r="460" spans="1:12" ht="45" x14ac:dyDescent="0.2">
      <c r="A460" s="561" t="s">
        <v>84</v>
      </c>
      <c r="B460" s="562">
        <v>2021</v>
      </c>
      <c r="C460" s="561" t="s">
        <v>725</v>
      </c>
      <c r="D460" s="561" t="s">
        <v>1053</v>
      </c>
      <c r="E460" s="561" t="s">
        <v>3024</v>
      </c>
      <c r="F460" s="563">
        <v>0</v>
      </c>
      <c r="G460" s="561" t="s">
        <v>654</v>
      </c>
      <c r="H460" s="564"/>
      <c r="I460" s="563">
        <v>-16856.890625</v>
      </c>
      <c r="J460" s="563">
        <v>6585.06982421875</v>
      </c>
      <c r="K460" s="563">
        <v>-10271.8203125</v>
      </c>
      <c r="L460" s="566">
        <v>-10271.82</v>
      </c>
    </row>
    <row r="461" spans="1:12" ht="45" x14ac:dyDescent="0.2">
      <c r="A461" s="561" t="s">
        <v>84</v>
      </c>
      <c r="B461" s="562">
        <v>2021</v>
      </c>
      <c r="C461" s="561" t="s">
        <v>725</v>
      </c>
      <c r="D461" s="561" t="s">
        <v>1053</v>
      </c>
      <c r="E461" s="561" t="s">
        <v>3066</v>
      </c>
      <c r="F461" s="563">
        <v>0</v>
      </c>
      <c r="G461" s="561" t="s">
        <v>654</v>
      </c>
      <c r="H461" s="564"/>
      <c r="I461" s="563">
        <v>54771.9296875</v>
      </c>
      <c r="J461" s="563">
        <v>9992.0302734375</v>
      </c>
      <c r="K461" s="563">
        <v>64763.9609375</v>
      </c>
      <c r="L461" s="566">
        <v>64763.96</v>
      </c>
    </row>
    <row r="462" spans="1:12" ht="45" x14ac:dyDescent="0.2">
      <c r="A462" s="561" t="s">
        <v>84</v>
      </c>
      <c r="B462" s="562">
        <v>2021</v>
      </c>
      <c r="C462" s="561" t="s">
        <v>725</v>
      </c>
      <c r="D462" s="561" t="s">
        <v>1054</v>
      </c>
      <c r="E462" s="561" t="s">
        <v>728</v>
      </c>
      <c r="F462" s="563">
        <v>0</v>
      </c>
      <c r="G462" s="561" t="s">
        <v>654</v>
      </c>
      <c r="H462" s="564"/>
      <c r="I462" s="565"/>
      <c r="J462" s="565"/>
      <c r="K462" s="563">
        <v>0</v>
      </c>
      <c r="L462" s="566">
        <v>0</v>
      </c>
    </row>
    <row r="463" spans="1:12" ht="45" x14ac:dyDescent="0.2">
      <c r="A463" s="561" t="s">
        <v>84</v>
      </c>
      <c r="B463" s="562">
        <v>2021</v>
      </c>
      <c r="C463" s="561" t="s">
        <v>725</v>
      </c>
      <c r="D463" s="561" t="s">
        <v>1055</v>
      </c>
      <c r="E463" s="561" t="s">
        <v>55</v>
      </c>
      <c r="F463" s="563">
        <v>0</v>
      </c>
      <c r="G463" s="561" t="s">
        <v>654</v>
      </c>
      <c r="H463" s="564"/>
      <c r="I463" s="565"/>
      <c r="J463" s="565"/>
      <c r="K463" s="563">
        <v>0</v>
      </c>
      <c r="L463" s="566">
        <v>0</v>
      </c>
    </row>
    <row r="464" spans="1:12" ht="45" x14ac:dyDescent="0.2">
      <c r="A464" s="561" t="s">
        <v>84</v>
      </c>
      <c r="B464" s="562">
        <v>2021</v>
      </c>
      <c r="C464" s="561" t="s">
        <v>725</v>
      </c>
      <c r="D464" s="561" t="s">
        <v>1056</v>
      </c>
      <c r="E464" s="561" t="s">
        <v>56</v>
      </c>
      <c r="F464" s="563">
        <v>0</v>
      </c>
      <c r="G464" s="561" t="s">
        <v>654</v>
      </c>
      <c r="H464" s="564"/>
      <c r="I464" s="565"/>
      <c r="J464" s="565"/>
      <c r="K464" s="563">
        <v>0</v>
      </c>
      <c r="L464" s="566">
        <v>0</v>
      </c>
    </row>
    <row r="465" spans="1:12" ht="45" x14ac:dyDescent="0.2">
      <c r="A465" s="561" t="s">
        <v>84</v>
      </c>
      <c r="B465" s="562">
        <v>2021</v>
      </c>
      <c r="C465" s="561" t="s">
        <v>725</v>
      </c>
      <c r="D465" s="561" t="s">
        <v>1057</v>
      </c>
      <c r="E465" s="561" t="s">
        <v>732</v>
      </c>
      <c r="F465" s="563">
        <v>0</v>
      </c>
      <c r="G465" s="561" t="s">
        <v>654</v>
      </c>
      <c r="H465" s="564"/>
      <c r="I465" s="565"/>
      <c r="J465" s="565"/>
      <c r="K465" s="563">
        <v>0</v>
      </c>
      <c r="L465" s="566">
        <v>0</v>
      </c>
    </row>
    <row r="466" spans="1:12" ht="45" x14ac:dyDescent="0.2">
      <c r="A466" s="561" t="s">
        <v>84</v>
      </c>
      <c r="B466" s="562">
        <v>2021</v>
      </c>
      <c r="C466" s="561" t="s">
        <v>725</v>
      </c>
      <c r="D466" s="561" t="s">
        <v>1058</v>
      </c>
      <c r="E466" s="561" t="s">
        <v>734</v>
      </c>
      <c r="F466" s="563">
        <v>0</v>
      </c>
      <c r="G466" s="561" t="s">
        <v>654</v>
      </c>
      <c r="H466" s="564"/>
      <c r="I466" s="565"/>
      <c r="J466" s="565"/>
      <c r="K466" s="563">
        <v>0</v>
      </c>
      <c r="L466" s="566">
        <v>0</v>
      </c>
    </row>
    <row r="467" spans="1:12" ht="45" x14ac:dyDescent="0.2">
      <c r="A467" s="561" t="s">
        <v>84</v>
      </c>
      <c r="B467" s="562">
        <v>2021</v>
      </c>
      <c r="C467" s="561" t="s">
        <v>725</v>
      </c>
      <c r="D467" s="561" t="s">
        <v>1059</v>
      </c>
      <c r="E467" s="561" t="s">
        <v>142</v>
      </c>
      <c r="F467" s="563">
        <v>0</v>
      </c>
      <c r="G467" s="561" t="s">
        <v>654</v>
      </c>
      <c r="H467" s="564"/>
      <c r="I467" s="565"/>
      <c r="J467" s="565"/>
      <c r="K467" s="563">
        <v>0</v>
      </c>
      <c r="L467" s="566">
        <v>0</v>
      </c>
    </row>
    <row r="468" spans="1:12" ht="45" x14ac:dyDescent="0.2">
      <c r="A468" s="561" t="s">
        <v>84</v>
      </c>
      <c r="B468" s="562">
        <v>2021</v>
      </c>
      <c r="C468" s="561" t="s">
        <v>725</v>
      </c>
      <c r="D468" s="561" t="s">
        <v>1060</v>
      </c>
      <c r="E468" s="561" t="s">
        <v>143</v>
      </c>
      <c r="F468" s="563">
        <v>0</v>
      </c>
      <c r="G468" s="561" t="s">
        <v>654</v>
      </c>
      <c r="H468" s="564"/>
      <c r="I468" s="565"/>
      <c r="J468" s="565"/>
      <c r="K468" s="563">
        <v>0</v>
      </c>
      <c r="L468" s="566">
        <v>0</v>
      </c>
    </row>
    <row r="469" spans="1:12" ht="45" x14ac:dyDescent="0.2">
      <c r="A469" s="561" t="s">
        <v>84</v>
      </c>
      <c r="B469" s="562">
        <v>2021</v>
      </c>
      <c r="C469" s="561" t="s">
        <v>725</v>
      </c>
      <c r="D469" s="561" t="s">
        <v>1061</v>
      </c>
      <c r="E469" s="561" t="s">
        <v>182</v>
      </c>
      <c r="F469" s="563">
        <v>0</v>
      </c>
      <c r="G469" s="561" t="s">
        <v>654</v>
      </c>
      <c r="H469" s="564"/>
      <c r="I469" s="565"/>
      <c r="J469" s="565"/>
      <c r="K469" s="563">
        <v>0</v>
      </c>
      <c r="L469" s="566">
        <v>0</v>
      </c>
    </row>
    <row r="470" spans="1:12" ht="45" x14ac:dyDescent="0.2">
      <c r="A470" s="561" t="s">
        <v>84</v>
      </c>
      <c r="B470" s="562">
        <v>2021</v>
      </c>
      <c r="C470" s="561" t="s">
        <v>725</v>
      </c>
      <c r="D470" s="561" t="s">
        <v>1062</v>
      </c>
      <c r="E470" s="561" t="s">
        <v>394</v>
      </c>
      <c r="F470" s="563">
        <v>0</v>
      </c>
      <c r="G470" s="561" t="s">
        <v>654</v>
      </c>
      <c r="H470" s="564"/>
      <c r="I470" s="565"/>
      <c r="J470" s="565"/>
      <c r="K470" s="563">
        <v>0</v>
      </c>
      <c r="L470" s="566">
        <v>0</v>
      </c>
    </row>
    <row r="471" spans="1:12" ht="45" x14ac:dyDescent="0.2">
      <c r="A471" s="561" t="s">
        <v>84</v>
      </c>
      <c r="B471" s="562">
        <v>2021</v>
      </c>
      <c r="C471" s="561" t="s">
        <v>725</v>
      </c>
      <c r="D471" s="561" t="s">
        <v>1063</v>
      </c>
      <c r="E471" s="561" t="s">
        <v>425</v>
      </c>
      <c r="F471" s="563">
        <v>0</v>
      </c>
      <c r="G471" s="561" t="s">
        <v>654</v>
      </c>
      <c r="H471" s="564"/>
      <c r="I471" s="565"/>
      <c r="J471" s="565"/>
      <c r="K471" s="563">
        <v>0</v>
      </c>
      <c r="L471" s="566">
        <v>0</v>
      </c>
    </row>
    <row r="472" spans="1:12" ht="45" x14ac:dyDescent="0.2">
      <c r="A472" s="561" t="s">
        <v>84</v>
      </c>
      <c r="B472" s="562">
        <v>2021</v>
      </c>
      <c r="C472" s="561" t="s">
        <v>725</v>
      </c>
      <c r="D472" s="561" t="s">
        <v>3088</v>
      </c>
      <c r="E472" s="561" t="s">
        <v>443</v>
      </c>
      <c r="F472" s="563">
        <v>0</v>
      </c>
      <c r="G472" s="561" t="s">
        <v>654</v>
      </c>
      <c r="H472" s="564"/>
      <c r="I472" s="565"/>
      <c r="J472" s="565"/>
      <c r="K472" s="563">
        <v>0</v>
      </c>
      <c r="L472" s="566">
        <v>0</v>
      </c>
    </row>
    <row r="473" spans="1:12" ht="45" x14ac:dyDescent="0.2">
      <c r="A473" s="561" t="s">
        <v>84</v>
      </c>
      <c r="B473" s="562">
        <v>2021</v>
      </c>
      <c r="C473" s="561" t="s">
        <v>725</v>
      </c>
      <c r="D473" s="561" t="s">
        <v>1064</v>
      </c>
      <c r="E473" s="561" t="s">
        <v>741</v>
      </c>
      <c r="F473" s="563">
        <v>54492.14</v>
      </c>
      <c r="G473" s="564"/>
      <c r="H473" s="564"/>
      <c r="I473" s="565"/>
      <c r="J473" s="565"/>
      <c r="K473" s="563">
        <v>0</v>
      </c>
      <c r="L473" s="566">
        <v>54492.14</v>
      </c>
    </row>
    <row r="474" spans="1:12" ht="22.5" x14ac:dyDescent="0.2">
      <c r="A474" s="561" t="s">
        <v>84</v>
      </c>
      <c r="B474" s="562">
        <v>2021</v>
      </c>
      <c r="C474" s="561" t="s">
        <v>742</v>
      </c>
      <c r="D474" s="561" t="s">
        <v>1065</v>
      </c>
      <c r="E474" s="561" t="s">
        <v>7</v>
      </c>
      <c r="F474" s="563">
        <v>0</v>
      </c>
      <c r="G474" s="564"/>
      <c r="H474" s="561" t="s">
        <v>654</v>
      </c>
      <c r="I474" s="565"/>
      <c r="J474" s="565"/>
      <c r="K474" s="563">
        <v>0</v>
      </c>
      <c r="L474" s="566">
        <v>0</v>
      </c>
    </row>
    <row r="475" spans="1:12" ht="22.5" x14ac:dyDescent="0.2">
      <c r="A475" s="561" t="s">
        <v>85</v>
      </c>
      <c r="B475" s="562">
        <v>2021</v>
      </c>
      <c r="C475" s="561" t="s">
        <v>651</v>
      </c>
      <c r="D475" s="561" t="s">
        <v>1066</v>
      </c>
      <c r="E475" s="561" t="s">
        <v>653</v>
      </c>
      <c r="F475" s="563">
        <v>-10480.370000000001</v>
      </c>
      <c r="G475" s="564"/>
      <c r="H475" s="561" t="s">
        <v>654</v>
      </c>
      <c r="I475" s="565"/>
      <c r="J475" s="565"/>
      <c r="K475" s="563">
        <v>0</v>
      </c>
      <c r="L475" s="566">
        <v>-10480.370000000001</v>
      </c>
    </row>
    <row r="476" spans="1:12" ht="22.5" x14ac:dyDescent="0.2">
      <c r="A476" s="561" t="s">
        <v>85</v>
      </c>
      <c r="B476" s="562">
        <v>2021</v>
      </c>
      <c r="C476" s="561" t="s">
        <v>655</v>
      </c>
      <c r="D476" s="561" t="s">
        <v>1067</v>
      </c>
      <c r="E476" s="561" t="s">
        <v>657</v>
      </c>
      <c r="F476" s="563">
        <v>0</v>
      </c>
      <c r="G476" s="564"/>
      <c r="H476" s="561" t="s">
        <v>654</v>
      </c>
      <c r="I476" s="565"/>
      <c r="J476" s="565"/>
      <c r="K476" s="563">
        <v>0</v>
      </c>
      <c r="L476" s="566">
        <v>0</v>
      </c>
    </row>
    <row r="477" spans="1:12" ht="56.25" x14ac:dyDescent="0.2">
      <c r="A477" s="561" t="s">
        <v>85</v>
      </c>
      <c r="B477" s="562">
        <v>2021</v>
      </c>
      <c r="C477" s="561" t="s">
        <v>658</v>
      </c>
      <c r="D477" s="561" t="s">
        <v>1068</v>
      </c>
      <c r="E477" s="561" t="s">
        <v>447</v>
      </c>
      <c r="F477" s="563">
        <v>0</v>
      </c>
      <c r="G477" s="564"/>
      <c r="H477" s="561" t="s">
        <v>654</v>
      </c>
      <c r="I477" s="565"/>
      <c r="J477" s="565"/>
      <c r="K477" s="563">
        <v>0</v>
      </c>
      <c r="L477" s="566">
        <v>0</v>
      </c>
    </row>
    <row r="478" spans="1:12" ht="22.5" x14ac:dyDescent="0.2">
      <c r="A478" s="561" t="s">
        <v>85</v>
      </c>
      <c r="B478" s="562">
        <v>2021</v>
      </c>
      <c r="C478" s="561" t="s">
        <v>660</v>
      </c>
      <c r="D478" s="561" t="s">
        <v>1069</v>
      </c>
      <c r="E478" s="561" t="s">
        <v>662</v>
      </c>
      <c r="F478" s="563">
        <v>0</v>
      </c>
      <c r="G478" s="564"/>
      <c r="H478" s="561" t="s">
        <v>654</v>
      </c>
      <c r="I478" s="565"/>
      <c r="J478" s="565"/>
      <c r="K478" s="563">
        <v>0</v>
      </c>
      <c r="L478" s="566">
        <v>0</v>
      </c>
    </row>
    <row r="479" spans="1:12" ht="33.75" x14ac:dyDescent="0.2">
      <c r="A479" s="561" t="s">
        <v>85</v>
      </c>
      <c r="B479" s="562">
        <v>2021</v>
      </c>
      <c r="C479" s="561" t="s">
        <v>663</v>
      </c>
      <c r="D479" s="561" t="s">
        <v>1070</v>
      </c>
      <c r="E479" s="561" t="s">
        <v>665</v>
      </c>
      <c r="F479" s="563">
        <v>0</v>
      </c>
      <c r="G479" s="564"/>
      <c r="H479" s="561" t="s">
        <v>654</v>
      </c>
      <c r="I479" s="565"/>
      <c r="J479" s="565"/>
      <c r="K479" s="563">
        <v>0</v>
      </c>
      <c r="L479" s="566">
        <v>0</v>
      </c>
    </row>
    <row r="480" spans="1:12" ht="33.75" x14ac:dyDescent="0.2">
      <c r="A480" s="561" t="s">
        <v>85</v>
      </c>
      <c r="B480" s="562">
        <v>2021</v>
      </c>
      <c r="C480" s="561" t="s">
        <v>666</v>
      </c>
      <c r="D480" s="561" t="s">
        <v>1071</v>
      </c>
      <c r="E480" s="561" t="s">
        <v>668</v>
      </c>
      <c r="F480" s="563">
        <v>0</v>
      </c>
      <c r="G480" s="564"/>
      <c r="H480" s="561" t="s">
        <v>654</v>
      </c>
      <c r="I480" s="565"/>
      <c r="J480" s="565"/>
      <c r="K480" s="563">
        <v>0</v>
      </c>
      <c r="L480" s="566">
        <v>0</v>
      </c>
    </row>
    <row r="481" spans="1:12" ht="56.25" x14ac:dyDescent="0.2">
      <c r="A481" s="561" t="s">
        <v>85</v>
      </c>
      <c r="B481" s="562">
        <v>2021</v>
      </c>
      <c r="C481" s="561" t="s">
        <v>669</v>
      </c>
      <c r="D481" s="561" t="s">
        <v>1072</v>
      </c>
      <c r="E481" s="561" t="s">
        <v>671</v>
      </c>
      <c r="F481" s="563">
        <v>0</v>
      </c>
      <c r="G481" s="564"/>
      <c r="H481" s="561" t="s">
        <v>654</v>
      </c>
      <c r="I481" s="565"/>
      <c r="J481" s="565"/>
      <c r="K481" s="563">
        <v>0</v>
      </c>
      <c r="L481" s="566">
        <v>0</v>
      </c>
    </row>
    <row r="482" spans="1:12" ht="22.5" x14ac:dyDescent="0.2">
      <c r="A482" s="561" t="s">
        <v>85</v>
      </c>
      <c r="B482" s="562">
        <v>2021</v>
      </c>
      <c r="C482" s="561" t="s">
        <v>672</v>
      </c>
      <c r="D482" s="561" t="s">
        <v>1073</v>
      </c>
      <c r="E482" s="561" t="s">
        <v>12</v>
      </c>
      <c r="F482" s="563">
        <v>0</v>
      </c>
      <c r="G482" s="564"/>
      <c r="H482" s="561" t="s">
        <v>654</v>
      </c>
      <c r="I482" s="565"/>
      <c r="J482" s="565"/>
      <c r="K482" s="563">
        <v>0</v>
      </c>
      <c r="L482" s="566">
        <v>0</v>
      </c>
    </row>
    <row r="483" spans="1:12" ht="22.5" x14ac:dyDescent="0.2">
      <c r="A483" s="561" t="s">
        <v>85</v>
      </c>
      <c r="B483" s="562">
        <v>2021</v>
      </c>
      <c r="C483" s="561" t="s">
        <v>674</v>
      </c>
      <c r="D483" s="561" t="s">
        <v>1074</v>
      </c>
      <c r="E483" s="561" t="s">
        <v>13</v>
      </c>
      <c r="F483" s="563">
        <v>0</v>
      </c>
      <c r="G483" s="564"/>
      <c r="H483" s="561" t="s">
        <v>654</v>
      </c>
      <c r="I483" s="565"/>
      <c r="J483" s="565"/>
      <c r="K483" s="563">
        <v>0</v>
      </c>
      <c r="L483" s="566">
        <v>0</v>
      </c>
    </row>
    <row r="484" spans="1:12" ht="33.75" x14ac:dyDescent="0.2">
      <c r="A484" s="561" t="s">
        <v>85</v>
      </c>
      <c r="B484" s="562">
        <v>2021</v>
      </c>
      <c r="C484" s="561" t="s">
        <v>676</v>
      </c>
      <c r="D484" s="561" t="s">
        <v>1075</v>
      </c>
      <c r="E484" s="561" t="s">
        <v>15</v>
      </c>
      <c r="F484" s="563">
        <v>0</v>
      </c>
      <c r="G484" s="564"/>
      <c r="H484" s="561" t="s">
        <v>654</v>
      </c>
      <c r="I484" s="565"/>
      <c r="J484" s="565"/>
      <c r="K484" s="563">
        <v>0</v>
      </c>
      <c r="L484" s="566">
        <v>0</v>
      </c>
    </row>
    <row r="485" spans="1:12" ht="22.5" x14ac:dyDescent="0.2">
      <c r="A485" s="561" t="s">
        <v>85</v>
      </c>
      <c r="B485" s="562">
        <v>2021</v>
      </c>
      <c r="C485" s="561" t="s">
        <v>678</v>
      </c>
      <c r="D485" s="561" t="s">
        <v>1076</v>
      </c>
      <c r="E485" s="561" t="s">
        <v>680</v>
      </c>
      <c r="F485" s="563">
        <v>0</v>
      </c>
      <c r="G485" s="564"/>
      <c r="H485" s="561" t="s">
        <v>654</v>
      </c>
      <c r="I485" s="565"/>
      <c r="J485" s="565"/>
      <c r="K485" s="563">
        <v>0</v>
      </c>
      <c r="L485" s="566">
        <v>0</v>
      </c>
    </row>
    <row r="486" spans="1:12" ht="22.5" x14ac:dyDescent="0.2">
      <c r="A486" s="561" t="s">
        <v>85</v>
      </c>
      <c r="B486" s="562">
        <v>2021</v>
      </c>
      <c r="C486" s="561" t="s">
        <v>681</v>
      </c>
      <c r="D486" s="561" t="s">
        <v>1077</v>
      </c>
      <c r="E486" s="561" t="s">
        <v>23</v>
      </c>
      <c r="F486" s="563">
        <v>28122.97</v>
      </c>
      <c r="G486" s="561" t="s">
        <v>654</v>
      </c>
      <c r="H486" s="564"/>
      <c r="I486" s="563">
        <v>27402.19921875</v>
      </c>
      <c r="J486" s="563">
        <v>720.77001953125</v>
      </c>
      <c r="K486" s="563">
        <v>28122.970703125</v>
      </c>
      <c r="L486" s="566">
        <v>28122.97</v>
      </c>
    </row>
    <row r="487" spans="1:12" ht="33.75" x14ac:dyDescent="0.2">
      <c r="A487" s="561" t="s">
        <v>85</v>
      </c>
      <c r="B487" s="562">
        <v>2021</v>
      </c>
      <c r="C487" s="561" t="s">
        <v>683</v>
      </c>
      <c r="D487" s="561" t="s">
        <v>1078</v>
      </c>
      <c r="E487" s="561" t="s">
        <v>131</v>
      </c>
      <c r="F487" s="563">
        <v>-3800.81</v>
      </c>
      <c r="G487" s="561" t="s">
        <v>654</v>
      </c>
      <c r="H487" s="564"/>
      <c r="I487" s="563">
        <v>-3706.169921875</v>
      </c>
      <c r="J487" s="563">
        <v>-94.639999389648395</v>
      </c>
      <c r="K487" s="563">
        <v>-3800.81005859375</v>
      </c>
      <c r="L487" s="566">
        <v>-3800.81</v>
      </c>
    </row>
    <row r="488" spans="1:12" ht="33.75" x14ac:dyDescent="0.2">
      <c r="A488" s="561" t="s">
        <v>85</v>
      </c>
      <c r="B488" s="562">
        <v>2021</v>
      </c>
      <c r="C488" s="561" t="s">
        <v>685</v>
      </c>
      <c r="D488" s="561" t="s">
        <v>1079</v>
      </c>
      <c r="E488" s="561" t="s">
        <v>687</v>
      </c>
      <c r="F488" s="563">
        <v>0</v>
      </c>
      <c r="G488" s="564"/>
      <c r="H488" s="561" t="s">
        <v>654</v>
      </c>
      <c r="I488" s="565"/>
      <c r="J488" s="565"/>
      <c r="K488" s="563">
        <v>0</v>
      </c>
      <c r="L488" s="566">
        <v>0</v>
      </c>
    </row>
    <row r="489" spans="1:12" ht="33.75" x14ac:dyDescent="0.2">
      <c r="A489" s="561" t="s">
        <v>85</v>
      </c>
      <c r="B489" s="562">
        <v>2021</v>
      </c>
      <c r="C489" s="561" t="s">
        <v>685</v>
      </c>
      <c r="D489" s="561" t="s">
        <v>1079</v>
      </c>
      <c r="E489" s="561" t="s">
        <v>688</v>
      </c>
      <c r="F489" s="563">
        <v>0</v>
      </c>
      <c r="G489" s="564"/>
      <c r="H489" s="561" t="s">
        <v>654</v>
      </c>
      <c r="I489" s="565"/>
      <c r="J489" s="565"/>
      <c r="K489" s="563">
        <v>0</v>
      </c>
      <c r="L489" s="566">
        <v>0</v>
      </c>
    </row>
    <row r="490" spans="1:12" ht="22.5" x14ac:dyDescent="0.2">
      <c r="A490" s="561" t="s">
        <v>85</v>
      </c>
      <c r="B490" s="562">
        <v>2021</v>
      </c>
      <c r="C490" s="561" t="s">
        <v>689</v>
      </c>
      <c r="D490" s="561" t="s">
        <v>1080</v>
      </c>
      <c r="E490" s="561" t="s">
        <v>691</v>
      </c>
      <c r="F490" s="563">
        <v>0</v>
      </c>
      <c r="G490" s="564"/>
      <c r="H490" s="561" t="s">
        <v>654</v>
      </c>
      <c r="I490" s="565"/>
      <c r="J490" s="565"/>
      <c r="K490" s="563">
        <v>0</v>
      </c>
      <c r="L490" s="566">
        <v>0</v>
      </c>
    </row>
    <row r="491" spans="1:12" ht="22.5" x14ac:dyDescent="0.2">
      <c r="A491" s="561" t="s">
        <v>85</v>
      </c>
      <c r="B491" s="562">
        <v>2021</v>
      </c>
      <c r="C491" s="561" t="s">
        <v>692</v>
      </c>
      <c r="D491" s="561" t="s">
        <v>1081</v>
      </c>
      <c r="E491" s="561" t="s">
        <v>50</v>
      </c>
      <c r="F491" s="563">
        <v>-742.56</v>
      </c>
      <c r="G491" s="564"/>
      <c r="H491" s="561" t="s">
        <v>654</v>
      </c>
      <c r="I491" s="565"/>
      <c r="J491" s="565"/>
      <c r="K491" s="563">
        <v>0</v>
      </c>
      <c r="L491" s="566">
        <v>-742.56</v>
      </c>
    </row>
    <row r="492" spans="1:12" ht="22.5" x14ac:dyDescent="0.2">
      <c r="A492" s="561" t="s">
        <v>85</v>
      </c>
      <c r="B492" s="562">
        <v>2021</v>
      </c>
      <c r="C492" s="561" t="s">
        <v>694</v>
      </c>
      <c r="D492" s="561" t="s">
        <v>1082</v>
      </c>
      <c r="E492" s="561" t="s">
        <v>696</v>
      </c>
      <c r="F492" s="563">
        <v>0</v>
      </c>
      <c r="G492" s="564"/>
      <c r="H492" s="561" t="s">
        <v>654</v>
      </c>
      <c r="I492" s="565"/>
      <c r="J492" s="565"/>
      <c r="K492" s="563">
        <v>0</v>
      </c>
      <c r="L492" s="566">
        <v>0</v>
      </c>
    </row>
    <row r="493" spans="1:12" ht="22.5" x14ac:dyDescent="0.2">
      <c r="A493" s="561" t="s">
        <v>85</v>
      </c>
      <c r="B493" s="562">
        <v>2021</v>
      </c>
      <c r="C493" s="561" t="s">
        <v>697</v>
      </c>
      <c r="D493" s="561" t="s">
        <v>1083</v>
      </c>
      <c r="E493" s="561" t="s">
        <v>6</v>
      </c>
      <c r="F493" s="563">
        <v>0</v>
      </c>
      <c r="G493" s="564"/>
      <c r="H493" s="561" t="s">
        <v>654</v>
      </c>
      <c r="I493" s="565"/>
      <c r="J493" s="565"/>
      <c r="K493" s="563">
        <v>0</v>
      </c>
      <c r="L493" s="566">
        <v>0</v>
      </c>
    </row>
    <row r="494" spans="1:12" ht="33.75" x14ac:dyDescent="0.2">
      <c r="A494" s="561" t="s">
        <v>85</v>
      </c>
      <c r="B494" s="562">
        <v>2021</v>
      </c>
      <c r="C494" s="561" t="s">
        <v>699</v>
      </c>
      <c r="D494" s="561" t="s">
        <v>1084</v>
      </c>
      <c r="E494" s="561" t="s">
        <v>701</v>
      </c>
      <c r="F494" s="563">
        <v>0</v>
      </c>
      <c r="G494" s="564"/>
      <c r="H494" s="561" t="s">
        <v>654</v>
      </c>
      <c r="I494" s="565"/>
      <c r="J494" s="565"/>
      <c r="K494" s="563">
        <v>0</v>
      </c>
      <c r="L494" s="566">
        <v>0</v>
      </c>
    </row>
    <row r="495" spans="1:12" ht="22.5" x14ac:dyDescent="0.2">
      <c r="A495" s="561" t="s">
        <v>85</v>
      </c>
      <c r="B495" s="562">
        <v>2021</v>
      </c>
      <c r="C495" s="561" t="s">
        <v>702</v>
      </c>
      <c r="D495" s="561" t="s">
        <v>1085</v>
      </c>
      <c r="E495" s="561" t="s">
        <v>704</v>
      </c>
      <c r="F495" s="563">
        <v>0</v>
      </c>
      <c r="G495" s="564"/>
      <c r="H495" s="561" t="s">
        <v>654</v>
      </c>
      <c r="I495" s="565"/>
      <c r="J495" s="565"/>
      <c r="K495" s="563">
        <v>0</v>
      </c>
      <c r="L495" s="566">
        <v>0</v>
      </c>
    </row>
    <row r="496" spans="1:12" ht="33.75" x14ac:dyDescent="0.2">
      <c r="A496" s="561" t="s">
        <v>85</v>
      </c>
      <c r="B496" s="562">
        <v>2021</v>
      </c>
      <c r="C496" s="561" t="s">
        <v>705</v>
      </c>
      <c r="D496" s="561" t="s">
        <v>1086</v>
      </c>
      <c r="E496" s="561" t="s">
        <v>1</v>
      </c>
      <c r="F496" s="563">
        <v>-31701.54</v>
      </c>
      <c r="G496" s="561" t="s">
        <v>654</v>
      </c>
      <c r="H496" s="564"/>
      <c r="I496" s="563">
        <v>-32240.669921875</v>
      </c>
      <c r="J496" s="563">
        <v>539.13000488281295</v>
      </c>
      <c r="K496" s="563">
        <v>-31701.5390625</v>
      </c>
      <c r="L496" s="566">
        <v>-31701.54</v>
      </c>
    </row>
    <row r="497" spans="1:12" ht="22.5" x14ac:dyDescent="0.2">
      <c r="A497" s="561" t="s">
        <v>85</v>
      </c>
      <c r="B497" s="562">
        <v>2021</v>
      </c>
      <c r="C497" s="561" t="s">
        <v>705</v>
      </c>
      <c r="D497" s="561" t="s">
        <v>1086</v>
      </c>
      <c r="E497" s="561" t="s">
        <v>707</v>
      </c>
      <c r="F497" s="563">
        <v>0</v>
      </c>
      <c r="G497" s="564"/>
      <c r="H497" s="564"/>
      <c r="I497" s="565"/>
      <c r="J497" s="565"/>
      <c r="K497" s="563">
        <v>0</v>
      </c>
      <c r="L497" s="566">
        <v>0</v>
      </c>
    </row>
    <row r="498" spans="1:12" ht="22.5" x14ac:dyDescent="0.2">
      <c r="A498" s="561" t="s">
        <v>85</v>
      </c>
      <c r="B498" s="562">
        <v>2021</v>
      </c>
      <c r="C498" s="561" t="s">
        <v>705</v>
      </c>
      <c r="D498" s="561" t="s">
        <v>1086</v>
      </c>
      <c r="E498" s="561" t="s">
        <v>708</v>
      </c>
      <c r="F498" s="563">
        <v>0</v>
      </c>
      <c r="G498" s="564"/>
      <c r="H498" s="564"/>
      <c r="I498" s="565"/>
      <c r="J498" s="565"/>
      <c r="K498" s="563">
        <v>0</v>
      </c>
      <c r="L498" s="566">
        <v>0</v>
      </c>
    </row>
    <row r="499" spans="1:12" ht="22.5" x14ac:dyDescent="0.2">
      <c r="A499" s="561" t="s">
        <v>85</v>
      </c>
      <c r="B499" s="562">
        <v>2021</v>
      </c>
      <c r="C499" s="561" t="s">
        <v>705</v>
      </c>
      <c r="D499" s="561" t="s">
        <v>1086</v>
      </c>
      <c r="E499" s="561" t="s">
        <v>709</v>
      </c>
      <c r="F499" s="563">
        <v>253.17</v>
      </c>
      <c r="G499" s="564"/>
      <c r="H499" s="564"/>
      <c r="I499" s="565"/>
      <c r="J499" s="565"/>
      <c r="K499" s="563">
        <v>0</v>
      </c>
      <c r="L499" s="566">
        <v>253.17</v>
      </c>
    </row>
    <row r="500" spans="1:12" ht="22.5" x14ac:dyDescent="0.2">
      <c r="A500" s="561" t="s">
        <v>85</v>
      </c>
      <c r="B500" s="562">
        <v>2021</v>
      </c>
      <c r="C500" s="561" t="s">
        <v>705</v>
      </c>
      <c r="D500" s="561" t="s">
        <v>1086</v>
      </c>
      <c r="E500" s="561" t="s">
        <v>710</v>
      </c>
      <c r="F500" s="563">
        <v>292.62</v>
      </c>
      <c r="G500" s="564"/>
      <c r="H500" s="564"/>
      <c r="I500" s="565"/>
      <c r="J500" s="565"/>
      <c r="K500" s="563">
        <v>0</v>
      </c>
      <c r="L500" s="566">
        <v>292.62</v>
      </c>
    </row>
    <row r="501" spans="1:12" ht="22.5" x14ac:dyDescent="0.2">
      <c r="A501" s="561" t="s">
        <v>85</v>
      </c>
      <c r="B501" s="562">
        <v>2021</v>
      </c>
      <c r="C501" s="561" t="s">
        <v>711</v>
      </c>
      <c r="D501" s="561" t="s">
        <v>1087</v>
      </c>
      <c r="E501" s="561" t="s">
        <v>713</v>
      </c>
      <c r="F501" s="563">
        <v>0</v>
      </c>
      <c r="G501" s="564"/>
      <c r="H501" s="561" t="s">
        <v>654</v>
      </c>
      <c r="I501" s="565"/>
      <c r="J501" s="565"/>
      <c r="K501" s="563">
        <v>0</v>
      </c>
      <c r="L501" s="566">
        <v>0</v>
      </c>
    </row>
    <row r="502" spans="1:12" ht="33.75" x14ac:dyDescent="0.2">
      <c r="A502" s="561" t="s">
        <v>85</v>
      </c>
      <c r="B502" s="562">
        <v>2021</v>
      </c>
      <c r="C502" s="561" t="s">
        <v>714</v>
      </c>
      <c r="D502" s="561" t="s">
        <v>1088</v>
      </c>
      <c r="E502" s="561" t="s">
        <v>2</v>
      </c>
      <c r="F502" s="563">
        <v>-15349.81</v>
      </c>
      <c r="G502" s="561" t="s">
        <v>654</v>
      </c>
      <c r="H502" s="564"/>
      <c r="I502" s="563">
        <v>-14693.400390625</v>
      </c>
      <c r="J502" s="563">
        <v>-656.40997314453102</v>
      </c>
      <c r="K502" s="563">
        <v>-15349.8095703125</v>
      </c>
      <c r="L502" s="566">
        <v>-15349.81</v>
      </c>
    </row>
    <row r="503" spans="1:12" ht="33.75" x14ac:dyDescent="0.2">
      <c r="A503" s="561" t="s">
        <v>85</v>
      </c>
      <c r="B503" s="562">
        <v>2021</v>
      </c>
      <c r="C503" s="561" t="s">
        <v>716</v>
      </c>
      <c r="D503" s="561" t="s">
        <v>1089</v>
      </c>
      <c r="E503" s="561" t="s">
        <v>3</v>
      </c>
      <c r="F503" s="563">
        <v>-2996.27</v>
      </c>
      <c r="G503" s="561" t="s">
        <v>654</v>
      </c>
      <c r="H503" s="564"/>
      <c r="I503" s="563">
        <v>-2694.3701171875</v>
      </c>
      <c r="J503" s="563">
        <v>-301.89999389648398</v>
      </c>
      <c r="K503" s="563">
        <v>-2996.27001953125</v>
      </c>
      <c r="L503" s="566">
        <v>-2996.27</v>
      </c>
    </row>
    <row r="504" spans="1:12" ht="33.75" x14ac:dyDescent="0.2">
      <c r="A504" s="561" t="s">
        <v>85</v>
      </c>
      <c r="B504" s="562">
        <v>2021</v>
      </c>
      <c r="C504" s="561" t="s">
        <v>718</v>
      </c>
      <c r="D504" s="561" t="s">
        <v>1090</v>
      </c>
      <c r="E504" s="561" t="s">
        <v>38</v>
      </c>
      <c r="F504" s="563">
        <v>-220345.3</v>
      </c>
      <c r="G504" s="561" t="s">
        <v>654</v>
      </c>
      <c r="H504" s="564"/>
      <c r="I504" s="563">
        <v>-217828.21875</v>
      </c>
      <c r="J504" s="563">
        <v>-2517.080078125</v>
      </c>
      <c r="K504" s="563">
        <v>-220345.296875</v>
      </c>
      <c r="L504" s="566">
        <v>-220345.3</v>
      </c>
    </row>
    <row r="505" spans="1:12" ht="22.5" x14ac:dyDescent="0.2">
      <c r="A505" s="561" t="s">
        <v>85</v>
      </c>
      <c r="B505" s="562">
        <v>2021</v>
      </c>
      <c r="C505" s="561" t="s">
        <v>720</v>
      </c>
      <c r="D505" s="561" t="s">
        <v>1091</v>
      </c>
      <c r="E505" s="561" t="s">
        <v>66</v>
      </c>
      <c r="F505" s="563">
        <v>17799.38</v>
      </c>
      <c r="G505" s="561" t="s">
        <v>654</v>
      </c>
      <c r="H505" s="564"/>
      <c r="I505" s="563">
        <v>17617.169921875</v>
      </c>
      <c r="J505" s="563">
        <v>182.21000671386699</v>
      </c>
      <c r="K505" s="563">
        <v>17799.380859375</v>
      </c>
      <c r="L505" s="566">
        <v>17799.38</v>
      </c>
    </row>
    <row r="506" spans="1:12" ht="45" x14ac:dyDescent="0.2">
      <c r="A506" s="561" t="s">
        <v>85</v>
      </c>
      <c r="B506" s="562">
        <v>2021</v>
      </c>
      <c r="C506" s="561" t="s">
        <v>722</v>
      </c>
      <c r="D506" s="561" t="s">
        <v>1092</v>
      </c>
      <c r="E506" s="561" t="s">
        <v>724</v>
      </c>
      <c r="F506" s="563">
        <v>70528.44</v>
      </c>
      <c r="G506" s="564"/>
      <c r="H506" s="561" t="s">
        <v>654</v>
      </c>
      <c r="I506" s="565"/>
      <c r="J506" s="565"/>
      <c r="K506" s="563">
        <v>0</v>
      </c>
      <c r="L506" s="566">
        <v>70528.44</v>
      </c>
    </row>
    <row r="507" spans="1:12" ht="45" x14ac:dyDescent="0.2">
      <c r="A507" s="561" t="s">
        <v>85</v>
      </c>
      <c r="B507" s="562">
        <v>2021</v>
      </c>
      <c r="C507" s="561" t="s">
        <v>725</v>
      </c>
      <c r="D507" s="561" t="s">
        <v>1093</v>
      </c>
      <c r="E507" s="561" t="s">
        <v>3024</v>
      </c>
      <c r="F507" s="563">
        <v>0</v>
      </c>
      <c r="G507" s="561" t="s">
        <v>654</v>
      </c>
      <c r="H507" s="564"/>
      <c r="I507" s="565"/>
      <c r="J507" s="565"/>
      <c r="K507" s="563">
        <v>0</v>
      </c>
      <c r="L507" s="566">
        <v>0</v>
      </c>
    </row>
    <row r="508" spans="1:12" ht="45" x14ac:dyDescent="0.2">
      <c r="A508" s="561" t="s">
        <v>85</v>
      </c>
      <c r="B508" s="562">
        <v>2021</v>
      </c>
      <c r="C508" s="561" t="s">
        <v>725</v>
      </c>
      <c r="D508" s="561" t="s">
        <v>1093</v>
      </c>
      <c r="E508" s="561" t="s">
        <v>3066</v>
      </c>
      <c r="F508" s="563">
        <v>0</v>
      </c>
      <c r="G508" s="561" t="s">
        <v>654</v>
      </c>
      <c r="H508" s="564"/>
      <c r="I508" s="565"/>
      <c r="J508" s="565"/>
      <c r="K508" s="563">
        <v>0</v>
      </c>
      <c r="L508" s="566">
        <v>0</v>
      </c>
    </row>
    <row r="509" spans="1:12" ht="45" x14ac:dyDescent="0.2">
      <c r="A509" s="561" t="s">
        <v>85</v>
      </c>
      <c r="B509" s="562">
        <v>2021</v>
      </c>
      <c r="C509" s="561" t="s">
        <v>725</v>
      </c>
      <c r="D509" s="561" t="s">
        <v>1094</v>
      </c>
      <c r="E509" s="561" t="s">
        <v>728</v>
      </c>
      <c r="F509" s="563">
        <v>0</v>
      </c>
      <c r="G509" s="561" t="s">
        <v>654</v>
      </c>
      <c r="H509" s="564"/>
      <c r="I509" s="565"/>
      <c r="J509" s="565"/>
      <c r="K509" s="563">
        <v>0</v>
      </c>
      <c r="L509" s="566">
        <v>0</v>
      </c>
    </row>
    <row r="510" spans="1:12" ht="45" x14ac:dyDescent="0.2">
      <c r="A510" s="561" t="s">
        <v>85</v>
      </c>
      <c r="B510" s="562">
        <v>2021</v>
      </c>
      <c r="C510" s="561" t="s">
        <v>725</v>
      </c>
      <c r="D510" s="561" t="s">
        <v>1095</v>
      </c>
      <c r="E510" s="561" t="s">
        <v>55</v>
      </c>
      <c r="F510" s="563">
        <v>0</v>
      </c>
      <c r="G510" s="561" t="s">
        <v>654</v>
      </c>
      <c r="H510" s="564"/>
      <c r="I510" s="565"/>
      <c r="J510" s="565"/>
      <c r="K510" s="563">
        <v>0</v>
      </c>
      <c r="L510" s="566">
        <v>0</v>
      </c>
    </row>
    <row r="511" spans="1:12" ht="45" x14ac:dyDescent="0.2">
      <c r="A511" s="561" t="s">
        <v>85</v>
      </c>
      <c r="B511" s="562">
        <v>2021</v>
      </c>
      <c r="C511" s="561" t="s">
        <v>725</v>
      </c>
      <c r="D511" s="561" t="s">
        <v>1096</v>
      </c>
      <c r="E511" s="561" t="s">
        <v>56</v>
      </c>
      <c r="F511" s="563">
        <v>0</v>
      </c>
      <c r="G511" s="561" t="s">
        <v>654</v>
      </c>
      <c r="H511" s="564"/>
      <c r="I511" s="565"/>
      <c r="J511" s="565"/>
      <c r="K511" s="563">
        <v>0</v>
      </c>
      <c r="L511" s="566">
        <v>0</v>
      </c>
    </row>
    <row r="512" spans="1:12" ht="45" x14ac:dyDescent="0.2">
      <c r="A512" s="561" t="s">
        <v>85</v>
      </c>
      <c r="B512" s="562">
        <v>2021</v>
      </c>
      <c r="C512" s="561" t="s">
        <v>725</v>
      </c>
      <c r="D512" s="561" t="s">
        <v>1097</v>
      </c>
      <c r="E512" s="561" t="s">
        <v>732</v>
      </c>
      <c r="F512" s="563">
        <v>0</v>
      </c>
      <c r="G512" s="561" t="s">
        <v>654</v>
      </c>
      <c r="H512" s="564"/>
      <c r="I512" s="565"/>
      <c r="J512" s="565"/>
      <c r="K512" s="563">
        <v>0</v>
      </c>
      <c r="L512" s="566">
        <v>0</v>
      </c>
    </row>
    <row r="513" spans="1:12" ht="45" x14ac:dyDescent="0.2">
      <c r="A513" s="561" t="s">
        <v>85</v>
      </c>
      <c r="B513" s="562">
        <v>2021</v>
      </c>
      <c r="C513" s="561" t="s">
        <v>725</v>
      </c>
      <c r="D513" s="561" t="s">
        <v>1098</v>
      </c>
      <c r="E513" s="561" t="s">
        <v>734</v>
      </c>
      <c r="F513" s="563">
        <v>0</v>
      </c>
      <c r="G513" s="561" t="s">
        <v>654</v>
      </c>
      <c r="H513" s="564"/>
      <c r="I513" s="565"/>
      <c r="J513" s="565"/>
      <c r="K513" s="563">
        <v>0</v>
      </c>
      <c r="L513" s="566">
        <v>0</v>
      </c>
    </row>
    <row r="514" spans="1:12" ht="45" x14ac:dyDescent="0.2">
      <c r="A514" s="561" t="s">
        <v>85</v>
      </c>
      <c r="B514" s="562">
        <v>2021</v>
      </c>
      <c r="C514" s="561" t="s">
        <v>725</v>
      </c>
      <c r="D514" s="561" t="s">
        <v>1099</v>
      </c>
      <c r="E514" s="561" t="s">
        <v>142</v>
      </c>
      <c r="F514" s="563">
        <v>0</v>
      </c>
      <c r="G514" s="561" t="s">
        <v>654</v>
      </c>
      <c r="H514" s="564"/>
      <c r="I514" s="565"/>
      <c r="J514" s="565"/>
      <c r="K514" s="563">
        <v>0</v>
      </c>
      <c r="L514" s="566">
        <v>0</v>
      </c>
    </row>
    <row r="515" spans="1:12" ht="45" x14ac:dyDescent="0.2">
      <c r="A515" s="561" t="s">
        <v>85</v>
      </c>
      <c r="B515" s="562">
        <v>2021</v>
      </c>
      <c r="C515" s="561" t="s">
        <v>725</v>
      </c>
      <c r="D515" s="561" t="s">
        <v>1100</v>
      </c>
      <c r="E515" s="561" t="s">
        <v>143</v>
      </c>
      <c r="F515" s="563">
        <v>0</v>
      </c>
      <c r="G515" s="561" t="s">
        <v>654</v>
      </c>
      <c r="H515" s="564"/>
      <c r="I515" s="565"/>
      <c r="J515" s="565"/>
      <c r="K515" s="563">
        <v>0</v>
      </c>
      <c r="L515" s="566">
        <v>0</v>
      </c>
    </row>
    <row r="516" spans="1:12" ht="45" x14ac:dyDescent="0.2">
      <c r="A516" s="561" t="s">
        <v>85</v>
      </c>
      <c r="B516" s="562">
        <v>2021</v>
      </c>
      <c r="C516" s="561" t="s">
        <v>725</v>
      </c>
      <c r="D516" s="561" t="s">
        <v>1101</v>
      </c>
      <c r="E516" s="561" t="s">
        <v>182</v>
      </c>
      <c r="F516" s="563">
        <v>0</v>
      </c>
      <c r="G516" s="561" t="s">
        <v>654</v>
      </c>
      <c r="H516" s="564"/>
      <c r="I516" s="565"/>
      <c r="J516" s="565"/>
      <c r="K516" s="563">
        <v>0</v>
      </c>
      <c r="L516" s="566">
        <v>0</v>
      </c>
    </row>
    <row r="517" spans="1:12" ht="45" x14ac:dyDescent="0.2">
      <c r="A517" s="561" t="s">
        <v>85</v>
      </c>
      <c r="B517" s="562">
        <v>2021</v>
      </c>
      <c r="C517" s="561" t="s">
        <v>725</v>
      </c>
      <c r="D517" s="561" t="s">
        <v>1102</v>
      </c>
      <c r="E517" s="561" t="s">
        <v>394</v>
      </c>
      <c r="F517" s="563">
        <v>0</v>
      </c>
      <c r="G517" s="561" t="s">
        <v>654</v>
      </c>
      <c r="H517" s="564"/>
      <c r="I517" s="563">
        <v>5894.5400390625</v>
      </c>
      <c r="J517" s="563">
        <v>4837.68994140625</v>
      </c>
      <c r="K517" s="563">
        <v>10732.23046875</v>
      </c>
      <c r="L517" s="566">
        <v>10732.23</v>
      </c>
    </row>
    <row r="518" spans="1:12" ht="45" x14ac:dyDescent="0.2">
      <c r="A518" s="561" t="s">
        <v>85</v>
      </c>
      <c r="B518" s="562">
        <v>2021</v>
      </c>
      <c r="C518" s="561" t="s">
        <v>725</v>
      </c>
      <c r="D518" s="561" t="s">
        <v>1103</v>
      </c>
      <c r="E518" s="561" t="s">
        <v>425</v>
      </c>
      <c r="F518" s="563">
        <v>0</v>
      </c>
      <c r="G518" s="561" t="s">
        <v>654</v>
      </c>
      <c r="H518" s="564"/>
      <c r="I518" s="563">
        <v>-760.04998779296898</v>
      </c>
      <c r="J518" s="563">
        <v>614.10998535156295</v>
      </c>
      <c r="K518" s="563">
        <v>-145.94000244140599</v>
      </c>
      <c r="L518" s="566">
        <v>-145.94</v>
      </c>
    </row>
    <row r="519" spans="1:12" ht="45" x14ac:dyDescent="0.2">
      <c r="A519" s="561" t="s">
        <v>85</v>
      </c>
      <c r="B519" s="562">
        <v>2021</v>
      </c>
      <c r="C519" s="561" t="s">
        <v>725</v>
      </c>
      <c r="D519" s="561" t="s">
        <v>3089</v>
      </c>
      <c r="E519" s="561" t="s">
        <v>443</v>
      </c>
      <c r="F519" s="563">
        <v>0</v>
      </c>
      <c r="G519" s="561" t="s">
        <v>654</v>
      </c>
      <c r="H519" s="564"/>
      <c r="I519" s="565"/>
      <c r="J519" s="565"/>
      <c r="K519" s="563">
        <v>0</v>
      </c>
      <c r="L519" s="566">
        <v>0</v>
      </c>
    </row>
    <row r="520" spans="1:12" ht="45" x14ac:dyDescent="0.2">
      <c r="A520" s="561" t="s">
        <v>85</v>
      </c>
      <c r="B520" s="562">
        <v>2021</v>
      </c>
      <c r="C520" s="561" t="s">
        <v>725</v>
      </c>
      <c r="D520" s="561" t="s">
        <v>1104</v>
      </c>
      <c r="E520" s="561" t="s">
        <v>741</v>
      </c>
      <c r="F520" s="563">
        <v>10586.29</v>
      </c>
      <c r="G520" s="564"/>
      <c r="H520" s="564"/>
      <c r="I520" s="565"/>
      <c r="J520" s="565"/>
      <c r="K520" s="563">
        <v>0</v>
      </c>
      <c r="L520" s="566">
        <v>10586.29</v>
      </c>
    </row>
    <row r="521" spans="1:12" ht="22.5" x14ac:dyDescent="0.2">
      <c r="A521" s="561" t="s">
        <v>85</v>
      </c>
      <c r="B521" s="562">
        <v>2021</v>
      </c>
      <c r="C521" s="561" t="s">
        <v>742</v>
      </c>
      <c r="D521" s="561" t="s">
        <v>1105</v>
      </c>
      <c r="E521" s="561" t="s">
        <v>7</v>
      </c>
      <c r="F521" s="563">
        <v>0</v>
      </c>
      <c r="G521" s="564"/>
      <c r="H521" s="561" t="s">
        <v>654</v>
      </c>
      <c r="I521" s="565"/>
      <c r="J521" s="565"/>
      <c r="K521" s="563">
        <v>0</v>
      </c>
      <c r="L521" s="566">
        <v>0</v>
      </c>
    </row>
    <row r="522" spans="1:12" ht="22.5" x14ac:dyDescent="0.2">
      <c r="A522" s="561" t="s">
        <v>3387</v>
      </c>
      <c r="B522" s="562">
        <v>2021</v>
      </c>
      <c r="C522" s="561" t="s">
        <v>651</v>
      </c>
      <c r="D522" s="561" t="s">
        <v>3388</v>
      </c>
      <c r="E522" s="561" t="s">
        <v>653</v>
      </c>
      <c r="F522" s="563">
        <v>0</v>
      </c>
      <c r="G522" s="564"/>
      <c r="H522" s="561" t="s">
        <v>654</v>
      </c>
      <c r="I522" s="565"/>
      <c r="J522" s="565"/>
      <c r="K522" s="563">
        <v>0</v>
      </c>
      <c r="L522" s="566">
        <v>0</v>
      </c>
    </row>
    <row r="523" spans="1:12" ht="22.5" x14ac:dyDescent="0.2">
      <c r="A523" s="561" t="s">
        <v>3387</v>
      </c>
      <c r="B523" s="562">
        <v>2021</v>
      </c>
      <c r="C523" s="561" t="s">
        <v>655</v>
      </c>
      <c r="D523" s="561" t="s">
        <v>3389</v>
      </c>
      <c r="E523" s="561" t="s">
        <v>657</v>
      </c>
      <c r="F523" s="563">
        <v>0</v>
      </c>
      <c r="G523" s="564"/>
      <c r="H523" s="561" t="s">
        <v>654</v>
      </c>
      <c r="I523" s="565"/>
      <c r="J523" s="565"/>
      <c r="K523" s="563">
        <v>0</v>
      </c>
      <c r="L523" s="566">
        <v>0</v>
      </c>
    </row>
    <row r="524" spans="1:12" ht="56.25" x14ac:dyDescent="0.2">
      <c r="A524" s="561" t="s">
        <v>3387</v>
      </c>
      <c r="B524" s="562">
        <v>2021</v>
      </c>
      <c r="C524" s="561" t="s">
        <v>658</v>
      </c>
      <c r="D524" s="561" t="s">
        <v>3390</v>
      </c>
      <c r="E524" s="561" t="s">
        <v>447</v>
      </c>
      <c r="F524" s="563">
        <v>0</v>
      </c>
      <c r="G524" s="564"/>
      <c r="H524" s="561" t="s">
        <v>654</v>
      </c>
      <c r="I524" s="565"/>
      <c r="J524" s="565"/>
      <c r="K524" s="563">
        <v>0</v>
      </c>
      <c r="L524" s="566">
        <v>0</v>
      </c>
    </row>
    <row r="525" spans="1:12" ht="22.5" x14ac:dyDescent="0.2">
      <c r="A525" s="561" t="s">
        <v>3387</v>
      </c>
      <c r="B525" s="562">
        <v>2021</v>
      </c>
      <c r="C525" s="561" t="s">
        <v>660</v>
      </c>
      <c r="D525" s="561" t="s">
        <v>3391</v>
      </c>
      <c r="E525" s="561" t="s">
        <v>662</v>
      </c>
      <c r="F525" s="563">
        <v>0</v>
      </c>
      <c r="G525" s="564"/>
      <c r="H525" s="561" t="s">
        <v>654</v>
      </c>
      <c r="I525" s="565"/>
      <c r="J525" s="565"/>
      <c r="K525" s="563">
        <v>0</v>
      </c>
      <c r="L525" s="566">
        <v>0</v>
      </c>
    </row>
    <row r="526" spans="1:12" ht="33.75" x14ac:dyDescent="0.2">
      <c r="A526" s="561" t="s">
        <v>3387</v>
      </c>
      <c r="B526" s="562">
        <v>2021</v>
      </c>
      <c r="C526" s="561" t="s">
        <v>663</v>
      </c>
      <c r="D526" s="561" t="s">
        <v>3392</v>
      </c>
      <c r="E526" s="561" t="s">
        <v>665</v>
      </c>
      <c r="F526" s="563">
        <v>0</v>
      </c>
      <c r="G526" s="564"/>
      <c r="H526" s="561" t="s">
        <v>654</v>
      </c>
      <c r="I526" s="565"/>
      <c r="J526" s="565"/>
      <c r="K526" s="563">
        <v>0</v>
      </c>
      <c r="L526" s="566">
        <v>0</v>
      </c>
    </row>
    <row r="527" spans="1:12" ht="33.75" x14ac:dyDescent="0.2">
      <c r="A527" s="561" t="s">
        <v>3387</v>
      </c>
      <c r="B527" s="562">
        <v>2021</v>
      </c>
      <c r="C527" s="561" t="s">
        <v>666</v>
      </c>
      <c r="D527" s="561" t="s">
        <v>3393</v>
      </c>
      <c r="E527" s="561" t="s">
        <v>668</v>
      </c>
      <c r="F527" s="563">
        <v>0</v>
      </c>
      <c r="G527" s="564"/>
      <c r="H527" s="561" t="s">
        <v>654</v>
      </c>
      <c r="I527" s="565"/>
      <c r="J527" s="565"/>
      <c r="K527" s="563">
        <v>0</v>
      </c>
      <c r="L527" s="566">
        <v>0</v>
      </c>
    </row>
    <row r="528" spans="1:12" ht="56.25" x14ac:dyDescent="0.2">
      <c r="A528" s="561" t="s">
        <v>3387</v>
      </c>
      <c r="B528" s="562">
        <v>2021</v>
      </c>
      <c r="C528" s="561" t="s">
        <v>669</v>
      </c>
      <c r="D528" s="561" t="s">
        <v>3394</v>
      </c>
      <c r="E528" s="561" t="s">
        <v>671</v>
      </c>
      <c r="F528" s="563">
        <v>0</v>
      </c>
      <c r="G528" s="564"/>
      <c r="H528" s="561" t="s">
        <v>654</v>
      </c>
      <c r="I528" s="565"/>
      <c r="J528" s="565"/>
      <c r="K528" s="563">
        <v>0</v>
      </c>
      <c r="L528" s="566">
        <v>0</v>
      </c>
    </row>
    <row r="529" spans="1:12" ht="22.5" x14ac:dyDescent="0.2">
      <c r="A529" s="561" t="s">
        <v>3387</v>
      </c>
      <c r="B529" s="562">
        <v>2021</v>
      </c>
      <c r="C529" s="561" t="s">
        <v>672</v>
      </c>
      <c r="D529" s="561" t="s">
        <v>3395</v>
      </c>
      <c r="E529" s="561" t="s">
        <v>12</v>
      </c>
      <c r="F529" s="563">
        <v>0</v>
      </c>
      <c r="G529" s="564"/>
      <c r="H529" s="561" t="s">
        <v>654</v>
      </c>
      <c r="I529" s="565"/>
      <c r="J529" s="565"/>
      <c r="K529" s="563">
        <v>0</v>
      </c>
      <c r="L529" s="566">
        <v>0</v>
      </c>
    </row>
    <row r="530" spans="1:12" ht="22.5" x14ac:dyDescent="0.2">
      <c r="A530" s="561" t="s">
        <v>3387</v>
      </c>
      <c r="B530" s="562">
        <v>2021</v>
      </c>
      <c r="C530" s="561" t="s">
        <v>674</v>
      </c>
      <c r="D530" s="561" t="s">
        <v>3396</v>
      </c>
      <c r="E530" s="561" t="s">
        <v>753</v>
      </c>
      <c r="F530" s="563">
        <v>0</v>
      </c>
      <c r="G530" s="564"/>
      <c r="H530" s="561" t="s">
        <v>654</v>
      </c>
      <c r="I530" s="565"/>
      <c r="J530" s="565"/>
      <c r="K530" s="563">
        <v>0</v>
      </c>
      <c r="L530" s="566">
        <v>0</v>
      </c>
    </row>
    <row r="531" spans="1:12" ht="33.75" x14ac:dyDescent="0.2">
      <c r="A531" s="561" t="s">
        <v>3387</v>
      </c>
      <c r="B531" s="562">
        <v>2021</v>
      </c>
      <c r="C531" s="561" t="s">
        <v>676</v>
      </c>
      <c r="D531" s="561" t="s">
        <v>3397</v>
      </c>
      <c r="E531" s="561" t="s">
        <v>15</v>
      </c>
      <c r="F531" s="563">
        <v>0</v>
      </c>
      <c r="G531" s="564"/>
      <c r="H531" s="561" t="s">
        <v>654</v>
      </c>
      <c r="I531" s="565"/>
      <c r="J531" s="565"/>
      <c r="K531" s="563">
        <v>0</v>
      </c>
      <c r="L531" s="566">
        <v>0</v>
      </c>
    </row>
    <row r="532" spans="1:12" ht="22.5" x14ac:dyDescent="0.2">
      <c r="A532" s="561" t="s">
        <v>3387</v>
      </c>
      <c r="B532" s="562">
        <v>2021</v>
      </c>
      <c r="C532" s="561" t="s">
        <v>678</v>
      </c>
      <c r="D532" s="561" t="s">
        <v>3398</v>
      </c>
      <c r="E532" s="561" t="s">
        <v>680</v>
      </c>
      <c r="F532" s="563">
        <v>0</v>
      </c>
      <c r="G532" s="564"/>
      <c r="H532" s="561" t="s">
        <v>654</v>
      </c>
      <c r="I532" s="565"/>
      <c r="J532" s="565"/>
      <c r="K532" s="563">
        <v>0</v>
      </c>
      <c r="L532" s="566">
        <v>0</v>
      </c>
    </row>
    <row r="533" spans="1:12" ht="22.5" x14ac:dyDescent="0.2">
      <c r="A533" s="561" t="s">
        <v>3387</v>
      </c>
      <c r="B533" s="562">
        <v>2021</v>
      </c>
      <c r="C533" s="561" t="s">
        <v>681</v>
      </c>
      <c r="D533" s="561" t="s">
        <v>3399</v>
      </c>
      <c r="E533" s="561" t="s">
        <v>23</v>
      </c>
      <c r="F533" s="563">
        <v>0</v>
      </c>
      <c r="G533" s="561" t="s">
        <v>654</v>
      </c>
      <c r="H533" s="564"/>
      <c r="I533" s="565"/>
      <c r="J533" s="565"/>
      <c r="K533" s="563">
        <v>0</v>
      </c>
      <c r="L533" s="566">
        <v>0</v>
      </c>
    </row>
    <row r="534" spans="1:12" ht="33.75" x14ac:dyDescent="0.2">
      <c r="A534" s="561" t="s">
        <v>3387</v>
      </c>
      <c r="B534" s="562">
        <v>2021</v>
      </c>
      <c r="C534" s="561" t="s">
        <v>683</v>
      </c>
      <c r="D534" s="561" t="s">
        <v>3400</v>
      </c>
      <c r="E534" s="561" t="s">
        <v>131</v>
      </c>
      <c r="F534" s="563">
        <v>0</v>
      </c>
      <c r="G534" s="561" t="s">
        <v>654</v>
      </c>
      <c r="H534" s="564"/>
      <c r="I534" s="565"/>
      <c r="J534" s="565"/>
      <c r="K534" s="563">
        <v>0</v>
      </c>
      <c r="L534" s="566">
        <v>0</v>
      </c>
    </row>
    <row r="535" spans="1:12" ht="33.75" x14ac:dyDescent="0.2">
      <c r="A535" s="561" t="s">
        <v>3387</v>
      </c>
      <c r="B535" s="562">
        <v>2021</v>
      </c>
      <c r="C535" s="561" t="s">
        <v>685</v>
      </c>
      <c r="D535" s="561" t="s">
        <v>3401</v>
      </c>
      <c r="E535" s="561" t="s">
        <v>687</v>
      </c>
      <c r="F535" s="563">
        <v>0</v>
      </c>
      <c r="G535" s="564"/>
      <c r="H535" s="561" t="s">
        <v>654</v>
      </c>
      <c r="I535" s="565"/>
      <c r="J535" s="565"/>
      <c r="K535" s="563">
        <v>0</v>
      </c>
      <c r="L535" s="566">
        <v>0</v>
      </c>
    </row>
    <row r="536" spans="1:12" ht="33.75" x14ac:dyDescent="0.2">
      <c r="A536" s="561" t="s">
        <v>3387</v>
      </c>
      <c r="B536" s="562">
        <v>2021</v>
      </c>
      <c r="C536" s="561" t="s">
        <v>685</v>
      </c>
      <c r="D536" s="561" t="s">
        <v>3401</v>
      </c>
      <c r="E536" s="561" t="s">
        <v>688</v>
      </c>
      <c r="F536" s="563">
        <v>0</v>
      </c>
      <c r="G536" s="564"/>
      <c r="H536" s="561" t="s">
        <v>654</v>
      </c>
      <c r="I536" s="565"/>
      <c r="J536" s="565"/>
      <c r="K536" s="563">
        <v>0</v>
      </c>
      <c r="L536" s="566">
        <v>0</v>
      </c>
    </row>
    <row r="537" spans="1:12" ht="22.5" x14ac:dyDescent="0.2">
      <c r="A537" s="561" t="s">
        <v>3387</v>
      </c>
      <c r="B537" s="562">
        <v>2021</v>
      </c>
      <c r="C537" s="561" t="s">
        <v>689</v>
      </c>
      <c r="D537" s="561" t="s">
        <v>3402</v>
      </c>
      <c r="E537" s="561" t="s">
        <v>691</v>
      </c>
      <c r="F537" s="563">
        <v>0</v>
      </c>
      <c r="G537" s="564"/>
      <c r="H537" s="561" t="s">
        <v>654</v>
      </c>
      <c r="I537" s="565"/>
      <c r="J537" s="565"/>
      <c r="K537" s="563">
        <v>0</v>
      </c>
      <c r="L537" s="566">
        <v>0</v>
      </c>
    </row>
    <row r="538" spans="1:12" ht="22.5" x14ac:dyDescent="0.2">
      <c r="A538" s="561" t="s">
        <v>3387</v>
      </c>
      <c r="B538" s="562">
        <v>2021</v>
      </c>
      <c r="C538" s="561" t="s">
        <v>692</v>
      </c>
      <c r="D538" s="561" t="s">
        <v>3403</v>
      </c>
      <c r="E538" s="561" t="s">
        <v>50</v>
      </c>
      <c r="F538" s="563">
        <v>0</v>
      </c>
      <c r="G538" s="564"/>
      <c r="H538" s="561" t="s">
        <v>654</v>
      </c>
      <c r="I538" s="565"/>
      <c r="J538" s="565"/>
      <c r="K538" s="563">
        <v>0</v>
      </c>
      <c r="L538" s="566">
        <v>0</v>
      </c>
    </row>
    <row r="539" spans="1:12" ht="22.5" x14ac:dyDescent="0.2">
      <c r="A539" s="561" t="s">
        <v>3387</v>
      </c>
      <c r="B539" s="562">
        <v>2021</v>
      </c>
      <c r="C539" s="561" t="s">
        <v>694</v>
      </c>
      <c r="D539" s="561" t="s">
        <v>3404</v>
      </c>
      <c r="E539" s="561" t="s">
        <v>696</v>
      </c>
      <c r="F539" s="563">
        <v>0</v>
      </c>
      <c r="G539" s="564"/>
      <c r="H539" s="561" t="s">
        <v>654</v>
      </c>
      <c r="I539" s="565"/>
      <c r="J539" s="565"/>
      <c r="K539" s="563">
        <v>0</v>
      </c>
      <c r="L539" s="566">
        <v>0</v>
      </c>
    </row>
    <row r="540" spans="1:12" ht="22.5" x14ac:dyDescent="0.2">
      <c r="A540" s="561" t="s">
        <v>3387</v>
      </c>
      <c r="B540" s="562">
        <v>2021</v>
      </c>
      <c r="C540" s="561" t="s">
        <v>697</v>
      </c>
      <c r="D540" s="561" t="s">
        <v>3405</v>
      </c>
      <c r="E540" s="561" t="s">
        <v>6</v>
      </c>
      <c r="F540" s="563">
        <v>0</v>
      </c>
      <c r="G540" s="564"/>
      <c r="H540" s="561" t="s">
        <v>654</v>
      </c>
      <c r="I540" s="565"/>
      <c r="J540" s="565"/>
      <c r="K540" s="563">
        <v>0</v>
      </c>
      <c r="L540" s="566">
        <v>0</v>
      </c>
    </row>
    <row r="541" spans="1:12" ht="33.75" x14ac:dyDescent="0.2">
      <c r="A541" s="561" t="s">
        <v>3387</v>
      </c>
      <c r="B541" s="562">
        <v>2021</v>
      </c>
      <c r="C541" s="561" t="s">
        <v>699</v>
      </c>
      <c r="D541" s="561" t="s">
        <v>3406</v>
      </c>
      <c r="E541" s="561" t="s">
        <v>701</v>
      </c>
      <c r="F541" s="563">
        <v>0</v>
      </c>
      <c r="G541" s="564"/>
      <c r="H541" s="561" t="s">
        <v>654</v>
      </c>
      <c r="I541" s="565"/>
      <c r="J541" s="565"/>
      <c r="K541" s="563">
        <v>0</v>
      </c>
      <c r="L541" s="566">
        <v>0</v>
      </c>
    </row>
    <row r="542" spans="1:12" ht="22.5" x14ac:dyDescent="0.2">
      <c r="A542" s="561" t="s">
        <v>3387</v>
      </c>
      <c r="B542" s="562">
        <v>2021</v>
      </c>
      <c r="C542" s="561" t="s">
        <v>702</v>
      </c>
      <c r="D542" s="561" t="s">
        <v>3407</v>
      </c>
      <c r="E542" s="561" t="s">
        <v>704</v>
      </c>
      <c r="F542" s="563">
        <v>0</v>
      </c>
      <c r="G542" s="564"/>
      <c r="H542" s="561" t="s">
        <v>654</v>
      </c>
      <c r="I542" s="565"/>
      <c r="J542" s="565"/>
      <c r="K542" s="563">
        <v>0</v>
      </c>
      <c r="L542" s="566">
        <v>0</v>
      </c>
    </row>
    <row r="543" spans="1:12" ht="33.75" x14ac:dyDescent="0.2">
      <c r="A543" s="561" t="s">
        <v>3387</v>
      </c>
      <c r="B543" s="562">
        <v>2021</v>
      </c>
      <c r="C543" s="561" t="s">
        <v>705</v>
      </c>
      <c r="D543" s="561" t="s">
        <v>3408</v>
      </c>
      <c r="E543" s="561" t="s">
        <v>1</v>
      </c>
      <c r="F543" s="563">
        <v>0</v>
      </c>
      <c r="G543" s="561" t="s">
        <v>654</v>
      </c>
      <c r="H543" s="564"/>
      <c r="I543" s="565"/>
      <c r="J543" s="565"/>
      <c r="K543" s="563">
        <v>0</v>
      </c>
      <c r="L543" s="566">
        <v>0</v>
      </c>
    </row>
    <row r="544" spans="1:12" ht="22.5" x14ac:dyDescent="0.2">
      <c r="A544" s="561" t="s">
        <v>3387</v>
      </c>
      <c r="B544" s="562">
        <v>2021</v>
      </c>
      <c r="C544" s="561" t="s">
        <v>705</v>
      </c>
      <c r="D544" s="561" t="s">
        <v>3408</v>
      </c>
      <c r="E544" s="561" t="s">
        <v>707</v>
      </c>
      <c r="F544" s="563">
        <v>0</v>
      </c>
      <c r="G544" s="564"/>
      <c r="H544" s="564"/>
      <c r="I544" s="565"/>
      <c r="J544" s="565"/>
      <c r="K544" s="563">
        <v>0</v>
      </c>
      <c r="L544" s="566">
        <v>0</v>
      </c>
    </row>
    <row r="545" spans="1:12" ht="22.5" x14ac:dyDescent="0.2">
      <c r="A545" s="561" t="s">
        <v>3387</v>
      </c>
      <c r="B545" s="562">
        <v>2021</v>
      </c>
      <c r="C545" s="561" t="s">
        <v>705</v>
      </c>
      <c r="D545" s="561" t="s">
        <v>3408</v>
      </c>
      <c r="E545" s="561" t="s">
        <v>708</v>
      </c>
      <c r="F545" s="563">
        <v>0</v>
      </c>
      <c r="G545" s="564"/>
      <c r="H545" s="564"/>
      <c r="I545" s="565"/>
      <c r="J545" s="565"/>
      <c r="K545" s="563">
        <v>0</v>
      </c>
      <c r="L545" s="566">
        <v>0</v>
      </c>
    </row>
    <row r="546" spans="1:12" ht="22.5" x14ac:dyDescent="0.2">
      <c r="A546" s="561" t="s">
        <v>3387</v>
      </c>
      <c r="B546" s="562">
        <v>2021</v>
      </c>
      <c r="C546" s="561" t="s">
        <v>705</v>
      </c>
      <c r="D546" s="561" t="s">
        <v>3408</v>
      </c>
      <c r="E546" s="561" t="s">
        <v>709</v>
      </c>
      <c r="F546" s="563">
        <v>0</v>
      </c>
      <c r="G546" s="564"/>
      <c r="H546" s="564"/>
      <c r="I546" s="565"/>
      <c r="J546" s="565"/>
      <c r="K546" s="563">
        <v>0</v>
      </c>
      <c r="L546" s="566">
        <v>0</v>
      </c>
    </row>
    <row r="547" spans="1:12" ht="22.5" x14ac:dyDescent="0.2">
      <c r="A547" s="561" t="s">
        <v>3387</v>
      </c>
      <c r="B547" s="562">
        <v>2021</v>
      </c>
      <c r="C547" s="561" t="s">
        <v>705</v>
      </c>
      <c r="D547" s="561" t="s">
        <v>3408</v>
      </c>
      <c r="E547" s="561" t="s">
        <v>710</v>
      </c>
      <c r="F547" s="563">
        <v>0</v>
      </c>
      <c r="G547" s="564"/>
      <c r="H547" s="564"/>
      <c r="I547" s="565"/>
      <c r="J547" s="565"/>
      <c r="K547" s="563">
        <v>0</v>
      </c>
      <c r="L547" s="566">
        <v>0</v>
      </c>
    </row>
    <row r="548" spans="1:12" ht="22.5" x14ac:dyDescent="0.2">
      <c r="A548" s="561" t="s">
        <v>3387</v>
      </c>
      <c r="B548" s="562">
        <v>2021</v>
      </c>
      <c r="C548" s="561" t="s">
        <v>711</v>
      </c>
      <c r="D548" s="561" t="s">
        <v>3409</v>
      </c>
      <c r="E548" s="561" t="s">
        <v>713</v>
      </c>
      <c r="F548" s="563">
        <v>0</v>
      </c>
      <c r="G548" s="564"/>
      <c r="H548" s="561" t="s">
        <v>654</v>
      </c>
      <c r="I548" s="565"/>
      <c r="J548" s="565"/>
      <c r="K548" s="563">
        <v>0</v>
      </c>
      <c r="L548" s="566">
        <v>0</v>
      </c>
    </row>
    <row r="549" spans="1:12" ht="33.75" x14ac:dyDescent="0.2">
      <c r="A549" s="561" t="s">
        <v>3387</v>
      </c>
      <c r="B549" s="562">
        <v>2021</v>
      </c>
      <c r="C549" s="561" t="s">
        <v>714</v>
      </c>
      <c r="D549" s="561" t="s">
        <v>3410</v>
      </c>
      <c r="E549" s="561" t="s">
        <v>2</v>
      </c>
      <c r="F549" s="563">
        <v>0</v>
      </c>
      <c r="G549" s="561" t="s">
        <v>654</v>
      </c>
      <c r="H549" s="564"/>
      <c r="I549" s="565"/>
      <c r="J549" s="565"/>
      <c r="K549" s="563">
        <v>0</v>
      </c>
      <c r="L549" s="566">
        <v>0</v>
      </c>
    </row>
    <row r="550" spans="1:12" ht="33.75" x14ac:dyDescent="0.2">
      <c r="A550" s="561" t="s">
        <v>3387</v>
      </c>
      <c r="B550" s="562">
        <v>2021</v>
      </c>
      <c r="C550" s="561" t="s">
        <v>716</v>
      </c>
      <c r="D550" s="561" t="s">
        <v>3411</v>
      </c>
      <c r="E550" s="561" t="s">
        <v>3</v>
      </c>
      <c r="F550" s="563">
        <v>0</v>
      </c>
      <c r="G550" s="561" t="s">
        <v>654</v>
      </c>
      <c r="H550" s="564"/>
      <c r="I550" s="565"/>
      <c r="J550" s="565"/>
      <c r="K550" s="563">
        <v>0</v>
      </c>
      <c r="L550" s="566">
        <v>0</v>
      </c>
    </row>
    <row r="551" spans="1:12" ht="33.75" x14ac:dyDescent="0.2">
      <c r="A551" s="561" t="s">
        <v>3387</v>
      </c>
      <c r="B551" s="562">
        <v>2021</v>
      </c>
      <c r="C551" s="561" t="s">
        <v>718</v>
      </c>
      <c r="D551" s="561" t="s">
        <v>3412</v>
      </c>
      <c r="E551" s="561" t="s">
        <v>38</v>
      </c>
      <c r="F551" s="563">
        <v>0</v>
      </c>
      <c r="G551" s="561" t="s">
        <v>654</v>
      </c>
      <c r="H551" s="564"/>
      <c r="I551" s="565"/>
      <c r="J551" s="565"/>
      <c r="K551" s="563">
        <v>0</v>
      </c>
      <c r="L551" s="566">
        <v>0</v>
      </c>
    </row>
    <row r="552" spans="1:12" ht="22.5" x14ac:dyDescent="0.2">
      <c r="A552" s="561" t="s">
        <v>3387</v>
      </c>
      <c r="B552" s="562">
        <v>2021</v>
      </c>
      <c r="C552" s="561" t="s">
        <v>720</v>
      </c>
      <c r="D552" s="561" t="s">
        <v>3413</v>
      </c>
      <c r="E552" s="561" t="s">
        <v>66</v>
      </c>
      <c r="F552" s="563">
        <v>0</v>
      </c>
      <c r="G552" s="561" t="s">
        <v>654</v>
      </c>
      <c r="H552" s="564"/>
      <c r="I552" s="565"/>
      <c r="J552" s="565"/>
      <c r="K552" s="563">
        <v>0</v>
      </c>
      <c r="L552" s="566">
        <v>0</v>
      </c>
    </row>
    <row r="553" spans="1:12" ht="22.5" x14ac:dyDescent="0.2">
      <c r="A553" s="561" t="s">
        <v>3387</v>
      </c>
      <c r="B553" s="562">
        <v>2021</v>
      </c>
      <c r="C553" s="561" t="s">
        <v>722</v>
      </c>
      <c r="D553" s="561" t="s">
        <v>3414</v>
      </c>
      <c r="E553" s="561" t="s">
        <v>772</v>
      </c>
      <c r="F553" s="563">
        <v>0</v>
      </c>
      <c r="G553" s="564"/>
      <c r="H553" s="561" t="s">
        <v>654</v>
      </c>
      <c r="I553" s="565"/>
      <c r="J553" s="565"/>
      <c r="K553" s="563">
        <v>0</v>
      </c>
      <c r="L553" s="566">
        <v>0</v>
      </c>
    </row>
    <row r="554" spans="1:12" ht="45" x14ac:dyDescent="0.2">
      <c r="A554" s="561" t="s">
        <v>3387</v>
      </c>
      <c r="B554" s="562">
        <v>2021</v>
      </c>
      <c r="C554" s="561" t="s">
        <v>725</v>
      </c>
      <c r="D554" s="561" t="s">
        <v>3415</v>
      </c>
      <c r="E554" s="561" t="s">
        <v>3024</v>
      </c>
      <c r="F554" s="563">
        <v>0</v>
      </c>
      <c r="G554" s="561" t="s">
        <v>654</v>
      </c>
      <c r="H554" s="564"/>
      <c r="I554" s="565"/>
      <c r="J554" s="565"/>
      <c r="K554" s="563">
        <v>0</v>
      </c>
      <c r="L554" s="566">
        <v>0</v>
      </c>
    </row>
    <row r="555" spans="1:12" ht="45" x14ac:dyDescent="0.2">
      <c r="A555" s="561" t="s">
        <v>3387</v>
      </c>
      <c r="B555" s="562">
        <v>2021</v>
      </c>
      <c r="C555" s="561" t="s">
        <v>725</v>
      </c>
      <c r="D555" s="561" t="s">
        <v>3415</v>
      </c>
      <c r="E555" s="561" t="s">
        <v>3066</v>
      </c>
      <c r="F555" s="563">
        <v>0</v>
      </c>
      <c r="G555" s="561" t="s">
        <v>654</v>
      </c>
      <c r="H555" s="564"/>
      <c r="I555" s="565"/>
      <c r="J555" s="565"/>
      <c r="K555" s="563">
        <v>0</v>
      </c>
      <c r="L555" s="566">
        <v>0</v>
      </c>
    </row>
    <row r="556" spans="1:12" ht="45" x14ac:dyDescent="0.2">
      <c r="A556" s="561" t="s">
        <v>3387</v>
      </c>
      <c r="B556" s="562">
        <v>2021</v>
      </c>
      <c r="C556" s="561" t="s">
        <v>725</v>
      </c>
      <c r="D556" s="561" t="s">
        <v>3416</v>
      </c>
      <c r="E556" s="561" t="s">
        <v>728</v>
      </c>
      <c r="F556" s="563">
        <v>0</v>
      </c>
      <c r="G556" s="561" t="s">
        <v>654</v>
      </c>
      <c r="H556" s="564"/>
      <c r="I556" s="565"/>
      <c r="J556" s="565"/>
      <c r="K556" s="563">
        <v>0</v>
      </c>
      <c r="L556" s="566">
        <v>0</v>
      </c>
    </row>
    <row r="557" spans="1:12" ht="45" x14ac:dyDescent="0.2">
      <c r="A557" s="561" t="s">
        <v>3387</v>
      </c>
      <c r="B557" s="562">
        <v>2021</v>
      </c>
      <c r="C557" s="561" t="s">
        <v>725</v>
      </c>
      <c r="D557" s="561" t="s">
        <v>3417</v>
      </c>
      <c r="E557" s="561" t="s">
        <v>55</v>
      </c>
      <c r="F557" s="563">
        <v>0</v>
      </c>
      <c r="G557" s="561" t="s">
        <v>654</v>
      </c>
      <c r="H557" s="564"/>
      <c r="I557" s="565"/>
      <c r="J557" s="565"/>
      <c r="K557" s="563">
        <v>0</v>
      </c>
      <c r="L557" s="566">
        <v>0</v>
      </c>
    </row>
    <row r="558" spans="1:12" ht="45" x14ac:dyDescent="0.2">
      <c r="A558" s="561" t="s">
        <v>3387</v>
      </c>
      <c r="B558" s="562">
        <v>2021</v>
      </c>
      <c r="C558" s="561" t="s">
        <v>725</v>
      </c>
      <c r="D558" s="561" t="s">
        <v>3418</v>
      </c>
      <c r="E558" s="561" t="s">
        <v>56</v>
      </c>
      <c r="F558" s="563">
        <v>0</v>
      </c>
      <c r="G558" s="561" t="s">
        <v>654</v>
      </c>
      <c r="H558" s="564"/>
      <c r="I558" s="565"/>
      <c r="J558" s="565"/>
      <c r="K558" s="563">
        <v>0</v>
      </c>
      <c r="L558" s="566">
        <v>0</v>
      </c>
    </row>
    <row r="559" spans="1:12" ht="45" x14ac:dyDescent="0.2">
      <c r="A559" s="561" t="s">
        <v>3387</v>
      </c>
      <c r="B559" s="562">
        <v>2021</v>
      </c>
      <c r="C559" s="561" t="s">
        <v>725</v>
      </c>
      <c r="D559" s="561" t="s">
        <v>3419</v>
      </c>
      <c r="E559" s="561" t="s">
        <v>732</v>
      </c>
      <c r="F559" s="563">
        <v>0</v>
      </c>
      <c r="G559" s="561" t="s">
        <v>654</v>
      </c>
      <c r="H559" s="564"/>
      <c r="I559" s="565"/>
      <c r="J559" s="565"/>
      <c r="K559" s="563">
        <v>0</v>
      </c>
      <c r="L559" s="566">
        <v>0</v>
      </c>
    </row>
    <row r="560" spans="1:12" ht="45" x14ac:dyDescent="0.2">
      <c r="A560" s="561" t="s">
        <v>3387</v>
      </c>
      <c r="B560" s="562">
        <v>2021</v>
      </c>
      <c r="C560" s="561" t="s">
        <v>725</v>
      </c>
      <c r="D560" s="561" t="s">
        <v>3420</v>
      </c>
      <c r="E560" s="561" t="s">
        <v>734</v>
      </c>
      <c r="F560" s="563">
        <v>0</v>
      </c>
      <c r="G560" s="561" t="s">
        <v>654</v>
      </c>
      <c r="H560" s="564"/>
      <c r="I560" s="565"/>
      <c r="J560" s="565"/>
      <c r="K560" s="563">
        <v>0</v>
      </c>
      <c r="L560" s="566">
        <v>0</v>
      </c>
    </row>
    <row r="561" spans="1:12" ht="45" x14ac:dyDescent="0.2">
      <c r="A561" s="561" t="s">
        <v>3387</v>
      </c>
      <c r="B561" s="562">
        <v>2021</v>
      </c>
      <c r="C561" s="561" t="s">
        <v>725</v>
      </c>
      <c r="D561" s="561" t="s">
        <v>3421</v>
      </c>
      <c r="E561" s="561" t="s">
        <v>142</v>
      </c>
      <c r="F561" s="563">
        <v>0</v>
      </c>
      <c r="G561" s="561" t="s">
        <v>654</v>
      </c>
      <c r="H561" s="564"/>
      <c r="I561" s="565"/>
      <c r="J561" s="565"/>
      <c r="K561" s="563">
        <v>0</v>
      </c>
      <c r="L561" s="566">
        <v>0</v>
      </c>
    </row>
    <row r="562" spans="1:12" ht="45" x14ac:dyDescent="0.2">
      <c r="A562" s="561" t="s">
        <v>3387</v>
      </c>
      <c r="B562" s="562">
        <v>2021</v>
      </c>
      <c r="C562" s="561" t="s">
        <v>725</v>
      </c>
      <c r="D562" s="561" t="s">
        <v>3422</v>
      </c>
      <c r="E562" s="561" t="s">
        <v>143</v>
      </c>
      <c r="F562" s="563">
        <v>0</v>
      </c>
      <c r="G562" s="561" t="s">
        <v>654</v>
      </c>
      <c r="H562" s="564"/>
      <c r="I562" s="565"/>
      <c r="J562" s="565"/>
      <c r="K562" s="563">
        <v>0</v>
      </c>
      <c r="L562" s="566">
        <v>0</v>
      </c>
    </row>
    <row r="563" spans="1:12" ht="45" x14ac:dyDescent="0.2">
      <c r="A563" s="561" t="s">
        <v>3387</v>
      </c>
      <c r="B563" s="562">
        <v>2021</v>
      </c>
      <c r="C563" s="561" t="s">
        <v>725</v>
      </c>
      <c r="D563" s="561" t="s">
        <v>3423</v>
      </c>
      <c r="E563" s="561" t="s">
        <v>182</v>
      </c>
      <c r="F563" s="563">
        <v>0</v>
      </c>
      <c r="G563" s="561" t="s">
        <v>654</v>
      </c>
      <c r="H563" s="564"/>
      <c r="I563" s="565"/>
      <c r="J563" s="565"/>
      <c r="K563" s="563">
        <v>0</v>
      </c>
      <c r="L563" s="566">
        <v>0</v>
      </c>
    </row>
    <row r="564" spans="1:12" ht="45" x14ac:dyDescent="0.2">
      <c r="A564" s="561" t="s">
        <v>3387</v>
      </c>
      <c r="B564" s="562">
        <v>2021</v>
      </c>
      <c r="C564" s="561" t="s">
        <v>725</v>
      </c>
      <c r="D564" s="561" t="s">
        <v>3424</v>
      </c>
      <c r="E564" s="561" t="s">
        <v>394</v>
      </c>
      <c r="F564" s="563">
        <v>0</v>
      </c>
      <c r="G564" s="561" t="s">
        <v>654</v>
      </c>
      <c r="H564" s="564"/>
      <c r="I564" s="565"/>
      <c r="J564" s="565"/>
      <c r="K564" s="563">
        <v>0</v>
      </c>
      <c r="L564" s="566">
        <v>0</v>
      </c>
    </row>
    <row r="565" spans="1:12" ht="45" x14ac:dyDescent="0.2">
      <c r="A565" s="561" t="s">
        <v>3387</v>
      </c>
      <c r="B565" s="562">
        <v>2021</v>
      </c>
      <c r="C565" s="561" t="s">
        <v>725</v>
      </c>
      <c r="D565" s="561" t="s">
        <v>3425</v>
      </c>
      <c r="E565" s="561" t="s">
        <v>425</v>
      </c>
      <c r="F565" s="563">
        <v>0</v>
      </c>
      <c r="G565" s="561" t="s">
        <v>654</v>
      </c>
      <c r="H565" s="564"/>
      <c r="I565" s="565"/>
      <c r="J565" s="565"/>
      <c r="K565" s="563">
        <v>0</v>
      </c>
      <c r="L565" s="566">
        <v>0</v>
      </c>
    </row>
    <row r="566" spans="1:12" ht="45" x14ac:dyDescent="0.2">
      <c r="A566" s="561" t="s">
        <v>3387</v>
      </c>
      <c r="B566" s="562">
        <v>2021</v>
      </c>
      <c r="C566" s="561" t="s">
        <v>725</v>
      </c>
      <c r="D566" s="561" t="s">
        <v>3426</v>
      </c>
      <c r="E566" s="561" t="s">
        <v>443</v>
      </c>
      <c r="F566" s="563">
        <v>0</v>
      </c>
      <c r="G566" s="561" t="s">
        <v>654</v>
      </c>
      <c r="H566" s="564"/>
      <c r="I566" s="565"/>
      <c r="J566" s="565"/>
      <c r="K566" s="563">
        <v>0</v>
      </c>
      <c r="L566" s="566">
        <v>0</v>
      </c>
    </row>
    <row r="567" spans="1:12" ht="45" x14ac:dyDescent="0.2">
      <c r="A567" s="561" t="s">
        <v>3387</v>
      </c>
      <c r="B567" s="562">
        <v>2021</v>
      </c>
      <c r="C567" s="561" t="s">
        <v>725</v>
      </c>
      <c r="D567" s="561" t="s">
        <v>3427</v>
      </c>
      <c r="E567" s="561" t="s">
        <v>741</v>
      </c>
      <c r="F567" s="563">
        <v>0</v>
      </c>
      <c r="G567" s="564"/>
      <c r="H567" s="564"/>
      <c r="I567" s="565"/>
      <c r="J567" s="565"/>
      <c r="K567" s="563">
        <v>0</v>
      </c>
      <c r="L567" s="566">
        <v>0</v>
      </c>
    </row>
    <row r="568" spans="1:12" ht="22.5" x14ac:dyDescent="0.2">
      <c r="A568" s="561" t="s">
        <v>3387</v>
      </c>
      <c r="B568" s="562">
        <v>2021</v>
      </c>
      <c r="C568" s="561" t="s">
        <v>742</v>
      </c>
      <c r="D568" s="561" t="s">
        <v>3428</v>
      </c>
      <c r="E568" s="561" t="s">
        <v>7</v>
      </c>
      <c r="F568" s="563">
        <v>0</v>
      </c>
      <c r="G568" s="564"/>
      <c r="H568" s="561" t="s">
        <v>654</v>
      </c>
      <c r="I568" s="565"/>
      <c r="J568" s="565"/>
      <c r="K568" s="563">
        <v>0</v>
      </c>
      <c r="L568" s="566">
        <v>0</v>
      </c>
    </row>
    <row r="569" spans="1:12" ht="22.5" x14ac:dyDescent="0.2">
      <c r="A569" s="561" t="s">
        <v>86</v>
      </c>
      <c r="B569" s="562">
        <v>2021</v>
      </c>
      <c r="C569" s="561" t="s">
        <v>651</v>
      </c>
      <c r="D569" s="561" t="s">
        <v>1106</v>
      </c>
      <c r="E569" s="561" t="s">
        <v>653</v>
      </c>
      <c r="F569" s="563">
        <v>-29375.91</v>
      </c>
      <c r="G569" s="564"/>
      <c r="H569" s="561" t="s">
        <v>654</v>
      </c>
      <c r="I569" s="565"/>
      <c r="J569" s="565"/>
      <c r="K569" s="563">
        <v>0</v>
      </c>
      <c r="L569" s="566">
        <v>-29375.91</v>
      </c>
    </row>
    <row r="570" spans="1:12" ht="15" x14ac:dyDescent="0.2">
      <c r="A570" s="561" t="s">
        <v>86</v>
      </c>
      <c r="B570" s="562">
        <v>2021</v>
      </c>
      <c r="C570" s="561" t="s">
        <v>655</v>
      </c>
      <c r="D570" s="561" t="s">
        <v>1107</v>
      </c>
      <c r="E570" s="561" t="s">
        <v>657</v>
      </c>
      <c r="F570" s="563">
        <v>-11839.63</v>
      </c>
      <c r="G570" s="564"/>
      <c r="H570" s="561" t="s">
        <v>654</v>
      </c>
      <c r="I570" s="565"/>
      <c r="J570" s="565"/>
      <c r="K570" s="563">
        <v>0</v>
      </c>
      <c r="L570" s="566">
        <v>-11839.63</v>
      </c>
    </row>
    <row r="571" spans="1:12" ht="56.25" x14ac:dyDescent="0.2">
      <c r="A571" s="561" t="s">
        <v>86</v>
      </c>
      <c r="B571" s="562">
        <v>2021</v>
      </c>
      <c r="C571" s="561" t="s">
        <v>658</v>
      </c>
      <c r="D571" s="561" t="s">
        <v>1108</v>
      </c>
      <c r="E571" s="561" t="s">
        <v>447</v>
      </c>
      <c r="F571" s="563">
        <v>0</v>
      </c>
      <c r="G571" s="564"/>
      <c r="H571" s="561" t="s">
        <v>654</v>
      </c>
      <c r="I571" s="565"/>
      <c r="J571" s="565"/>
      <c r="K571" s="563">
        <v>0</v>
      </c>
      <c r="L571" s="566">
        <v>0</v>
      </c>
    </row>
    <row r="572" spans="1:12" ht="22.5" x14ac:dyDescent="0.2">
      <c r="A572" s="561" t="s">
        <v>86</v>
      </c>
      <c r="B572" s="562">
        <v>2021</v>
      </c>
      <c r="C572" s="561" t="s">
        <v>660</v>
      </c>
      <c r="D572" s="561" t="s">
        <v>1109</v>
      </c>
      <c r="E572" s="561" t="s">
        <v>662</v>
      </c>
      <c r="F572" s="563">
        <v>-73.849999999999994</v>
      </c>
      <c r="G572" s="564"/>
      <c r="H572" s="561" t="s">
        <v>654</v>
      </c>
      <c r="I572" s="565"/>
      <c r="J572" s="565"/>
      <c r="K572" s="563">
        <v>0</v>
      </c>
      <c r="L572" s="566">
        <v>-73.849999999999994</v>
      </c>
    </row>
    <row r="573" spans="1:12" ht="33.75" x14ac:dyDescent="0.2">
      <c r="A573" s="561" t="s">
        <v>86</v>
      </c>
      <c r="B573" s="562">
        <v>2021</v>
      </c>
      <c r="C573" s="561" t="s">
        <v>663</v>
      </c>
      <c r="D573" s="561" t="s">
        <v>1110</v>
      </c>
      <c r="E573" s="561" t="s">
        <v>665</v>
      </c>
      <c r="F573" s="563">
        <v>176493</v>
      </c>
      <c r="G573" s="564"/>
      <c r="H573" s="561" t="s">
        <v>654</v>
      </c>
      <c r="I573" s="565"/>
      <c r="J573" s="565"/>
      <c r="K573" s="563">
        <v>0</v>
      </c>
      <c r="L573" s="566">
        <v>176493</v>
      </c>
    </row>
    <row r="574" spans="1:12" ht="33.75" x14ac:dyDescent="0.2">
      <c r="A574" s="561" t="s">
        <v>86</v>
      </c>
      <c r="B574" s="562">
        <v>2021</v>
      </c>
      <c r="C574" s="561" t="s">
        <v>666</v>
      </c>
      <c r="D574" s="561" t="s">
        <v>1111</v>
      </c>
      <c r="E574" s="561" t="s">
        <v>668</v>
      </c>
      <c r="F574" s="563">
        <v>0</v>
      </c>
      <c r="G574" s="564"/>
      <c r="H574" s="561" t="s">
        <v>654</v>
      </c>
      <c r="I574" s="565"/>
      <c r="J574" s="565"/>
      <c r="K574" s="563">
        <v>0</v>
      </c>
      <c r="L574" s="566">
        <v>0</v>
      </c>
    </row>
    <row r="575" spans="1:12" ht="56.25" x14ac:dyDescent="0.2">
      <c r="A575" s="561" t="s">
        <v>86</v>
      </c>
      <c r="B575" s="562">
        <v>2021</v>
      </c>
      <c r="C575" s="561" t="s">
        <v>669</v>
      </c>
      <c r="D575" s="561" t="s">
        <v>1112</v>
      </c>
      <c r="E575" s="561" t="s">
        <v>671</v>
      </c>
      <c r="F575" s="563">
        <v>0</v>
      </c>
      <c r="G575" s="564"/>
      <c r="H575" s="561" t="s">
        <v>654</v>
      </c>
      <c r="I575" s="565"/>
      <c r="J575" s="565"/>
      <c r="K575" s="563">
        <v>0</v>
      </c>
      <c r="L575" s="566">
        <v>0</v>
      </c>
    </row>
    <row r="576" spans="1:12" ht="22.5" x14ac:dyDescent="0.2">
      <c r="A576" s="561" t="s">
        <v>86</v>
      </c>
      <c r="B576" s="562">
        <v>2021</v>
      </c>
      <c r="C576" s="561" t="s">
        <v>672</v>
      </c>
      <c r="D576" s="561" t="s">
        <v>1113</v>
      </c>
      <c r="E576" s="561" t="s">
        <v>12</v>
      </c>
      <c r="F576" s="563">
        <v>0</v>
      </c>
      <c r="G576" s="564"/>
      <c r="H576" s="561" t="s">
        <v>654</v>
      </c>
      <c r="I576" s="565"/>
      <c r="J576" s="565"/>
      <c r="K576" s="563">
        <v>0</v>
      </c>
      <c r="L576" s="566">
        <v>0</v>
      </c>
    </row>
    <row r="577" spans="1:12" ht="22.5" x14ac:dyDescent="0.2">
      <c r="A577" s="561" t="s">
        <v>86</v>
      </c>
      <c r="B577" s="562">
        <v>2021</v>
      </c>
      <c r="C577" s="561" t="s">
        <v>674</v>
      </c>
      <c r="D577" s="561" t="s">
        <v>1114</v>
      </c>
      <c r="E577" s="561" t="s">
        <v>13</v>
      </c>
      <c r="F577" s="563">
        <v>0</v>
      </c>
      <c r="G577" s="564"/>
      <c r="H577" s="561" t="s">
        <v>654</v>
      </c>
      <c r="I577" s="565"/>
      <c r="J577" s="565"/>
      <c r="K577" s="563">
        <v>0</v>
      </c>
      <c r="L577" s="566">
        <v>0</v>
      </c>
    </row>
    <row r="578" spans="1:12" ht="33.75" x14ac:dyDescent="0.2">
      <c r="A578" s="561" t="s">
        <v>86</v>
      </c>
      <c r="B578" s="562">
        <v>2021</v>
      </c>
      <c r="C578" s="561" t="s">
        <v>676</v>
      </c>
      <c r="D578" s="561" t="s">
        <v>1115</v>
      </c>
      <c r="E578" s="561" t="s">
        <v>15</v>
      </c>
      <c r="F578" s="563">
        <v>0</v>
      </c>
      <c r="G578" s="564"/>
      <c r="H578" s="561" t="s">
        <v>654</v>
      </c>
      <c r="I578" s="565"/>
      <c r="J578" s="565"/>
      <c r="K578" s="563">
        <v>0</v>
      </c>
      <c r="L578" s="566">
        <v>0</v>
      </c>
    </row>
    <row r="579" spans="1:12" ht="15" x14ac:dyDescent="0.2">
      <c r="A579" s="561" t="s">
        <v>86</v>
      </c>
      <c r="B579" s="562">
        <v>2021</v>
      </c>
      <c r="C579" s="561" t="s">
        <v>678</v>
      </c>
      <c r="D579" s="561" t="s">
        <v>1116</v>
      </c>
      <c r="E579" s="561" t="s">
        <v>680</v>
      </c>
      <c r="F579" s="563">
        <v>-792.69</v>
      </c>
      <c r="G579" s="564"/>
      <c r="H579" s="561" t="s">
        <v>654</v>
      </c>
      <c r="I579" s="565"/>
      <c r="J579" s="565"/>
      <c r="K579" s="563">
        <v>0</v>
      </c>
      <c r="L579" s="566">
        <v>-792.69</v>
      </c>
    </row>
    <row r="580" spans="1:12" ht="15" x14ac:dyDescent="0.2">
      <c r="A580" s="561" t="s">
        <v>86</v>
      </c>
      <c r="B580" s="562">
        <v>2021</v>
      </c>
      <c r="C580" s="561" t="s">
        <v>681</v>
      </c>
      <c r="D580" s="561" t="s">
        <v>1117</v>
      </c>
      <c r="E580" s="561" t="s">
        <v>23</v>
      </c>
      <c r="F580" s="563">
        <v>945407.82</v>
      </c>
      <c r="G580" s="561" t="s">
        <v>654</v>
      </c>
      <c r="H580" s="564"/>
      <c r="I580" s="563">
        <v>933362.5</v>
      </c>
      <c r="J580" s="563">
        <v>12045.33984375</v>
      </c>
      <c r="K580" s="563">
        <v>945407.8125</v>
      </c>
      <c r="L580" s="566">
        <v>945407.82</v>
      </c>
    </row>
    <row r="581" spans="1:12" ht="33.75" x14ac:dyDescent="0.2">
      <c r="A581" s="561" t="s">
        <v>86</v>
      </c>
      <c r="B581" s="562">
        <v>2021</v>
      </c>
      <c r="C581" s="561" t="s">
        <v>683</v>
      </c>
      <c r="D581" s="561" t="s">
        <v>1118</v>
      </c>
      <c r="E581" s="561" t="s">
        <v>131</v>
      </c>
      <c r="F581" s="563">
        <v>1021.53</v>
      </c>
      <c r="G581" s="561" t="s">
        <v>654</v>
      </c>
      <c r="H581" s="564"/>
      <c r="I581" s="563">
        <v>1094.14001464844</v>
      </c>
      <c r="J581" s="563">
        <v>-72.610000610351605</v>
      </c>
      <c r="K581" s="563">
        <v>1021.53002929688</v>
      </c>
      <c r="L581" s="566">
        <v>1021.53</v>
      </c>
    </row>
    <row r="582" spans="1:12" ht="33.75" x14ac:dyDescent="0.2">
      <c r="A582" s="561" t="s">
        <v>86</v>
      </c>
      <c r="B582" s="562">
        <v>2021</v>
      </c>
      <c r="C582" s="561" t="s">
        <v>685</v>
      </c>
      <c r="D582" s="561" t="s">
        <v>1119</v>
      </c>
      <c r="E582" s="561" t="s">
        <v>687</v>
      </c>
      <c r="F582" s="563">
        <v>0</v>
      </c>
      <c r="G582" s="564"/>
      <c r="H582" s="561" t="s">
        <v>654</v>
      </c>
      <c r="I582" s="565"/>
      <c r="J582" s="565"/>
      <c r="K582" s="563">
        <v>0</v>
      </c>
      <c r="L582" s="566">
        <v>0</v>
      </c>
    </row>
    <row r="583" spans="1:12" ht="33.75" x14ac:dyDescent="0.2">
      <c r="A583" s="561" t="s">
        <v>86</v>
      </c>
      <c r="B583" s="562">
        <v>2021</v>
      </c>
      <c r="C583" s="561" t="s">
        <v>685</v>
      </c>
      <c r="D583" s="561" t="s">
        <v>1119</v>
      </c>
      <c r="E583" s="561" t="s">
        <v>688</v>
      </c>
      <c r="F583" s="563">
        <v>0</v>
      </c>
      <c r="G583" s="564"/>
      <c r="H583" s="561" t="s">
        <v>654</v>
      </c>
      <c r="I583" s="565"/>
      <c r="J583" s="565"/>
      <c r="K583" s="563">
        <v>0</v>
      </c>
      <c r="L583" s="566">
        <v>0</v>
      </c>
    </row>
    <row r="584" spans="1:12" ht="22.5" x14ac:dyDescent="0.2">
      <c r="A584" s="561" t="s">
        <v>86</v>
      </c>
      <c r="B584" s="562">
        <v>2021</v>
      </c>
      <c r="C584" s="561" t="s">
        <v>689</v>
      </c>
      <c r="D584" s="561" t="s">
        <v>1120</v>
      </c>
      <c r="E584" s="561" t="s">
        <v>691</v>
      </c>
      <c r="F584" s="563">
        <v>0</v>
      </c>
      <c r="G584" s="564"/>
      <c r="H584" s="561" t="s">
        <v>654</v>
      </c>
      <c r="I584" s="565"/>
      <c r="J584" s="565"/>
      <c r="K584" s="563">
        <v>0</v>
      </c>
      <c r="L584" s="566">
        <v>0</v>
      </c>
    </row>
    <row r="585" spans="1:12" ht="22.5" x14ac:dyDescent="0.2">
      <c r="A585" s="561" t="s">
        <v>86</v>
      </c>
      <c r="B585" s="562">
        <v>2021</v>
      </c>
      <c r="C585" s="561" t="s">
        <v>692</v>
      </c>
      <c r="D585" s="561" t="s">
        <v>1121</v>
      </c>
      <c r="E585" s="561" t="s">
        <v>50</v>
      </c>
      <c r="F585" s="563">
        <v>0</v>
      </c>
      <c r="G585" s="564"/>
      <c r="H585" s="561" t="s">
        <v>654</v>
      </c>
      <c r="I585" s="565"/>
      <c r="J585" s="565"/>
      <c r="K585" s="563">
        <v>0</v>
      </c>
      <c r="L585" s="566">
        <v>0</v>
      </c>
    </row>
    <row r="586" spans="1:12" ht="22.5" x14ac:dyDescent="0.2">
      <c r="A586" s="561" t="s">
        <v>86</v>
      </c>
      <c r="B586" s="562">
        <v>2021</v>
      </c>
      <c r="C586" s="561" t="s">
        <v>694</v>
      </c>
      <c r="D586" s="561" t="s">
        <v>1122</v>
      </c>
      <c r="E586" s="561" t="s">
        <v>696</v>
      </c>
      <c r="F586" s="563">
        <v>0</v>
      </c>
      <c r="G586" s="564"/>
      <c r="H586" s="561" t="s">
        <v>654</v>
      </c>
      <c r="I586" s="565"/>
      <c r="J586" s="565"/>
      <c r="K586" s="563">
        <v>0</v>
      </c>
      <c r="L586" s="566">
        <v>0</v>
      </c>
    </row>
    <row r="587" spans="1:12" ht="22.5" x14ac:dyDescent="0.2">
      <c r="A587" s="561" t="s">
        <v>86</v>
      </c>
      <c r="B587" s="562">
        <v>2021</v>
      </c>
      <c r="C587" s="561" t="s">
        <v>697</v>
      </c>
      <c r="D587" s="561" t="s">
        <v>1123</v>
      </c>
      <c r="E587" s="561" t="s">
        <v>6</v>
      </c>
      <c r="F587" s="563">
        <v>278023</v>
      </c>
      <c r="G587" s="564"/>
      <c r="H587" s="561" t="s">
        <v>654</v>
      </c>
      <c r="I587" s="565"/>
      <c r="J587" s="565"/>
      <c r="K587" s="563">
        <v>0</v>
      </c>
      <c r="L587" s="566">
        <v>278023</v>
      </c>
    </row>
    <row r="588" spans="1:12" ht="33.75" x14ac:dyDescent="0.2">
      <c r="A588" s="561" t="s">
        <v>86</v>
      </c>
      <c r="B588" s="562">
        <v>2021</v>
      </c>
      <c r="C588" s="561" t="s">
        <v>699</v>
      </c>
      <c r="D588" s="561" t="s">
        <v>1124</v>
      </c>
      <c r="E588" s="561" t="s">
        <v>701</v>
      </c>
      <c r="F588" s="563">
        <v>21600.83</v>
      </c>
      <c r="G588" s="564"/>
      <c r="H588" s="561" t="s">
        <v>654</v>
      </c>
      <c r="I588" s="565"/>
      <c r="J588" s="565"/>
      <c r="K588" s="563">
        <v>0</v>
      </c>
      <c r="L588" s="566">
        <v>21600.83</v>
      </c>
    </row>
    <row r="589" spans="1:12" ht="22.5" x14ac:dyDescent="0.2">
      <c r="A589" s="561" t="s">
        <v>86</v>
      </c>
      <c r="B589" s="562">
        <v>2021</v>
      </c>
      <c r="C589" s="561" t="s">
        <v>702</v>
      </c>
      <c r="D589" s="561" t="s">
        <v>1125</v>
      </c>
      <c r="E589" s="561" t="s">
        <v>704</v>
      </c>
      <c r="F589" s="563">
        <v>17984.39</v>
      </c>
      <c r="G589" s="564"/>
      <c r="H589" s="561" t="s">
        <v>654</v>
      </c>
      <c r="I589" s="565"/>
      <c r="J589" s="565"/>
      <c r="K589" s="563">
        <v>0</v>
      </c>
      <c r="L589" s="566">
        <v>17984.39</v>
      </c>
    </row>
    <row r="590" spans="1:12" ht="33.75" x14ac:dyDescent="0.2">
      <c r="A590" s="561" t="s">
        <v>86</v>
      </c>
      <c r="B590" s="562">
        <v>2021</v>
      </c>
      <c r="C590" s="561" t="s">
        <v>705</v>
      </c>
      <c r="D590" s="561" t="s">
        <v>1126</v>
      </c>
      <c r="E590" s="561" t="s">
        <v>1</v>
      </c>
      <c r="F590" s="563">
        <v>-266551.94</v>
      </c>
      <c r="G590" s="561" t="s">
        <v>654</v>
      </c>
      <c r="H590" s="564"/>
      <c r="I590" s="563">
        <v>-263966.1875</v>
      </c>
      <c r="J590" s="563">
        <v>-2585.76000976563</v>
      </c>
      <c r="K590" s="563">
        <v>-266551.9375</v>
      </c>
      <c r="L590" s="566">
        <v>-266551.94</v>
      </c>
    </row>
    <row r="591" spans="1:12" ht="22.5" x14ac:dyDescent="0.2">
      <c r="A591" s="561" t="s">
        <v>86</v>
      </c>
      <c r="B591" s="562">
        <v>2021</v>
      </c>
      <c r="C591" s="561" t="s">
        <v>705</v>
      </c>
      <c r="D591" s="561" t="s">
        <v>1126</v>
      </c>
      <c r="E591" s="561" t="s">
        <v>707</v>
      </c>
      <c r="F591" s="563">
        <v>0</v>
      </c>
      <c r="G591" s="564"/>
      <c r="H591" s="564"/>
      <c r="I591" s="565"/>
      <c r="J591" s="565"/>
      <c r="K591" s="563">
        <v>0</v>
      </c>
      <c r="L591" s="566">
        <v>0</v>
      </c>
    </row>
    <row r="592" spans="1:12" ht="22.5" x14ac:dyDescent="0.2">
      <c r="A592" s="561" t="s">
        <v>86</v>
      </c>
      <c r="B592" s="562">
        <v>2021</v>
      </c>
      <c r="C592" s="561" t="s">
        <v>705</v>
      </c>
      <c r="D592" s="561" t="s">
        <v>1126</v>
      </c>
      <c r="E592" s="561" t="s">
        <v>708</v>
      </c>
      <c r="F592" s="563">
        <v>0</v>
      </c>
      <c r="G592" s="564"/>
      <c r="H592" s="564"/>
      <c r="I592" s="565"/>
      <c r="J592" s="565"/>
      <c r="K592" s="563">
        <v>0</v>
      </c>
      <c r="L592" s="566">
        <v>0</v>
      </c>
    </row>
    <row r="593" spans="1:12" ht="22.5" x14ac:dyDescent="0.2">
      <c r="A593" s="561" t="s">
        <v>86</v>
      </c>
      <c r="B593" s="562">
        <v>2021</v>
      </c>
      <c r="C593" s="561" t="s">
        <v>705</v>
      </c>
      <c r="D593" s="561" t="s">
        <v>1126</v>
      </c>
      <c r="E593" s="561" t="s">
        <v>709</v>
      </c>
      <c r="F593" s="563">
        <v>0</v>
      </c>
      <c r="G593" s="564"/>
      <c r="H593" s="564"/>
      <c r="I593" s="565"/>
      <c r="J593" s="565"/>
      <c r="K593" s="563">
        <v>0</v>
      </c>
      <c r="L593" s="566">
        <v>0</v>
      </c>
    </row>
    <row r="594" spans="1:12" ht="22.5" x14ac:dyDescent="0.2">
      <c r="A594" s="561" t="s">
        <v>86</v>
      </c>
      <c r="B594" s="562">
        <v>2021</v>
      </c>
      <c r="C594" s="561" t="s">
        <v>705</v>
      </c>
      <c r="D594" s="561" t="s">
        <v>1126</v>
      </c>
      <c r="E594" s="561" t="s">
        <v>710</v>
      </c>
      <c r="F594" s="563">
        <v>0</v>
      </c>
      <c r="G594" s="564"/>
      <c r="H594" s="564"/>
      <c r="I594" s="565"/>
      <c r="J594" s="565"/>
      <c r="K594" s="563">
        <v>0</v>
      </c>
      <c r="L594" s="566">
        <v>0</v>
      </c>
    </row>
    <row r="595" spans="1:12" ht="15" x14ac:dyDescent="0.2">
      <c r="A595" s="561" t="s">
        <v>86</v>
      </c>
      <c r="B595" s="562">
        <v>2021</v>
      </c>
      <c r="C595" s="561" t="s">
        <v>711</v>
      </c>
      <c r="D595" s="561" t="s">
        <v>1127</v>
      </c>
      <c r="E595" s="561" t="s">
        <v>713</v>
      </c>
      <c r="F595" s="563">
        <v>0</v>
      </c>
      <c r="G595" s="564"/>
      <c r="H595" s="561" t="s">
        <v>654</v>
      </c>
      <c r="I595" s="565"/>
      <c r="J595" s="565"/>
      <c r="K595" s="563">
        <v>0</v>
      </c>
      <c r="L595" s="566">
        <v>0</v>
      </c>
    </row>
    <row r="596" spans="1:12" ht="33.75" x14ac:dyDescent="0.2">
      <c r="A596" s="561" t="s">
        <v>86</v>
      </c>
      <c r="B596" s="562">
        <v>2021</v>
      </c>
      <c r="C596" s="561" t="s">
        <v>714</v>
      </c>
      <c r="D596" s="561" t="s">
        <v>1128</v>
      </c>
      <c r="E596" s="561" t="s">
        <v>2</v>
      </c>
      <c r="F596" s="563">
        <v>-266086.56</v>
      </c>
      <c r="G596" s="561" t="s">
        <v>654</v>
      </c>
      <c r="H596" s="564"/>
      <c r="I596" s="563">
        <v>-264248.96875</v>
      </c>
      <c r="J596" s="563">
        <v>-1837.57995605469</v>
      </c>
      <c r="K596" s="563">
        <v>-266086.5625</v>
      </c>
      <c r="L596" s="566">
        <v>-266086.56</v>
      </c>
    </row>
    <row r="597" spans="1:12" ht="33.75" x14ac:dyDescent="0.2">
      <c r="A597" s="561" t="s">
        <v>86</v>
      </c>
      <c r="B597" s="562">
        <v>2021</v>
      </c>
      <c r="C597" s="561" t="s">
        <v>716</v>
      </c>
      <c r="D597" s="561" t="s">
        <v>1129</v>
      </c>
      <c r="E597" s="561" t="s">
        <v>3</v>
      </c>
      <c r="F597" s="563">
        <v>475168.16</v>
      </c>
      <c r="G597" s="561" t="s">
        <v>654</v>
      </c>
      <c r="H597" s="564"/>
      <c r="I597" s="563">
        <v>474363.46875</v>
      </c>
      <c r="J597" s="563">
        <v>804.70001220703102</v>
      </c>
      <c r="K597" s="563">
        <v>475168.15625</v>
      </c>
      <c r="L597" s="566">
        <v>475168.16</v>
      </c>
    </row>
    <row r="598" spans="1:12" ht="33.75" x14ac:dyDescent="0.2">
      <c r="A598" s="561" t="s">
        <v>86</v>
      </c>
      <c r="B598" s="562">
        <v>2021</v>
      </c>
      <c r="C598" s="561" t="s">
        <v>718</v>
      </c>
      <c r="D598" s="561" t="s">
        <v>1130</v>
      </c>
      <c r="E598" s="561" t="s">
        <v>38</v>
      </c>
      <c r="F598" s="563">
        <v>-4831378.8499999996</v>
      </c>
      <c r="G598" s="561" t="s">
        <v>654</v>
      </c>
      <c r="H598" s="564"/>
      <c r="I598" s="563">
        <v>-4775340.5</v>
      </c>
      <c r="J598" s="563">
        <v>-56038.23828125</v>
      </c>
      <c r="K598" s="563">
        <v>-4831379</v>
      </c>
      <c r="L598" s="566">
        <v>-4831378.8499999996</v>
      </c>
    </row>
    <row r="599" spans="1:12" ht="22.5" x14ac:dyDescent="0.2">
      <c r="A599" s="561" t="s">
        <v>86</v>
      </c>
      <c r="B599" s="562">
        <v>2021</v>
      </c>
      <c r="C599" s="561" t="s">
        <v>720</v>
      </c>
      <c r="D599" s="561" t="s">
        <v>1131</v>
      </c>
      <c r="E599" s="561" t="s">
        <v>66</v>
      </c>
      <c r="F599" s="563">
        <v>1379679.97</v>
      </c>
      <c r="G599" s="561" t="s">
        <v>654</v>
      </c>
      <c r="H599" s="564"/>
      <c r="I599" s="563">
        <v>1386368.5</v>
      </c>
      <c r="J599" s="563">
        <v>-6688.52001953125</v>
      </c>
      <c r="K599" s="563">
        <v>1379680</v>
      </c>
      <c r="L599" s="566">
        <v>1379679.97</v>
      </c>
    </row>
    <row r="600" spans="1:12" ht="45" x14ac:dyDescent="0.2">
      <c r="A600" s="561" t="s">
        <v>86</v>
      </c>
      <c r="B600" s="562">
        <v>2021</v>
      </c>
      <c r="C600" s="561" t="s">
        <v>722</v>
      </c>
      <c r="D600" s="561" t="s">
        <v>1132</v>
      </c>
      <c r="E600" s="561" t="s">
        <v>724</v>
      </c>
      <c r="F600" s="563">
        <v>0</v>
      </c>
      <c r="G600" s="564"/>
      <c r="H600" s="561" t="s">
        <v>654</v>
      </c>
      <c r="I600" s="565"/>
      <c r="J600" s="565"/>
      <c r="K600" s="563">
        <v>0</v>
      </c>
      <c r="L600" s="566">
        <v>0</v>
      </c>
    </row>
    <row r="601" spans="1:12" ht="45" x14ac:dyDescent="0.2">
      <c r="A601" s="561" t="s">
        <v>86</v>
      </c>
      <c r="B601" s="562">
        <v>2021</v>
      </c>
      <c r="C601" s="561" t="s">
        <v>725</v>
      </c>
      <c r="D601" s="561" t="s">
        <v>1133</v>
      </c>
      <c r="E601" s="561" t="s">
        <v>3024</v>
      </c>
      <c r="F601" s="563">
        <v>0</v>
      </c>
      <c r="G601" s="561" t="s">
        <v>654</v>
      </c>
      <c r="H601" s="564"/>
      <c r="I601" s="565"/>
      <c r="J601" s="565"/>
      <c r="K601" s="563">
        <v>0</v>
      </c>
      <c r="L601" s="566">
        <v>0</v>
      </c>
    </row>
    <row r="602" spans="1:12" ht="45" x14ac:dyDescent="0.2">
      <c r="A602" s="561" t="s">
        <v>86</v>
      </c>
      <c r="B602" s="562">
        <v>2021</v>
      </c>
      <c r="C602" s="561" t="s">
        <v>725</v>
      </c>
      <c r="D602" s="561" t="s">
        <v>1133</v>
      </c>
      <c r="E602" s="561" t="s">
        <v>3066</v>
      </c>
      <c r="F602" s="563">
        <v>0</v>
      </c>
      <c r="G602" s="561" t="s">
        <v>654</v>
      </c>
      <c r="H602" s="564"/>
      <c r="I602" s="565"/>
      <c r="J602" s="565"/>
      <c r="K602" s="563">
        <v>0</v>
      </c>
      <c r="L602" s="566">
        <v>0</v>
      </c>
    </row>
    <row r="603" spans="1:12" ht="45" x14ac:dyDescent="0.2">
      <c r="A603" s="561" t="s">
        <v>86</v>
      </c>
      <c r="B603" s="562">
        <v>2021</v>
      </c>
      <c r="C603" s="561" t="s">
        <v>725</v>
      </c>
      <c r="D603" s="561" t="s">
        <v>1134</v>
      </c>
      <c r="E603" s="561" t="s">
        <v>728</v>
      </c>
      <c r="F603" s="563">
        <v>0</v>
      </c>
      <c r="G603" s="561" t="s">
        <v>654</v>
      </c>
      <c r="H603" s="564"/>
      <c r="I603" s="565"/>
      <c r="J603" s="565"/>
      <c r="K603" s="563">
        <v>0</v>
      </c>
      <c r="L603" s="566">
        <v>0</v>
      </c>
    </row>
    <row r="604" spans="1:12" ht="45" x14ac:dyDescent="0.2">
      <c r="A604" s="561" t="s">
        <v>86</v>
      </c>
      <c r="B604" s="562">
        <v>2021</v>
      </c>
      <c r="C604" s="561" t="s">
        <v>725</v>
      </c>
      <c r="D604" s="561" t="s">
        <v>1135</v>
      </c>
      <c r="E604" s="561" t="s">
        <v>55</v>
      </c>
      <c r="F604" s="563">
        <v>0</v>
      </c>
      <c r="G604" s="561" t="s">
        <v>654</v>
      </c>
      <c r="H604" s="564"/>
      <c r="I604" s="565"/>
      <c r="J604" s="565"/>
      <c r="K604" s="563">
        <v>0</v>
      </c>
      <c r="L604" s="566">
        <v>0</v>
      </c>
    </row>
    <row r="605" spans="1:12" ht="45" x14ac:dyDescent="0.2">
      <c r="A605" s="561" t="s">
        <v>86</v>
      </c>
      <c r="B605" s="562">
        <v>2021</v>
      </c>
      <c r="C605" s="561" t="s">
        <v>725</v>
      </c>
      <c r="D605" s="561" t="s">
        <v>1136</v>
      </c>
      <c r="E605" s="561" t="s">
        <v>56</v>
      </c>
      <c r="F605" s="563">
        <v>0</v>
      </c>
      <c r="G605" s="561" t="s">
        <v>654</v>
      </c>
      <c r="H605" s="564"/>
      <c r="I605" s="565"/>
      <c r="J605" s="565"/>
      <c r="K605" s="563">
        <v>0</v>
      </c>
      <c r="L605" s="566">
        <v>0</v>
      </c>
    </row>
    <row r="606" spans="1:12" ht="45" x14ac:dyDescent="0.2">
      <c r="A606" s="561" t="s">
        <v>86</v>
      </c>
      <c r="B606" s="562">
        <v>2021</v>
      </c>
      <c r="C606" s="561" t="s">
        <v>725</v>
      </c>
      <c r="D606" s="561" t="s">
        <v>1137</v>
      </c>
      <c r="E606" s="561" t="s">
        <v>732</v>
      </c>
      <c r="F606" s="563">
        <v>0</v>
      </c>
      <c r="G606" s="561" t="s">
        <v>654</v>
      </c>
      <c r="H606" s="564"/>
      <c r="I606" s="565"/>
      <c r="J606" s="565"/>
      <c r="K606" s="563">
        <v>0</v>
      </c>
      <c r="L606" s="566">
        <v>0</v>
      </c>
    </row>
    <row r="607" spans="1:12" ht="45" x14ac:dyDescent="0.2">
      <c r="A607" s="561" t="s">
        <v>86</v>
      </c>
      <c r="B607" s="562">
        <v>2021</v>
      </c>
      <c r="C607" s="561" t="s">
        <v>725</v>
      </c>
      <c r="D607" s="561" t="s">
        <v>1138</v>
      </c>
      <c r="E607" s="561" t="s">
        <v>734</v>
      </c>
      <c r="F607" s="563">
        <v>0</v>
      </c>
      <c r="G607" s="561" t="s">
        <v>654</v>
      </c>
      <c r="H607" s="564"/>
      <c r="I607" s="565"/>
      <c r="J607" s="565"/>
      <c r="K607" s="563">
        <v>0</v>
      </c>
      <c r="L607" s="566">
        <v>0</v>
      </c>
    </row>
    <row r="608" spans="1:12" ht="45" x14ac:dyDescent="0.2">
      <c r="A608" s="561" t="s">
        <v>86</v>
      </c>
      <c r="B608" s="562">
        <v>2021</v>
      </c>
      <c r="C608" s="561" t="s">
        <v>725</v>
      </c>
      <c r="D608" s="561" t="s">
        <v>1139</v>
      </c>
      <c r="E608" s="561" t="s">
        <v>142</v>
      </c>
      <c r="F608" s="563">
        <v>0</v>
      </c>
      <c r="G608" s="561" t="s">
        <v>654</v>
      </c>
      <c r="H608" s="564"/>
      <c r="I608" s="565"/>
      <c r="J608" s="565"/>
      <c r="K608" s="563">
        <v>0</v>
      </c>
      <c r="L608" s="566">
        <v>0</v>
      </c>
    </row>
    <row r="609" spans="1:12" ht="45" x14ac:dyDescent="0.2">
      <c r="A609" s="561" t="s">
        <v>86</v>
      </c>
      <c r="B609" s="562">
        <v>2021</v>
      </c>
      <c r="C609" s="561" t="s">
        <v>725</v>
      </c>
      <c r="D609" s="561" t="s">
        <v>1140</v>
      </c>
      <c r="E609" s="561" t="s">
        <v>143</v>
      </c>
      <c r="F609" s="563">
        <v>0</v>
      </c>
      <c r="G609" s="561" t="s">
        <v>654</v>
      </c>
      <c r="H609" s="564"/>
      <c r="I609" s="565"/>
      <c r="J609" s="565"/>
      <c r="K609" s="563">
        <v>0</v>
      </c>
      <c r="L609" s="566">
        <v>0</v>
      </c>
    </row>
    <row r="610" spans="1:12" ht="45" x14ac:dyDescent="0.2">
      <c r="A610" s="561" t="s">
        <v>86</v>
      </c>
      <c r="B610" s="562">
        <v>2021</v>
      </c>
      <c r="C610" s="561" t="s">
        <v>725</v>
      </c>
      <c r="D610" s="561" t="s">
        <v>1141</v>
      </c>
      <c r="E610" s="561" t="s">
        <v>182</v>
      </c>
      <c r="F610" s="563">
        <v>0</v>
      </c>
      <c r="G610" s="561" t="s">
        <v>654</v>
      </c>
      <c r="H610" s="564"/>
      <c r="I610" s="565"/>
      <c r="J610" s="565"/>
      <c r="K610" s="563">
        <v>0</v>
      </c>
      <c r="L610" s="566">
        <v>0</v>
      </c>
    </row>
    <row r="611" spans="1:12" ht="45" x14ac:dyDescent="0.2">
      <c r="A611" s="561" t="s">
        <v>86</v>
      </c>
      <c r="B611" s="562">
        <v>2021</v>
      </c>
      <c r="C611" s="561" t="s">
        <v>725</v>
      </c>
      <c r="D611" s="561" t="s">
        <v>1142</v>
      </c>
      <c r="E611" s="561" t="s">
        <v>394</v>
      </c>
      <c r="F611" s="563">
        <v>0</v>
      </c>
      <c r="G611" s="561" t="s">
        <v>654</v>
      </c>
      <c r="H611" s="564"/>
      <c r="I611" s="565"/>
      <c r="J611" s="565"/>
      <c r="K611" s="563">
        <v>0</v>
      </c>
      <c r="L611" s="566">
        <v>0</v>
      </c>
    </row>
    <row r="612" spans="1:12" ht="45" x14ac:dyDescent="0.2">
      <c r="A612" s="561" t="s">
        <v>86</v>
      </c>
      <c r="B612" s="562">
        <v>2021</v>
      </c>
      <c r="C612" s="561" t="s">
        <v>725</v>
      </c>
      <c r="D612" s="561" t="s">
        <v>1143</v>
      </c>
      <c r="E612" s="561" t="s">
        <v>425</v>
      </c>
      <c r="F612" s="563">
        <v>0</v>
      </c>
      <c r="G612" s="561" t="s">
        <v>654</v>
      </c>
      <c r="H612" s="564"/>
      <c r="I612" s="565"/>
      <c r="J612" s="565"/>
      <c r="K612" s="563">
        <v>0</v>
      </c>
      <c r="L612" s="566">
        <v>0</v>
      </c>
    </row>
    <row r="613" spans="1:12" ht="45" x14ac:dyDescent="0.2">
      <c r="A613" s="561" t="s">
        <v>86</v>
      </c>
      <c r="B613" s="562">
        <v>2021</v>
      </c>
      <c r="C613" s="561" t="s">
        <v>725</v>
      </c>
      <c r="D613" s="561" t="s">
        <v>3090</v>
      </c>
      <c r="E613" s="561" t="s">
        <v>443</v>
      </c>
      <c r="F613" s="563">
        <v>0</v>
      </c>
      <c r="G613" s="561" t="s">
        <v>654</v>
      </c>
      <c r="H613" s="564"/>
      <c r="I613" s="563">
        <v>440940.375</v>
      </c>
      <c r="J613" s="565"/>
      <c r="K613" s="563">
        <v>440940.375</v>
      </c>
      <c r="L613" s="566">
        <v>440940.36</v>
      </c>
    </row>
    <row r="614" spans="1:12" ht="45" x14ac:dyDescent="0.2">
      <c r="A614" s="561" t="s">
        <v>86</v>
      </c>
      <c r="B614" s="562">
        <v>2021</v>
      </c>
      <c r="C614" s="561" t="s">
        <v>725</v>
      </c>
      <c r="D614" s="561" t="s">
        <v>1144</v>
      </c>
      <c r="E614" s="561" t="s">
        <v>741</v>
      </c>
      <c r="F614" s="563">
        <v>440940.36</v>
      </c>
      <c r="G614" s="564"/>
      <c r="H614" s="564"/>
      <c r="I614" s="565"/>
      <c r="J614" s="565"/>
      <c r="K614" s="563">
        <v>0</v>
      </c>
      <c r="L614" s="566">
        <v>440940.36</v>
      </c>
    </row>
    <row r="615" spans="1:12" ht="22.5" x14ac:dyDescent="0.2">
      <c r="A615" s="561" t="s">
        <v>86</v>
      </c>
      <c r="B615" s="562">
        <v>2021</v>
      </c>
      <c r="C615" s="561" t="s">
        <v>742</v>
      </c>
      <c r="D615" s="561" t="s">
        <v>1145</v>
      </c>
      <c r="E615" s="561" t="s">
        <v>7</v>
      </c>
      <c r="F615" s="563">
        <v>0</v>
      </c>
      <c r="G615" s="564"/>
      <c r="H615" s="561" t="s">
        <v>654</v>
      </c>
      <c r="I615" s="565"/>
      <c r="J615" s="565"/>
      <c r="K615" s="563">
        <v>0</v>
      </c>
      <c r="L615" s="566">
        <v>0</v>
      </c>
    </row>
    <row r="616" spans="1:12" ht="22.5" x14ac:dyDescent="0.2">
      <c r="A616" s="561" t="s">
        <v>435</v>
      </c>
      <c r="B616" s="562">
        <v>2021</v>
      </c>
      <c r="C616" s="561" t="s">
        <v>651</v>
      </c>
      <c r="D616" s="561" t="s">
        <v>3091</v>
      </c>
      <c r="E616" s="561" t="s">
        <v>653</v>
      </c>
      <c r="F616" s="563">
        <v>-735896.53</v>
      </c>
      <c r="G616" s="564"/>
      <c r="H616" s="561" t="s">
        <v>654</v>
      </c>
      <c r="I616" s="565"/>
      <c r="J616" s="565"/>
      <c r="K616" s="563">
        <v>0</v>
      </c>
      <c r="L616" s="566">
        <v>-735896.53</v>
      </c>
    </row>
    <row r="617" spans="1:12" ht="15" x14ac:dyDescent="0.2">
      <c r="A617" s="561" t="s">
        <v>435</v>
      </c>
      <c r="B617" s="562">
        <v>2021</v>
      </c>
      <c r="C617" s="561" t="s">
        <v>655</v>
      </c>
      <c r="D617" s="561" t="s">
        <v>3092</v>
      </c>
      <c r="E617" s="561" t="s">
        <v>657</v>
      </c>
      <c r="F617" s="563">
        <v>0</v>
      </c>
      <c r="G617" s="564"/>
      <c r="H617" s="561" t="s">
        <v>654</v>
      </c>
      <c r="I617" s="565"/>
      <c r="J617" s="565"/>
      <c r="K617" s="563">
        <v>0</v>
      </c>
      <c r="L617" s="566">
        <v>0</v>
      </c>
    </row>
    <row r="618" spans="1:12" ht="56.25" x14ac:dyDescent="0.2">
      <c r="A618" s="561" t="s">
        <v>435</v>
      </c>
      <c r="B618" s="562">
        <v>2021</v>
      </c>
      <c r="C618" s="561" t="s">
        <v>658</v>
      </c>
      <c r="D618" s="561" t="s">
        <v>3093</v>
      </c>
      <c r="E618" s="561" t="s">
        <v>447</v>
      </c>
      <c r="F618" s="563">
        <v>-46630.720000000001</v>
      </c>
      <c r="G618" s="564"/>
      <c r="H618" s="561" t="s">
        <v>654</v>
      </c>
      <c r="I618" s="565"/>
      <c r="J618" s="565"/>
      <c r="K618" s="563">
        <v>0</v>
      </c>
      <c r="L618" s="566">
        <v>-46630.720000000001</v>
      </c>
    </row>
    <row r="619" spans="1:12" ht="22.5" x14ac:dyDescent="0.2">
      <c r="A619" s="561" t="s">
        <v>435</v>
      </c>
      <c r="B619" s="562">
        <v>2021</v>
      </c>
      <c r="C619" s="561" t="s">
        <v>660</v>
      </c>
      <c r="D619" s="561" t="s">
        <v>3094</v>
      </c>
      <c r="E619" s="561" t="s">
        <v>662</v>
      </c>
      <c r="F619" s="563">
        <v>0</v>
      </c>
      <c r="G619" s="564"/>
      <c r="H619" s="561" t="s">
        <v>654</v>
      </c>
      <c r="I619" s="565"/>
      <c r="J619" s="565"/>
      <c r="K619" s="563">
        <v>0</v>
      </c>
      <c r="L619" s="566">
        <v>0</v>
      </c>
    </row>
    <row r="620" spans="1:12" ht="33.75" x14ac:dyDescent="0.2">
      <c r="A620" s="561" t="s">
        <v>435</v>
      </c>
      <c r="B620" s="562">
        <v>2021</v>
      </c>
      <c r="C620" s="561" t="s">
        <v>663</v>
      </c>
      <c r="D620" s="561" t="s">
        <v>3095</v>
      </c>
      <c r="E620" s="561" t="s">
        <v>665</v>
      </c>
      <c r="F620" s="563">
        <v>0</v>
      </c>
      <c r="G620" s="564"/>
      <c r="H620" s="561" t="s">
        <v>654</v>
      </c>
      <c r="I620" s="565"/>
      <c r="J620" s="565"/>
      <c r="K620" s="563">
        <v>0</v>
      </c>
      <c r="L620" s="566">
        <v>0</v>
      </c>
    </row>
    <row r="621" spans="1:12" ht="33.75" x14ac:dyDescent="0.2">
      <c r="A621" s="561" t="s">
        <v>435</v>
      </c>
      <c r="B621" s="562">
        <v>2021</v>
      </c>
      <c r="C621" s="561" t="s">
        <v>666</v>
      </c>
      <c r="D621" s="561" t="s">
        <v>3096</v>
      </c>
      <c r="E621" s="561" t="s">
        <v>668</v>
      </c>
      <c r="F621" s="563">
        <v>0</v>
      </c>
      <c r="G621" s="564"/>
      <c r="H621" s="561" t="s">
        <v>654</v>
      </c>
      <c r="I621" s="565"/>
      <c r="J621" s="565"/>
      <c r="K621" s="563">
        <v>0</v>
      </c>
      <c r="L621" s="566">
        <v>0</v>
      </c>
    </row>
    <row r="622" spans="1:12" ht="56.25" x14ac:dyDescent="0.2">
      <c r="A622" s="561" t="s">
        <v>435</v>
      </c>
      <c r="B622" s="562">
        <v>2021</v>
      </c>
      <c r="C622" s="561" t="s">
        <v>669</v>
      </c>
      <c r="D622" s="561" t="s">
        <v>3097</v>
      </c>
      <c r="E622" s="561" t="s">
        <v>671</v>
      </c>
      <c r="F622" s="563">
        <v>0</v>
      </c>
      <c r="G622" s="564"/>
      <c r="H622" s="561" t="s">
        <v>654</v>
      </c>
      <c r="I622" s="565"/>
      <c r="J622" s="565"/>
      <c r="K622" s="563">
        <v>0</v>
      </c>
      <c r="L622" s="566">
        <v>0</v>
      </c>
    </row>
    <row r="623" spans="1:12" ht="22.5" x14ac:dyDescent="0.2">
      <c r="A623" s="561" t="s">
        <v>435</v>
      </c>
      <c r="B623" s="562">
        <v>2021</v>
      </c>
      <c r="C623" s="561" t="s">
        <v>672</v>
      </c>
      <c r="D623" s="561" t="s">
        <v>3098</v>
      </c>
      <c r="E623" s="561" t="s">
        <v>12</v>
      </c>
      <c r="F623" s="563">
        <v>0</v>
      </c>
      <c r="G623" s="564"/>
      <c r="H623" s="561" t="s">
        <v>654</v>
      </c>
      <c r="I623" s="565"/>
      <c r="J623" s="565"/>
      <c r="K623" s="563">
        <v>0</v>
      </c>
      <c r="L623" s="566">
        <v>0</v>
      </c>
    </row>
    <row r="624" spans="1:12" ht="22.5" x14ac:dyDescent="0.2">
      <c r="A624" s="561" t="s">
        <v>435</v>
      </c>
      <c r="B624" s="562">
        <v>2021</v>
      </c>
      <c r="C624" s="561" t="s">
        <v>674</v>
      </c>
      <c r="D624" s="561" t="s">
        <v>3099</v>
      </c>
      <c r="E624" s="561" t="s">
        <v>13</v>
      </c>
      <c r="F624" s="563">
        <v>0</v>
      </c>
      <c r="G624" s="564"/>
      <c r="H624" s="561" t="s">
        <v>654</v>
      </c>
      <c r="I624" s="565"/>
      <c r="J624" s="565"/>
      <c r="K624" s="563">
        <v>0</v>
      </c>
      <c r="L624" s="566">
        <v>0</v>
      </c>
    </row>
    <row r="625" spans="1:12" ht="33.75" x14ac:dyDescent="0.2">
      <c r="A625" s="561" t="s">
        <v>435</v>
      </c>
      <c r="B625" s="562">
        <v>2021</v>
      </c>
      <c r="C625" s="561" t="s">
        <v>676</v>
      </c>
      <c r="D625" s="561" t="s">
        <v>3100</v>
      </c>
      <c r="E625" s="561" t="s">
        <v>15</v>
      </c>
      <c r="F625" s="563">
        <v>0</v>
      </c>
      <c r="G625" s="564"/>
      <c r="H625" s="561" t="s">
        <v>654</v>
      </c>
      <c r="I625" s="565"/>
      <c r="J625" s="565"/>
      <c r="K625" s="563">
        <v>0</v>
      </c>
      <c r="L625" s="566">
        <v>0</v>
      </c>
    </row>
    <row r="626" spans="1:12" ht="15" x14ac:dyDescent="0.2">
      <c r="A626" s="561" t="s">
        <v>435</v>
      </c>
      <c r="B626" s="562">
        <v>2021</v>
      </c>
      <c r="C626" s="561" t="s">
        <v>678</v>
      </c>
      <c r="D626" s="561" t="s">
        <v>3101</v>
      </c>
      <c r="E626" s="561" t="s">
        <v>680</v>
      </c>
      <c r="F626" s="563">
        <v>0</v>
      </c>
      <c r="G626" s="564"/>
      <c r="H626" s="561" t="s">
        <v>654</v>
      </c>
      <c r="I626" s="565"/>
      <c r="J626" s="565"/>
      <c r="K626" s="563">
        <v>0</v>
      </c>
      <c r="L626" s="566">
        <v>0</v>
      </c>
    </row>
    <row r="627" spans="1:12" ht="15" x14ac:dyDescent="0.2">
      <c r="A627" s="561" t="s">
        <v>435</v>
      </c>
      <c r="B627" s="562">
        <v>2021</v>
      </c>
      <c r="C627" s="561" t="s">
        <v>681</v>
      </c>
      <c r="D627" s="561" t="s">
        <v>3102</v>
      </c>
      <c r="E627" s="561" t="s">
        <v>23</v>
      </c>
      <c r="F627" s="563">
        <v>0</v>
      </c>
      <c r="G627" s="561" t="s">
        <v>654</v>
      </c>
      <c r="H627" s="564"/>
      <c r="I627" s="565"/>
      <c r="J627" s="565"/>
      <c r="K627" s="563">
        <v>0</v>
      </c>
      <c r="L627" s="566">
        <v>0</v>
      </c>
    </row>
    <row r="628" spans="1:12" ht="33.75" x14ac:dyDescent="0.2">
      <c r="A628" s="561" t="s">
        <v>435</v>
      </c>
      <c r="B628" s="562">
        <v>2021</v>
      </c>
      <c r="C628" s="561" t="s">
        <v>683</v>
      </c>
      <c r="D628" s="561" t="s">
        <v>3103</v>
      </c>
      <c r="E628" s="561" t="s">
        <v>131</v>
      </c>
      <c r="F628" s="563">
        <v>-17343.2</v>
      </c>
      <c r="G628" s="561" t="s">
        <v>654</v>
      </c>
      <c r="H628" s="564"/>
      <c r="I628" s="563">
        <v>-16998.529296875</v>
      </c>
      <c r="J628" s="563">
        <v>-344.67001342773398</v>
      </c>
      <c r="K628" s="563">
        <v>-17343.19921875</v>
      </c>
      <c r="L628" s="566">
        <v>-17343.2</v>
      </c>
    </row>
    <row r="629" spans="1:12" ht="33.75" x14ac:dyDescent="0.2">
      <c r="A629" s="561" t="s">
        <v>435</v>
      </c>
      <c r="B629" s="562">
        <v>2021</v>
      </c>
      <c r="C629" s="561" t="s">
        <v>685</v>
      </c>
      <c r="D629" s="561" t="s">
        <v>3104</v>
      </c>
      <c r="E629" s="561" t="s">
        <v>687</v>
      </c>
      <c r="F629" s="563">
        <v>21708.880000000001</v>
      </c>
      <c r="G629" s="564"/>
      <c r="H629" s="561" t="s">
        <v>654</v>
      </c>
      <c r="I629" s="565"/>
      <c r="J629" s="565"/>
      <c r="K629" s="563">
        <v>0</v>
      </c>
      <c r="L629" s="566">
        <v>21708.880000000001</v>
      </c>
    </row>
    <row r="630" spans="1:12" ht="33.75" x14ac:dyDescent="0.2">
      <c r="A630" s="561" t="s">
        <v>435</v>
      </c>
      <c r="B630" s="562">
        <v>2021</v>
      </c>
      <c r="C630" s="561" t="s">
        <v>685</v>
      </c>
      <c r="D630" s="561" t="s">
        <v>3104</v>
      </c>
      <c r="E630" s="561" t="s">
        <v>688</v>
      </c>
      <c r="F630" s="563">
        <v>21708.880000000001</v>
      </c>
      <c r="G630" s="564"/>
      <c r="H630" s="561" t="s">
        <v>654</v>
      </c>
      <c r="I630" s="565"/>
      <c r="J630" s="565"/>
      <c r="K630" s="563">
        <v>0</v>
      </c>
      <c r="L630" s="566">
        <v>21708.880000000001</v>
      </c>
    </row>
    <row r="631" spans="1:12" ht="22.5" x14ac:dyDescent="0.2">
      <c r="A631" s="561" t="s">
        <v>435</v>
      </c>
      <c r="B631" s="562">
        <v>2021</v>
      </c>
      <c r="C631" s="561" t="s">
        <v>689</v>
      </c>
      <c r="D631" s="561" t="s">
        <v>3105</v>
      </c>
      <c r="E631" s="561" t="s">
        <v>691</v>
      </c>
      <c r="F631" s="563">
        <v>1272408.99</v>
      </c>
      <c r="G631" s="564"/>
      <c r="H631" s="561" t="s">
        <v>654</v>
      </c>
      <c r="I631" s="565"/>
      <c r="J631" s="565"/>
      <c r="K631" s="563">
        <v>0</v>
      </c>
      <c r="L631" s="566">
        <v>1272408.99</v>
      </c>
    </row>
    <row r="632" spans="1:12" ht="22.5" x14ac:dyDescent="0.2">
      <c r="A632" s="561" t="s">
        <v>435</v>
      </c>
      <c r="B632" s="562">
        <v>2021</v>
      </c>
      <c r="C632" s="561" t="s">
        <v>692</v>
      </c>
      <c r="D632" s="561" t="s">
        <v>3106</v>
      </c>
      <c r="E632" s="561" t="s">
        <v>50</v>
      </c>
      <c r="F632" s="563">
        <v>1219295.3400000001</v>
      </c>
      <c r="G632" s="564"/>
      <c r="H632" s="561" t="s">
        <v>654</v>
      </c>
      <c r="I632" s="565"/>
      <c r="J632" s="565"/>
      <c r="K632" s="563">
        <v>0</v>
      </c>
      <c r="L632" s="566">
        <v>1219295.3400000001</v>
      </c>
    </row>
    <row r="633" spans="1:12" ht="22.5" x14ac:dyDescent="0.2">
      <c r="A633" s="561" t="s">
        <v>435</v>
      </c>
      <c r="B633" s="562">
        <v>2021</v>
      </c>
      <c r="C633" s="561" t="s">
        <v>694</v>
      </c>
      <c r="D633" s="561" t="s">
        <v>3107</v>
      </c>
      <c r="E633" s="561" t="s">
        <v>696</v>
      </c>
      <c r="F633" s="563">
        <v>0</v>
      </c>
      <c r="G633" s="564"/>
      <c r="H633" s="561" t="s">
        <v>654</v>
      </c>
      <c r="I633" s="565"/>
      <c r="J633" s="565"/>
      <c r="K633" s="563">
        <v>0</v>
      </c>
      <c r="L633" s="566">
        <v>0</v>
      </c>
    </row>
    <row r="634" spans="1:12" ht="22.5" x14ac:dyDescent="0.2">
      <c r="A634" s="561" t="s">
        <v>435</v>
      </c>
      <c r="B634" s="562">
        <v>2021</v>
      </c>
      <c r="C634" s="561" t="s">
        <v>697</v>
      </c>
      <c r="D634" s="561" t="s">
        <v>3108</v>
      </c>
      <c r="E634" s="561" t="s">
        <v>6</v>
      </c>
      <c r="F634" s="563">
        <v>0</v>
      </c>
      <c r="G634" s="564"/>
      <c r="H634" s="561" t="s">
        <v>654</v>
      </c>
      <c r="I634" s="565"/>
      <c r="J634" s="565"/>
      <c r="K634" s="563">
        <v>0</v>
      </c>
      <c r="L634" s="566">
        <v>0</v>
      </c>
    </row>
    <row r="635" spans="1:12" ht="33.75" x14ac:dyDescent="0.2">
      <c r="A635" s="561" t="s">
        <v>435</v>
      </c>
      <c r="B635" s="562">
        <v>2021</v>
      </c>
      <c r="C635" s="561" t="s">
        <v>699</v>
      </c>
      <c r="D635" s="561" t="s">
        <v>3109</v>
      </c>
      <c r="E635" s="561" t="s">
        <v>701</v>
      </c>
      <c r="F635" s="563">
        <v>-19564550.440000001</v>
      </c>
      <c r="G635" s="564"/>
      <c r="H635" s="561" t="s">
        <v>654</v>
      </c>
      <c r="I635" s="565"/>
      <c r="J635" s="565"/>
      <c r="K635" s="563">
        <v>0</v>
      </c>
      <c r="L635" s="566">
        <v>-19564550.440000001</v>
      </c>
    </row>
    <row r="636" spans="1:12" ht="22.5" x14ac:dyDescent="0.2">
      <c r="A636" s="561" t="s">
        <v>435</v>
      </c>
      <c r="B636" s="562">
        <v>2021</v>
      </c>
      <c r="C636" s="561" t="s">
        <v>702</v>
      </c>
      <c r="D636" s="561" t="s">
        <v>3110</v>
      </c>
      <c r="E636" s="561" t="s">
        <v>704</v>
      </c>
      <c r="F636" s="563">
        <v>0</v>
      </c>
      <c r="G636" s="564"/>
      <c r="H636" s="561" t="s">
        <v>654</v>
      </c>
      <c r="I636" s="565"/>
      <c r="J636" s="565"/>
      <c r="K636" s="563">
        <v>0</v>
      </c>
      <c r="L636" s="566">
        <v>0</v>
      </c>
    </row>
    <row r="637" spans="1:12" ht="33.75" x14ac:dyDescent="0.2">
      <c r="A637" s="561" t="s">
        <v>435</v>
      </c>
      <c r="B637" s="562">
        <v>2021</v>
      </c>
      <c r="C637" s="561" t="s">
        <v>705</v>
      </c>
      <c r="D637" s="561" t="s">
        <v>3111</v>
      </c>
      <c r="E637" s="561" t="s">
        <v>1</v>
      </c>
      <c r="F637" s="563">
        <v>-1659529.41</v>
      </c>
      <c r="G637" s="561" t="s">
        <v>654</v>
      </c>
      <c r="H637" s="564"/>
      <c r="I637" s="563">
        <v>-1683826.75</v>
      </c>
      <c r="J637" s="563">
        <v>24297.359375</v>
      </c>
      <c r="K637" s="563">
        <v>-1659529.375</v>
      </c>
      <c r="L637" s="566">
        <v>-1659529.41</v>
      </c>
    </row>
    <row r="638" spans="1:12" ht="22.5" x14ac:dyDescent="0.2">
      <c r="A638" s="561" t="s">
        <v>435</v>
      </c>
      <c r="B638" s="562">
        <v>2021</v>
      </c>
      <c r="C638" s="561" t="s">
        <v>705</v>
      </c>
      <c r="D638" s="561" t="s">
        <v>3111</v>
      </c>
      <c r="E638" s="561" t="s">
        <v>707</v>
      </c>
      <c r="F638" s="563">
        <v>0</v>
      </c>
      <c r="G638" s="564"/>
      <c r="H638" s="564"/>
      <c r="I638" s="565"/>
      <c r="J638" s="565"/>
      <c r="K638" s="563">
        <v>0</v>
      </c>
      <c r="L638" s="566">
        <v>0</v>
      </c>
    </row>
    <row r="639" spans="1:12" ht="22.5" x14ac:dyDescent="0.2">
      <c r="A639" s="561" t="s">
        <v>435</v>
      </c>
      <c r="B639" s="562">
        <v>2021</v>
      </c>
      <c r="C639" s="561" t="s">
        <v>705</v>
      </c>
      <c r="D639" s="561" t="s">
        <v>3111</v>
      </c>
      <c r="E639" s="561" t="s">
        <v>708</v>
      </c>
      <c r="F639" s="563">
        <v>0</v>
      </c>
      <c r="G639" s="564"/>
      <c r="H639" s="564"/>
      <c r="I639" s="565"/>
      <c r="J639" s="565"/>
      <c r="K639" s="563">
        <v>0</v>
      </c>
      <c r="L639" s="566">
        <v>0</v>
      </c>
    </row>
    <row r="640" spans="1:12" ht="22.5" x14ac:dyDescent="0.2">
      <c r="A640" s="561" t="s">
        <v>435</v>
      </c>
      <c r="B640" s="562">
        <v>2021</v>
      </c>
      <c r="C640" s="561" t="s">
        <v>705</v>
      </c>
      <c r="D640" s="561" t="s">
        <v>3111</v>
      </c>
      <c r="E640" s="561" t="s">
        <v>709</v>
      </c>
      <c r="F640" s="563">
        <v>-3568.25</v>
      </c>
      <c r="G640" s="564"/>
      <c r="H640" s="564"/>
      <c r="I640" s="565"/>
      <c r="J640" s="565"/>
      <c r="K640" s="563">
        <v>0</v>
      </c>
      <c r="L640" s="566">
        <v>-3568.25</v>
      </c>
    </row>
    <row r="641" spans="1:12" ht="22.5" x14ac:dyDescent="0.2">
      <c r="A641" s="561" t="s">
        <v>435</v>
      </c>
      <c r="B641" s="562">
        <v>2021</v>
      </c>
      <c r="C641" s="561" t="s">
        <v>705</v>
      </c>
      <c r="D641" s="561" t="s">
        <v>3111</v>
      </c>
      <c r="E641" s="561" t="s">
        <v>710</v>
      </c>
      <c r="F641" s="563">
        <v>-166418.32</v>
      </c>
      <c r="G641" s="564"/>
      <c r="H641" s="564"/>
      <c r="I641" s="565"/>
      <c r="J641" s="565"/>
      <c r="K641" s="563">
        <v>0</v>
      </c>
      <c r="L641" s="566">
        <v>-166418.32</v>
      </c>
    </row>
    <row r="642" spans="1:12" ht="15" x14ac:dyDescent="0.2">
      <c r="A642" s="561" t="s">
        <v>435</v>
      </c>
      <c r="B642" s="562">
        <v>2021</v>
      </c>
      <c r="C642" s="561" t="s">
        <v>711</v>
      </c>
      <c r="D642" s="561" t="s">
        <v>3112</v>
      </c>
      <c r="E642" s="561" t="s">
        <v>713</v>
      </c>
      <c r="F642" s="563">
        <v>0</v>
      </c>
      <c r="G642" s="564"/>
      <c r="H642" s="561" t="s">
        <v>654</v>
      </c>
      <c r="I642" s="565"/>
      <c r="J642" s="565"/>
      <c r="K642" s="563">
        <v>0</v>
      </c>
      <c r="L642" s="566">
        <v>0</v>
      </c>
    </row>
    <row r="643" spans="1:12" ht="33.75" x14ac:dyDescent="0.2">
      <c r="A643" s="561" t="s">
        <v>435</v>
      </c>
      <c r="B643" s="562">
        <v>2021</v>
      </c>
      <c r="C643" s="561" t="s">
        <v>714</v>
      </c>
      <c r="D643" s="561" t="s">
        <v>3113</v>
      </c>
      <c r="E643" s="561" t="s">
        <v>2</v>
      </c>
      <c r="F643" s="563">
        <v>-97558.77</v>
      </c>
      <c r="G643" s="561" t="s">
        <v>654</v>
      </c>
      <c r="H643" s="564"/>
      <c r="I643" s="563">
        <v>-82085.4375</v>
      </c>
      <c r="J643" s="563">
        <v>-15473.330078125</v>
      </c>
      <c r="K643" s="563">
        <v>-97558.7734375</v>
      </c>
      <c r="L643" s="566">
        <v>-97558.77</v>
      </c>
    </row>
    <row r="644" spans="1:12" ht="33.75" x14ac:dyDescent="0.2">
      <c r="A644" s="561" t="s">
        <v>435</v>
      </c>
      <c r="B644" s="562">
        <v>2021</v>
      </c>
      <c r="C644" s="561" t="s">
        <v>716</v>
      </c>
      <c r="D644" s="561" t="s">
        <v>3114</v>
      </c>
      <c r="E644" s="561" t="s">
        <v>3</v>
      </c>
      <c r="F644" s="563">
        <v>-531081.91</v>
      </c>
      <c r="G644" s="561" t="s">
        <v>654</v>
      </c>
      <c r="H644" s="564"/>
      <c r="I644" s="563">
        <v>-513860.03125</v>
      </c>
      <c r="J644" s="563">
        <v>-17221.880859375</v>
      </c>
      <c r="K644" s="563">
        <v>-531081.9375</v>
      </c>
      <c r="L644" s="566">
        <v>-531081.91</v>
      </c>
    </row>
    <row r="645" spans="1:12" ht="33.75" x14ac:dyDescent="0.2">
      <c r="A645" s="561" t="s">
        <v>435</v>
      </c>
      <c r="B645" s="562">
        <v>2021</v>
      </c>
      <c r="C645" s="561" t="s">
        <v>718</v>
      </c>
      <c r="D645" s="561" t="s">
        <v>3115</v>
      </c>
      <c r="E645" s="561" t="s">
        <v>38</v>
      </c>
      <c r="F645" s="563">
        <v>210900.82</v>
      </c>
      <c r="G645" s="561" t="s">
        <v>654</v>
      </c>
      <c r="H645" s="564"/>
      <c r="I645" s="563">
        <v>225580.296875</v>
      </c>
      <c r="J645" s="563">
        <v>-14679.4697265625</v>
      </c>
      <c r="K645" s="563">
        <v>210900.8125</v>
      </c>
      <c r="L645" s="566">
        <v>210900.82</v>
      </c>
    </row>
    <row r="646" spans="1:12" ht="22.5" x14ac:dyDescent="0.2">
      <c r="A646" s="561" t="s">
        <v>435</v>
      </c>
      <c r="B646" s="562">
        <v>2021</v>
      </c>
      <c r="C646" s="561" t="s">
        <v>720</v>
      </c>
      <c r="D646" s="561" t="s">
        <v>3116</v>
      </c>
      <c r="E646" s="561" t="s">
        <v>66</v>
      </c>
      <c r="F646" s="563">
        <v>74292.41</v>
      </c>
      <c r="G646" s="561" t="s">
        <v>654</v>
      </c>
      <c r="H646" s="564"/>
      <c r="I646" s="563">
        <v>34284.25</v>
      </c>
      <c r="J646" s="563">
        <v>40008.16015625</v>
      </c>
      <c r="K646" s="563">
        <v>74292.40625</v>
      </c>
      <c r="L646" s="566">
        <v>74292.41</v>
      </c>
    </row>
    <row r="647" spans="1:12" ht="45" x14ac:dyDescent="0.2">
      <c r="A647" s="561" t="s">
        <v>435</v>
      </c>
      <c r="B647" s="562">
        <v>2021</v>
      </c>
      <c r="C647" s="561" t="s">
        <v>722</v>
      </c>
      <c r="D647" s="561" t="s">
        <v>3117</v>
      </c>
      <c r="E647" s="561" t="s">
        <v>724</v>
      </c>
      <c r="F647" s="563">
        <v>-448703.48</v>
      </c>
      <c r="G647" s="564"/>
      <c r="H647" s="561" t="s">
        <v>654</v>
      </c>
      <c r="I647" s="565"/>
      <c r="J647" s="565"/>
      <c r="K647" s="563">
        <v>0</v>
      </c>
      <c r="L647" s="566">
        <v>-448703.48</v>
      </c>
    </row>
    <row r="648" spans="1:12" ht="45" x14ac:dyDescent="0.2">
      <c r="A648" s="561" t="s">
        <v>435</v>
      </c>
      <c r="B648" s="562">
        <v>2021</v>
      </c>
      <c r="C648" s="561" t="s">
        <v>725</v>
      </c>
      <c r="D648" s="561" t="s">
        <v>3118</v>
      </c>
      <c r="E648" s="561" t="s">
        <v>3024</v>
      </c>
      <c r="F648" s="563">
        <v>0</v>
      </c>
      <c r="G648" s="561" t="s">
        <v>654</v>
      </c>
      <c r="H648" s="564"/>
      <c r="I648" s="563">
        <v>10733.240234375</v>
      </c>
      <c r="J648" s="563">
        <v>-5396.35986328125</v>
      </c>
      <c r="K648" s="563">
        <v>5336.8798828125</v>
      </c>
      <c r="L648" s="566">
        <v>5336.88</v>
      </c>
    </row>
    <row r="649" spans="1:12" ht="45" x14ac:dyDescent="0.2">
      <c r="A649" s="561" t="s">
        <v>435</v>
      </c>
      <c r="B649" s="562">
        <v>2021</v>
      </c>
      <c r="C649" s="561" t="s">
        <v>725</v>
      </c>
      <c r="D649" s="561" t="s">
        <v>3118</v>
      </c>
      <c r="E649" s="561" t="s">
        <v>3066</v>
      </c>
      <c r="F649" s="563">
        <v>0</v>
      </c>
      <c r="G649" s="561" t="s">
        <v>654</v>
      </c>
      <c r="H649" s="564"/>
      <c r="I649" s="563">
        <v>-498449.375</v>
      </c>
      <c r="J649" s="563">
        <v>-15190.8798828125</v>
      </c>
      <c r="K649" s="563">
        <v>-513640.25</v>
      </c>
      <c r="L649" s="566">
        <v>-513640.25</v>
      </c>
    </row>
    <row r="650" spans="1:12" ht="45" x14ac:dyDescent="0.2">
      <c r="A650" s="561" t="s">
        <v>435</v>
      </c>
      <c r="B650" s="562">
        <v>2021</v>
      </c>
      <c r="C650" s="561" t="s">
        <v>725</v>
      </c>
      <c r="D650" s="561" t="s">
        <v>3119</v>
      </c>
      <c r="E650" s="561" t="s">
        <v>728</v>
      </c>
      <c r="F650" s="563">
        <v>0</v>
      </c>
      <c r="G650" s="561" t="s">
        <v>654</v>
      </c>
      <c r="H650" s="564"/>
      <c r="I650" s="565"/>
      <c r="J650" s="565"/>
      <c r="K650" s="563">
        <v>0</v>
      </c>
      <c r="L650" s="566">
        <v>0</v>
      </c>
    </row>
    <row r="651" spans="1:12" ht="45" x14ac:dyDescent="0.2">
      <c r="A651" s="561" t="s">
        <v>435</v>
      </c>
      <c r="B651" s="562">
        <v>2021</v>
      </c>
      <c r="C651" s="561" t="s">
        <v>725</v>
      </c>
      <c r="D651" s="561" t="s">
        <v>3120</v>
      </c>
      <c r="E651" s="561" t="s">
        <v>55</v>
      </c>
      <c r="F651" s="563">
        <v>0</v>
      </c>
      <c r="G651" s="561" t="s">
        <v>654</v>
      </c>
      <c r="H651" s="564"/>
      <c r="I651" s="565"/>
      <c r="J651" s="565"/>
      <c r="K651" s="563">
        <v>0</v>
      </c>
      <c r="L651" s="566">
        <v>0</v>
      </c>
    </row>
    <row r="652" spans="1:12" ht="45" x14ac:dyDescent="0.2">
      <c r="A652" s="561" t="s">
        <v>435</v>
      </c>
      <c r="B652" s="562">
        <v>2021</v>
      </c>
      <c r="C652" s="561" t="s">
        <v>725</v>
      </c>
      <c r="D652" s="561" t="s">
        <v>3121</v>
      </c>
      <c r="E652" s="561" t="s">
        <v>56</v>
      </c>
      <c r="F652" s="563">
        <v>0</v>
      </c>
      <c r="G652" s="561" t="s">
        <v>654</v>
      </c>
      <c r="H652" s="564"/>
      <c r="I652" s="565"/>
      <c r="J652" s="565"/>
      <c r="K652" s="563">
        <v>0</v>
      </c>
      <c r="L652" s="566">
        <v>0</v>
      </c>
    </row>
    <row r="653" spans="1:12" ht="45" x14ac:dyDescent="0.2">
      <c r="A653" s="561" t="s">
        <v>435</v>
      </c>
      <c r="B653" s="562">
        <v>2021</v>
      </c>
      <c r="C653" s="561" t="s">
        <v>725</v>
      </c>
      <c r="D653" s="561" t="s">
        <v>3122</v>
      </c>
      <c r="E653" s="561" t="s">
        <v>732</v>
      </c>
      <c r="F653" s="563">
        <v>0</v>
      </c>
      <c r="G653" s="561" t="s">
        <v>654</v>
      </c>
      <c r="H653" s="564"/>
      <c r="I653" s="565"/>
      <c r="J653" s="565"/>
      <c r="K653" s="563">
        <v>0</v>
      </c>
      <c r="L653" s="566">
        <v>0</v>
      </c>
    </row>
    <row r="654" spans="1:12" ht="45" x14ac:dyDescent="0.2">
      <c r="A654" s="561" t="s">
        <v>435</v>
      </c>
      <c r="B654" s="562">
        <v>2021</v>
      </c>
      <c r="C654" s="561" t="s">
        <v>725</v>
      </c>
      <c r="D654" s="561" t="s">
        <v>3123</v>
      </c>
      <c r="E654" s="561" t="s">
        <v>734</v>
      </c>
      <c r="F654" s="563">
        <v>0</v>
      </c>
      <c r="G654" s="561" t="s">
        <v>654</v>
      </c>
      <c r="H654" s="564"/>
      <c r="I654" s="565"/>
      <c r="J654" s="565"/>
      <c r="K654" s="563">
        <v>0</v>
      </c>
      <c r="L654" s="566">
        <v>0</v>
      </c>
    </row>
    <row r="655" spans="1:12" ht="45" x14ac:dyDescent="0.2">
      <c r="A655" s="561" t="s">
        <v>435</v>
      </c>
      <c r="B655" s="562">
        <v>2021</v>
      </c>
      <c r="C655" s="561" t="s">
        <v>725</v>
      </c>
      <c r="D655" s="561" t="s">
        <v>3124</v>
      </c>
      <c r="E655" s="561" t="s">
        <v>142</v>
      </c>
      <c r="F655" s="563">
        <v>0</v>
      </c>
      <c r="G655" s="561" t="s">
        <v>654</v>
      </c>
      <c r="H655" s="564"/>
      <c r="I655" s="565"/>
      <c r="J655" s="565"/>
      <c r="K655" s="563">
        <v>0</v>
      </c>
      <c r="L655" s="566">
        <v>0</v>
      </c>
    </row>
    <row r="656" spans="1:12" ht="45" x14ac:dyDescent="0.2">
      <c r="A656" s="561" t="s">
        <v>435</v>
      </c>
      <c r="B656" s="562">
        <v>2021</v>
      </c>
      <c r="C656" s="561" t="s">
        <v>725</v>
      </c>
      <c r="D656" s="561" t="s">
        <v>3125</v>
      </c>
      <c r="E656" s="561" t="s">
        <v>143</v>
      </c>
      <c r="F656" s="563">
        <v>0</v>
      </c>
      <c r="G656" s="561" t="s">
        <v>654</v>
      </c>
      <c r="H656" s="564"/>
      <c r="I656" s="565"/>
      <c r="J656" s="565"/>
      <c r="K656" s="563">
        <v>0</v>
      </c>
      <c r="L656" s="566">
        <v>0</v>
      </c>
    </row>
    <row r="657" spans="1:12" ht="45" x14ac:dyDescent="0.2">
      <c r="A657" s="561" t="s">
        <v>435</v>
      </c>
      <c r="B657" s="562">
        <v>2021</v>
      </c>
      <c r="C657" s="561" t="s">
        <v>725</v>
      </c>
      <c r="D657" s="561" t="s">
        <v>3126</v>
      </c>
      <c r="E657" s="561" t="s">
        <v>182</v>
      </c>
      <c r="F657" s="563">
        <v>0</v>
      </c>
      <c r="G657" s="561" t="s">
        <v>654</v>
      </c>
      <c r="H657" s="564"/>
      <c r="I657" s="565"/>
      <c r="J657" s="565"/>
      <c r="K657" s="563">
        <v>0</v>
      </c>
      <c r="L657" s="566">
        <v>0</v>
      </c>
    </row>
    <row r="658" spans="1:12" ht="45" x14ac:dyDescent="0.2">
      <c r="A658" s="561" t="s">
        <v>435</v>
      </c>
      <c r="B658" s="562">
        <v>2021</v>
      </c>
      <c r="C658" s="561" t="s">
        <v>725</v>
      </c>
      <c r="D658" s="561" t="s">
        <v>3127</v>
      </c>
      <c r="E658" s="561" t="s">
        <v>394</v>
      </c>
      <c r="F658" s="563">
        <v>0</v>
      </c>
      <c r="G658" s="561" t="s">
        <v>654</v>
      </c>
      <c r="H658" s="564"/>
      <c r="I658" s="565"/>
      <c r="J658" s="565"/>
      <c r="K658" s="563">
        <v>0</v>
      </c>
      <c r="L658" s="566">
        <v>0</v>
      </c>
    </row>
    <row r="659" spans="1:12" ht="45" x14ac:dyDescent="0.2">
      <c r="A659" s="561" t="s">
        <v>435</v>
      </c>
      <c r="B659" s="562">
        <v>2021</v>
      </c>
      <c r="C659" s="561" t="s">
        <v>725</v>
      </c>
      <c r="D659" s="561" t="s">
        <v>3128</v>
      </c>
      <c r="E659" s="561" t="s">
        <v>425</v>
      </c>
      <c r="F659" s="563">
        <v>0</v>
      </c>
      <c r="G659" s="561" t="s">
        <v>654</v>
      </c>
      <c r="H659" s="564"/>
      <c r="I659" s="565"/>
      <c r="J659" s="565"/>
      <c r="K659" s="563">
        <v>0</v>
      </c>
      <c r="L659" s="566">
        <v>0</v>
      </c>
    </row>
    <row r="660" spans="1:12" ht="45" x14ac:dyDescent="0.2">
      <c r="A660" s="561" t="s">
        <v>435</v>
      </c>
      <c r="B660" s="562">
        <v>2021</v>
      </c>
      <c r="C660" s="561" t="s">
        <v>725</v>
      </c>
      <c r="D660" s="561" t="s">
        <v>3129</v>
      </c>
      <c r="E660" s="561" t="s">
        <v>443</v>
      </c>
      <c r="F660" s="563">
        <v>0</v>
      </c>
      <c r="G660" s="561" t="s">
        <v>654</v>
      </c>
      <c r="H660" s="564"/>
      <c r="I660" s="563">
        <v>-84111.5</v>
      </c>
      <c r="J660" s="563">
        <v>38174.80859375</v>
      </c>
      <c r="K660" s="563">
        <v>-45936.69140625</v>
      </c>
      <c r="L660" s="566">
        <v>-45936.69</v>
      </c>
    </row>
    <row r="661" spans="1:12" ht="45" x14ac:dyDescent="0.2">
      <c r="A661" s="561" t="s">
        <v>435</v>
      </c>
      <c r="B661" s="562">
        <v>2021</v>
      </c>
      <c r="C661" s="561" t="s">
        <v>725</v>
      </c>
      <c r="D661" s="561" t="s">
        <v>3130</v>
      </c>
      <c r="E661" s="561" t="s">
        <v>741</v>
      </c>
      <c r="F661" s="563">
        <v>-554240.06000000006</v>
      </c>
      <c r="G661" s="564"/>
      <c r="H661" s="564"/>
      <c r="I661" s="565"/>
      <c r="J661" s="565"/>
      <c r="K661" s="563">
        <v>0</v>
      </c>
      <c r="L661" s="566">
        <v>-554240.06000000006</v>
      </c>
    </row>
    <row r="662" spans="1:12" ht="22.5" x14ac:dyDescent="0.2">
      <c r="A662" s="561" t="s">
        <v>435</v>
      </c>
      <c r="B662" s="562">
        <v>2021</v>
      </c>
      <c r="C662" s="561" t="s">
        <v>742</v>
      </c>
      <c r="D662" s="561" t="s">
        <v>3131</v>
      </c>
      <c r="E662" s="561" t="s">
        <v>7</v>
      </c>
      <c r="F662" s="563">
        <v>0</v>
      </c>
      <c r="G662" s="564"/>
      <c r="H662" s="561" t="s">
        <v>654</v>
      </c>
      <c r="I662" s="565"/>
      <c r="J662" s="565"/>
      <c r="K662" s="563">
        <v>0</v>
      </c>
      <c r="L662" s="566">
        <v>0</v>
      </c>
    </row>
    <row r="663" spans="1:12" ht="22.5" x14ac:dyDescent="0.2">
      <c r="A663" s="561" t="s">
        <v>436</v>
      </c>
      <c r="B663" s="562">
        <v>2021</v>
      </c>
      <c r="C663" s="561" t="s">
        <v>651</v>
      </c>
      <c r="D663" s="561" t="s">
        <v>1146</v>
      </c>
      <c r="E663" s="561" t="s">
        <v>653</v>
      </c>
      <c r="F663" s="563">
        <v>657141.88</v>
      </c>
      <c r="G663" s="564"/>
      <c r="H663" s="561" t="s">
        <v>654</v>
      </c>
      <c r="I663" s="565"/>
      <c r="J663" s="565"/>
      <c r="K663" s="563">
        <v>0</v>
      </c>
      <c r="L663" s="566">
        <v>657141.88</v>
      </c>
    </row>
    <row r="664" spans="1:12" ht="22.5" x14ac:dyDescent="0.2">
      <c r="A664" s="561" t="s">
        <v>436</v>
      </c>
      <c r="B664" s="562">
        <v>2021</v>
      </c>
      <c r="C664" s="561" t="s">
        <v>655</v>
      </c>
      <c r="D664" s="561" t="s">
        <v>1147</v>
      </c>
      <c r="E664" s="561" t="s">
        <v>657</v>
      </c>
      <c r="F664" s="563">
        <v>0</v>
      </c>
      <c r="G664" s="564"/>
      <c r="H664" s="561" t="s">
        <v>654</v>
      </c>
      <c r="I664" s="565"/>
      <c r="J664" s="565"/>
      <c r="K664" s="563">
        <v>0</v>
      </c>
      <c r="L664" s="566">
        <v>0</v>
      </c>
    </row>
    <row r="665" spans="1:12" ht="56.25" x14ac:dyDescent="0.2">
      <c r="A665" s="561" t="s">
        <v>436</v>
      </c>
      <c r="B665" s="562">
        <v>2021</v>
      </c>
      <c r="C665" s="561" t="s">
        <v>658</v>
      </c>
      <c r="D665" s="561" t="s">
        <v>1148</v>
      </c>
      <c r="E665" s="561" t="s">
        <v>447</v>
      </c>
      <c r="F665" s="563">
        <v>0</v>
      </c>
      <c r="G665" s="564"/>
      <c r="H665" s="561" t="s">
        <v>654</v>
      </c>
      <c r="I665" s="565"/>
      <c r="J665" s="565"/>
      <c r="K665" s="563">
        <v>0</v>
      </c>
      <c r="L665" s="566">
        <v>0</v>
      </c>
    </row>
    <row r="666" spans="1:12" ht="22.5" x14ac:dyDescent="0.2">
      <c r="A666" s="561" t="s">
        <v>436</v>
      </c>
      <c r="B666" s="562">
        <v>2021</v>
      </c>
      <c r="C666" s="561" t="s">
        <v>660</v>
      </c>
      <c r="D666" s="561" t="s">
        <v>1149</v>
      </c>
      <c r="E666" s="561" t="s">
        <v>662</v>
      </c>
      <c r="F666" s="563">
        <v>24425</v>
      </c>
      <c r="G666" s="564"/>
      <c r="H666" s="561" t="s">
        <v>654</v>
      </c>
      <c r="I666" s="565"/>
      <c r="J666" s="565"/>
      <c r="K666" s="563">
        <v>0</v>
      </c>
      <c r="L666" s="566">
        <v>24425</v>
      </c>
    </row>
    <row r="667" spans="1:12" ht="33.75" x14ac:dyDescent="0.2">
      <c r="A667" s="561" t="s">
        <v>436</v>
      </c>
      <c r="B667" s="562">
        <v>2021</v>
      </c>
      <c r="C667" s="561" t="s">
        <v>663</v>
      </c>
      <c r="D667" s="561" t="s">
        <v>1150</v>
      </c>
      <c r="E667" s="561" t="s">
        <v>665</v>
      </c>
      <c r="F667" s="563">
        <v>1467.23</v>
      </c>
      <c r="G667" s="564"/>
      <c r="H667" s="561" t="s">
        <v>654</v>
      </c>
      <c r="I667" s="565"/>
      <c r="J667" s="565"/>
      <c r="K667" s="563">
        <v>0</v>
      </c>
      <c r="L667" s="566">
        <v>1467.23</v>
      </c>
    </row>
    <row r="668" spans="1:12" ht="33.75" x14ac:dyDescent="0.2">
      <c r="A668" s="561" t="s">
        <v>436</v>
      </c>
      <c r="B668" s="562">
        <v>2021</v>
      </c>
      <c r="C668" s="561" t="s">
        <v>666</v>
      </c>
      <c r="D668" s="561" t="s">
        <v>1151</v>
      </c>
      <c r="E668" s="561" t="s">
        <v>668</v>
      </c>
      <c r="F668" s="563">
        <v>30599.59</v>
      </c>
      <c r="G668" s="564"/>
      <c r="H668" s="561" t="s">
        <v>654</v>
      </c>
      <c r="I668" s="565"/>
      <c r="J668" s="565"/>
      <c r="K668" s="563">
        <v>0</v>
      </c>
      <c r="L668" s="566">
        <v>30599.59</v>
      </c>
    </row>
    <row r="669" spans="1:12" ht="56.25" x14ac:dyDescent="0.2">
      <c r="A669" s="561" t="s">
        <v>436</v>
      </c>
      <c r="B669" s="562">
        <v>2021</v>
      </c>
      <c r="C669" s="561" t="s">
        <v>669</v>
      </c>
      <c r="D669" s="561" t="s">
        <v>1152</v>
      </c>
      <c r="E669" s="561" t="s">
        <v>671</v>
      </c>
      <c r="F669" s="563">
        <v>0</v>
      </c>
      <c r="G669" s="564"/>
      <c r="H669" s="561" t="s">
        <v>654</v>
      </c>
      <c r="I669" s="565"/>
      <c r="J669" s="565"/>
      <c r="K669" s="563">
        <v>0</v>
      </c>
      <c r="L669" s="566">
        <v>0</v>
      </c>
    </row>
    <row r="670" spans="1:12" ht="22.5" x14ac:dyDescent="0.2">
      <c r="A670" s="561" t="s">
        <v>436</v>
      </c>
      <c r="B670" s="562">
        <v>2021</v>
      </c>
      <c r="C670" s="561" t="s">
        <v>672</v>
      </c>
      <c r="D670" s="561" t="s">
        <v>1153</v>
      </c>
      <c r="E670" s="561" t="s">
        <v>12</v>
      </c>
      <c r="F670" s="563">
        <v>5011.46</v>
      </c>
      <c r="G670" s="564"/>
      <c r="H670" s="561" t="s">
        <v>654</v>
      </c>
      <c r="I670" s="565"/>
      <c r="J670" s="565"/>
      <c r="K670" s="563">
        <v>0</v>
      </c>
      <c r="L670" s="566">
        <v>5011.46</v>
      </c>
    </row>
    <row r="671" spans="1:12" ht="22.5" x14ac:dyDescent="0.2">
      <c r="A671" s="561" t="s">
        <v>436</v>
      </c>
      <c r="B671" s="562">
        <v>2021</v>
      </c>
      <c r="C671" s="561" t="s">
        <v>674</v>
      </c>
      <c r="D671" s="561" t="s">
        <v>1154</v>
      </c>
      <c r="E671" s="561" t="s">
        <v>13</v>
      </c>
      <c r="F671" s="563">
        <v>0</v>
      </c>
      <c r="G671" s="564"/>
      <c r="H671" s="561" t="s">
        <v>654</v>
      </c>
      <c r="I671" s="565"/>
      <c r="J671" s="565"/>
      <c r="K671" s="563">
        <v>0</v>
      </c>
      <c r="L671" s="566">
        <v>0</v>
      </c>
    </row>
    <row r="672" spans="1:12" ht="33.75" x14ac:dyDescent="0.2">
      <c r="A672" s="561" t="s">
        <v>436</v>
      </c>
      <c r="B672" s="562">
        <v>2021</v>
      </c>
      <c r="C672" s="561" t="s">
        <v>676</v>
      </c>
      <c r="D672" s="561" t="s">
        <v>1155</v>
      </c>
      <c r="E672" s="561" t="s">
        <v>15</v>
      </c>
      <c r="F672" s="563">
        <v>0</v>
      </c>
      <c r="G672" s="564"/>
      <c r="H672" s="561" t="s">
        <v>654</v>
      </c>
      <c r="I672" s="565"/>
      <c r="J672" s="565"/>
      <c r="K672" s="563">
        <v>0</v>
      </c>
      <c r="L672" s="566">
        <v>0</v>
      </c>
    </row>
    <row r="673" spans="1:12" ht="22.5" x14ac:dyDescent="0.2">
      <c r="A673" s="561" t="s">
        <v>436</v>
      </c>
      <c r="B673" s="562">
        <v>2021</v>
      </c>
      <c r="C673" s="561" t="s">
        <v>678</v>
      </c>
      <c r="D673" s="561" t="s">
        <v>1156</v>
      </c>
      <c r="E673" s="561" t="s">
        <v>680</v>
      </c>
      <c r="F673" s="563">
        <v>0</v>
      </c>
      <c r="G673" s="564"/>
      <c r="H673" s="561" t="s">
        <v>654</v>
      </c>
      <c r="I673" s="565"/>
      <c r="J673" s="565"/>
      <c r="K673" s="563">
        <v>0</v>
      </c>
      <c r="L673" s="566">
        <v>0</v>
      </c>
    </row>
    <row r="674" spans="1:12" ht="22.5" x14ac:dyDescent="0.2">
      <c r="A674" s="561" t="s">
        <v>436</v>
      </c>
      <c r="B674" s="562">
        <v>2021</v>
      </c>
      <c r="C674" s="561" t="s">
        <v>681</v>
      </c>
      <c r="D674" s="561" t="s">
        <v>1157</v>
      </c>
      <c r="E674" s="561" t="s">
        <v>23</v>
      </c>
      <c r="F674" s="563">
        <v>1808623.36</v>
      </c>
      <c r="G674" s="561" t="s">
        <v>654</v>
      </c>
      <c r="H674" s="564"/>
      <c r="I674" s="563">
        <v>1785442.375</v>
      </c>
      <c r="J674" s="563">
        <v>23180.94921875</v>
      </c>
      <c r="K674" s="563">
        <v>1808623.375</v>
      </c>
      <c r="L674" s="566">
        <v>1808623.36</v>
      </c>
    </row>
    <row r="675" spans="1:12" ht="33.75" x14ac:dyDescent="0.2">
      <c r="A675" s="561" t="s">
        <v>436</v>
      </c>
      <c r="B675" s="562">
        <v>2021</v>
      </c>
      <c r="C675" s="561" t="s">
        <v>683</v>
      </c>
      <c r="D675" s="561" t="s">
        <v>1158</v>
      </c>
      <c r="E675" s="561" t="s">
        <v>131</v>
      </c>
      <c r="F675" s="563">
        <v>-13139.16</v>
      </c>
      <c r="G675" s="561" t="s">
        <v>654</v>
      </c>
      <c r="H675" s="564"/>
      <c r="I675" s="563">
        <v>-12920.7001953125</v>
      </c>
      <c r="J675" s="563">
        <v>-218.46000671386699</v>
      </c>
      <c r="K675" s="563">
        <v>-13139.16015625</v>
      </c>
      <c r="L675" s="566">
        <v>-13139.16</v>
      </c>
    </row>
    <row r="676" spans="1:12" ht="33.75" x14ac:dyDescent="0.2">
      <c r="A676" s="561" t="s">
        <v>436</v>
      </c>
      <c r="B676" s="562">
        <v>2021</v>
      </c>
      <c r="C676" s="561" t="s">
        <v>685</v>
      </c>
      <c r="D676" s="561" t="s">
        <v>1159</v>
      </c>
      <c r="E676" s="561" t="s">
        <v>687</v>
      </c>
      <c r="F676" s="563">
        <v>10135.19</v>
      </c>
      <c r="G676" s="564"/>
      <c r="H676" s="561" t="s">
        <v>654</v>
      </c>
      <c r="I676" s="565"/>
      <c r="J676" s="565"/>
      <c r="K676" s="563">
        <v>0</v>
      </c>
      <c r="L676" s="566">
        <v>10135.19</v>
      </c>
    </row>
    <row r="677" spans="1:12" ht="33.75" x14ac:dyDescent="0.2">
      <c r="A677" s="561" t="s">
        <v>436</v>
      </c>
      <c r="B677" s="562">
        <v>2021</v>
      </c>
      <c r="C677" s="561" t="s">
        <v>685</v>
      </c>
      <c r="D677" s="561" t="s">
        <v>1159</v>
      </c>
      <c r="E677" s="561" t="s">
        <v>688</v>
      </c>
      <c r="F677" s="563">
        <v>10135.19</v>
      </c>
      <c r="G677" s="564"/>
      <c r="H677" s="561" t="s">
        <v>654</v>
      </c>
      <c r="I677" s="565"/>
      <c r="J677" s="565"/>
      <c r="K677" s="563">
        <v>0</v>
      </c>
      <c r="L677" s="566">
        <v>10135.19</v>
      </c>
    </row>
    <row r="678" spans="1:12" ht="22.5" x14ac:dyDescent="0.2">
      <c r="A678" s="561" t="s">
        <v>436</v>
      </c>
      <c r="B678" s="562">
        <v>2021</v>
      </c>
      <c r="C678" s="561" t="s">
        <v>689</v>
      </c>
      <c r="D678" s="561" t="s">
        <v>1160</v>
      </c>
      <c r="E678" s="561" t="s">
        <v>691</v>
      </c>
      <c r="F678" s="563">
        <v>242183.64</v>
      </c>
      <c r="G678" s="564"/>
      <c r="H678" s="561" t="s">
        <v>654</v>
      </c>
      <c r="I678" s="565"/>
      <c r="J678" s="565"/>
      <c r="K678" s="563">
        <v>0</v>
      </c>
      <c r="L678" s="566">
        <v>242183.64</v>
      </c>
    </row>
    <row r="679" spans="1:12" ht="22.5" x14ac:dyDescent="0.2">
      <c r="A679" s="561" t="s">
        <v>436</v>
      </c>
      <c r="B679" s="562">
        <v>2021</v>
      </c>
      <c r="C679" s="561" t="s">
        <v>692</v>
      </c>
      <c r="D679" s="561" t="s">
        <v>1161</v>
      </c>
      <c r="E679" s="561" t="s">
        <v>50</v>
      </c>
      <c r="F679" s="563">
        <v>107586.53</v>
      </c>
      <c r="G679" s="564"/>
      <c r="H679" s="561" t="s">
        <v>654</v>
      </c>
      <c r="I679" s="565"/>
      <c r="J679" s="565"/>
      <c r="K679" s="563">
        <v>0</v>
      </c>
      <c r="L679" s="566">
        <v>107586.53</v>
      </c>
    </row>
    <row r="680" spans="1:12" ht="22.5" x14ac:dyDescent="0.2">
      <c r="A680" s="561" t="s">
        <v>436</v>
      </c>
      <c r="B680" s="562">
        <v>2021</v>
      </c>
      <c r="C680" s="561" t="s">
        <v>694</v>
      </c>
      <c r="D680" s="561" t="s">
        <v>1162</v>
      </c>
      <c r="E680" s="561" t="s">
        <v>696</v>
      </c>
      <c r="F680" s="563">
        <v>0</v>
      </c>
      <c r="G680" s="564"/>
      <c r="H680" s="561" t="s">
        <v>654</v>
      </c>
      <c r="I680" s="565"/>
      <c r="J680" s="565"/>
      <c r="K680" s="563">
        <v>0</v>
      </c>
      <c r="L680" s="566">
        <v>0</v>
      </c>
    </row>
    <row r="681" spans="1:12" ht="22.5" x14ac:dyDescent="0.2">
      <c r="A681" s="561" t="s">
        <v>436</v>
      </c>
      <c r="B681" s="562">
        <v>2021</v>
      </c>
      <c r="C681" s="561" t="s">
        <v>697</v>
      </c>
      <c r="D681" s="561" t="s">
        <v>1163</v>
      </c>
      <c r="E681" s="561" t="s">
        <v>6</v>
      </c>
      <c r="F681" s="563">
        <v>0</v>
      </c>
      <c r="G681" s="564"/>
      <c r="H681" s="561" t="s">
        <v>654</v>
      </c>
      <c r="I681" s="565"/>
      <c r="J681" s="565"/>
      <c r="K681" s="563">
        <v>0</v>
      </c>
      <c r="L681" s="566">
        <v>0</v>
      </c>
    </row>
    <row r="682" spans="1:12" ht="33.75" x14ac:dyDescent="0.2">
      <c r="A682" s="561" t="s">
        <v>436</v>
      </c>
      <c r="B682" s="562">
        <v>2021</v>
      </c>
      <c r="C682" s="561" t="s">
        <v>699</v>
      </c>
      <c r="D682" s="561" t="s">
        <v>1164</v>
      </c>
      <c r="E682" s="561" t="s">
        <v>701</v>
      </c>
      <c r="F682" s="563">
        <v>0</v>
      </c>
      <c r="G682" s="564"/>
      <c r="H682" s="561" t="s">
        <v>654</v>
      </c>
      <c r="I682" s="565"/>
      <c r="J682" s="565"/>
      <c r="K682" s="563">
        <v>0</v>
      </c>
      <c r="L682" s="566">
        <v>0</v>
      </c>
    </row>
    <row r="683" spans="1:12" ht="22.5" x14ac:dyDescent="0.2">
      <c r="A683" s="561" t="s">
        <v>436</v>
      </c>
      <c r="B683" s="562">
        <v>2021</v>
      </c>
      <c r="C683" s="561" t="s">
        <v>702</v>
      </c>
      <c r="D683" s="561" t="s">
        <v>1165</v>
      </c>
      <c r="E683" s="561" t="s">
        <v>704</v>
      </c>
      <c r="F683" s="563">
        <v>0</v>
      </c>
      <c r="G683" s="564"/>
      <c r="H683" s="561" t="s">
        <v>654</v>
      </c>
      <c r="I683" s="565"/>
      <c r="J683" s="565"/>
      <c r="K683" s="563">
        <v>0</v>
      </c>
      <c r="L683" s="566">
        <v>0</v>
      </c>
    </row>
    <row r="684" spans="1:12" ht="33.75" x14ac:dyDescent="0.2">
      <c r="A684" s="561" t="s">
        <v>436</v>
      </c>
      <c r="B684" s="562">
        <v>2021</v>
      </c>
      <c r="C684" s="561" t="s">
        <v>705</v>
      </c>
      <c r="D684" s="561" t="s">
        <v>1166</v>
      </c>
      <c r="E684" s="561" t="s">
        <v>1</v>
      </c>
      <c r="F684" s="563">
        <v>-271795.13</v>
      </c>
      <c r="G684" s="561" t="s">
        <v>654</v>
      </c>
      <c r="H684" s="564"/>
      <c r="I684" s="563">
        <v>-267512.53125</v>
      </c>
      <c r="J684" s="563">
        <v>-4282.60986328125</v>
      </c>
      <c r="K684" s="563">
        <v>-271795.125</v>
      </c>
      <c r="L684" s="566">
        <v>-271795.13</v>
      </c>
    </row>
    <row r="685" spans="1:12" ht="22.5" x14ac:dyDescent="0.2">
      <c r="A685" s="561" t="s">
        <v>436</v>
      </c>
      <c r="B685" s="562">
        <v>2021</v>
      </c>
      <c r="C685" s="561" t="s">
        <v>705</v>
      </c>
      <c r="D685" s="561" t="s">
        <v>1166</v>
      </c>
      <c r="E685" s="561" t="s">
        <v>707</v>
      </c>
      <c r="F685" s="563">
        <v>0</v>
      </c>
      <c r="G685" s="564"/>
      <c r="H685" s="564"/>
      <c r="I685" s="565"/>
      <c r="J685" s="565"/>
      <c r="K685" s="563">
        <v>0</v>
      </c>
      <c r="L685" s="566">
        <v>0</v>
      </c>
    </row>
    <row r="686" spans="1:12" ht="22.5" x14ac:dyDescent="0.2">
      <c r="A686" s="561" t="s">
        <v>436</v>
      </c>
      <c r="B686" s="562">
        <v>2021</v>
      </c>
      <c r="C686" s="561" t="s">
        <v>705</v>
      </c>
      <c r="D686" s="561" t="s">
        <v>1166</v>
      </c>
      <c r="E686" s="561" t="s">
        <v>708</v>
      </c>
      <c r="F686" s="563">
        <v>0</v>
      </c>
      <c r="G686" s="564"/>
      <c r="H686" s="564"/>
      <c r="I686" s="565"/>
      <c r="J686" s="565"/>
      <c r="K686" s="563">
        <v>0</v>
      </c>
      <c r="L686" s="566">
        <v>0</v>
      </c>
    </row>
    <row r="687" spans="1:12" ht="22.5" x14ac:dyDescent="0.2">
      <c r="A687" s="561" t="s">
        <v>436</v>
      </c>
      <c r="B687" s="562">
        <v>2021</v>
      </c>
      <c r="C687" s="561" t="s">
        <v>705</v>
      </c>
      <c r="D687" s="561" t="s">
        <v>1166</v>
      </c>
      <c r="E687" s="561" t="s">
        <v>709</v>
      </c>
      <c r="F687" s="563">
        <v>-543.35</v>
      </c>
      <c r="G687" s="564"/>
      <c r="H687" s="564"/>
      <c r="I687" s="565"/>
      <c r="J687" s="565"/>
      <c r="K687" s="563">
        <v>0</v>
      </c>
      <c r="L687" s="566">
        <v>-543.35</v>
      </c>
    </row>
    <row r="688" spans="1:12" ht="22.5" x14ac:dyDescent="0.2">
      <c r="A688" s="561" t="s">
        <v>436</v>
      </c>
      <c r="B688" s="562">
        <v>2021</v>
      </c>
      <c r="C688" s="561" t="s">
        <v>705</v>
      </c>
      <c r="D688" s="561" t="s">
        <v>1166</v>
      </c>
      <c r="E688" s="561" t="s">
        <v>710</v>
      </c>
      <c r="F688" s="563">
        <v>-36056.550000000003</v>
      </c>
      <c r="G688" s="564"/>
      <c r="H688" s="564"/>
      <c r="I688" s="565"/>
      <c r="J688" s="565"/>
      <c r="K688" s="563">
        <v>0</v>
      </c>
      <c r="L688" s="566">
        <v>-36056.550000000003</v>
      </c>
    </row>
    <row r="689" spans="1:12" ht="22.5" x14ac:dyDescent="0.2">
      <c r="A689" s="561" t="s">
        <v>436</v>
      </c>
      <c r="B689" s="562">
        <v>2021</v>
      </c>
      <c r="C689" s="561" t="s">
        <v>711</v>
      </c>
      <c r="D689" s="561" t="s">
        <v>1167</v>
      </c>
      <c r="E689" s="561" t="s">
        <v>713</v>
      </c>
      <c r="F689" s="563">
        <v>0</v>
      </c>
      <c r="G689" s="564"/>
      <c r="H689" s="561" t="s">
        <v>654</v>
      </c>
      <c r="I689" s="565"/>
      <c r="J689" s="565"/>
      <c r="K689" s="563">
        <v>0</v>
      </c>
      <c r="L689" s="566">
        <v>0</v>
      </c>
    </row>
    <row r="690" spans="1:12" ht="33.75" x14ac:dyDescent="0.2">
      <c r="A690" s="561" t="s">
        <v>436</v>
      </c>
      <c r="B690" s="562">
        <v>2021</v>
      </c>
      <c r="C690" s="561" t="s">
        <v>714</v>
      </c>
      <c r="D690" s="561" t="s">
        <v>1168</v>
      </c>
      <c r="E690" s="561" t="s">
        <v>2</v>
      </c>
      <c r="F690" s="563">
        <v>165049.96</v>
      </c>
      <c r="G690" s="561" t="s">
        <v>654</v>
      </c>
      <c r="H690" s="564"/>
      <c r="I690" s="563">
        <v>165551.203125</v>
      </c>
      <c r="J690" s="563">
        <v>-501.239990234375</v>
      </c>
      <c r="K690" s="563">
        <v>165049.953125</v>
      </c>
      <c r="L690" s="566">
        <v>165049.96</v>
      </c>
    </row>
    <row r="691" spans="1:12" ht="33.75" x14ac:dyDescent="0.2">
      <c r="A691" s="561" t="s">
        <v>436</v>
      </c>
      <c r="B691" s="562">
        <v>2021</v>
      </c>
      <c r="C691" s="561" t="s">
        <v>716</v>
      </c>
      <c r="D691" s="561" t="s">
        <v>1169</v>
      </c>
      <c r="E691" s="561" t="s">
        <v>3</v>
      </c>
      <c r="F691" s="563">
        <v>221725.92</v>
      </c>
      <c r="G691" s="561" t="s">
        <v>654</v>
      </c>
      <c r="H691" s="564"/>
      <c r="I691" s="563">
        <v>220768.96875</v>
      </c>
      <c r="J691" s="563">
        <v>956.95001220703102</v>
      </c>
      <c r="K691" s="563">
        <v>221725.921875</v>
      </c>
      <c r="L691" s="566">
        <v>221725.92</v>
      </c>
    </row>
    <row r="692" spans="1:12" ht="33.75" x14ac:dyDescent="0.2">
      <c r="A692" s="561" t="s">
        <v>436</v>
      </c>
      <c r="B692" s="562">
        <v>2021</v>
      </c>
      <c r="C692" s="561" t="s">
        <v>718</v>
      </c>
      <c r="D692" s="561" t="s">
        <v>1170</v>
      </c>
      <c r="E692" s="561" t="s">
        <v>38</v>
      </c>
      <c r="F692" s="563">
        <v>232257.11</v>
      </c>
      <c r="G692" s="561" t="s">
        <v>654</v>
      </c>
      <c r="H692" s="564"/>
      <c r="I692" s="563">
        <v>246229.375</v>
      </c>
      <c r="J692" s="563">
        <v>-13972.259765625</v>
      </c>
      <c r="K692" s="563">
        <v>232257.109375</v>
      </c>
      <c r="L692" s="566">
        <v>232257.11</v>
      </c>
    </row>
    <row r="693" spans="1:12" ht="22.5" x14ac:dyDescent="0.2">
      <c r="A693" s="561" t="s">
        <v>436</v>
      </c>
      <c r="B693" s="562">
        <v>2021</v>
      </c>
      <c r="C693" s="561" t="s">
        <v>720</v>
      </c>
      <c r="D693" s="561" t="s">
        <v>1171</v>
      </c>
      <c r="E693" s="561" t="s">
        <v>66</v>
      </c>
      <c r="F693" s="563">
        <v>611423.84</v>
      </c>
      <c r="G693" s="561" t="s">
        <v>654</v>
      </c>
      <c r="H693" s="564"/>
      <c r="I693" s="563">
        <v>589620.5625</v>
      </c>
      <c r="J693" s="563">
        <v>21803.259765625</v>
      </c>
      <c r="K693" s="563">
        <v>611423.8125</v>
      </c>
      <c r="L693" s="566">
        <v>611423.84</v>
      </c>
    </row>
    <row r="694" spans="1:12" ht="45" x14ac:dyDescent="0.2">
      <c r="A694" s="561" t="s">
        <v>436</v>
      </c>
      <c r="B694" s="562">
        <v>2021</v>
      </c>
      <c r="C694" s="561" t="s">
        <v>722</v>
      </c>
      <c r="D694" s="561" t="s">
        <v>1172</v>
      </c>
      <c r="E694" s="561" t="s">
        <v>724</v>
      </c>
      <c r="F694" s="563">
        <v>37909.61</v>
      </c>
      <c r="G694" s="564"/>
      <c r="H694" s="561" t="s">
        <v>654</v>
      </c>
      <c r="I694" s="565"/>
      <c r="J694" s="565"/>
      <c r="K694" s="563">
        <v>0</v>
      </c>
      <c r="L694" s="566">
        <v>37909.61</v>
      </c>
    </row>
    <row r="695" spans="1:12" ht="45" x14ac:dyDescent="0.2">
      <c r="A695" s="561" t="s">
        <v>436</v>
      </c>
      <c r="B695" s="562">
        <v>2021</v>
      </c>
      <c r="C695" s="561" t="s">
        <v>725</v>
      </c>
      <c r="D695" s="561" t="s">
        <v>1173</v>
      </c>
      <c r="E695" s="561" t="s">
        <v>3024</v>
      </c>
      <c r="F695" s="563">
        <v>0</v>
      </c>
      <c r="G695" s="561" t="s">
        <v>654</v>
      </c>
      <c r="H695" s="564"/>
      <c r="I695" s="563">
        <v>1612.66003417969</v>
      </c>
      <c r="J695" s="563">
        <v>17515.2109375</v>
      </c>
      <c r="K695" s="563">
        <v>19127.869140625</v>
      </c>
      <c r="L695" s="566">
        <v>19127.87</v>
      </c>
    </row>
    <row r="696" spans="1:12" ht="45" x14ac:dyDescent="0.2">
      <c r="A696" s="561" t="s">
        <v>436</v>
      </c>
      <c r="B696" s="562">
        <v>2021</v>
      </c>
      <c r="C696" s="561" t="s">
        <v>725</v>
      </c>
      <c r="D696" s="561" t="s">
        <v>1173</v>
      </c>
      <c r="E696" s="561" t="s">
        <v>3066</v>
      </c>
      <c r="F696" s="563">
        <v>0</v>
      </c>
      <c r="G696" s="561" t="s">
        <v>654</v>
      </c>
      <c r="H696" s="564"/>
      <c r="I696" s="563">
        <v>588819.5</v>
      </c>
      <c r="J696" s="563">
        <v>39438.3203125</v>
      </c>
      <c r="K696" s="563">
        <v>628257.8125</v>
      </c>
      <c r="L696" s="566">
        <v>628257.82999999996</v>
      </c>
    </row>
    <row r="697" spans="1:12" ht="45" x14ac:dyDescent="0.2">
      <c r="A697" s="561" t="s">
        <v>436</v>
      </c>
      <c r="B697" s="562">
        <v>2021</v>
      </c>
      <c r="C697" s="561" t="s">
        <v>725</v>
      </c>
      <c r="D697" s="561" t="s">
        <v>1174</v>
      </c>
      <c r="E697" s="561" t="s">
        <v>728</v>
      </c>
      <c r="F697" s="563">
        <v>0</v>
      </c>
      <c r="G697" s="561" t="s">
        <v>654</v>
      </c>
      <c r="H697" s="564"/>
      <c r="I697" s="565"/>
      <c r="J697" s="565"/>
      <c r="K697" s="563">
        <v>0</v>
      </c>
      <c r="L697" s="566">
        <v>0</v>
      </c>
    </row>
    <row r="698" spans="1:12" ht="45" x14ac:dyDescent="0.2">
      <c r="A698" s="561" t="s">
        <v>436</v>
      </c>
      <c r="B698" s="562">
        <v>2021</v>
      </c>
      <c r="C698" s="561" t="s">
        <v>725</v>
      </c>
      <c r="D698" s="561" t="s">
        <v>1175</v>
      </c>
      <c r="E698" s="561" t="s">
        <v>55</v>
      </c>
      <c r="F698" s="563">
        <v>0</v>
      </c>
      <c r="G698" s="561" t="s">
        <v>654</v>
      </c>
      <c r="H698" s="564"/>
      <c r="I698" s="565"/>
      <c r="J698" s="565"/>
      <c r="K698" s="563">
        <v>0</v>
      </c>
      <c r="L698" s="566">
        <v>0</v>
      </c>
    </row>
    <row r="699" spans="1:12" ht="45" x14ac:dyDescent="0.2">
      <c r="A699" s="561" t="s">
        <v>436</v>
      </c>
      <c r="B699" s="562">
        <v>2021</v>
      </c>
      <c r="C699" s="561" t="s">
        <v>725</v>
      </c>
      <c r="D699" s="561" t="s">
        <v>1176</v>
      </c>
      <c r="E699" s="561" t="s">
        <v>56</v>
      </c>
      <c r="F699" s="563">
        <v>0</v>
      </c>
      <c r="G699" s="561" t="s">
        <v>654</v>
      </c>
      <c r="H699" s="564"/>
      <c r="I699" s="565"/>
      <c r="J699" s="565"/>
      <c r="K699" s="563">
        <v>0</v>
      </c>
      <c r="L699" s="566">
        <v>0</v>
      </c>
    </row>
    <row r="700" spans="1:12" ht="45" x14ac:dyDescent="0.2">
      <c r="A700" s="561" t="s">
        <v>436</v>
      </c>
      <c r="B700" s="562">
        <v>2021</v>
      </c>
      <c r="C700" s="561" t="s">
        <v>725</v>
      </c>
      <c r="D700" s="561" t="s">
        <v>1177</v>
      </c>
      <c r="E700" s="561" t="s">
        <v>732</v>
      </c>
      <c r="F700" s="563">
        <v>0</v>
      </c>
      <c r="G700" s="561" t="s">
        <v>654</v>
      </c>
      <c r="H700" s="564"/>
      <c r="I700" s="565"/>
      <c r="J700" s="565"/>
      <c r="K700" s="563">
        <v>0</v>
      </c>
      <c r="L700" s="566">
        <v>0</v>
      </c>
    </row>
    <row r="701" spans="1:12" ht="45" x14ac:dyDescent="0.2">
      <c r="A701" s="561" t="s">
        <v>436</v>
      </c>
      <c r="B701" s="562">
        <v>2021</v>
      </c>
      <c r="C701" s="561" t="s">
        <v>725</v>
      </c>
      <c r="D701" s="561" t="s">
        <v>1178</v>
      </c>
      <c r="E701" s="561" t="s">
        <v>734</v>
      </c>
      <c r="F701" s="563">
        <v>0</v>
      </c>
      <c r="G701" s="561" t="s">
        <v>654</v>
      </c>
      <c r="H701" s="564"/>
      <c r="I701" s="565"/>
      <c r="J701" s="565"/>
      <c r="K701" s="563">
        <v>0</v>
      </c>
      <c r="L701" s="566">
        <v>0</v>
      </c>
    </row>
    <row r="702" spans="1:12" ht="45" x14ac:dyDescent="0.2">
      <c r="A702" s="561" t="s">
        <v>436</v>
      </c>
      <c r="B702" s="562">
        <v>2021</v>
      </c>
      <c r="C702" s="561" t="s">
        <v>725</v>
      </c>
      <c r="D702" s="561" t="s">
        <v>1179</v>
      </c>
      <c r="E702" s="561" t="s">
        <v>142</v>
      </c>
      <c r="F702" s="563">
        <v>0</v>
      </c>
      <c r="G702" s="561" t="s">
        <v>654</v>
      </c>
      <c r="H702" s="564"/>
      <c r="I702" s="565"/>
      <c r="J702" s="565"/>
      <c r="K702" s="563">
        <v>0</v>
      </c>
      <c r="L702" s="566">
        <v>0</v>
      </c>
    </row>
    <row r="703" spans="1:12" ht="45" x14ac:dyDescent="0.2">
      <c r="A703" s="561" t="s">
        <v>436</v>
      </c>
      <c r="B703" s="562">
        <v>2021</v>
      </c>
      <c r="C703" s="561" t="s">
        <v>725</v>
      </c>
      <c r="D703" s="561" t="s">
        <v>1180</v>
      </c>
      <c r="E703" s="561" t="s">
        <v>143</v>
      </c>
      <c r="F703" s="563">
        <v>0</v>
      </c>
      <c r="G703" s="561" t="s">
        <v>654</v>
      </c>
      <c r="H703" s="564"/>
      <c r="I703" s="565"/>
      <c r="J703" s="565"/>
      <c r="K703" s="563">
        <v>0</v>
      </c>
      <c r="L703" s="566">
        <v>0</v>
      </c>
    </row>
    <row r="704" spans="1:12" ht="45" x14ac:dyDescent="0.2">
      <c r="A704" s="561" t="s">
        <v>436</v>
      </c>
      <c r="B704" s="562">
        <v>2021</v>
      </c>
      <c r="C704" s="561" t="s">
        <v>725</v>
      </c>
      <c r="D704" s="561" t="s">
        <v>1181</v>
      </c>
      <c r="E704" s="561" t="s">
        <v>182</v>
      </c>
      <c r="F704" s="563">
        <v>0</v>
      </c>
      <c r="G704" s="561" t="s">
        <v>654</v>
      </c>
      <c r="H704" s="564"/>
      <c r="I704" s="565"/>
      <c r="J704" s="565"/>
      <c r="K704" s="563">
        <v>0</v>
      </c>
      <c r="L704" s="566">
        <v>0</v>
      </c>
    </row>
    <row r="705" spans="1:12" ht="45" x14ac:dyDescent="0.2">
      <c r="A705" s="561" t="s">
        <v>436</v>
      </c>
      <c r="B705" s="562">
        <v>2021</v>
      </c>
      <c r="C705" s="561" t="s">
        <v>725</v>
      </c>
      <c r="D705" s="561" t="s">
        <v>1182</v>
      </c>
      <c r="E705" s="561" t="s">
        <v>394</v>
      </c>
      <c r="F705" s="563">
        <v>0</v>
      </c>
      <c r="G705" s="561" t="s">
        <v>654</v>
      </c>
      <c r="H705" s="564"/>
      <c r="I705" s="565"/>
      <c r="J705" s="565"/>
      <c r="K705" s="563">
        <v>0</v>
      </c>
      <c r="L705" s="566">
        <v>0</v>
      </c>
    </row>
    <row r="706" spans="1:12" ht="45" x14ac:dyDescent="0.2">
      <c r="A706" s="561" t="s">
        <v>436</v>
      </c>
      <c r="B706" s="562">
        <v>2021</v>
      </c>
      <c r="C706" s="561" t="s">
        <v>725</v>
      </c>
      <c r="D706" s="561" t="s">
        <v>1183</v>
      </c>
      <c r="E706" s="561" t="s">
        <v>425</v>
      </c>
      <c r="F706" s="563">
        <v>0</v>
      </c>
      <c r="G706" s="561" t="s">
        <v>654</v>
      </c>
      <c r="H706" s="564"/>
      <c r="I706" s="565"/>
      <c r="J706" s="565"/>
      <c r="K706" s="563">
        <v>0</v>
      </c>
      <c r="L706" s="566">
        <v>0</v>
      </c>
    </row>
    <row r="707" spans="1:12" ht="45" x14ac:dyDescent="0.2">
      <c r="A707" s="561" t="s">
        <v>436</v>
      </c>
      <c r="B707" s="562">
        <v>2021</v>
      </c>
      <c r="C707" s="561" t="s">
        <v>725</v>
      </c>
      <c r="D707" s="561" t="s">
        <v>3132</v>
      </c>
      <c r="E707" s="561" t="s">
        <v>443</v>
      </c>
      <c r="F707" s="563">
        <v>0</v>
      </c>
      <c r="G707" s="561" t="s">
        <v>654</v>
      </c>
      <c r="H707" s="564"/>
      <c r="I707" s="563">
        <v>16819.26953125</v>
      </c>
      <c r="J707" s="563">
        <v>48785.921875</v>
      </c>
      <c r="K707" s="563">
        <v>65605.1875</v>
      </c>
      <c r="L707" s="566">
        <v>65605.19</v>
      </c>
    </row>
    <row r="708" spans="1:12" ht="45" x14ac:dyDescent="0.2">
      <c r="A708" s="561" t="s">
        <v>436</v>
      </c>
      <c r="B708" s="562">
        <v>2021</v>
      </c>
      <c r="C708" s="561" t="s">
        <v>725</v>
      </c>
      <c r="D708" s="561" t="s">
        <v>1184</v>
      </c>
      <c r="E708" s="561" t="s">
        <v>741</v>
      </c>
      <c r="F708" s="563">
        <v>712990.89</v>
      </c>
      <c r="G708" s="564"/>
      <c r="H708" s="564"/>
      <c r="I708" s="565"/>
      <c r="J708" s="565"/>
      <c r="K708" s="563">
        <v>0</v>
      </c>
      <c r="L708" s="566">
        <v>712990.89</v>
      </c>
    </row>
    <row r="709" spans="1:12" ht="22.5" x14ac:dyDescent="0.2">
      <c r="A709" s="561" t="s">
        <v>436</v>
      </c>
      <c r="B709" s="562">
        <v>2021</v>
      </c>
      <c r="C709" s="561" t="s">
        <v>742</v>
      </c>
      <c r="D709" s="561" t="s">
        <v>1185</v>
      </c>
      <c r="E709" s="561" t="s">
        <v>7</v>
      </c>
      <c r="F709" s="563">
        <v>0</v>
      </c>
      <c r="G709" s="564"/>
      <c r="H709" s="561" t="s">
        <v>654</v>
      </c>
      <c r="I709" s="565"/>
      <c r="J709" s="565"/>
      <c r="K709" s="563">
        <v>0</v>
      </c>
      <c r="L709" s="566">
        <v>0</v>
      </c>
    </row>
    <row r="710" spans="1:12" ht="22.5" x14ac:dyDescent="0.2">
      <c r="A710" s="561" t="s">
        <v>3133</v>
      </c>
      <c r="B710" s="562">
        <v>2021</v>
      </c>
      <c r="C710" s="561" t="s">
        <v>651</v>
      </c>
      <c r="D710" s="561" t="s">
        <v>3134</v>
      </c>
      <c r="E710" s="561" t="s">
        <v>653</v>
      </c>
      <c r="F710" s="563">
        <v>48389</v>
      </c>
      <c r="G710" s="564"/>
      <c r="H710" s="561" t="s">
        <v>654</v>
      </c>
      <c r="I710" s="565"/>
      <c r="J710" s="565"/>
      <c r="K710" s="563">
        <v>0</v>
      </c>
      <c r="L710" s="566">
        <v>48389</v>
      </c>
    </row>
    <row r="711" spans="1:12" ht="15" x14ac:dyDescent="0.2">
      <c r="A711" s="561" t="s">
        <v>3133</v>
      </c>
      <c r="B711" s="562">
        <v>2021</v>
      </c>
      <c r="C711" s="561" t="s">
        <v>655</v>
      </c>
      <c r="D711" s="561" t="s">
        <v>3135</v>
      </c>
      <c r="E711" s="561" t="s">
        <v>657</v>
      </c>
      <c r="F711" s="563">
        <v>0</v>
      </c>
      <c r="G711" s="564"/>
      <c r="H711" s="561" t="s">
        <v>654</v>
      </c>
      <c r="I711" s="565"/>
      <c r="J711" s="565"/>
      <c r="K711" s="563">
        <v>0</v>
      </c>
      <c r="L711" s="566">
        <v>0</v>
      </c>
    </row>
    <row r="712" spans="1:12" ht="56.25" x14ac:dyDescent="0.2">
      <c r="A712" s="561" t="s">
        <v>3133</v>
      </c>
      <c r="B712" s="562">
        <v>2021</v>
      </c>
      <c r="C712" s="561" t="s">
        <v>658</v>
      </c>
      <c r="D712" s="561" t="s">
        <v>3136</v>
      </c>
      <c r="E712" s="561" t="s">
        <v>447</v>
      </c>
      <c r="F712" s="563">
        <v>0</v>
      </c>
      <c r="G712" s="564"/>
      <c r="H712" s="561" t="s">
        <v>654</v>
      </c>
      <c r="I712" s="565"/>
      <c r="J712" s="565"/>
      <c r="K712" s="563">
        <v>0</v>
      </c>
      <c r="L712" s="566">
        <v>0</v>
      </c>
    </row>
    <row r="713" spans="1:12" ht="22.5" x14ac:dyDescent="0.2">
      <c r="A713" s="561" t="s">
        <v>3133</v>
      </c>
      <c r="B713" s="562">
        <v>2021</v>
      </c>
      <c r="C713" s="561" t="s">
        <v>660</v>
      </c>
      <c r="D713" s="561" t="s">
        <v>3137</v>
      </c>
      <c r="E713" s="561" t="s">
        <v>662</v>
      </c>
      <c r="F713" s="563">
        <v>0</v>
      </c>
      <c r="G713" s="564"/>
      <c r="H713" s="561" t="s">
        <v>654</v>
      </c>
      <c r="I713" s="565"/>
      <c r="J713" s="565"/>
      <c r="K713" s="563">
        <v>0</v>
      </c>
      <c r="L713" s="566">
        <v>0</v>
      </c>
    </row>
    <row r="714" spans="1:12" ht="33.75" x14ac:dyDescent="0.2">
      <c r="A714" s="561" t="s">
        <v>3133</v>
      </c>
      <c r="B714" s="562">
        <v>2021</v>
      </c>
      <c r="C714" s="561" t="s">
        <v>663</v>
      </c>
      <c r="D714" s="561" t="s">
        <v>3138</v>
      </c>
      <c r="E714" s="561" t="s">
        <v>665</v>
      </c>
      <c r="F714" s="563">
        <v>0</v>
      </c>
      <c r="G714" s="564"/>
      <c r="H714" s="561" t="s">
        <v>654</v>
      </c>
      <c r="I714" s="565"/>
      <c r="J714" s="565"/>
      <c r="K714" s="563">
        <v>0</v>
      </c>
      <c r="L714" s="566">
        <v>0</v>
      </c>
    </row>
    <row r="715" spans="1:12" ht="33.75" x14ac:dyDescent="0.2">
      <c r="A715" s="561" t="s">
        <v>3133</v>
      </c>
      <c r="B715" s="562">
        <v>2021</v>
      </c>
      <c r="C715" s="561" t="s">
        <v>666</v>
      </c>
      <c r="D715" s="561" t="s">
        <v>3139</v>
      </c>
      <c r="E715" s="561" t="s">
        <v>668</v>
      </c>
      <c r="F715" s="563">
        <v>0</v>
      </c>
      <c r="G715" s="564"/>
      <c r="H715" s="561" t="s">
        <v>654</v>
      </c>
      <c r="I715" s="565"/>
      <c r="J715" s="565"/>
      <c r="K715" s="563">
        <v>0</v>
      </c>
      <c r="L715" s="566">
        <v>0</v>
      </c>
    </row>
    <row r="716" spans="1:12" ht="56.25" x14ac:dyDescent="0.2">
      <c r="A716" s="561" t="s">
        <v>3133</v>
      </c>
      <c r="B716" s="562">
        <v>2021</v>
      </c>
      <c r="C716" s="561" t="s">
        <v>669</v>
      </c>
      <c r="D716" s="561" t="s">
        <v>3140</v>
      </c>
      <c r="E716" s="561" t="s">
        <v>671</v>
      </c>
      <c r="F716" s="563">
        <v>0</v>
      </c>
      <c r="G716" s="564"/>
      <c r="H716" s="561" t="s">
        <v>654</v>
      </c>
      <c r="I716" s="565"/>
      <c r="J716" s="565"/>
      <c r="K716" s="563">
        <v>0</v>
      </c>
      <c r="L716" s="566">
        <v>0</v>
      </c>
    </row>
    <row r="717" spans="1:12" ht="22.5" x14ac:dyDescent="0.2">
      <c r="A717" s="561" t="s">
        <v>3133</v>
      </c>
      <c r="B717" s="562">
        <v>2021</v>
      </c>
      <c r="C717" s="561" t="s">
        <v>672</v>
      </c>
      <c r="D717" s="561" t="s">
        <v>3141</v>
      </c>
      <c r="E717" s="561" t="s">
        <v>12</v>
      </c>
      <c r="F717" s="563">
        <v>0</v>
      </c>
      <c r="G717" s="564"/>
      <c r="H717" s="561" t="s">
        <v>654</v>
      </c>
      <c r="I717" s="565"/>
      <c r="J717" s="565"/>
      <c r="K717" s="563">
        <v>0</v>
      </c>
      <c r="L717" s="566">
        <v>0</v>
      </c>
    </row>
    <row r="718" spans="1:12" ht="22.5" x14ac:dyDescent="0.2">
      <c r="A718" s="561" t="s">
        <v>3133</v>
      </c>
      <c r="B718" s="562">
        <v>2021</v>
      </c>
      <c r="C718" s="561" t="s">
        <v>674</v>
      </c>
      <c r="D718" s="561" t="s">
        <v>3142</v>
      </c>
      <c r="E718" s="561" t="s">
        <v>13</v>
      </c>
      <c r="F718" s="563">
        <v>0</v>
      </c>
      <c r="G718" s="564"/>
      <c r="H718" s="561" t="s">
        <v>654</v>
      </c>
      <c r="I718" s="565"/>
      <c r="J718" s="565"/>
      <c r="K718" s="563">
        <v>0</v>
      </c>
      <c r="L718" s="566">
        <v>0</v>
      </c>
    </row>
    <row r="719" spans="1:12" ht="33.75" x14ac:dyDescent="0.2">
      <c r="A719" s="561" t="s">
        <v>3133</v>
      </c>
      <c r="B719" s="562">
        <v>2021</v>
      </c>
      <c r="C719" s="561" t="s">
        <v>676</v>
      </c>
      <c r="D719" s="561" t="s">
        <v>3143</v>
      </c>
      <c r="E719" s="561" t="s">
        <v>15</v>
      </c>
      <c r="F719" s="563">
        <v>0</v>
      </c>
      <c r="G719" s="564"/>
      <c r="H719" s="561" t="s">
        <v>654</v>
      </c>
      <c r="I719" s="565"/>
      <c r="J719" s="565"/>
      <c r="K719" s="563">
        <v>0</v>
      </c>
      <c r="L719" s="566">
        <v>0</v>
      </c>
    </row>
    <row r="720" spans="1:12" ht="15" x14ac:dyDescent="0.2">
      <c r="A720" s="561" t="s">
        <v>3133</v>
      </c>
      <c r="B720" s="562">
        <v>2021</v>
      </c>
      <c r="C720" s="561" t="s">
        <v>678</v>
      </c>
      <c r="D720" s="561" t="s">
        <v>3144</v>
      </c>
      <c r="E720" s="561" t="s">
        <v>680</v>
      </c>
      <c r="F720" s="563">
        <v>0</v>
      </c>
      <c r="G720" s="564"/>
      <c r="H720" s="561" t="s">
        <v>654</v>
      </c>
      <c r="I720" s="565"/>
      <c r="J720" s="565"/>
      <c r="K720" s="563">
        <v>0</v>
      </c>
      <c r="L720" s="566">
        <v>0</v>
      </c>
    </row>
    <row r="721" spans="1:12" ht="15" x14ac:dyDescent="0.2">
      <c r="A721" s="561" t="s">
        <v>3133</v>
      </c>
      <c r="B721" s="562">
        <v>2021</v>
      </c>
      <c r="C721" s="561" t="s">
        <v>681</v>
      </c>
      <c r="D721" s="561" t="s">
        <v>3145</v>
      </c>
      <c r="E721" s="561" t="s">
        <v>23</v>
      </c>
      <c r="F721" s="563">
        <v>600525.61</v>
      </c>
      <c r="G721" s="561" t="s">
        <v>654</v>
      </c>
      <c r="H721" s="564"/>
      <c r="I721" s="563">
        <v>588464.6875</v>
      </c>
      <c r="J721" s="563">
        <v>12060.900390625</v>
      </c>
      <c r="K721" s="563">
        <v>600525.625</v>
      </c>
      <c r="L721" s="566">
        <v>600525.61</v>
      </c>
    </row>
    <row r="722" spans="1:12" ht="33.75" x14ac:dyDescent="0.2">
      <c r="A722" s="561" t="s">
        <v>3133</v>
      </c>
      <c r="B722" s="562">
        <v>2021</v>
      </c>
      <c r="C722" s="561" t="s">
        <v>683</v>
      </c>
      <c r="D722" s="561" t="s">
        <v>3146</v>
      </c>
      <c r="E722" s="561" t="s">
        <v>131</v>
      </c>
      <c r="F722" s="563">
        <v>-28318.09</v>
      </c>
      <c r="G722" s="561" t="s">
        <v>654</v>
      </c>
      <c r="H722" s="564"/>
      <c r="I722" s="563">
        <v>-27630.66015625</v>
      </c>
      <c r="J722" s="563">
        <v>-687.42999267578102</v>
      </c>
      <c r="K722" s="563">
        <v>-28318.08984375</v>
      </c>
      <c r="L722" s="566">
        <v>-28318.09</v>
      </c>
    </row>
    <row r="723" spans="1:12" ht="33.75" x14ac:dyDescent="0.2">
      <c r="A723" s="561" t="s">
        <v>3133</v>
      </c>
      <c r="B723" s="562">
        <v>2021</v>
      </c>
      <c r="C723" s="561" t="s">
        <v>685</v>
      </c>
      <c r="D723" s="561" t="s">
        <v>3147</v>
      </c>
      <c r="E723" s="561" t="s">
        <v>687</v>
      </c>
      <c r="F723" s="563">
        <v>0</v>
      </c>
      <c r="G723" s="564"/>
      <c r="H723" s="561" t="s">
        <v>654</v>
      </c>
      <c r="I723" s="565"/>
      <c r="J723" s="565"/>
      <c r="K723" s="563">
        <v>0</v>
      </c>
      <c r="L723" s="566">
        <v>0</v>
      </c>
    </row>
    <row r="724" spans="1:12" ht="33.75" x14ac:dyDescent="0.2">
      <c r="A724" s="561" t="s">
        <v>3133</v>
      </c>
      <c r="B724" s="562">
        <v>2021</v>
      </c>
      <c r="C724" s="561" t="s">
        <v>685</v>
      </c>
      <c r="D724" s="561" t="s">
        <v>3147</v>
      </c>
      <c r="E724" s="561" t="s">
        <v>688</v>
      </c>
      <c r="F724" s="563">
        <v>0</v>
      </c>
      <c r="G724" s="564"/>
      <c r="H724" s="561" t="s">
        <v>654</v>
      </c>
      <c r="I724" s="565"/>
      <c r="J724" s="565"/>
      <c r="K724" s="563">
        <v>0</v>
      </c>
      <c r="L724" s="566">
        <v>0</v>
      </c>
    </row>
    <row r="725" spans="1:12" ht="22.5" x14ac:dyDescent="0.2">
      <c r="A725" s="561" t="s">
        <v>3133</v>
      </c>
      <c r="B725" s="562">
        <v>2021</v>
      </c>
      <c r="C725" s="561" t="s">
        <v>689</v>
      </c>
      <c r="D725" s="561" t="s">
        <v>3148</v>
      </c>
      <c r="E725" s="561" t="s">
        <v>691</v>
      </c>
      <c r="F725" s="563">
        <v>0</v>
      </c>
      <c r="G725" s="564"/>
      <c r="H725" s="561" t="s">
        <v>654</v>
      </c>
      <c r="I725" s="565"/>
      <c r="J725" s="565"/>
      <c r="K725" s="563">
        <v>0</v>
      </c>
      <c r="L725" s="566">
        <v>0</v>
      </c>
    </row>
    <row r="726" spans="1:12" ht="22.5" x14ac:dyDescent="0.2">
      <c r="A726" s="561" t="s">
        <v>3133</v>
      </c>
      <c r="B726" s="562">
        <v>2021</v>
      </c>
      <c r="C726" s="561" t="s">
        <v>692</v>
      </c>
      <c r="D726" s="561" t="s">
        <v>3149</v>
      </c>
      <c r="E726" s="561" t="s">
        <v>50</v>
      </c>
      <c r="F726" s="563">
        <v>0</v>
      </c>
      <c r="G726" s="564"/>
      <c r="H726" s="561" t="s">
        <v>654</v>
      </c>
      <c r="I726" s="565"/>
      <c r="J726" s="565"/>
      <c r="K726" s="563">
        <v>0</v>
      </c>
      <c r="L726" s="566">
        <v>0</v>
      </c>
    </row>
    <row r="727" spans="1:12" ht="22.5" x14ac:dyDescent="0.2">
      <c r="A727" s="561" t="s">
        <v>3133</v>
      </c>
      <c r="B727" s="562">
        <v>2021</v>
      </c>
      <c r="C727" s="561" t="s">
        <v>694</v>
      </c>
      <c r="D727" s="561" t="s">
        <v>3150</v>
      </c>
      <c r="E727" s="561" t="s">
        <v>696</v>
      </c>
      <c r="F727" s="563">
        <v>0</v>
      </c>
      <c r="G727" s="564"/>
      <c r="H727" s="561" t="s">
        <v>654</v>
      </c>
      <c r="I727" s="565"/>
      <c r="J727" s="565"/>
      <c r="K727" s="563">
        <v>0</v>
      </c>
      <c r="L727" s="566">
        <v>0</v>
      </c>
    </row>
    <row r="728" spans="1:12" ht="22.5" x14ac:dyDescent="0.2">
      <c r="A728" s="561" t="s">
        <v>3133</v>
      </c>
      <c r="B728" s="562">
        <v>2021</v>
      </c>
      <c r="C728" s="561" t="s">
        <v>697</v>
      </c>
      <c r="D728" s="561" t="s">
        <v>3151</v>
      </c>
      <c r="E728" s="561" t="s">
        <v>6</v>
      </c>
      <c r="F728" s="563">
        <v>0</v>
      </c>
      <c r="G728" s="564"/>
      <c r="H728" s="561" t="s">
        <v>654</v>
      </c>
      <c r="I728" s="565"/>
      <c r="J728" s="565"/>
      <c r="K728" s="563">
        <v>0</v>
      </c>
      <c r="L728" s="566">
        <v>0</v>
      </c>
    </row>
    <row r="729" spans="1:12" ht="33.75" x14ac:dyDescent="0.2">
      <c r="A729" s="561" t="s">
        <v>3133</v>
      </c>
      <c r="B729" s="562">
        <v>2021</v>
      </c>
      <c r="C729" s="561" t="s">
        <v>699</v>
      </c>
      <c r="D729" s="561" t="s">
        <v>3152</v>
      </c>
      <c r="E729" s="561" t="s">
        <v>701</v>
      </c>
      <c r="F729" s="563">
        <v>0</v>
      </c>
      <c r="G729" s="564"/>
      <c r="H729" s="561" t="s">
        <v>654</v>
      </c>
      <c r="I729" s="565"/>
      <c r="J729" s="565"/>
      <c r="K729" s="563">
        <v>0</v>
      </c>
      <c r="L729" s="566">
        <v>0</v>
      </c>
    </row>
    <row r="730" spans="1:12" ht="22.5" x14ac:dyDescent="0.2">
      <c r="A730" s="561" t="s">
        <v>3133</v>
      </c>
      <c r="B730" s="562">
        <v>2021</v>
      </c>
      <c r="C730" s="561" t="s">
        <v>702</v>
      </c>
      <c r="D730" s="561" t="s">
        <v>3153</v>
      </c>
      <c r="E730" s="561" t="s">
        <v>704</v>
      </c>
      <c r="F730" s="563">
        <v>67815.070000000007</v>
      </c>
      <c r="G730" s="564"/>
      <c r="H730" s="561" t="s">
        <v>654</v>
      </c>
      <c r="I730" s="565"/>
      <c r="J730" s="565"/>
      <c r="K730" s="563">
        <v>0</v>
      </c>
      <c r="L730" s="566">
        <v>67815.070000000007</v>
      </c>
    </row>
    <row r="731" spans="1:12" ht="33.75" x14ac:dyDescent="0.2">
      <c r="A731" s="561" t="s">
        <v>3133</v>
      </c>
      <c r="B731" s="562">
        <v>2021</v>
      </c>
      <c r="C731" s="561" t="s">
        <v>705</v>
      </c>
      <c r="D731" s="561" t="s">
        <v>3154</v>
      </c>
      <c r="E731" s="561" t="s">
        <v>1</v>
      </c>
      <c r="F731" s="563">
        <v>-409495.2</v>
      </c>
      <c r="G731" s="561" t="s">
        <v>654</v>
      </c>
      <c r="H731" s="564"/>
      <c r="I731" s="563">
        <v>-400010.84375</v>
      </c>
      <c r="J731" s="563">
        <v>-9484.3701171875</v>
      </c>
      <c r="K731" s="563">
        <v>-409495.1875</v>
      </c>
      <c r="L731" s="566">
        <v>-409495.2</v>
      </c>
    </row>
    <row r="732" spans="1:12" ht="22.5" x14ac:dyDescent="0.2">
      <c r="A732" s="561" t="s">
        <v>3133</v>
      </c>
      <c r="B732" s="562">
        <v>2021</v>
      </c>
      <c r="C732" s="561" t="s">
        <v>705</v>
      </c>
      <c r="D732" s="561" t="s">
        <v>3154</v>
      </c>
      <c r="E732" s="561" t="s">
        <v>707</v>
      </c>
      <c r="F732" s="563">
        <v>0</v>
      </c>
      <c r="G732" s="564"/>
      <c r="H732" s="564"/>
      <c r="I732" s="565"/>
      <c r="J732" s="565"/>
      <c r="K732" s="563">
        <v>0</v>
      </c>
      <c r="L732" s="566">
        <v>0</v>
      </c>
    </row>
    <row r="733" spans="1:12" ht="22.5" x14ac:dyDescent="0.2">
      <c r="A733" s="561" t="s">
        <v>3133</v>
      </c>
      <c r="B733" s="562">
        <v>2021</v>
      </c>
      <c r="C733" s="561" t="s">
        <v>705</v>
      </c>
      <c r="D733" s="561" t="s">
        <v>3154</v>
      </c>
      <c r="E733" s="561" t="s">
        <v>708</v>
      </c>
      <c r="F733" s="563">
        <v>0</v>
      </c>
      <c r="G733" s="564"/>
      <c r="H733" s="564"/>
      <c r="I733" s="565"/>
      <c r="J733" s="565"/>
      <c r="K733" s="563">
        <v>0</v>
      </c>
      <c r="L733" s="566">
        <v>0</v>
      </c>
    </row>
    <row r="734" spans="1:12" ht="22.5" x14ac:dyDescent="0.2">
      <c r="A734" s="561" t="s">
        <v>3133</v>
      </c>
      <c r="B734" s="562">
        <v>2021</v>
      </c>
      <c r="C734" s="561" t="s">
        <v>705</v>
      </c>
      <c r="D734" s="561" t="s">
        <v>3154</v>
      </c>
      <c r="E734" s="561" t="s">
        <v>709</v>
      </c>
      <c r="F734" s="563">
        <v>-519.04999999999995</v>
      </c>
      <c r="G734" s="564"/>
      <c r="H734" s="564"/>
      <c r="I734" s="565"/>
      <c r="J734" s="565"/>
      <c r="K734" s="563">
        <v>0</v>
      </c>
      <c r="L734" s="566">
        <v>-519.04999999999995</v>
      </c>
    </row>
    <row r="735" spans="1:12" ht="22.5" x14ac:dyDescent="0.2">
      <c r="A735" s="561" t="s">
        <v>3133</v>
      </c>
      <c r="B735" s="562">
        <v>2021</v>
      </c>
      <c r="C735" s="561" t="s">
        <v>705</v>
      </c>
      <c r="D735" s="561" t="s">
        <v>3154</v>
      </c>
      <c r="E735" s="561" t="s">
        <v>710</v>
      </c>
      <c r="F735" s="563">
        <v>-50389.18</v>
      </c>
      <c r="G735" s="564"/>
      <c r="H735" s="564"/>
      <c r="I735" s="565"/>
      <c r="J735" s="565"/>
      <c r="K735" s="563">
        <v>0</v>
      </c>
      <c r="L735" s="566">
        <v>-50389.18</v>
      </c>
    </row>
    <row r="736" spans="1:12" ht="15" x14ac:dyDescent="0.2">
      <c r="A736" s="561" t="s">
        <v>3133</v>
      </c>
      <c r="B736" s="562">
        <v>2021</v>
      </c>
      <c r="C736" s="561" t="s">
        <v>711</v>
      </c>
      <c r="D736" s="561" t="s">
        <v>3155</v>
      </c>
      <c r="E736" s="561" t="s">
        <v>713</v>
      </c>
      <c r="F736" s="563">
        <v>0</v>
      </c>
      <c r="G736" s="564"/>
      <c r="H736" s="561" t="s">
        <v>654</v>
      </c>
      <c r="I736" s="565"/>
      <c r="J736" s="565"/>
      <c r="K736" s="563">
        <v>0</v>
      </c>
      <c r="L736" s="566">
        <v>0</v>
      </c>
    </row>
    <row r="737" spans="1:12" ht="33.75" x14ac:dyDescent="0.2">
      <c r="A737" s="561" t="s">
        <v>3133</v>
      </c>
      <c r="B737" s="562">
        <v>2021</v>
      </c>
      <c r="C737" s="561" t="s">
        <v>714</v>
      </c>
      <c r="D737" s="561" t="s">
        <v>3156</v>
      </c>
      <c r="E737" s="561" t="s">
        <v>2</v>
      </c>
      <c r="F737" s="563">
        <v>146498.10999999999</v>
      </c>
      <c r="G737" s="561" t="s">
        <v>654</v>
      </c>
      <c r="H737" s="564"/>
      <c r="I737" s="563">
        <v>151869.359375</v>
      </c>
      <c r="J737" s="563">
        <v>-5371.25</v>
      </c>
      <c r="K737" s="563">
        <v>146498.109375</v>
      </c>
      <c r="L737" s="566">
        <v>146498.10999999999</v>
      </c>
    </row>
    <row r="738" spans="1:12" ht="33.75" x14ac:dyDescent="0.2">
      <c r="A738" s="561" t="s">
        <v>3133</v>
      </c>
      <c r="B738" s="562">
        <v>2021</v>
      </c>
      <c r="C738" s="561" t="s">
        <v>716</v>
      </c>
      <c r="D738" s="561" t="s">
        <v>3157</v>
      </c>
      <c r="E738" s="561" t="s">
        <v>3</v>
      </c>
      <c r="F738" s="563">
        <v>-9315.25</v>
      </c>
      <c r="G738" s="561" t="s">
        <v>654</v>
      </c>
      <c r="H738" s="564"/>
      <c r="I738" s="563">
        <v>-6961.33984375</v>
      </c>
      <c r="J738" s="563">
        <v>-2353.90991210938</v>
      </c>
      <c r="K738" s="563">
        <v>-9315.25</v>
      </c>
      <c r="L738" s="566">
        <v>-9315.25</v>
      </c>
    </row>
    <row r="739" spans="1:12" ht="33.75" x14ac:dyDescent="0.2">
      <c r="A739" s="561" t="s">
        <v>3133</v>
      </c>
      <c r="B739" s="562">
        <v>2021</v>
      </c>
      <c r="C739" s="561" t="s">
        <v>718</v>
      </c>
      <c r="D739" s="561" t="s">
        <v>3158</v>
      </c>
      <c r="E739" s="561" t="s">
        <v>38</v>
      </c>
      <c r="F739" s="563">
        <v>492490.55</v>
      </c>
      <c r="G739" s="561" t="s">
        <v>654</v>
      </c>
      <c r="H739" s="564"/>
      <c r="I739" s="563">
        <v>383656.28125</v>
      </c>
      <c r="J739" s="563">
        <v>108834.28125</v>
      </c>
      <c r="K739" s="563">
        <v>492490.5625</v>
      </c>
      <c r="L739" s="566">
        <v>492490.55</v>
      </c>
    </row>
    <row r="740" spans="1:12" ht="22.5" x14ac:dyDescent="0.2">
      <c r="A740" s="561" t="s">
        <v>3133</v>
      </c>
      <c r="B740" s="562">
        <v>2021</v>
      </c>
      <c r="C740" s="561" t="s">
        <v>720</v>
      </c>
      <c r="D740" s="561" t="s">
        <v>3159</v>
      </c>
      <c r="E740" s="561" t="s">
        <v>66</v>
      </c>
      <c r="F740" s="563">
        <v>3936258.8</v>
      </c>
      <c r="G740" s="561" t="s">
        <v>654</v>
      </c>
      <c r="H740" s="564"/>
      <c r="I740" s="563">
        <v>3874903.75</v>
      </c>
      <c r="J740" s="563">
        <v>61354.98046875</v>
      </c>
      <c r="K740" s="563">
        <v>3936258.75</v>
      </c>
      <c r="L740" s="566">
        <v>3936258.8</v>
      </c>
    </row>
    <row r="741" spans="1:12" ht="45" x14ac:dyDescent="0.2">
      <c r="A741" s="561" t="s">
        <v>3133</v>
      </c>
      <c r="B741" s="562">
        <v>2021</v>
      </c>
      <c r="C741" s="561" t="s">
        <v>722</v>
      </c>
      <c r="D741" s="561" t="s">
        <v>3160</v>
      </c>
      <c r="E741" s="561" t="s">
        <v>724</v>
      </c>
      <c r="F741" s="563">
        <v>-100794</v>
      </c>
      <c r="G741" s="564"/>
      <c r="H741" s="561" t="s">
        <v>654</v>
      </c>
      <c r="I741" s="565"/>
      <c r="J741" s="565"/>
      <c r="K741" s="563">
        <v>0</v>
      </c>
      <c r="L741" s="566">
        <v>-100794</v>
      </c>
    </row>
    <row r="742" spans="1:12" ht="45" x14ac:dyDescent="0.2">
      <c r="A742" s="561" t="s">
        <v>3133</v>
      </c>
      <c r="B742" s="562">
        <v>2021</v>
      </c>
      <c r="C742" s="561" t="s">
        <v>725</v>
      </c>
      <c r="D742" s="561" t="s">
        <v>3161</v>
      </c>
      <c r="E742" s="561" t="s">
        <v>3024</v>
      </c>
      <c r="F742" s="563">
        <v>0</v>
      </c>
      <c r="G742" s="561" t="s">
        <v>654</v>
      </c>
      <c r="H742" s="564"/>
      <c r="I742" s="563">
        <v>1426.97998046875</v>
      </c>
      <c r="J742" s="563">
        <v>8716.1298828125</v>
      </c>
      <c r="K742" s="563">
        <v>10143.1103515625</v>
      </c>
      <c r="L742" s="566">
        <v>10143.11</v>
      </c>
    </row>
    <row r="743" spans="1:12" ht="45" x14ac:dyDescent="0.2">
      <c r="A743" s="561" t="s">
        <v>3133</v>
      </c>
      <c r="B743" s="562">
        <v>2021</v>
      </c>
      <c r="C743" s="561" t="s">
        <v>725</v>
      </c>
      <c r="D743" s="561" t="s">
        <v>3161</v>
      </c>
      <c r="E743" s="561" t="s">
        <v>3066</v>
      </c>
      <c r="F743" s="563">
        <v>0</v>
      </c>
      <c r="G743" s="561" t="s">
        <v>654</v>
      </c>
      <c r="H743" s="564"/>
      <c r="I743" s="563">
        <v>415060</v>
      </c>
      <c r="J743" s="563">
        <v>29193.279296875</v>
      </c>
      <c r="K743" s="563">
        <v>444253.28125</v>
      </c>
      <c r="L743" s="566">
        <v>444253.28</v>
      </c>
    </row>
    <row r="744" spans="1:12" ht="45" x14ac:dyDescent="0.2">
      <c r="A744" s="561" t="s">
        <v>3133</v>
      </c>
      <c r="B744" s="562">
        <v>2021</v>
      </c>
      <c r="C744" s="561" t="s">
        <v>725</v>
      </c>
      <c r="D744" s="561" t="s">
        <v>3162</v>
      </c>
      <c r="E744" s="561" t="s">
        <v>728</v>
      </c>
      <c r="F744" s="563">
        <v>0</v>
      </c>
      <c r="G744" s="561" t="s">
        <v>654</v>
      </c>
      <c r="H744" s="564"/>
      <c r="I744" s="565"/>
      <c r="J744" s="565"/>
      <c r="K744" s="563">
        <v>0</v>
      </c>
      <c r="L744" s="566">
        <v>0</v>
      </c>
    </row>
    <row r="745" spans="1:12" ht="45" x14ac:dyDescent="0.2">
      <c r="A745" s="561" t="s">
        <v>3133</v>
      </c>
      <c r="B745" s="562">
        <v>2021</v>
      </c>
      <c r="C745" s="561" t="s">
        <v>725</v>
      </c>
      <c r="D745" s="561" t="s">
        <v>3163</v>
      </c>
      <c r="E745" s="561" t="s">
        <v>55</v>
      </c>
      <c r="F745" s="563">
        <v>0</v>
      </c>
      <c r="G745" s="561" t="s">
        <v>654</v>
      </c>
      <c r="H745" s="564"/>
      <c r="I745" s="565"/>
      <c r="J745" s="565"/>
      <c r="K745" s="563">
        <v>0</v>
      </c>
      <c r="L745" s="566">
        <v>0</v>
      </c>
    </row>
    <row r="746" spans="1:12" ht="45" x14ac:dyDescent="0.2">
      <c r="A746" s="561" t="s">
        <v>3133</v>
      </c>
      <c r="B746" s="562">
        <v>2021</v>
      </c>
      <c r="C746" s="561" t="s">
        <v>725</v>
      </c>
      <c r="D746" s="561" t="s">
        <v>3164</v>
      </c>
      <c r="E746" s="561" t="s">
        <v>56</v>
      </c>
      <c r="F746" s="563">
        <v>0</v>
      </c>
      <c r="G746" s="561" t="s">
        <v>654</v>
      </c>
      <c r="H746" s="564"/>
      <c r="I746" s="565"/>
      <c r="J746" s="565"/>
      <c r="K746" s="563">
        <v>0</v>
      </c>
      <c r="L746" s="566">
        <v>0</v>
      </c>
    </row>
    <row r="747" spans="1:12" ht="45" x14ac:dyDescent="0.2">
      <c r="A747" s="561" t="s">
        <v>3133</v>
      </c>
      <c r="B747" s="562">
        <v>2021</v>
      </c>
      <c r="C747" s="561" t="s">
        <v>725</v>
      </c>
      <c r="D747" s="561" t="s">
        <v>3165</v>
      </c>
      <c r="E747" s="561" t="s">
        <v>732</v>
      </c>
      <c r="F747" s="563">
        <v>0</v>
      </c>
      <c r="G747" s="561" t="s">
        <v>654</v>
      </c>
      <c r="H747" s="564"/>
      <c r="I747" s="565"/>
      <c r="J747" s="565"/>
      <c r="K747" s="563">
        <v>0</v>
      </c>
      <c r="L747" s="566">
        <v>0</v>
      </c>
    </row>
    <row r="748" spans="1:12" ht="45" x14ac:dyDescent="0.2">
      <c r="A748" s="561" t="s">
        <v>3133</v>
      </c>
      <c r="B748" s="562">
        <v>2021</v>
      </c>
      <c r="C748" s="561" t="s">
        <v>725</v>
      </c>
      <c r="D748" s="561" t="s">
        <v>3166</v>
      </c>
      <c r="E748" s="561" t="s">
        <v>734</v>
      </c>
      <c r="F748" s="563">
        <v>0</v>
      </c>
      <c r="G748" s="561" t="s">
        <v>654</v>
      </c>
      <c r="H748" s="564"/>
      <c r="I748" s="565"/>
      <c r="J748" s="565"/>
      <c r="K748" s="563">
        <v>0</v>
      </c>
      <c r="L748" s="566">
        <v>0</v>
      </c>
    </row>
    <row r="749" spans="1:12" ht="45" x14ac:dyDescent="0.2">
      <c r="A749" s="561" t="s">
        <v>3133</v>
      </c>
      <c r="B749" s="562">
        <v>2021</v>
      </c>
      <c r="C749" s="561" t="s">
        <v>725</v>
      </c>
      <c r="D749" s="561" t="s">
        <v>3167</v>
      </c>
      <c r="E749" s="561" t="s">
        <v>142</v>
      </c>
      <c r="F749" s="563">
        <v>0</v>
      </c>
      <c r="G749" s="561" t="s">
        <v>654</v>
      </c>
      <c r="H749" s="564"/>
      <c r="I749" s="565"/>
      <c r="J749" s="565"/>
      <c r="K749" s="563">
        <v>0</v>
      </c>
      <c r="L749" s="566">
        <v>0</v>
      </c>
    </row>
    <row r="750" spans="1:12" ht="45" x14ac:dyDescent="0.2">
      <c r="A750" s="561" t="s">
        <v>3133</v>
      </c>
      <c r="B750" s="562">
        <v>2021</v>
      </c>
      <c r="C750" s="561" t="s">
        <v>725</v>
      </c>
      <c r="D750" s="561" t="s">
        <v>3168</v>
      </c>
      <c r="E750" s="561" t="s">
        <v>143</v>
      </c>
      <c r="F750" s="563">
        <v>0</v>
      </c>
      <c r="G750" s="561" t="s">
        <v>654</v>
      </c>
      <c r="H750" s="564"/>
      <c r="I750" s="565"/>
      <c r="J750" s="565"/>
      <c r="K750" s="563">
        <v>0</v>
      </c>
      <c r="L750" s="566">
        <v>0</v>
      </c>
    </row>
    <row r="751" spans="1:12" ht="45" x14ac:dyDescent="0.2">
      <c r="A751" s="561" t="s">
        <v>3133</v>
      </c>
      <c r="B751" s="562">
        <v>2021</v>
      </c>
      <c r="C751" s="561" t="s">
        <v>725</v>
      </c>
      <c r="D751" s="561" t="s">
        <v>3169</v>
      </c>
      <c r="E751" s="561" t="s">
        <v>182</v>
      </c>
      <c r="F751" s="563">
        <v>0</v>
      </c>
      <c r="G751" s="561" t="s">
        <v>654</v>
      </c>
      <c r="H751" s="564"/>
      <c r="I751" s="565"/>
      <c r="J751" s="565"/>
      <c r="K751" s="563">
        <v>0</v>
      </c>
      <c r="L751" s="566">
        <v>0</v>
      </c>
    </row>
    <row r="752" spans="1:12" ht="45" x14ac:dyDescent="0.2">
      <c r="A752" s="561" t="s">
        <v>3133</v>
      </c>
      <c r="B752" s="562">
        <v>2021</v>
      </c>
      <c r="C752" s="561" t="s">
        <v>725</v>
      </c>
      <c r="D752" s="561" t="s">
        <v>3170</v>
      </c>
      <c r="E752" s="561" t="s">
        <v>394</v>
      </c>
      <c r="F752" s="563">
        <v>0</v>
      </c>
      <c r="G752" s="561" t="s">
        <v>654</v>
      </c>
      <c r="H752" s="564"/>
      <c r="I752" s="565"/>
      <c r="J752" s="565"/>
      <c r="K752" s="563">
        <v>0</v>
      </c>
      <c r="L752" s="566">
        <v>0</v>
      </c>
    </row>
    <row r="753" spans="1:12" ht="45" x14ac:dyDescent="0.2">
      <c r="A753" s="561" t="s">
        <v>3133</v>
      </c>
      <c r="B753" s="562">
        <v>2021</v>
      </c>
      <c r="C753" s="561" t="s">
        <v>725</v>
      </c>
      <c r="D753" s="561" t="s">
        <v>3171</v>
      </c>
      <c r="E753" s="561" t="s">
        <v>425</v>
      </c>
      <c r="F753" s="563">
        <v>0</v>
      </c>
      <c r="G753" s="561" t="s">
        <v>654</v>
      </c>
      <c r="H753" s="564"/>
      <c r="I753" s="563">
        <v>33758</v>
      </c>
      <c r="J753" s="563">
        <v>-28025.060546875</v>
      </c>
      <c r="K753" s="563">
        <v>5732.93994140625</v>
      </c>
      <c r="L753" s="566">
        <v>5732.94</v>
      </c>
    </row>
    <row r="754" spans="1:12" ht="45" x14ac:dyDescent="0.2">
      <c r="A754" s="561" t="s">
        <v>3133</v>
      </c>
      <c r="B754" s="562">
        <v>2021</v>
      </c>
      <c r="C754" s="561" t="s">
        <v>725</v>
      </c>
      <c r="D754" s="561" t="s">
        <v>3172</v>
      </c>
      <c r="E754" s="561" t="s">
        <v>443</v>
      </c>
      <c r="F754" s="563">
        <v>0</v>
      </c>
      <c r="G754" s="561" t="s">
        <v>654</v>
      </c>
      <c r="H754" s="564"/>
      <c r="I754" s="563">
        <v>-426694.75</v>
      </c>
      <c r="J754" s="563">
        <v>2938.81005859375</v>
      </c>
      <c r="K754" s="563">
        <v>-423755.9375</v>
      </c>
      <c r="L754" s="566">
        <v>-423755.93</v>
      </c>
    </row>
    <row r="755" spans="1:12" ht="45" x14ac:dyDescent="0.2">
      <c r="A755" s="561" t="s">
        <v>3133</v>
      </c>
      <c r="B755" s="562">
        <v>2021</v>
      </c>
      <c r="C755" s="561" t="s">
        <v>725</v>
      </c>
      <c r="D755" s="561" t="s">
        <v>3173</v>
      </c>
      <c r="E755" s="561" t="s">
        <v>741</v>
      </c>
      <c r="F755" s="563">
        <v>36373.4</v>
      </c>
      <c r="G755" s="564"/>
      <c r="H755" s="564"/>
      <c r="I755" s="565"/>
      <c r="J755" s="565"/>
      <c r="K755" s="563">
        <v>0</v>
      </c>
      <c r="L755" s="566">
        <v>36373.4</v>
      </c>
    </row>
    <row r="756" spans="1:12" ht="22.5" x14ac:dyDescent="0.2">
      <c r="A756" s="561" t="s">
        <v>3133</v>
      </c>
      <c r="B756" s="562">
        <v>2021</v>
      </c>
      <c r="C756" s="561" t="s">
        <v>742</v>
      </c>
      <c r="D756" s="561" t="s">
        <v>3174</v>
      </c>
      <c r="E756" s="561" t="s">
        <v>7</v>
      </c>
      <c r="F756" s="563">
        <v>0</v>
      </c>
      <c r="G756" s="564"/>
      <c r="H756" s="561" t="s">
        <v>654</v>
      </c>
      <c r="I756" s="565"/>
      <c r="J756" s="565"/>
      <c r="K756" s="563">
        <v>0</v>
      </c>
      <c r="L756" s="566">
        <v>0</v>
      </c>
    </row>
    <row r="757" spans="1:12" ht="22.5" x14ac:dyDescent="0.2">
      <c r="A757" s="561" t="s">
        <v>3175</v>
      </c>
      <c r="B757" s="562">
        <v>2021</v>
      </c>
      <c r="C757" s="561" t="s">
        <v>651</v>
      </c>
      <c r="D757" s="561" t="s">
        <v>3176</v>
      </c>
      <c r="E757" s="561" t="s">
        <v>653</v>
      </c>
      <c r="F757" s="563">
        <v>2588390.35</v>
      </c>
      <c r="G757" s="564"/>
      <c r="H757" s="561" t="s">
        <v>654</v>
      </c>
      <c r="I757" s="565"/>
      <c r="J757" s="565"/>
      <c r="K757" s="563">
        <v>0</v>
      </c>
      <c r="L757" s="566">
        <v>2588390.35</v>
      </c>
    </row>
    <row r="758" spans="1:12" ht="15" x14ac:dyDescent="0.2">
      <c r="A758" s="561" t="s">
        <v>3175</v>
      </c>
      <c r="B758" s="562">
        <v>2021</v>
      </c>
      <c r="C758" s="561" t="s">
        <v>655</v>
      </c>
      <c r="D758" s="561" t="s">
        <v>3177</v>
      </c>
      <c r="E758" s="561" t="s">
        <v>657</v>
      </c>
      <c r="F758" s="563">
        <v>-458722.44</v>
      </c>
      <c r="G758" s="564"/>
      <c r="H758" s="561" t="s">
        <v>654</v>
      </c>
      <c r="I758" s="565"/>
      <c r="J758" s="565"/>
      <c r="K758" s="563">
        <v>0</v>
      </c>
      <c r="L758" s="566">
        <v>-458722.44</v>
      </c>
    </row>
    <row r="759" spans="1:12" ht="56.25" x14ac:dyDescent="0.2">
      <c r="A759" s="561" t="s">
        <v>3175</v>
      </c>
      <c r="B759" s="562">
        <v>2021</v>
      </c>
      <c r="C759" s="561" t="s">
        <v>658</v>
      </c>
      <c r="D759" s="561" t="s">
        <v>3178</v>
      </c>
      <c r="E759" s="561" t="s">
        <v>447</v>
      </c>
      <c r="F759" s="563">
        <v>0</v>
      </c>
      <c r="G759" s="564"/>
      <c r="H759" s="561" t="s">
        <v>654</v>
      </c>
      <c r="I759" s="565"/>
      <c r="J759" s="565"/>
      <c r="K759" s="563">
        <v>0</v>
      </c>
      <c r="L759" s="566">
        <v>0</v>
      </c>
    </row>
    <row r="760" spans="1:12" ht="22.5" x14ac:dyDescent="0.2">
      <c r="A760" s="561" t="s">
        <v>3175</v>
      </c>
      <c r="B760" s="562">
        <v>2021</v>
      </c>
      <c r="C760" s="561" t="s">
        <v>660</v>
      </c>
      <c r="D760" s="561" t="s">
        <v>3179</v>
      </c>
      <c r="E760" s="561" t="s">
        <v>662</v>
      </c>
      <c r="F760" s="563">
        <v>0</v>
      </c>
      <c r="G760" s="564"/>
      <c r="H760" s="561" t="s">
        <v>654</v>
      </c>
      <c r="I760" s="565"/>
      <c r="J760" s="565"/>
      <c r="K760" s="563">
        <v>0</v>
      </c>
      <c r="L760" s="566">
        <v>0</v>
      </c>
    </row>
    <row r="761" spans="1:12" ht="33.75" x14ac:dyDescent="0.2">
      <c r="A761" s="561" t="s">
        <v>3175</v>
      </c>
      <c r="B761" s="562">
        <v>2021</v>
      </c>
      <c r="C761" s="561" t="s">
        <v>663</v>
      </c>
      <c r="D761" s="561" t="s">
        <v>3180</v>
      </c>
      <c r="E761" s="561" t="s">
        <v>665</v>
      </c>
      <c r="F761" s="563">
        <v>0</v>
      </c>
      <c r="G761" s="564"/>
      <c r="H761" s="561" t="s">
        <v>654</v>
      </c>
      <c r="I761" s="565"/>
      <c r="J761" s="565"/>
      <c r="K761" s="563">
        <v>0</v>
      </c>
      <c r="L761" s="566">
        <v>0</v>
      </c>
    </row>
    <row r="762" spans="1:12" ht="33.75" x14ac:dyDescent="0.2">
      <c r="A762" s="561" t="s">
        <v>3175</v>
      </c>
      <c r="B762" s="562">
        <v>2021</v>
      </c>
      <c r="C762" s="561" t="s">
        <v>666</v>
      </c>
      <c r="D762" s="561" t="s">
        <v>3181</v>
      </c>
      <c r="E762" s="561" t="s">
        <v>668</v>
      </c>
      <c r="F762" s="563">
        <v>0</v>
      </c>
      <c r="G762" s="564"/>
      <c r="H762" s="561" t="s">
        <v>654</v>
      </c>
      <c r="I762" s="565"/>
      <c r="J762" s="565"/>
      <c r="K762" s="563">
        <v>0</v>
      </c>
      <c r="L762" s="566">
        <v>0</v>
      </c>
    </row>
    <row r="763" spans="1:12" ht="56.25" x14ac:dyDescent="0.2">
      <c r="A763" s="561" t="s">
        <v>3175</v>
      </c>
      <c r="B763" s="562">
        <v>2021</v>
      </c>
      <c r="C763" s="561" t="s">
        <v>669</v>
      </c>
      <c r="D763" s="561" t="s">
        <v>3182</v>
      </c>
      <c r="E763" s="561" t="s">
        <v>671</v>
      </c>
      <c r="F763" s="563">
        <v>-4014.34</v>
      </c>
      <c r="G763" s="564"/>
      <c r="H763" s="561" t="s">
        <v>654</v>
      </c>
      <c r="I763" s="565"/>
      <c r="J763" s="565"/>
      <c r="K763" s="563">
        <v>0</v>
      </c>
      <c r="L763" s="566">
        <v>-4014.34</v>
      </c>
    </row>
    <row r="764" spans="1:12" ht="22.5" x14ac:dyDescent="0.2">
      <c r="A764" s="561" t="s">
        <v>3175</v>
      </c>
      <c r="B764" s="562">
        <v>2021</v>
      </c>
      <c r="C764" s="561" t="s">
        <v>672</v>
      </c>
      <c r="D764" s="561" t="s">
        <v>3183</v>
      </c>
      <c r="E764" s="561" t="s">
        <v>12</v>
      </c>
      <c r="F764" s="563">
        <v>0</v>
      </c>
      <c r="G764" s="564"/>
      <c r="H764" s="561" t="s">
        <v>654</v>
      </c>
      <c r="I764" s="565"/>
      <c r="J764" s="565"/>
      <c r="K764" s="563">
        <v>0</v>
      </c>
      <c r="L764" s="566">
        <v>0</v>
      </c>
    </row>
    <row r="765" spans="1:12" ht="22.5" x14ac:dyDescent="0.2">
      <c r="A765" s="561" t="s">
        <v>3175</v>
      </c>
      <c r="B765" s="562">
        <v>2021</v>
      </c>
      <c r="C765" s="561" t="s">
        <v>674</v>
      </c>
      <c r="D765" s="561" t="s">
        <v>3184</v>
      </c>
      <c r="E765" s="561" t="s">
        <v>13</v>
      </c>
      <c r="F765" s="563">
        <v>0</v>
      </c>
      <c r="G765" s="564"/>
      <c r="H765" s="561" t="s">
        <v>654</v>
      </c>
      <c r="I765" s="565"/>
      <c r="J765" s="565"/>
      <c r="K765" s="563">
        <v>0</v>
      </c>
      <c r="L765" s="566">
        <v>0</v>
      </c>
    </row>
    <row r="766" spans="1:12" ht="33.75" x14ac:dyDescent="0.2">
      <c r="A766" s="561" t="s">
        <v>3175</v>
      </c>
      <c r="B766" s="562">
        <v>2021</v>
      </c>
      <c r="C766" s="561" t="s">
        <v>676</v>
      </c>
      <c r="D766" s="561" t="s">
        <v>3185</v>
      </c>
      <c r="E766" s="561" t="s">
        <v>15</v>
      </c>
      <c r="F766" s="563">
        <v>0</v>
      </c>
      <c r="G766" s="564"/>
      <c r="H766" s="561" t="s">
        <v>654</v>
      </c>
      <c r="I766" s="565"/>
      <c r="J766" s="565"/>
      <c r="K766" s="563">
        <v>0</v>
      </c>
      <c r="L766" s="566">
        <v>0</v>
      </c>
    </row>
    <row r="767" spans="1:12" ht="15" x14ac:dyDescent="0.2">
      <c r="A767" s="561" t="s">
        <v>3175</v>
      </c>
      <c r="B767" s="562">
        <v>2021</v>
      </c>
      <c r="C767" s="561" t="s">
        <v>678</v>
      </c>
      <c r="D767" s="561" t="s">
        <v>3186</v>
      </c>
      <c r="E767" s="561" t="s">
        <v>680</v>
      </c>
      <c r="F767" s="563">
        <v>1170621.22</v>
      </c>
      <c r="G767" s="564"/>
      <c r="H767" s="561" t="s">
        <v>654</v>
      </c>
      <c r="I767" s="565"/>
      <c r="J767" s="565"/>
      <c r="K767" s="563">
        <v>0</v>
      </c>
      <c r="L767" s="566">
        <v>1170621.22</v>
      </c>
    </row>
    <row r="768" spans="1:12" ht="15" x14ac:dyDescent="0.2">
      <c r="A768" s="561" t="s">
        <v>3175</v>
      </c>
      <c r="B768" s="562">
        <v>2021</v>
      </c>
      <c r="C768" s="561" t="s">
        <v>681</v>
      </c>
      <c r="D768" s="561" t="s">
        <v>3187</v>
      </c>
      <c r="E768" s="561" t="s">
        <v>23</v>
      </c>
      <c r="F768" s="563">
        <v>5970338.54</v>
      </c>
      <c r="G768" s="561" t="s">
        <v>654</v>
      </c>
      <c r="H768" s="564"/>
      <c r="I768" s="563">
        <v>5868587</v>
      </c>
      <c r="J768" s="563">
        <v>101751.421875</v>
      </c>
      <c r="K768" s="563">
        <v>5970338.5</v>
      </c>
      <c r="L768" s="566">
        <v>5970338.54</v>
      </c>
    </row>
    <row r="769" spans="1:12" ht="33.75" x14ac:dyDescent="0.2">
      <c r="A769" s="561" t="s">
        <v>3175</v>
      </c>
      <c r="B769" s="562">
        <v>2021</v>
      </c>
      <c r="C769" s="561" t="s">
        <v>683</v>
      </c>
      <c r="D769" s="561" t="s">
        <v>3188</v>
      </c>
      <c r="E769" s="561" t="s">
        <v>131</v>
      </c>
      <c r="F769" s="563">
        <v>-311449.98</v>
      </c>
      <c r="G769" s="561" t="s">
        <v>654</v>
      </c>
      <c r="H769" s="564"/>
      <c r="I769" s="563">
        <v>-301412.0625</v>
      </c>
      <c r="J769" s="563">
        <v>-10037.919921875</v>
      </c>
      <c r="K769" s="563">
        <v>-311449.96875</v>
      </c>
      <c r="L769" s="566">
        <v>-311449.98</v>
      </c>
    </row>
    <row r="770" spans="1:12" ht="33.75" x14ac:dyDescent="0.2">
      <c r="A770" s="561" t="s">
        <v>3175</v>
      </c>
      <c r="B770" s="562">
        <v>2021</v>
      </c>
      <c r="C770" s="561" t="s">
        <v>685</v>
      </c>
      <c r="D770" s="561" t="s">
        <v>3189</v>
      </c>
      <c r="E770" s="561" t="s">
        <v>687</v>
      </c>
      <c r="F770" s="563">
        <v>-26331.49</v>
      </c>
      <c r="G770" s="564"/>
      <c r="H770" s="561" t="s">
        <v>654</v>
      </c>
      <c r="I770" s="565"/>
      <c r="J770" s="565"/>
      <c r="K770" s="563">
        <v>0</v>
      </c>
      <c r="L770" s="566">
        <v>-26331.49</v>
      </c>
    </row>
    <row r="771" spans="1:12" ht="33.75" x14ac:dyDescent="0.2">
      <c r="A771" s="561" t="s">
        <v>3175</v>
      </c>
      <c r="B771" s="562">
        <v>2021</v>
      </c>
      <c r="C771" s="561" t="s">
        <v>685</v>
      </c>
      <c r="D771" s="561" t="s">
        <v>3189</v>
      </c>
      <c r="E771" s="561" t="s">
        <v>688</v>
      </c>
      <c r="F771" s="563">
        <v>-26331.49</v>
      </c>
      <c r="G771" s="564"/>
      <c r="H771" s="561" t="s">
        <v>654</v>
      </c>
      <c r="I771" s="565"/>
      <c r="J771" s="565"/>
      <c r="K771" s="563">
        <v>0</v>
      </c>
      <c r="L771" s="566">
        <v>-26331.49</v>
      </c>
    </row>
    <row r="772" spans="1:12" ht="22.5" x14ac:dyDescent="0.2">
      <c r="A772" s="561" t="s">
        <v>3175</v>
      </c>
      <c r="B772" s="562">
        <v>2021</v>
      </c>
      <c r="C772" s="561" t="s">
        <v>689</v>
      </c>
      <c r="D772" s="561" t="s">
        <v>3190</v>
      </c>
      <c r="E772" s="561" t="s">
        <v>691</v>
      </c>
      <c r="F772" s="563">
        <v>0</v>
      </c>
      <c r="G772" s="564"/>
      <c r="H772" s="561" t="s">
        <v>654</v>
      </c>
      <c r="I772" s="565"/>
      <c r="J772" s="565"/>
      <c r="K772" s="563">
        <v>0</v>
      </c>
      <c r="L772" s="566">
        <v>0</v>
      </c>
    </row>
    <row r="773" spans="1:12" ht="22.5" x14ac:dyDescent="0.2">
      <c r="A773" s="561" t="s">
        <v>3175</v>
      </c>
      <c r="B773" s="562">
        <v>2021</v>
      </c>
      <c r="C773" s="561" t="s">
        <v>692</v>
      </c>
      <c r="D773" s="561" t="s">
        <v>3191</v>
      </c>
      <c r="E773" s="561" t="s">
        <v>50</v>
      </c>
      <c r="F773" s="563">
        <v>2899846.98</v>
      </c>
      <c r="G773" s="564"/>
      <c r="H773" s="561" t="s">
        <v>654</v>
      </c>
      <c r="I773" s="565"/>
      <c r="J773" s="565"/>
      <c r="K773" s="563">
        <v>0</v>
      </c>
      <c r="L773" s="566">
        <v>2899846.98</v>
      </c>
    </row>
    <row r="774" spans="1:12" ht="22.5" x14ac:dyDescent="0.2">
      <c r="A774" s="561" t="s">
        <v>3175</v>
      </c>
      <c r="B774" s="562">
        <v>2021</v>
      </c>
      <c r="C774" s="561" t="s">
        <v>694</v>
      </c>
      <c r="D774" s="561" t="s">
        <v>3192</v>
      </c>
      <c r="E774" s="561" t="s">
        <v>696</v>
      </c>
      <c r="F774" s="563">
        <v>0</v>
      </c>
      <c r="G774" s="564"/>
      <c r="H774" s="561" t="s">
        <v>654</v>
      </c>
      <c r="I774" s="565"/>
      <c r="J774" s="565"/>
      <c r="K774" s="563">
        <v>0</v>
      </c>
      <c r="L774" s="566">
        <v>0</v>
      </c>
    </row>
    <row r="775" spans="1:12" ht="22.5" x14ac:dyDescent="0.2">
      <c r="A775" s="561" t="s">
        <v>3175</v>
      </c>
      <c r="B775" s="562">
        <v>2021</v>
      </c>
      <c r="C775" s="561" t="s">
        <v>697</v>
      </c>
      <c r="D775" s="561" t="s">
        <v>3193</v>
      </c>
      <c r="E775" s="561" t="s">
        <v>6</v>
      </c>
      <c r="F775" s="563">
        <v>0</v>
      </c>
      <c r="G775" s="564"/>
      <c r="H775" s="561" t="s">
        <v>654</v>
      </c>
      <c r="I775" s="565"/>
      <c r="J775" s="565"/>
      <c r="K775" s="563">
        <v>0</v>
      </c>
      <c r="L775" s="566">
        <v>0</v>
      </c>
    </row>
    <row r="776" spans="1:12" ht="33.75" x14ac:dyDescent="0.2">
      <c r="A776" s="561" t="s">
        <v>3175</v>
      </c>
      <c r="B776" s="562">
        <v>2021</v>
      </c>
      <c r="C776" s="561" t="s">
        <v>699</v>
      </c>
      <c r="D776" s="561" t="s">
        <v>3194</v>
      </c>
      <c r="E776" s="561" t="s">
        <v>701</v>
      </c>
      <c r="F776" s="563">
        <v>2976127.43</v>
      </c>
      <c r="G776" s="564"/>
      <c r="H776" s="561" t="s">
        <v>654</v>
      </c>
      <c r="I776" s="565"/>
      <c r="J776" s="565"/>
      <c r="K776" s="563">
        <v>0</v>
      </c>
      <c r="L776" s="566">
        <v>2976127.43</v>
      </c>
    </row>
    <row r="777" spans="1:12" ht="22.5" x14ac:dyDescent="0.2">
      <c r="A777" s="561" t="s">
        <v>3175</v>
      </c>
      <c r="B777" s="562">
        <v>2021</v>
      </c>
      <c r="C777" s="561" t="s">
        <v>702</v>
      </c>
      <c r="D777" s="561" t="s">
        <v>3195</v>
      </c>
      <c r="E777" s="561" t="s">
        <v>704</v>
      </c>
      <c r="F777" s="563">
        <v>0</v>
      </c>
      <c r="G777" s="564"/>
      <c r="H777" s="561" t="s">
        <v>654</v>
      </c>
      <c r="I777" s="565"/>
      <c r="J777" s="565"/>
      <c r="K777" s="563">
        <v>0</v>
      </c>
      <c r="L777" s="566">
        <v>0</v>
      </c>
    </row>
    <row r="778" spans="1:12" ht="33.75" x14ac:dyDescent="0.2">
      <c r="A778" s="561" t="s">
        <v>3175</v>
      </c>
      <c r="B778" s="562">
        <v>2021</v>
      </c>
      <c r="C778" s="561" t="s">
        <v>705</v>
      </c>
      <c r="D778" s="561" t="s">
        <v>3196</v>
      </c>
      <c r="E778" s="561" t="s">
        <v>1</v>
      </c>
      <c r="F778" s="563">
        <v>-4454891.7</v>
      </c>
      <c r="G778" s="561" t="s">
        <v>654</v>
      </c>
      <c r="H778" s="564"/>
      <c r="I778" s="563">
        <v>-4342786.5</v>
      </c>
      <c r="J778" s="563">
        <v>-112105.0234375</v>
      </c>
      <c r="K778" s="563">
        <v>-4454891.5</v>
      </c>
      <c r="L778" s="566">
        <v>-4454891.7</v>
      </c>
    </row>
    <row r="779" spans="1:12" ht="22.5" x14ac:dyDescent="0.2">
      <c r="A779" s="561" t="s">
        <v>3175</v>
      </c>
      <c r="B779" s="562">
        <v>2021</v>
      </c>
      <c r="C779" s="561" t="s">
        <v>705</v>
      </c>
      <c r="D779" s="561" t="s">
        <v>3196</v>
      </c>
      <c r="E779" s="561" t="s">
        <v>707</v>
      </c>
      <c r="F779" s="563">
        <v>0</v>
      </c>
      <c r="G779" s="564"/>
      <c r="H779" s="564"/>
      <c r="I779" s="565"/>
      <c r="J779" s="565"/>
      <c r="K779" s="563">
        <v>0</v>
      </c>
      <c r="L779" s="566">
        <v>0</v>
      </c>
    </row>
    <row r="780" spans="1:12" ht="22.5" x14ac:dyDescent="0.2">
      <c r="A780" s="561" t="s">
        <v>3175</v>
      </c>
      <c r="B780" s="562">
        <v>2021</v>
      </c>
      <c r="C780" s="561" t="s">
        <v>705</v>
      </c>
      <c r="D780" s="561" t="s">
        <v>3196</v>
      </c>
      <c r="E780" s="561" t="s">
        <v>708</v>
      </c>
      <c r="F780" s="563">
        <v>0</v>
      </c>
      <c r="G780" s="564"/>
      <c r="H780" s="564"/>
      <c r="I780" s="565"/>
      <c r="J780" s="565"/>
      <c r="K780" s="563">
        <v>0</v>
      </c>
      <c r="L780" s="566">
        <v>0</v>
      </c>
    </row>
    <row r="781" spans="1:12" ht="22.5" x14ac:dyDescent="0.2">
      <c r="A781" s="561" t="s">
        <v>3175</v>
      </c>
      <c r="B781" s="562">
        <v>2021</v>
      </c>
      <c r="C781" s="561" t="s">
        <v>705</v>
      </c>
      <c r="D781" s="561" t="s">
        <v>3196</v>
      </c>
      <c r="E781" s="561" t="s">
        <v>709</v>
      </c>
      <c r="F781" s="563">
        <v>-14769.85</v>
      </c>
      <c r="G781" s="564"/>
      <c r="H781" s="564"/>
      <c r="I781" s="565"/>
      <c r="J781" s="565"/>
      <c r="K781" s="563">
        <v>0</v>
      </c>
      <c r="L781" s="566">
        <v>-14769.85</v>
      </c>
    </row>
    <row r="782" spans="1:12" ht="22.5" x14ac:dyDescent="0.2">
      <c r="A782" s="561" t="s">
        <v>3175</v>
      </c>
      <c r="B782" s="562">
        <v>2021</v>
      </c>
      <c r="C782" s="561" t="s">
        <v>705</v>
      </c>
      <c r="D782" s="561" t="s">
        <v>3196</v>
      </c>
      <c r="E782" s="561" t="s">
        <v>710</v>
      </c>
      <c r="F782" s="563">
        <v>-522142.48</v>
      </c>
      <c r="G782" s="564"/>
      <c r="H782" s="564"/>
      <c r="I782" s="565"/>
      <c r="J782" s="565"/>
      <c r="K782" s="563">
        <v>0</v>
      </c>
      <c r="L782" s="566">
        <v>-522142.48</v>
      </c>
    </row>
    <row r="783" spans="1:12" ht="15" x14ac:dyDescent="0.2">
      <c r="A783" s="561" t="s">
        <v>3175</v>
      </c>
      <c r="B783" s="562">
        <v>2021</v>
      </c>
      <c r="C783" s="561" t="s">
        <v>711</v>
      </c>
      <c r="D783" s="561" t="s">
        <v>3197</v>
      </c>
      <c r="E783" s="561" t="s">
        <v>713</v>
      </c>
      <c r="F783" s="563">
        <v>0</v>
      </c>
      <c r="G783" s="564"/>
      <c r="H783" s="561" t="s">
        <v>654</v>
      </c>
      <c r="I783" s="565"/>
      <c r="J783" s="565"/>
      <c r="K783" s="563">
        <v>0</v>
      </c>
      <c r="L783" s="566">
        <v>0</v>
      </c>
    </row>
    <row r="784" spans="1:12" ht="33.75" x14ac:dyDescent="0.2">
      <c r="A784" s="561" t="s">
        <v>3175</v>
      </c>
      <c r="B784" s="562">
        <v>2021</v>
      </c>
      <c r="C784" s="561" t="s">
        <v>714</v>
      </c>
      <c r="D784" s="561" t="s">
        <v>3198</v>
      </c>
      <c r="E784" s="561" t="s">
        <v>2</v>
      </c>
      <c r="F784" s="563">
        <v>3163401.98</v>
      </c>
      <c r="G784" s="561" t="s">
        <v>654</v>
      </c>
      <c r="H784" s="564"/>
      <c r="I784" s="563">
        <v>3147613.25</v>
      </c>
      <c r="J784" s="563">
        <v>15788.6103515625</v>
      </c>
      <c r="K784" s="563">
        <v>3163402</v>
      </c>
      <c r="L784" s="566">
        <v>3163401.98</v>
      </c>
    </row>
    <row r="785" spans="1:12" ht="33.75" x14ac:dyDescent="0.2">
      <c r="A785" s="561" t="s">
        <v>3175</v>
      </c>
      <c r="B785" s="562">
        <v>2021</v>
      </c>
      <c r="C785" s="561" t="s">
        <v>716</v>
      </c>
      <c r="D785" s="561" t="s">
        <v>3199</v>
      </c>
      <c r="E785" s="561" t="s">
        <v>3</v>
      </c>
      <c r="F785" s="563">
        <v>2869036.01</v>
      </c>
      <c r="G785" s="561" t="s">
        <v>654</v>
      </c>
      <c r="H785" s="564"/>
      <c r="I785" s="563">
        <v>2833691</v>
      </c>
      <c r="J785" s="563">
        <v>35345.12890625</v>
      </c>
      <c r="K785" s="563">
        <v>2869036</v>
      </c>
      <c r="L785" s="566">
        <v>2869036.01</v>
      </c>
    </row>
    <row r="786" spans="1:12" ht="33.75" x14ac:dyDescent="0.2">
      <c r="A786" s="561" t="s">
        <v>3175</v>
      </c>
      <c r="B786" s="562">
        <v>2021</v>
      </c>
      <c r="C786" s="561" t="s">
        <v>718</v>
      </c>
      <c r="D786" s="561" t="s">
        <v>3200</v>
      </c>
      <c r="E786" s="561" t="s">
        <v>38</v>
      </c>
      <c r="F786" s="563">
        <v>-72924.27</v>
      </c>
      <c r="G786" s="561" t="s">
        <v>654</v>
      </c>
      <c r="H786" s="564"/>
      <c r="I786" s="563">
        <v>-21997.029296875</v>
      </c>
      <c r="J786" s="563">
        <v>-50927.23828125</v>
      </c>
      <c r="K786" s="563">
        <v>-72924.2734375</v>
      </c>
      <c r="L786" s="566">
        <v>-72924.27</v>
      </c>
    </row>
    <row r="787" spans="1:12" ht="22.5" x14ac:dyDescent="0.2">
      <c r="A787" s="561" t="s">
        <v>3175</v>
      </c>
      <c r="B787" s="562">
        <v>2021</v>
      </c>
      <c r="C787" s="561" t="s">
        <v>720</v>
      </c>
      <c r="D787" s="561" t="s">
        <v>3201</v>
      </c>
      <c r="E787" s="561" t="s">
        <v>66</v>
      </c>
      <c r="F787" s="563">
        <v>1436828.58</v>
      </c>
      <c r="G787" s="561" t="s">
        <v>654</v>
      </c>
      <c r="H787" s="564"/>
      <c r="I787" s="563">
        <v>1345759.125</v>
      </c>
      <c r="J787" s="563">
        <v>91069.4921875</v>
      </c>
      <c r="K787" s="563">
        <v>1436828.625</v>
      </c>
      <c r="L787" s="566">
        <v>1436828.58</v>
      </c>
    </row>
    <row r="788" spans="1:12" ht="45" x14ac:dyDescent="0.2">
      <c r="A788" s="561" t="s">
        <v>3175</v>
      </c>
      <c r="B788" s="562">
        <v>2021</v>
      </c>
      <c r="C788" s="561" t="s">
        <v>722</v>
      </c>
      <c r="D788" s="561" t="s">
        <v>3202</v>
      </c>
      <c r="E788" s="561" t="s">
        <v>724</v>
      </c>
      <c r="F788" s="563">
        <v>-2463181.46</v>
      </c>
      <c r="G788" s="564"/>
      <c r="H788" s="561" t="s">
        <v>654</v>
      </c>
      <c r="I788" s="565"/>
      <c r="J788" s="565"/>
      <c r="K788" s="563">
        <v>0</v>
      </c>
      <c r="L788" s="566">
        <v>-2463181.46</v>
      </c>
    </row>
    <row r="789" spans="1:12" ht="45" x14ac:dyDescent="0.2">
      <c r="A789" s="561" t="s">
        <v>3175</v>
      </c>
      <c r="B789" s="562">
        <v>2021</v>
      </c>
      <c r="C789" s="561" t="s">
        <v>725</v>
      </c>
      <c r="D789" s="561" t="s">
        <v>3203</v>
      </c>
      <c r="E789" s="561" t="s">
        <v>3024</v>
      </c>
      <c r="F789" s="563">
        <v>0</v>
      </c>
      <c r="G789" s="561" t="s">
        <v>654</v>
      </c>
      <c r="H789" s="564"/>
      <c r="I789" s="563">
        <v>366885.375</v>
      </c>
      <c r="J789" s="563">
        <v>-28288.119140625</v>
      </c>
      <c r="K789" s="563">
        <v>338597.28125</v>
      </c>
      <c r="L789" s="566">
        <v>338597.27</v>
      </c>
    </row>
    <row r="790" spans="1:12" ht="45" x14ac:dyDescent="0.2">
      <c r="A790" s="561" t="s">
        <v>3175</v>
      </c>
      <c r="B790" s="562">
        <v>2021</v>
      </c>
      <c r="C790" s="561" t="s">
        <v>725</v>
      </c>
      <c r="D790" s="561" t="s">
        <v>3203</v>
      </c>
      <c r="E790" s="561" t="s">
        <v>3066</v>
      </c>
      <c r="F790" s="563">
        <v>0</v>
      </c>
      <c r="G790" s="561" t="s">
        <v>654</v>
      </c>
      <c r="H790" s="564"/>
      <c r="I790" s="563">
        <v>-54573.87890625</v>
      </c>
      <c r="J790" s="563">
        <v>20793.099609375</v>
      </c>
      <c r="K790" s="563">
        <v>-33780.78125</v>
      </c>
      <c r="L790" s="566">
        <v>-33780.78</v>
      </c>
    </row>
    <row r="791" spans="1:12" ht="45" x14ac:dyDescent="0.2">
      <c r="A791" s="561" t="s">
        <v>3175</v>
      </c>
      <c r="B791" s="562">
        <v>2021</v>
      </c>
      <c r="C791" s="561" t="s">
        <v>725</v>
      </c>
      <c r="D791" s="561" t="s">
        <v>3204</v>
      </c>
      <c r="E791" s="561" t="s">
        <v>728</v>
      </c>
      <c r="F791" s="563">
        <v>0</v>
      </c>
      <c r="G791" s="561" t="s">
        <v>654</v>
      </c>
      <c r="H791" s="564"/>
      <c r="I791" s="565"/>
      <c r="J791" s="565"/>
      <c r="K791" s="563">
        <v>0</v>
      </c>
      <c r="L791" s="566">
        <v>0</v>
      </c>
    </row>
    <row r="792" spans="1:12" ht="45" x14ac:dyDescent="0.2">
      <c r="A792" s="561" t="s">
        <v>3175</v>
      </c>
      <c r="B792" s="562">
        <v>2021</v>
      </c>
      <c r="C792" s="561" t="s">
        <v>725</v>
      </c>
      <c r="D792" s="561" t="s">
        <v>3205</v>
      </c>
      <c r="E792" s="561" t="s">
        <v>55</v>
      </c>
      <c r="F792" s="563">
        <v>0</v>
      </c>
      <c r="G792" s="561" t="s">
        <v>654</v>
      </c>
      <c r="H792" s="564"/>
      <c r="I792" s="565"/>
      <c r="J792" s="565"/>
      <c r="K792" s="563">
        <v>0</v>
      </c>
      <c r="L792" s="566">
        <v>0</v>
      </c>
    </row>
    <row r="793" spans="1:12" ht="45" x14ac:dyDescent="0.2">
      <c r="A793" s="561" t="s">
        <v>3175</v>
      </c>
      <c r="B793" s="562">
        <v>2021</v>
      </c>
      <c r="C793" s="561" t="s">
        <v>725</v>
      </c>
      <c r="D793" s="561" t="s">
        <v>3206</v>
      </c>
      <c r="E793" s="561" t="s">
        <v>56</v>
      </c>
      <c r="F793" s="563">
        <v>0</v>
      </c>
      <c r="G793" s="561" t="s">
        <v>654</v>
      </c>
      <c r="H793" s="564"/>
      <c r="I793" s="565"/>
      <c r="J793" s="565"/>
      <c r="K793" s="563">
        <v>0</v>
      </c>
      <c r="L793" s="566">
        <v>0</v>
      </c>
    </row>
    <row r="794" spans="1:12" ht="45" x14ac:dyDescent="0.2">
      <c r="A794" s="561" t="s">
        <v>3175</v>
      </c>
      <c r="B794" s="562">
        <v>2021</v>
      </c>
      <c r="C794" s="561" t="s">
        <v>725</v>
      </c>
      <c r="D794" s="561" t="s">
        <v>3207</v>
      </c>
      <c r="E794" s="561" t="s">
        <v>732</v>
      </c>
      <c r="F794" s="563">
        <v>0</v>
      </c>
      <c r="G794" s="561" t="s">
        <v>654</v>
      </c>
      <c r="H794" s="564"/>
      <c r="I794" s="565"/>
      <c r="J794" s="565"/>
      <c r="K794" s="563">
        <v>0</v>
      </c>
      <c r="L794" s="566">
        <v>0</v>
      </c>
    </row>
    <row r="795" spans="1:12" ht="45" x14ac:dyDescent="0.2">
      <c r="A795" s="561" t="s">
        <v>3175</v>
      </c>
      <c r="B795" s="562">
        <v>2021</v>
      </c>
      <c r="C795" s="561" t="s">
        <v>725</v>
      </c>
      <c r="D795" s="561" t="s">
        <v>3208</v>
      </c>
      <c r="E795" s="561" t="s">
        <v>734</v>
      </c>
      <c r="F795" s="563">
        <v>0</v>
      </c>
      <c r="G795" s="561" t="s">
        <v>654</v>
      </c>
      <c r="H795" s="564"/>
      <c r="I795" s="565"/>
      <c r="J795" s="565"/>
      <c r="K795" s="563">
        <v>0</v>
      </c>
      <c r="L795" s="566">
        <v>0</v>
      </c>
    </row>
    <row r="796" spans="1:12" ht="45" x14ac:dyDescent="0.2">
      <c r="A796" s="561" t="s">
        <v>3175</v>
      </c>
      <c r="B796" s="562">
        <v>2021</v>
      </c>
      <c r="C796" s="561" t="s">
        <v>725</v>
      </c>
      <c r="D796" s="561" t="s">
        <v>3209</v>
      </c>
      <c r="E796" s="561" t="s">
        <v>142</v>
      </c>
      <c r="F796" s="563">
        <v>0</v>
      </c>
      <c r="G796" s="561" t="s">
        <v>654</v>
      </c>
      <c r="H796" s="564"/>
      <c r="I796" s="565"/>
      <c r="J796" s="565"/>
      <c r="K796" s="563">
        <v>0</v>
      </c>
      <c r="L796" s="566">
        <v>0</v>
      </c>
    </row>
    <row r="797" spans="1:12" ht="45" x14ac:dyDescent="0.2">
      <c r="A797" s="561" t="s">
        <v>3175</v>
      </c>
      <c r="B797" s="562">
        <v>2021</v>
      </c>
      <c r="C797" s="561" t="s">
        <v>725</v>
      </c>
      <c r="D797" s="561" t="s">
        <v>3210</v>
      </c>
      <c r="E797" s="561" t="s">
        <v>143</v>
      </c>
      <c r="F797" s="563">
        <v>0</v>
      </c>
      <c r="G797" s="561" t="s">
        <v>654</v>
      </c>
      <c r="H797" s="564"/>
      <c r="I797" s="565"/>
      <c r="J797" s="565"/>
      <c r="K797" s="563">
        <v>0</v>
      </c>
      <c r="L797" s="566">
        <v>0</v>
      </c>
    </row>
    <row r="798" spans="1:12" ht="45" x14ac:dyDescent="0.2">
      <c r="A798" s="561" t="s">
        <v>3175</v>
      </c>
      <c r="B798" s="562">
        <v>2021</v>
      </c>
      <c r="C798" s="561" t="s">
        <v>725</v>
      </c>
      <c r="D798" s="561" t="s">
        <v>3211</v>
      </c>
      <c r="E798" s="561" t="s">
        <v>182</v>
      </c>
      <c r="F798" s="563">
        <v>0</v>
      </c>
      <c r="G798" s="561" t="s">
        <v>654</v>
      </c>
      <c r="H798" s="564"/>
      <c r="I798" s="565"/>
      <c r="J798" s="565"/>
      <c r="K798" s="563">
        <v>0</v>
      </c>
      <c r="L798" s="566">
        <v>0</v>
      </c>
    </row>
    <row r="799" spans="1:12" ht="45" x14ac:dyDescent="0.2">
      <c r="A799" s="561" t="s">
        <v>3175</v>
      </c>
      <c r="B799" s="562">
        <v>2021</v>
      </c>
      <c r="C799" s="561" t="s">
        <v>725</v>
      </c>
      <c r="D799" s="561" t="s">
        <v>3212</v>
      </c>
      <c r="E799" s="561" t="s">
        <v>394</v>
      </c>
      <c r="F799" s="563">
        <v>0</v>
      </c>
      <c r="G799" s="561" t="s">
        <v>654</v>
      </c>
      <c r="H799" s="564"/>
      <c r="I799" s="563">
        <v>-23350.009765625</v>
      </c>
      <c r="J799" s="563">
        <v>19488.060546875</v>
      </c>
      <c r="K799" s="563">
        <v>-3861.94995117188</v>
      </c>
      <c r="L799" s="566">
        <v>-3861.95</v>
      </c>
    </row>
    <row r="800" spans="1:12" ht="45" x14ac:dyDescent="0.2">
      <c r="A800" s="561" t="s">
        <v>3175</v>
      </c>
      <c r="B800" s="562">
        <v>2021</v>
      </c>
      <c r="C800" s="561" t="s">
        <v>725</v>
      </c>
      <c r="D800" s="561" t="s">
        <v>3213</v>
      </c>
      <c r="E800" s="561" t="s">
        <v>425</v>
      </c>
      <c r="F800" s="563">
        <v>0</v>
      </c>
      <c r="G800" s="561" t="s">
        <v>654</v>
      </c>
      <c r="H800" s="564"/>
      <c r="I800" s="563">
        <v>-204505.625</v>
      </c>
      <c r="J800" s="563">
        <v>-143164.515625</v>
      </c>
      <c r="K800" s="563">
        <v>-347670.125</v>
      </c>
      <c r="L800" s="566">
        <v>-347670.14</v>
      </c>
    </row>
    <row r="801" spans="1:12" ht="45" x14ac:dyDescent="0.2">
      <c r="A801" s="561" t="s">
        <v>3175</v>
      </c>
      <c r="B801" s="562">
        <v>2021</v>
      </c>
      <c r="C801" s="561" t="s">
        <v>725</v>
      </c>
      <c r="D801" s="561" t="s">
        <v>3214</v>
      </c>
      <c r="E801" s="561" t="s">
        <v>443</v>
      </c>
      <c r="F801" s="563">
        <v>0</v>
      </c>
      <c r="G801" s="561" t="s">
        <v>654</v>
      </c>
      <c r="H801" s="564"/>
      <c r="I801" s="563">
        <v>143086.90625</v>
      </c>
      <c r="J801" s="563">
        <v>-21674.83984375</v>
      </c>
      <c r="K801" s="563">
        <v>121412.0703125</v>
      </c>
      <c r="L801" s="566">
        <v>121412.07</v>
      </c>
    </row>
    <row r="802" spans="1:12" ht="45" x14ac:dyDescent="0.2">
      <c r="A802" s="561" t="s">
        <v>3175</v>
      </c>
      <c r="B802" s="562">
        <v>2021</v>
      </c>
      <c r="C802" s="561" t="s">
        <v>725</v>
      </c>
      <c r="D802" s="561" t="s">
        <v>3215</v>
      </c>
      <c r="E802" s="561" t="s">
        <v>741</v>
      </c>
      <c r="F802" s="563">
        <v>74696.47</v>
      </c>
      <c r="G802" s="564"/>
      <c r="H802" s="564"/>
      <c r="I802" s="565"/>
      <c r="J802" s="565"/>
      <c r="K802" s="563">
        <v>0</v>
      </c>
      <c r="L802" s="566">
        <v>74696.47</v>
      </c>
    </row>
    <row r="803" spans="1:12" ht="22.5" x14ac:dyDescent="0.2">
      <c r="A803" s="561" t="s">
        <v>3175</v>
      </c>
      <c r="B803" s="562">
        <v>2021</v>
      </c>
      <c r="C803" s="561" t="s">
        <v>742</v>
      </c>
      <c r="D803" s="561" t="s">
        <v>3216</v>
      </c>
      <c r="E803" s="561" t="s">
        <v>7</v>
      </c>
      <c r="F803" s="563">
        <v>0</v>
      </c>
      <c r="G803" s="564"/>
      <c r="H803" s="561" t="s">
        <v>654</v>
      </c>
      <c r="I803" s="565"/>
      <c r="J803" s="565"/>
      <c r="K803" s="563">
        <v>0</v>
      </c>
      <c r="L803" s="566">
        <v>0</v>
      </c>
    </row>
    <row r="804" spans="1:12" ht="22.5" x14ac:dyDescent="0.2">
      <c r="A804" s="561" t="s">
        <v>198</v>
      </c>
      <c r="B804" s="562">
        <v>2021</v>
      </c>
      <c r="C804" s="561" t="s">
        <v>651</v>
      </c>
      <c r="D804" s="561" t="s">
        <v>1186</v>
      </c>
      <c r="E804" s="561" t="s">
        <v>653</v>
      </c>
      <c r="F804" s="563">
        <v>3661703.34</v>
      </c>
      <c r="G804" s="564"/>
      <c r="H804" s="561" t="s">
        <v>654</v>
      </c>
      <c r="I804" s="565"/>
      <c r="J804" s="565"/>
      <c r="K804" s="563">
        <v>0</v>
      </c>
      <c r="L804" s="566">
        <v>3661703.34</v>
      </c>
    </row>
    <row r="805" spans="1:12" ht="15" x14ac:dyDescent="0.2">
      <c r="A805" s="561" t="s">
        <v>198</v>
      </c>
      <c r="B805" s="562">
        <v>2021</v>
      </c>
      <c r="C805" s="561" t="s">
        <v>655</v>
      </c>
      <c r="D805" s="561" t="s">
        <v>1187</v>
      </c>
      <c r="E805" s="561" t="s">
        <v>657</v>
      </c>
      <c r="F805" s="563">
        <v>103577.99</v>
      </c>
      <c r="G805" s="564"/>
      <c r="H805" s="561" t="s">
        <v>654</v>
      </c>
      <c r="I805" s="565"/>
      <c r="J805" s="565"/>
      <c r="K805" s="563">
        <v>0</v>
      </c>
      <c r="L805" s="566">
        <v>103577.99</v>
      </c>
    </row>
    <row r="806" spans="1:12" ht="56.25" x14ac:dyDescent="0.2">
      <c r="A806" s="561" t="s">
        <v>198</v>
      </c>
      <c r="B806" s="562">
        <v>2021</v>
      </c>
      <c r="C806" s="561" t="s">
        <v>658</v>
      </c>
      <c r="D806" s="561" t="s">
        <v>1188</v>
      </c>
      <c r="E806" s="561" t="s">
        <v>447</v>
      </c>
      <c r="F806" s="563">
        <v>0</v>
      </c>
      <c r="G806" s="564"/>
      <c r="H806" s="561" t="s">
        <v>654</v>
      </c>
      <c r="I806" s="565"/>
      <c r="J806" s="565"/>
      <c r="K806" s="563">
        <v>0</v>
      </c>
      <c r="L806" s="566">
        <v>0</v>
      </c>
    </row>
    <row r="807" spans="1:12" ht="22.5" x14ac:dyDescent="0.2">
      <c r="A807" s="561" t="s">
        <v>198</v>
      </c>
      <c r="B807" s="562">
        <v>2021</v>
      </c>
      <c r="C807" s="561" t="s">
        <v>660</v>
      </c>
      <c r="D807" s="561" t="s">
        <v>1189</v>
      </c>
      <c r="E807" s="561" t="s">
        <v>662</v>
      </c>
      <c r="F807" s="563">
        <v>0</v>
      </c>
      <c r="G807" s="564"/>
      <c r="H807" s="561" t="s">
        <v>654</v>
      </c>
      <c r="I807" s="565"/>
      <c r="J807" s="565"/>
      <c r="K807" s="563">
        <v>0</v>
      </c>
      <c r="L807" s="566">
        <v>0</v>
      </c>
    </row>
    <row r="808" spans="1:12" ht="33.75" x14ac:dyDescent="0.2">
      <c r="A808" s="561" t="s">
        <v>198</v>
      </c>
      <c r="B808" s="562">
        <v>2021</v>
      </c>
      <c r="C808" s="561" t="s">
        <v>663</v>
      </c>
      <c r="D808" s="561" t="s">
        <v>1190</v>
      </c>
      <c r="E808" s="561" t="s">
        <v>665</v>
      </c>
      <c r="F808" s="563">
        <v>0</v>
      </c>
      <c r="G808" s="564"/>
      <c r="H808" s="561" t="s">
        <v>654</v>
      </c>
      <c r="I808" s="565"/>
      <c r="J808" s="565"/>
      <c r="K808" s="563">
        <v>0</v>
      </c>
      <c r="L808" s="566">
        <v>0</v>
      </c>
    </row>
    <row r="809" spans="1:12" ht="33.75" x14ac:dyDescent="0.2">
      <c r="A809" s="561" t="s">
        <v>198</v>
      </c>
      <c r="B809" s="562">
        <v>2021</v>
      </c>
      <c r="C809" s="561" t="s">
        <v>666</v>
      </c>
      <c r="D809" s="561" t="s">
        <v>1191</v>
      </c>
      <c r="E809" s="561" t="s">
        <v>668</v>
      </c>
      <c r="F809" s="563">
        <v>0</v>
      </c>
      <c r="G809" s="564"/>
      <c r="H809" s="561" t="s">
        <v>654</v>
      </c>
      <c r="I809" s="565"/>
      <c r="J809" s="565"/>
      <c r="K809" s="563">
        <v>0</v>
      </c>
      <c r="L809" s="566">
        <v>0</v>
      </c>
    </row>
    <row r="810" spans="1:12" ht="56.25" x14ac:dyDescent="0.2">
      <c r="A810" s="561" t="s">
        <v>198</v>
      </c>
      <c r="B810" s="562">
        <v>2021</v>
      </c>
      <c r="C810" s="561" t="s">
        <v>669</v>
      </c>
      <c r="D810" s="561" t="s">
        <v>1192</v>
      </c>
      <c r="E810" s="561" t="s">
        <v>671</v>
      </c>
      <c r="F810" s="563">
        <v>0</v>
      </c>
      <c r="G810" s="564"/>
      <c r="H810" s="561" t="s">
        <v>654</v>
      </c>
      <c r="I810" s="565"/>
      <c r="J810" s="565"/>
      <c r="K810" s="563">
        <v>0</v>
      </c>
      <c r="L810" s="566">
        <v>0</v>
      </c>
    </row>
    <row r="811" spans="1:12" ht="22.5" x14ac:dyDescent="0.2">
      <c r="A811" s="561" t="s">
        <v>198</v>
      </c>
      <c r="B811" s="562">
        <v>2021</v>
      </c>
      <c r="C811" s="561" t="s">
        <v>672</v>
      </c>
      <c r="D811" s="561" t="s">
        <v>1193</v>
      </c>
      <c r="E811" s="561" t="s">
        <v>12</v>
      </c>
      <c r="F811" s="563">
        <v>0</v>
      </c>
      <c r="G811" s="564"/>
      <c r="H811" s="561" t="s">
        <v>654</v>
      </c>
      <c r="I811" s="565"/>
      <c r="J811" s="565"/>
      <c r="K811" s="563">
        <v>0</v>
      </c>
      <c r="L811" s="566">
        <v>0</v>
      </c>
    </row>
    <row r="812" spans="1:12" ht="22.5" x14ac:dyDescent="0.2">
      <c r="A812" s="561" t="s">
        <v>198</v>
      </c>
      <c r="B812" s="562">
        <v>2021</v>
      </c>
      <c r="C812" s="561" t="s">
        <v>674</v>
      </c>
      <c r="D812" s="561" t="s">
        <v>1194</v>
      </c>
      <c r="E812" s="561" t="s">
        <v>13</v>
      </c>
      <c r="F812" s="563">
        <v>0</v>
      </c>
      <c r="G812" s="564"/>
      <c r="H812" s="561" t="s">
        <v>654</v>
      </c>
      <c r="I812" s="565"/>
      <c r="J812" s="565"/>
      <c r="K812" s="563">
        <v>0</v>
      </c>
      <c r="L812" s="566">
        <v>0</v>
      </c>
    </row>
    <row r="813" spans="1:12" ht="33.75" x14ac:dyDescent="0.2">
      <c r="A813" s="561" t="s">
        <v>198</v>
      </c>
      <c r="B813" s="562">
        <v>2021</v>
      </c>
      <c r="C813" s="561" t="s">
        <v>676</v>
      </c>
      <c r="D813" s="561" t="s">
        <v>1195</v>
      </c>
      <c r="E813" s="561" t="s">
        <v>15</v>
      </c>
      <c r="F813" s="563">
        <v>0</v>
      </c>
      <c r="G813" s="564"/>
      <c r="H813" s="561" t="s">
        <v>654</v>
      </c>
      <c r="I813" s="565"/>
      <c r="J813" s="565"/>
      <c r="K813" s="563">
        <v>0</v>
      </c>
      <c r="L813" s="566">
        <v>0</v>
      </c>
    </row>
    <row r="814" spans="1:12" ht="15" x14ac:dyDescent="0.2">
      <c r="A814" s="561" t="s">
        <v>198</v>
      </c>
      <c r="B814" s="562">
        <v>2021</v>
      </c>
      <c r="C814" s="561" t="s">
        <v>678</v>
      </c>
      <c r="D814" s="561" t="s">
        <v>1196</v>
      </c>
      <c r="E814" s="561" t="s">
        <v>680</v>
      </c>
      <c r="F814" s="563">
        <v>1378.26</v>
      </c>
      <c r="G814" s="564"/>
      <c r="H814" s="561" t="s">
        <v>654</v>
      </c>
      <c r="I814" s="565"/>
      <c r="J814" s="565"/>
      <c r="K814" s="563">
        <v>0</v>
      </c>
      <c r="L814" s="566">
        <v>1378.26</v>
      </c>
    </row>
    <row r="815" spans="1:12" ht="15" x14ac:dyDescent="0.2">
      <c r="A815" s="561" t="s">
        <v>198</v>
      </c>
      <c r="B815" s="562">
        <v>2021</v>
      </c>
      <c r="C815" s="561" t="s">
        <v>681</v>
      </c>
      <c r="D815" s="561" t="s">
        <v>1197</v>
      </c>
      <c r="E815" s="561" t="s">
        <v>23</v>
      </c>
      <c r="F815" s="563">
        <v>-314560.52</v>
      </c>
      <c r="G815" s="561" t="s">
        <v>654</v>
      </c>
      <c r="H815" s="564"/>
      <c r="I815" s="563">
        <v>-299499.71875</v>
      </c>
      <c r="J815" s="563">
        <v>-15060.7998046875</v>
      </c>
      <c r="K815" s="563">
        <v>-314560.53125</v>
      </c>
      <c r="L815" s="566">
        <v>-314560.52</v>
      </c>
    </row>
    <row r="816" spans="1:12" ht="33.75" x14ac:dyDescent="0.2">
      <c r="A816" s="561" t="s">
        <v>198</v>
      </c>
      <c r="B816" s="562">
        <v>2021</v>
      </c>
      <c r="C816" s="561" t="s">
        <v>683</v>
      </c>
      <c r="D816" s="561" t="s">
        <v>1198</v>
      </c>
      <c r="E816" s="561" t="s">
        <v>131</v>
      </c>
      <c r="F816" s="563">
        <v>-20980.76</v>
      </c>
      <c r="G816" s="561" t="s">
        <v>654</v>
      </c>
      <c r="H816" s="564"/>
      <c r="I816" s="563">
        <v>-20863.759765625</v>
      </c>
      <c r="J816" s="563">
        <v>-117</v>
      </c>
      <c r="K816" s="563">
        <v>-20980.759765625</v>
      </c>
      <c r="L816" s="566">
        <v>-20980.76</v>
      </c>
    </row>
    <row r="817" spans="1:12" ht="33.75" x14ac:dyDescent="0.2">
      <c r="A817" s="561" t="s">
        <v>198</v>
      </c>
      <c r="B817" s="562">
        <v>2021</v>
      </c>
      <c r="C817" s="561" t="s">
        <v>685</v>
      </c>
      <c r="D817" s="561" t="s">
        <v>1199</v>
      </c>
      <c r="E817" s="561" t="s">
        <v>687</v>
      </c>
      <c r="F817" s="563">
        <v>-169977.53</v>
      </c>
      <c r="G817" s="564"/>
      <c r="H817" s="561" t="s">
        <v>654</v>
      </c>
      <c r="I817" s="565"/>
      <c r="J817" s="565"/>
      <c r="K817" s="563">
        <v>0</v>
      </c>
      <c r="L817" s="566">
        <v>-169977.53</v>
      </c>
    </row>
    <row r="818" spans="1:12" ht="33.75" x14ac:dyDescent="0.2">
      <c r="A818" s="561" t="s">
        <v>198</v>
      </c>
      <c r="B818" s="562">
        <v>2021</v>
      </c>
      <c r="C818" s="561" t="s">
        <v>685</v>
      </c>
      <c r="D818" s="561" t="s">
        <v>1199</v>
      </c>
      <c r="E818" s="561" t="s">
        <v>688</v>
      </c>
      <c r="F818" s="563">
        <v>-3312.68</v>
      </c>
      <c r="G818" s="564"/>
      <c r="H818" s="561" t="s">
        <v>654</v>
      </c>
      <c r="I818" s="565"/>
      <c r="J818" s="565"/>
      <c r="K818" s="563">
        <v>0</v>
      </c>
      <c r="L818" s="566">
        <v>-3312.68</v>
      </c>
    </row>
    <row r="819" spans="1:12" ht="22.5" x14ac:dyDescent="0.2">
      <c r="A819" s="561" t="s">
        <v>198</v>
      </c>
      <c r="B819" s="562">
        <v>2021</v>
      </c>
      <c r="C819" s="561" t="s">
        <v>689</v>
      </c>
      <c r="D819" s="561" t="s">
        <v>1200</v>
      </c>
      <c r="E819" s="561" t="s">
        <v>691</v>
      </c>
      <c r="F819" s="563">
        <v>0.39</v>
      </c>
      <c r="G819" s="564"/>
      <c r="H819" s="561" t="s">
        <v>654</v>
      </c>
      <c r="I819" s="565"/>
      <c r="J819" s="565"/>
      <c r="K819" s="563">
        <v>0</v>
      </c>
      <c r="L819" s="566">
        <v>0.39</v>
      </c>
    </row>
    <row r="820" spans="1:12" ht="22.5" x14ac:dyDescent="0.2">
      <c r="A820" s="561" t="s">
        <v>198</v>
      </c>
      <c r="B820" s="562">
        <v>2021</v>
      </c>
      <c r="C820" s="561" t="s">
        <v>692</v>
      </c>
      <c r="D820" s="561" t="s">
        <v>1201</v>
      </c>
      <c r="E820" s="561" t="s">
        <v>50</v>
      </c>
      <c r="F820" s="563">
        <v>-0.52</v>
      </c>
      <c r="G820" s="564"/>
      <c r="H820" s="561" t="s">
        <v>654</v>
      </c>
      <c r="I820" s="565"/>
      <c r="J820" s="565"/>
      <c r="K820" s="563">
        <v>0</v>
      </c>
      <c r="L820" s="566">
        <v>-0.52</v>
      </c>
    </row>
    <row r="821" spans="1:12" ht="22.5" x14ac:dyDescent="0.2">
      <c r="A821" s="561" t="s">
        <v>198</v>
      </c>
      <c r="B821" s="562">
        <v>2021</v>
      </c>
      <c r="C821" s="561" t="s">
        <v>694</v>
      </c>
      <c r="D821" s="561" t="s">
        <v>1202</v>
      </c>
      <c r="E821" s="561" t="s">
        <v>696</v>
      </c>
      <c r="F821" s="563">
        <v>0</v>
      </c>
      <c r="G821" s="564"/>
      <c r="H821" s="561" t="s">
        <v>654</v>
      </c>
      <c r="I821" s="565"/>
      <c r="J821" s="565"/>
      <c r="K821" s="563">
        <v>0</v>
      </c>
      <c r="L821" s="566">
        <v>0</v>
      </c>
    </row>
    <row r="822" spans="1:12" ht="22.5" x14ac:dyDescent="0.2">
      <c r="A822" s="561" t="s">
        <v>198</v>
      </c>
      <c r="B822" s="562">
        <v>2021</v>
      </c>
      <c r="C822" s="561" t="s">
        <v>697</v>
      </c>
      <c r="D822" s="561" t="s">
        <v>1203</v>
      </c>
      <c r="E822" s="561" t="s">
        <v>6</v>
      </c>
      <c r="F822" s="563">
        <v>0</v>
      </c>
      <c r="G822" s="564"/>
      <c r="H822" s="561" t="s">
        <v>654</v>
      </c>
      <c r="I822" s="565"/>
      <c r="J822" s="565"/>
      <c r="K822" s="563">
        <v>0</v>
      </c>
      <c r="L822" s="566">
        <v>0</v>
      </c>
    </row>
    <row r="823" spans="1:12" ht="33.75" x14ac:dyDescent="0.2">
      <c r="A823" s="561" t="s">
        <v>198</v>
      </c>
      <c r="B823" s="562">
        <v>2021</v>
      </c>
      <c r="C823" s="561" t="s">
        <v>699</v>
      </c>
      <c r="D823" s="561" t="s">
        <v>1204</v>
      </c>
      <c r="E823" s="561" t="s">
        <v>701</v>
      </c>
      <c r="F823" s="563">
        <v>178387.41</v>
      </c>
      <c r="G823" s="564"/>
      <c r="H823" s="561" t="s">
        <v>654</v>
      </c>
      <c r="I823" s="565"/>
      <c r="J823" s="565"/>
      <c r="K823" s="563">
        <v>0</v>
      </c>
      <c r="L823" s="566">
        <v>178387.41</v>
      </c>
    </row>
    <row r="824" spans="1:12" ht="22.5" x14ac:dyDescent="0.2">
      <c r="A824" s="561" t="s">
        <v>198</v>
      </c>
      <c r="B824" s="562">
        <v>2021</v>
      </c>
      <c r="C824" s="561" t="s">
        <v>702</v>
      </c>
      <c r="D824" s="561" t="s">
        <v>1205</v>
      </c>
      <c r="E824" s="561" t="s">
        <v>704</v>
      </c>
      <c r="F824" s="563">
        <v>-105700.88</v>
      </c>
      <c r="G824" s="564"/>
      <c r="H824" s="561" t="s">
        <v>654</v>
      </c>
      <c r="I824" s="565"/>
      <c r="J824" s="565"/>
      <c r="K824" s="563">
        <v>0</v>
      </c>
      <c r="L824" s="566">
        <v>-105700.88</v>
      </c>
    </row>
    <row r="825" spans="1:12" ht="33.75" x14ac:dyDescent="0.2">
      <c r="A825" s="561" t="s">
        <v>198</v>
      </c>
      <c r="B825" s="562">
        <v>2021</v>
      </c>
      <c r="C825" s="561" t="s">
        <v>705</v>
      </c>
      <c r="D825" s="561" t="s">
        <v>1206</v>
      </c>
      <c r="E825" s="561" t="s">
        <v>1</v>
      </c>
      <c r="F825" s="563">
        <v>-1345671.89</v>
      </c>
      <c r="G825" s="561" t="s">
        <v>654</v>
      </c>
      <c r="H825" s="564"/>
      <c r="I825" s="563">
        <v>-1326544.875</v>
      </c>
      <c r="J825" s="563">
        <v>-19127</v>
      </c>
      <c r="K825" s="563">
        <v>-1345671.875</v>
      </c>
      <c r="L825" s="566">
        <v>-1345671.89</v>
      </c>
    </row>
    <row r="826" spans="1:12" ht="22.5" x14ac:dyDescent="0.2">
      <c r="A826" s="561" t="s">
        <v>198</v>
      </c>
      <c r="B826" s="562">
        <v>2021</v>
      </c>
      <c r="C826" s="561" t="s">
        <v>705</v>
      </c>
      <c r="D826" s="561" t="s">
        <v>1206</v>
      </c>
      <c r="E826" s="561" t="s">
        <v>707</v>
      </c>
      <c r="F826" s="563">
        <v>0</v>
      </c>
      <c r="G826" s="564"/>
      <c r="H826" s="564"/>
      <c r="I826" s="565"/>
      <c r="J826" s="565"/>
      <c r="K826" s="563">
        <v>0</v>
      </c>
      <c r="L826" s="566">
        <v>0</v>
      </c>
    </row>
    <row r="827" spans="1:12" ht="22.5" x14ac:dyDescent="0.2">
      <c r="A827" s="561" t="s">
        <v>198</v>
      </c>
      <c r="B827" s="562">
        <v>2021</v>
      </c>
      <c r="C827" s="561" t="s">
        <v>705</v>
      </c>
      <c r="D827" s="561" t="s">
        <v>1206</v>
      </c>
      <c r="E827" s="561" t="s">
        <v>708</v>
      </c>
      <c r="F827" s="563">
        <v>0</v>
      </c>
      <c r="G827" s="564"/>
      <c r="H827" s="564"/>
      <c r="I827" s="565"/>
      <c r="J827" s="565"/>
      <c r="K827" s="563">
        <v>0</v>
      </c>
      <c r="L827" s="566">
        <v>0</v>
      </c>
    </row>
    <row r="828" spans="1:12" ht="22.5" x14ac:dyDescent="0.2">
      <c r="A828" s="561" t="s">
        <v>198</v>
      </c>
      <c r="B828" s="562">
        <v>2021</v>
      </c>
      <c r="C828" s="561" t="s">
        <v>705</v>
      </c>
      <c r="D828" s="561" t="s">
        <v>1206</v>
      </c>
      <c r="E828" s="561" t="s">
        <v>709</v>
      </c>
      <c r="F828" s="563">
        <v>-3491.97</v>
      </c>
      <c r="G828" s="564"/>
      <c r="H828" s="564"/>
      <c r="I828" s="565"/>
      <c r="J828" s="565"/>
      <c r="K828" s="563">
        <v>0</v>
      </c>
      <c r="L828" s="566">
        <v>-3491.97</v>
      </c>
    </row>
    <row r="829" spans="1:12" ht="22.5" x14ac:dyDescent="0.2">
      <c r="A829" s="561" t="s">
        <v>198</v>
      </c>
      <c r="B829" s="562">
        <v>2021</v>
      </c>
      <c r="C829" s="561" t="s">
        <v>705</v>
      </c>
      <c r="D829" s="561" t="s">
        <v>1206</v>
      </c>
      <c r="E829" s="561" t="s">
        <v>710</v>
      </c>
      <c r="F829" s="563">
        <v>-171966.32</v>
      </c>
      <c r="G829" s="564"/>
      <c r="H829" s="564"/>
      <c r="I829" s="565"/>
      <c r="J829" s="565"/>
      <c r="K829" s="563">
        <v>0</v>
      </c>
      <c r="L829" s="566">
        <v>-171966.32</v>
      </c>
    </row>
    <row r="830" spans="1:12" ht="15" x14ac:dyDescent="0.2">
      <c r="A830" s="561" t="s">
        <v>198</v>
      </c>
      <c r="B830" s="562">
        <v>2021</v>
      </c>
      <c r="C830" s="561" t="s">
        <v>711</v>
      </c>
      <c r="D830" s="561" t="s">
        <v>1207</v>
      </c>
      <c r="E830" s="561" t="s">
        <v>713</v>
      </c>
      <c r="F830" s="563">
        <v>0</v>
      </c>
      <c r="G830" s="564"/>
      <c r="H830" s="561" t="s">
        <v>654</v>
      </c>
      <c r="I830" s="565"/>
      <c r="J830" s="565"/>
      <c r="K830" s="563">
        <v>0</v>
      </c>
      <c r="L830" s="566">
        <v>0</v>
      </c>
    </row>
    <row r="831" spans="1:12" ht="33.75" x14ac:dyDescent="0.2">
      <c r="A831" s="561" t="s">
        <v>198</v>
      </c>
      <c r="B831" s="562">
        <v>2021</v>
      </c>
      <c r="C831" s="561" t="s">
        <v>714</v>
      </c>
      <c r="D831" s="561" t="s">
        <v>1208</v>
      </c>
      <c r="E831" s="561" t="s">
        <v>2</v>
      </c>
      <c r="F831" s="563">
        <v>1664137.67</v>
      </c>
      <c r="G831" s="561" t="s">
        <v>654</v>
      </c>
      <c r="H831" s="564"/>
      <c r="I831" s="563">
        <v>1667303</v>
      </c>
      <c r="J831" s="563">
        <v>-3165.32006835938</v>
      </c>
      <c r="K831" s="563">
        <v>1664137.625</v>
      </c>
      <c r="L831" s="566">
        <v>1664137.67</v>
      </c>
    </row>
    <row r="832" spans="1:12" ht="33.75" x14ac:dyDescent="0.2">
      <c r="A832" s="561" t="s">
        <v>198</v>
      </c>
      <c r="B832" s="562">
        <v>2021</v>
      </c>
      <c r="C832" s="561" t="s">
        <v>716</v>
      </c>
      <c r="D832" s="561" t="s">
        <v>1209</v>
      </c>
      <c r="E832" s="561" t="s">
        <v>3</v>
      </c>
      <c r="F832" s="563">
        <v>1220679.06</v>
      </c>
      <c r="G832" s="561" t="s">
        <v>654</v>
      </c>
      <c r="H832" s="564"/>
      <c r="I832" s="563">
        <v>1210974.375</v>
      </c>
      <c r="J832" s="563">
        <v>9704.73046875</v>
      </c>
      <c r="K832" s="563">
        <v>1220679</v>
      </c>
      <c r="L832" s="566">
        <v>1220679.06</v>
      </c>
    </row>
    <row r="833" spans="1:12" ht="33.75" x14ac:dyDescent="0.2">
      <c r="A833" s="561" t="s">
        <v>198</v>
      </c>
      <c r="B833" s="562">
        <v>2021</v>
      </c>
      <c r="C833" s="561" t="s">
        <v>718</v>
      </c>
      <c r="D833" s="561" t="s">
        <v>1210</v>
      </c>
      <c r="E833" s="561" t="s">
        <v>38</v>
      </c>
      <c r="F833" s="563">
        <v>539037.31000000006</v>
      </c>
      <c r="G833" s="561" t="s">
        <v>654</v>
      </c>
      <c r="H833" s="564"/>
      <c r="I833" s="563">
        <v>533661</v>
      </c>
      <c r="J833" s="563">
        <v>5376.27978515625</v>
      </c>
      <c r="K833" s="563">
        <v>539037.3125</v>
      </c>
      <c r="L833" s="566">
        <v>539037.31000000006</v>
      </c>
    </row>
    <row r="834" spans="1:12" ht="22.5" x14ac:dyDescent="0.2">
      <c r="A834" s="561" t="s">
        <v>198</v>
      </c>
      <c r="B834" s="562">
        <v>2021</v>
      </c>
      <c r="C834" s="561" t="s">
        <v>720</v>
      </c>
      <c r="D834" s="561" t="s">
        <v>1211</v>
      </c>
      <c r="E834" s="561" t="s">
        <v>66</v>
      </c>
      <c r="F834" s="563">
        <v>2146758.4900000002</v>
      </c>
      <c r="G834" s="561" t="s">
        <v>654</v>
      </c>
      <c r="H834" s="564"/>
      <c r="I834" s="563">
        <v>2062074.125</v>
      </c>
      <c r="J834" s="563">
        <v>84684.3203125</v>
      </c>
      <c r="K834" s="563">
        <v>2146758.5</v>
      </c>
      <c r="L834" s="566">
        <v>2146758.4900000002</v>
      </c>
    </row>
    <row r="835" spans="1:12" ht="45" x14ac:dyDescent="0.2">
      <c r="A835" s="561" t="s">
        <v>198</v>
      </c>
      <c r="B835" s="562">
        <v>2021</v>
      </c>
      <c r="C835" s="561" t="s">
        <v>722</v>
      </c>
      <c r="D835" s="561" t="s">
        <v>1212</v>
      </c>
      <c r="E835" s="561" t="s">
        <v>724</v>
      </c>
      <c r="F835" s="563">
        <v>-621981.80000000005</v>
      </c>
      <c r="G835" s="564"/>
      <c r="H835" s="561" t="s">
        <v>654</v>
      </c>
      <c r="I835" s="565"/>
      <c r="J835" s="565"/>
      <c r="K835" s="563">
        <v>0</v>
      </c>
      <c r="L835" s="566">
        <v>-621981.80000000005</v>
      </c>
    </row>
    <row r="836" spans="1:12" ht="45" x14ac:dyDescent="0.2">
      <c r="A836" s="561" t="s">
        <v>198</v>
      </c>
      <c r="B836" s="562">
        <v>2021</v>
      </c>
      <c r="C836" s="561" t="s">
        <v>725</v>
      </c>
      <c r="D836" s="561" t="s">
        <v>1213</v>
      </c>
      <c r="E836" s="561" t="s">
        <v>3024</v>
      </c>
      <c r="F836" s="563">
        <v>0</v>
      </c>
      <c r="G836" s="561" t="s">
        <v>654</v>
      </c>
      <c r="H836" s="564"/>
      <c r="I836" s="563">
        <v>186817.234375</v>
      </c>
      <c r="J836" s="563">
        <v>35430</v>
      </c>
      <c r="K836" s="563">
        <v>222247.234375</v>
      </c>
      <c r="L836" s="566">
        <v>222247.23</v>
      </c>
    </row>
    <row r="837" spans="1:12" ht="45" x14ac:dyDescent="0.2">
      <c r="A837" s="561" t="s">
        <v>198</v>
      </c>
      <c r="B837" s="562">
        <v>2021</v>
      </c>
      <c r="C837" s="561" t="s">
        <v>725</v>
      </c>
      <c r="D837" s="561" t="s">
        <v>1213</v>
      </c>
      <c r="E837" s="561" t="s">
        <v>3066</v>
      </c>
      <c r="F837" s="563">
        <v>0</v>
      </c>
      <c r="G837" s="561" t="s">
        <v>654</v>
      </c>
      <c r="H837" s="564"/>
      <c r="I837" s="563">
        <v>-393151.1875</v>
      </c>
      <c r="J837" s="563">
        <v>-69209.4609375</v>
      </c>
      <c r="K837" s="563">
        <v>-462360.65625</v>
      </c>
      <c r="L837" s="566">
        <v>-462360.65</v>
      </c>
    </row>
    <row r="838" spans="1:12" ht="45" x14ac:dyDescent="0.2">
      <c r="A838" s="561" t="s">
        <v>198</v>
      </c>
      <c r="B838" s="562">
        <v>2021</v>
      </c>
      <c r="C838" s="561" t="s">
        <v>725</v>
      </c>
      <c r="D838" s="561" t="s">
        <v>1214</v>
      </c>
      <c r="E838" s="561" t="s">
        <v>728</v>
      </c>
      <c r="F838" s="563">
        <v>0</v>
      </c>
      <c r="G838" s="561" t="s">
        <v>654</v>
      </c>
      <c r="H838" s="564"/>
      <c r="I838" s="565"/>
      <c r="J838" s="565"/>
      <c r="K838" s="563">
        <v>0</v>
      </c>
      <c r="L838" s="566">
        <v>0</v>
      </c>
    </row>
    <row r="839" spans="1:12" ht="45" x14ac:dyDescent="0.2">
      <c r="A839" s="561" t="s">
        <v>198</v>
      </c>
      <c r="B839" s="562">
        <v>2021</v>
      </c>
      <c r="C839" s="561" t="s">
        <v>725</v>
      </c>
      <c r="D839" s="561" t="s">
        <v>1215</v>
      </c>
      <c r="E839" s="561" t="s">
        <v>55</v>
      </c>
      <c r="F839" s="563">
        <v>0</v>
      </c>
      <c r="G839" s="561" t="s">
        <v>654</v>
      </c>
      <c r="H839" s="564"/>
      <c r="I839" s="565"/>
      <c r="J839" s="565"/>
      <c r="K839" s="563">
        <v>0</v>
      </c>
      <c r="L839" s="566">
        <v>0</v>
      </c>
    </row>
    <row r="840" spans="1:12" ht="45" x14ac:dyDescent="0.2">
      <c r="A840" s="561" t="s">
        <v>198</v>
      </c>
      <c r="B840" s="562">
        <v>2021</v>
      </c>
      <c r="C840" s="561" t="s">
        <v>725</v>
      </c>
      <c r="D840" s="561" t="s">
        <v>1216</v>
      </c>
      <c r="E840" s="561" t="s">
        <v>56</v>
      </c>
      <c r="F840" s="563">
        <v>0</v>
      </c>
      <c r="G840" s="561" t="s">
        <v>654</v>
      </c>
      <c r="H840" s="564"/>
      <c r="I840" s="565"/>
      <c r="J840" s="565"/>
      <c r="K840" s="563">
        <v>0</v>
      </c>
      <c r="L840" s="566">
        <v>0</v>
      </c>
    </row>
    <row r="841" spans="1:12" ht="45" x14ac:dyDescent="0.2">
      <c r="A841" s="561" t="s">
        <v>198</v>
      </c>
      <c r="B841" s="562">
        <v>2021</v>
      </c>
      <c r="C841" s="561" t="s">
        <v>725</v>
      </c>
      <c r="D841" s="561" t="s">
        <v>1217</v>
      </c>
      <c r="E841" s="561" t="s">
        <v>732</v>
      </c>
      <c r="F841" s="563">
        <v>0</v>
      </c>
      <c r="G841" s="561" t="s">
        <v>654</v>
      </c>
      <c r="H841" s="564"/>
      <c r="I841" s="565"/>
      <c r="J841" s="565"/>
      <c r="K841" s="563">
        <v>0</v>
      </c>
      <c r="L841" s="566">
        <v>0</v>
      </c>
    </row>
    <row r="842" spans="1:12" ht="45" x14ac:dyDescent="0.2">
      <c r="A842" s="561" t="s">
        <v>198</v>
      </c>
      <c r="B842" s="562">
        <v>2021</v>
      </c>
      <c r="C842" s="561" t="s">
        <v>725</v>
      </c>
      <c r="D842" s="561" t="s">
        <v>1218</v>
      </c>
      <c r="E842" s="561" t="s">
        <v>734</v>
      </c>
      <c r="F842" s="563">
        <v>0</v>
      </c>
      <c r="G842" s="561" t="s">
        <v>654</v>
      </c>
      <c r="H842" s="564"/>
      <c r="I842" s="565"/>
      <c r="J842" s="565"/>
      <c r="K842" s="563">
        <v>0</v>
      </c>
      <c r="L842" s="566">
        <v>0</v>
      </c>
    </row>
    <row r="843" spans="1:12" ht="45" x14ac:dyDescent="0.2">
      <c r="A843" s="561" t="s">
        <v>198</v>
      </c>
      <c r="B843" s="562">
        <v>2021</v>
      </c>
      <c r="C843" s="561" t="s">
        <v>725</v>
      </c>
      <c r="D843" s="561" t="s">
        <v>1219</v>
      </c>
      <c r="E843" s="561" t="s">
        <v>142</v>
      </c>
      <c r="F843" s="563">
        <v>0</v>
      </c>
      <c r="G843" s="561" t="s">
        <v>654</v>
      </c>
      <c r="H843" s="564"/>
      <c r="I843" s="565"/>
      <c r="J843" s="565"/>
      <c r="K843" s="563">
        <v>0</v>
      </c>
      <c r="L843" s="566">
        <v>0</v>
      </c>
    </row>
    <row r="844" spans="1:12" ht="45" x14ac:dyDescent="0.2">
      <c r="A844" s="561" t="s">
        <v>198</v>
      </c>
      <c r="B844" s="562">
        <v>2021</v>
      </c>
      <c r="C844" s="561" t="s">
        <v>725</v>
      </c>
      <c r="D844" s="561" t="s">
        <v>1220</v>
      </c>
      <c r="E844" s="561" t="s">
        <v>143</v>
      </c>
      <c r="F844" s="563">
        <v>0</v>
      </c>
      <c r="G844" s="561" t="s">
        <v>654</v>
      </c>
      <c r="H844" s="564"/>
      <c r="I844" s="565"/>
      <c r="J844" s="565"/>
      <c r="K844" s="563">
        <v>0</v>
      </c>
      <c r="L844" s="566">
        <v>0</v>
      </c>
    </row>
    <row r="845" spans="1:12" ht="45" x14ac:dyDescent="0.2">
      <c r="A845" s="561" t="s">
        <v>198</v>
      </c>
      <c r="B845" s="562">
        <v>2021</v>
      </c>
      <c r="C845" s="561" t="s">
        <v>725</v>
      </c>
      <c r="D845" s="561" t="s">
        <v>1221</v>
      </c>
      <c r="E845" s="561" t="s">
        <v>182</v>
      </c>
      <c r="F845" s="563">
        <v>0</v>
      </c>
      <c r="G845" s="561" t="s">
        <v>654</v>
      </c>
      <c r="H845" s="564"/>
      <c r="I845" s="565"/>
      <c r="J845" s="565"/>
      <c r="K845" s="563">
        <v>0</v>
      </c>
      <c r="L845" s="566">
        <v>0</v>
      </c>
    </row>
    <row r="846" spans="1:12" ht="45" x14ac:dyDescent="0.2">
      <c r="A846" s="561" t="s">
        <v>198</v>
      </c>
      <c r="B846" s="562">
        <v>2021</v>
      </c>
      <c r="C846" s="561" t="s">
        <v>725</v>
      </c>
      <c r="D846" s="561" t="s">
        <v>1222</v>
      </c>
      <c r="E846" s="561" t="s">
        <v>394</v>
      </c>
      <c r="F846" s="563">
        <v>0</v>
      </c>
      <c r="G846" s="561" t="s">
        <v>654</v>
      </c>
      <c r="H846" s="564"/>
      <c r="I846" s="565"/>
      <c r="J846" s="565"/>
      <c r="K846" s="563">
        <v>0</v>
      </c>
      <c r="L846" s="566">
        <v>0</v>
      </c>
    </row>
    <row r="847" spans="1:12" ht="45" x14ac:dyDescent="0.2">
      <c r="A847" s="561" t="s">
        <v>198</v>
      </c>
      <c r="B847" s="562">
        <v>2021</v>
      </c>
      <c r="C847" s="561" t="s">
        <v>725</v>
      </c>
      <c r="D847" s="561" t="s">
        <v>1223</v>
      </c>
      <c r="E847" s="561" t="s">
        <v>425</v>
      </c>
      <c r="F847" s="563">
        <v>0</v>
      </c>
      <c r="G847" s="561" t="s">
        <v>654</v>
      </c>
      <c r="H847" s="564"/>
      <c r="I847" s="563">
        <v>-9390.58984375</v>
      </c>
      <c r="J847" s="563">
        <v>4011.17993164063</v>
      </c>
      <c r="K847" s="563">
        <v>-5379.41015625</v>
      </c>
      <c r="L847" s="566">
        <v>-5379.41</v>
      </c>
    </row>
    <row r="848" spans="1:12" ht="45" x14ac:dyDescent="0.2">
      <c r="A848" s="561" t="s">
        <v>198</v>
      </c>
      <c r="B848" s="562">
        <v>2021</v>
      </c>
      <c r="C848" s="561" t="s">
        <v>725</v>
      </c>
      <c r="D848" s="561" t="s">
        <v>3217</v>
      </c>
      <c r="E848" s="561" t="s">
        <v>443</v>
      </c>
      <c r="F848" s="563">
        <v>0</v>
      </c>
      <c r="G848" s="561" t="s">
        <v>654</v>
      </c>
      <c r="H848" s="564"/>
      <c r="I848" s="563">
        <v>2054967.5</v>
      </c>
      <c r="J848" s="563">
        <v>-323654.625</v>
      </c>
      <c r="K848" s="563">
        <v>1731312.875</v>
      </c>
      <c r="L848" s="566">
        <v>1731312.93</v>
      </c>
    </row>
    <row r="849" spans="1:12" ht="45" x14ac:dyDescent="0.2">
      <c r="A849" s="561" t="s">
        <v>198</v>
      </c>
      <c r="B849" s="562">
        <v>2021</v>
      </c>
      <c r="C849" s="561" t="s">
        <v>725</v>
      </c>
      <c r="D849" s="561" t="s">
        <v>1224</v>
      </c>
      <c r="E849" s="561" t="s">
        <v>741</v>
      </c>
      <c r="F849" s="563">
        <v>1485820.1</v>
      </c>
      <c r="G849" s="564"/>
      <c r="H849" s="564"/>
      <c r="I849" s="565"/>
      <c r="J849" s="565"/>
      <c r="K849" s="563">
        <v>0</v>
      </c>
      <c r="L849" s="566">
        <v>1485820.1</v>
      </c>
    </row>
    <row r="850" spans="1:12" ht="22.5" x14ac:dyDescent="0.2">
      <c r="A850" s="561" t="s">
        <v>198</v>
      </c>
      <c r="B850" s="562">
        <v>2021</v>
      </c>
      <c r="C850" s="561" t="s">
        <v>742</v>
      </c>
      <c r="D850" s="561" t="s">
        <v>1225</v>
      </c>
      <c r="E850" s="561" t="s">
        <v>7</v>
      </c>
      <c r="F850" s="563">
        <v>0</v>
      </c>
      <c r="G850" s="564"/>
      <c r="H850" s="561" t="s">
        <v>654</v>
      </c>
      <c r="I850" s="565"/>
      <c r="J850" s="565"/>
      <c r="K850" s="563">
        <v>0</v>
      </c>
      <c r="L850" s="566">
        <v>0</v>
      </c>
    </row>
    <row r="851" spans="1:12" ht="22.5" x14ac:dyDescent="0.2">
      <c r="A851" s="561" t="s">
        <v>87</v>
      </c>
      <c r="B851" s="562">
        <v>2021</v>
      </c>
      <c r="C851" s="561" t="s">
        <v>651</v>
      </c>
      <c r="D851" s="561" t="s">
        <v>1226</v>
      </c>
      <c r="E851" s="561" t="s">
        <v>653</v>
      </c>
      <c r="F851" s="563">
        <v>3284.72</v>
      </c>
      <c r="G851" s="564"/>
      <c r="H851" s="561" t="s">
        <v>654</v>
      </c>
      <c r="I851" s="565"/>
      <c r="J851" s="565"/>
      <c r="K851" s="563">
        <v>0</v>
      </c>
      <c r="L851" s="566">
        <v>3284.72</v>
      </c>
    </row>
    <row r="852" spans="1:12" ht="15" x14ac:dyDescent="0.2">
      <c r="A852" s="561" t="s">
        <v>87</v>
      </c>
      <c r="B852" s="562">
        <v>2021</v>
      </c>
      <c r="C852" s="561" t="s">
        <v>655</v>
      </c>
      <c r="D852" s="561" t="s">
        <v>1227</v>
      </c>
      <c r="E852" s="561" t="s">
        <v>657</v>
      </c>
      <c r="F852" s="563">
        <v>22697.97</v>
      </c>
      <c r="G852" s="564"/>
      <c r="H852" s="561" t="s">
        <v>654</v>
      </c>
      <c r="I852" s="565"/>
      <c r="J852" s="565"/>
      <c r="K852" s="563">
        <v>0</v>
      </c>
      <c r="L852" s="566">
        <v>22697.97</v>
      </c>
    </row>
    <row r="853" spans="1:12" ht="56.25" x14ac:dyDescent="0.2">
      <c r="A853" s="561" t="s">
        <v>87</v>
      </c>
      <c r="B853" s="562">
        <v>2021</v>
      </c>
      <c r="C853" s="561" t="s">
        <v>658</v>
      </c>
      <c r="D853" s="561" t="s">
        <v>1228</v>
      </c>
      <c r="E853" s="561" t="s">
        <v>447</v>
      </c>
      <c r="F853" s="563">
        <v>0</v>
      </c>
      <c r="G853" s="564"/>
      <c r="H853" s="561" t="s">
        <v>654</v>
      </c>
      <c r="I853" s="565"/>
      <c r="J853" s="565"/>
      <c r="K853" s="563">
        <v>0</v>
      </c>
      <c r="L853" s="566">
        <v>0</v>
      </c>
    </row>
    <row r="854" spans="1:12" ht="22.5" x14ac:dyDescent="0.2">
      <c r="A854" s="561" t="s">
        <v>87</v>
      </c>
      <c r="B854" s="562">
        <v>2021</v>
      </c>
      <c r="C854" s="561" t="s">
        <v>660</v>
      </c>
      <c r="D854" s="561" t="s">
        <v>1229</v>
      </c>
      <c r="E854" s="561" t="s">
        <v>662</v>
      </c>
      <c r="F854" s="563">
        <v>0</v>
      </c>
      <c r="G854" s="564"/>
      <c r="H854" s="561" t="s">
        <v>654</v>
      </c>
      <c r="I854" s="565"/>
      <c r="J854" s="565"/>
      <c r="K854" s="563">
        <v>0</v>
      </c>
      <c r="L854" s="566">
        <v>0</v>
      </c>
    </row>
    <row r="855" spans="1:12" ht="33.75" x14ac:dyDescent="0.2">
      <c r="A855" s="561" t="s">
        <v>87</v>
      </c>
      <c r="B855" s="562">
        <v>2021</v>
      </c>
      <c r="C855" s="561" t="s">
        <v>663</v>
      </c>
      <c r="D855" s="561" t="s">
        <v>1230</v>
      </c>
      <c r="E855" s="561" t="s">
        <v>665</v>
      </c>
      <c r="F855" s="563">
        <v>0</v>
      </c>
      <c r="G855" s="564"/>
      <c r="H855" s="561" t="s">
        <v>654</v>
      </c>
      <c r="I855" s="565"/>
      <c r="J855" s="565"/>
      <c r="K855" s="563">
        <v>0</v>
      </c>
      <c r="L855" s="566">
        <v>0</v>
      </c>
    </row>
    <row r="856" spans="1:12" ht="33.75" x14ac:dyDescent="0.2">
      <c r="A856" s="561" t="s">
        <v>87</v>
      </c>
      <c r="B856" s="562">
        <v>2021</v>
      </c>
      <c r="C856" s="561" t="s">
        <v>666</v>
      </c>
      <c r="D856" s="561" t="s">
        <v>1231</v>
      </c>
      <c r="E856" s="561" t="s">
        <v>668</v>
      </c>
      <c r="F856" s="563">
        <v>0</v>
      </c>
      <c r="G856" s="564"/>
      <c r="H856" s="561" t="s">
        <v>654</v>
      </c>
      <c r="I856" s="565"/>
      <c r="J856" s="565"/>
      <c r="K856" s="563">
        <v>0</v>
      </c>
      <c r="L856" s="566">
        <v>0</v>
      </c>
    </row>
    <row r="857" spans="1:12" ht="56.25" x14ac:dyDescent="0.2">
      <c r="A857" s="561" t="s">
        <v>87</v>
      </c>
      <c r="B857" s="562">
        <v>2021</v>
      </c>
      <c r="C857" s="561" t="s">
        <v>669</v>
      </c>
      <c r="D857" s="561" t="s">
        <v>1232</v>
      </c>
      <c r="E857" s="561" t="s">
        <v>671</v>
      </c>
      <c r="F857" s="563">
        <v>0</v>
      </c>
      <c r="G857" s="564"/>
      <c r="H857" s="561" t="s">
        <v>654</v>
      </c>
      <c r="I857" s="565"/>
      <c r="J857" s="565"/>
      <c r="K857" s="563">
        <v>0</v>
      </c>
      <c r="L857" s="566">
        <v>0</v>
      </c>
    </row>
    <row r="858" spans="1:12" ht="22.5" x14ac:dyDescent="0.2">
      <c r="A858" s="561" t="s">
        <v>87</v>
      </c>
      <c r="B858" s="562">
        <v>2021</v>
      </c>
      <c r="C858" s="561" t="s">
        <v>672</v>
      </c>
      <c r="D858" s="561" t="s">
        <v>1233</v>
      </c>
      <c r="E858" s="561" t="s">
        <v>12</v>
      </c>
      <c r="F858" s="563">
        <v>0</v>
      </c>
      <c r="G858" s="564"/>
      <c r="H858" s="561" t="s">
        <v>654</v>
      </c>
      <c r="I858" s="565"/>
      <c r="J858" s="565"/>
      <c r="K858" s="563">
        <v>0</v>
      </c>
      <c r="L858" s="566">
        <v>0</v>
      </c>
    </row>
    <row r="859" spans="1:12" ht="22.5" x14ac:dyDescent="0.2">
      <c r="A859" s="561" t="s">
        <v>87</v>
      </c>
      <c r="B859" s="562">
        <v>2021</v>
      </c>
      <c r="C859" s="561" t="s">
        <v>674</v>
      </c>
      <c r="D859" s="561" t="s">
        <v>1234</v>
      </c>
      <c r="E859" s="561" t="s">
        <v>13</v>
      </c>
      <c r="F859" s="563">
        <v>0</v>
      </c>
      <c r="G859" s="564"/>
      <c r="H859" s="561" t="s">
        <v>654</v>
      </c>
      <c r="I859" s="565"/>
      <c r="J859" s="565"/>
      <c r="K859" s="563">
        <v>0</v>
      </c>
      <c r="L859" s="566">
        <v>0</v>
      </c>
    </row>
    <row r="860" spans="1:12" ht="33.75" x14ac:dyDescent="0.2">
      <c r="A860" s="561" t="s">
        <v>87</v>
      </c>
      <c r="B860" s="562">
        <v>2021</v>
      </c>
      <c r="C860" s="561" t="s">
        <v>676</v>
      </c>
      <c r="D860" s="561" t="s">
        <v>1235</v>
      </c>
      <c r="E860" s="561" t="s">
        <v>15</v>
      </c>
      <c r="F860" s="563">
        <v>0</v>
      </c>
      <c r="G860" s="564"/>
      <c r="H860" s="561" t="s">
        <v>654</v>
      </c>
      <c r="I860" s="565"/>
      <c r="J860" s="565"/>
      <c r="K860" s="563">
        <v>0</v>
      </c>
      <c r="L860" s="566">
        <v>0</v>
      </c>
    </row>
    <row r="861" spans="1:12" ht="15" x14ac:dyDescent="0.2">
      <c r="A861" s="561" t="s">
        <v>87</v>
      </c>
      <c r="B861" s="562">
        <v>2021</v>
      </c>
      <c r="C861" s="561" t="s">
        <v>678</v>
      </c>
      <c r="D861" s="561" t="s">
        <v>1236</v>
      </c>
      <c r="E861" s="561" t="s">
        <v>680</v>
      </c>
      <c r="F861" s="563">
        <v>64324.85</v>
      </c>
      <c r="G861" s="564"/>
      <c r="H861" s="561" t="s">
        <v>654</v>
      </c>
      <c r="I861" s="565"/>
      <c r="J861" s="565"/>
      <c r="K861" s="563">
        <v>0</v>
      </c>
      <c r="L861" s="566">
        <v>64324.85</v>
      </c>
    </row>
    <row r="862" spans="1:12" ht="15" x14ac:dyDescent="0.2">
      <c r="A862" s="561" t="s">
        <v>87</v>
      </c>
      <c r="B862" s="562">
        <v>2021</v>
      </c>
      <c r="C862" s="561" t="s">
        <v>681</v>
      </c>
      <c r="D862" s="561" t="s">
        <v>1237</v>
      </c>
      <c r="E862" s="561" t="s">
        <v>23</v>
      </c>
      <c r="F862" s="563">
        <v>1680715.82</v>
      </c>
      <c r="G862" s="561" t="s">
        <v>654</v>
      </c>
      <c r="H862" s="564"/>
      <c r="I862" s="563">
        <v>1661588.25</v>
      </c>
      <c r="J862" s="563">
        <v>19127.509765625</v>
      </c>
      <c r="K862" s="563">
        <v>1680715.875</v>
      </c>
      <c r="L862" s="566">
        <v>1680715.82</v>
      </c>
    </row>
    <row r="863" spans="1:12" ht="33.75" x14ac:dyDescent="0.2">
      <c r="A863" s="561" t="s">
        <v>87</v>
      </c>
      <c r="B863" s="562">
        <v>2021</v>
      </c>
      <c r="C863" s="561" t="s">
        <v>683</v>
      </c>
      <c r="D863" s="561" t="s">
        <v>1238</v>
      </c>
      <c r="E863" s="561" t="s">
        <v>131</v>
      </c>
      <c r="F863" s="563">
        <v>-14858.97</v>
      </c>
      <c r="G863" s="561" t="s">
        <v>654</v>
      </c>
      <c r="H863" s="564"/>
      <c r="I863" s="563">
        <v>-14588.759765625</v>
      </c>
      <c r="J863" s="563">
        <v>-270.20999145507801</v>
      </c>
      <c r="K863" s="563">
        <v>-14858.9697265625</v>
      </c>
      <c r="L863" s="566">
        <v>-14858.97</v>
      </c>
    </row>
    <row r="864" spans="1:12" ht="33.75" x14ac:dyDescent="0.2">
      <c r="A864" s="561" t="s">
        <v>87</v>
      </c>
      <c r="B864" s="562">
        <v>2021</v>
      </c>
      <c r="C864" s="561" t="s">
        <v>685</v>
      </c>
      <c r="D864" s="561" t="s">
        <v>1239</v>
      </c>
      <c r="E864" s="561" t="s">
        <v>687</v>
      </c>
      <c r="F864" s="563">
        <v>-9204.84</v>
      </c>
      <c r="G864" s="564"/>
      <c r="H864" s="561" t="s">
        <v>654</v>
      </c>
      <c r="I864" s="565"/>
      <c r="J864" s="565"/>
      <c r="K864" s="563">
        <v>0</v>
      </c>
      <c r="L864" s="566">
        <v>-9204.84</v>
      </c>
    </row>
    <row r="865" spans="1:12" ht="33.75" x14ac:dyDescent="0.2">
      <c r="A865" s="561" t="s">
        <v>87</v>
      </c>
      <c r="B865" s="562">
        <v>2021</v>
      </c>
      <c r="C865" s="561" t="s">
        <v>685</v>
      </c>
      <c r="D865" s="561" t="s">
        <v>1239</v>
      </c>
      <c r="E865" s="561" t="s">
        <v>688</v>
      </c>
      <c r="F865" s="563">
        <v>0</v>
      </c>
      <c r="G865" s="564"/>
      <c r="H865" s="561" t="s">
        <v>654</v>
      </c>
      <c r="I865" s="565"/>
      <c r="J865" s="565"/>
      <c r="K865" s="563">
        <v>0</v>
      </c>
      <c r="L865" s="566">
        <v>0</v>
      </c>
    </row>
    <row r="866" spans="1:12" ht="22.5" x14ac:dyDescent="0.2">
      <c r="A866" s="561" t="s">
        <v>87</v>
      </c>
      <c r="B866" s="562">
        <v>2021</v>
      </c>
      <c r="C866" s="561" t="s">
        <v>689</v>
      </c>
      <c r="D866" s="561" t="s">
        <v>1240</v>
      </c>
      <c r="E866" s="561" t="s">
        <v>691</v>
      </c>
      <c r="F866" s="563">
        <v>0</v>
      </c>
      <c r="G866" s="564"/>
      <c r="H866" s="561" t="s">
        <v>654</v>
      </c>
      <c r="I866" s="565"/>
      <c r="J866" s="565"/>
      <c r="K866" s="563">
        <v>0</v>
      </c>
      <c r="L866" s="566">
        <v>0</v>
      </c>
    </row>
    <row r="867" spans="1:12" ht="22.5" x14ac:dyDescent="0.2">
      <c r="A867" s="561" t="s">
        <v>87</v>
      </c>
      <c r="B867" s="562">
        <v>2021</v>
      </c>
      <c r="C867" s="561" t="s">
        <v>692</v>
      </c>
      <c r="D867" s="561" t="s">
        <v>1241</v>
      </c>
      <c r="E867" s="561" t="s">
        <v>50</v>
      </c>
      <c r="F867" s="563">
        <v>726266.12</v>
      </c>
      <c r="G867" s="564"/>
      <c r="H867" s="561" t="s">
        <v>654</v>
      </c>
      <c r="I867" s="565"/>
      <c r="J867" s="565"/>
      <c r="K867" s="563">
        <v>0</v>
      </c>
      <c r="L867" s="566">
        <v>726266.12</v>
      </c>
    </row>
    <row r="868" spans="1:12" ht="22.5" x14ac:dyDescent="0.2">
      <c r="A868" s="561" t="s">
        <v>87</v>
      </c>
      <c r="B868" s="562">
        <v>2021</v>
      </c>
      <c r="C868" s="561" t="s">
        <v>694</v>
      </c>
      <c r="D868" s="561" t="s">
        <v>1242</v>
      </c>
      <c r="E868" s="561" t="s">
        <v>696</v>
      </c>
      <c r="F868" s="563">
        <v>0</v>
      </c>
      <c r="G868" s="564"/>
      <c r="H868" s="561" t="s">
        <v>654</v>
      </c>
      <c r="I868" s="565"/>
      <c r="J868" s="565"/>
      <c r="K868" s="563">
        <v>0</v>
      </c>
      <c r="L868" s="566">
        <v>0</v>
      </c>
    </row>
    <row r="869" spans="1:12" ht="22.5" x14ac:dyDescent="0.2">
      <c r="A869" s="561" t="s">
        <v>87</v>
      </c>
      <c r="B869" s="562">
        <v>2021</v>
      </c>
      <c r="C869" s="561" t="s">
        <v>697</v>
      </c>
      <c r="D869" s="561" t="s">
        <v>1243</v>
      </c>
      <c r="E869" s="561" t="s">
        <v>6</v>
      </c>
      <c r="F869" s="563">
        <v>0</v>
      </c>
      <c r="G869" s="564"/>
      <c r="H869" s="561" t="s">
        <v>654</v>
      </c>
      <c r="I869" s="565"/>
      <c r="J869" s="565"/>
      <c r="K869" s="563">
        <v>0</v>
      </c>
      <c r="L869" s="566">
        <v>0</v>
      </c>
    </row>
    <row r="870" spans="1:12" ht="33.75" x14ac:dyDescent="0.2">
      <c r="A870" s="561" t="s">
        <v>87</v>
      </c>
      <c r="B870" s="562">
        <v>2021</v>
      </c>
      <c r="C870" s="561" t="s">
        <v>699</v>
      </c>
      <c r="D870" s="561" t="s">
        <v>1244</v>
      </c>
      <c r="E870" s="561" t="s">
        <v>701</v>
      </c>
      <c r="F870" s="563">
        <v>0</v>
      </c>
      <c r="G870" s="564"/>
      <c r="H870" s="561" t="s">
        <v>654</v>
      </c>
      <c r="I870" s="565"/>
      <c r="J870" s="565"/>
      <c r="K870" s="563">
        <v>0</v>
      </c>
      <c r="L870" s="566">
        <v>0</v>
      </c>
    </row>
    <row r="871" spans="1:12" ht="22.5" x14ac:dyDescent="0.2">
      <c r="A871" s="561" t="s">
        <v>87</v>
      </c>
      <c r="B871" s="562">
        <v>2021</v>
      </c>
      <c r="C871" s="561" t="s">
        <v>702</v>
      </c>
      <c r="D871" s="561" t="s">
        <v>1245</v>
      </c>
      <c r="E871" s="561" t="s">
        <v>704</v>
      </c>
      <c r="F871" s="563">
        <v>-95664.73</v>
      </c>
      <c r="G871" s="564"/>
      <c r="H871" s="561" t="s">
        <v>654</v>
      </c>
      <c r="I871" s="565"/>
      <c r="J871" s="565"/>
      <c r="K871" s="563">
        <v>0</v>
      </c>
      <c r="L871" s="566">
        <v>-95664.73</v>
      </c>
    </row>
    <row r="872" spans="1:12" ht="33.75" x14ac:dyDescent="0.2">
      <c r="A872" s="561" t="s">
        <v>87</v>
      </c>
      <c r="B872" s="562">
        <v>2021</v>
      </c>
      <c r="C872" s="561" t="s">
        <v>705</v>
      </c>
      <c r="D872" s="561" t="s">
        <v>1246</v>
      </c>
      <c r="E872" s="561" t="s">
        <v>1</v>
      </c>
      <c r="F872" s="563">
        <v>-860387.05</v>
      </c>
      <c r="G872" s="561" t="s">
        <v>654</v>
      </c>
      <c r="H872" s="564"/>
      <c r="I872" s="563">
        <v>-850900.5</v>
      </c>
      <c r="J872" s="563">
        <v>-9486.5595703125</v>
      </c>
      <c r="K872" s="563">
        <v>-860387.0625</v>
      </c>
      <c r="L872" s="566">
        <v>-860387.05</v>
      </c>
    </row>
    <row r="873" spans="1:12" ht="22.5" x14ac:dyDescent="0.2">
      <c r="A873" s="561" t="s">
        <v>87</v>
      </c>
      <c r="B873" s="562">
        <v>2021</v>
      </c>
      <c r="C873" s="561" t="s">
        <v>705</v>
      </c>
      <c r="D873" s="561" t="s">
        <v>1246</v>
      </c>
      <c r="E873" s="561" t="s">
        <v>707</v>
      </c>
      <c r="F873" s="563">
        <v>0</v>
      </c>
      <c r="G873" s="564"/>
      <c r="H873" s="564"/>
      <c r="I873" s="565"/>
      <c r="J873" s="565"/>
      <c r="K873" s="563">
        <v>0</v>
      </c>
      <c r="L873" s="566">
        <v>0</v>
      </c>
    </row>
    <row r="874" spans="1:12" ht="22.5" x14ac:dyDescent="0.2">
      <c r="A874" s="561" t="s">
        <v>87</v>
      </c>
      <c r="B874" s="562">
        <v>2021</v>
      </c>
      <c r="C874" s="561" t="s">
        <v>705</v>
      </c>
      <c r="D874" s="561" t="s">
        <v>1246</v>
      </c>
      <c r="E874" s="561" t="s">
        <v>708</v>
      </c>
      <c r="F874" s="563">
        <v>0</v>
      </c>
      <c r="G874" s="564"/>
      <c r="H874" s="564"/>
      <c r="I874" s="565"/>
      <c r="J874" s="565"/>
      <c r="K874" s="563">
        <v>0</v>
      </c>
      <c r="L874" s="566">
        <v>0</v>
      </c>
    </row>
    <row r="875" spans="1:12" ht="22.5" x14ac:dyDescent="0.2">
      <c r="A875" s="561" t="s">
        <v>87</v>
      </c>
      <c r="B875" s="562">
        <v>2021</v>
      </c>
      <c r="C875" s="561" t="s">
        <v>705</v>
      </c>
      <c r="D875" s="561" t="s">
        <v>1246</v>
      </c>
      <c r="E875" s="561" t="s">
        <v>709</v>
      </c>
      <c r="F875" s="563">
        <v>-3187.32</v>
      </c>
      <c r="G875" s="564"/>
      <c r="H875" s="564"/>
      <c r="I875" s="565"/>
      <c r="J875" s="565"/>
      <c r="K875" s="563">
        <v>0</v>
      </c>
      <c r="L875" s="566">
        <v>-3187.32</v>
      </c>
    </row>
    <row r="876" spans="1:12" ht="22.5" x14ac:dyDescent="0.2">
      <c r="A876" s="561" t="s">
        <v>87</v>
      </c>
      <c r="B876" s="562">
        <v>2021</v>
      </c>
      <c r="C876" s="561" t="s">
        <v>705</v>
      </c>
      <c r="D876" s="561" t="s">
        <v>1246</v>
      </c>
      <c r="E876" s="561" t="s">
        <v>710</v>
      </c>
      <c r="F876" s="563">
        <v>-108037.03</v>
      </c>
      <c r="G876" s="564"/>
      <c r="H876" s="564"/>
      <c r="I876" s="565"/>
      <c r="J876" s="565"/>
      <c r="K876" s="563">
        <v>0</v>
      </c>
      <c r="L876" s="566">
        <v>-108037.03</v>
      </c>
    </row>
    <row r="877" spans="1:12" ht="15" x14ac:dyDescent="0.2">
      <c r="A877" s="561" t="s">
        <v>87</v>
      </c>
      <c r="B877" s="562">
        <v>2021</v>
      </c>
      <c r="C877" s="561" t="s">
        <v>711</v>
      </c>
      <c r="D877" s="561" t="s">
        <v>1247</v>
      </c>
      <c r="E877" s="561" t="s">
        <v>713</v>
      </c>
      <c r="F877" s="563">
        <v>118.91</v>
      </c>
      <c r="G877" s="564"/>
      <c r="H877" s="561" t="s">
        <v>654</v>
      </c>
      <c r="I877" s="565"/>
      <c r="J877" s="565"/>
      <c r="K877" s="563">
        <v>0</v>
      </c>
      <c r="L877" s="566">
        <v>118.91</v>
      </c>
    </row>
    <row r="878" spans="1:12" ht="33.75" x14ac:dyDescent="0.2">
      <c r="A878" s="561" t="s">
        <v>87</v>
      </c>
      <c r="B878" s="562">
        <v>2021</v>
      </c>
      <c r="C878" s="561" t="s">
        <v>714</v>
      </c>
      <c r="D878" s="561" t="s">
        <v>1248</v>
      </c>
      <c r="E878" s="561" t="s">
        <v>2</v>
      </c>
      <c r="F878" s="563">
        <v>494304.97</v>
      </c>
      <c r="G878" s="561" t="s">
        <v>654</v>
      </c>
      <c r="H878" s="564"/>
      <c r="I878" s="563">
        <v>489446.46875</v>
      </c>
      <c r="J878" s="563">
        <v>4858.5</v>
      </c>
      <c r="K878" s="563">
        <v>494304.96875</v>
      </c>
      <c r="L878" s="566">
        <v>494304.97</v>
      </c>
    </row>
    <row r="879" spans="1:12" ht="33.75" x14ac:dyDescent="0.2">
      <c r="A879" s="561" t="s">
        <v>87</v>
      </c>
      <c r="B879" s="562">
        <v>2021</v>
      </c>
      <c r="C879" s="561" t="s">
        <v>716</v>
      </c>
      <c r="D879" s="561" t="s">
        <v>1249</v>
      </c>
      <c r="E879" s="561" t="s">
        <v>3</v>
      </c>
      <c r="F879" s="563">
        <v>-298035.51</v>
      </c>
      <c r="G879" s="561" t="s">
        <v>654</v>
      </c>
      <c r="H879" s="564"/>
      <c r="I879" s="563">
        <v>-290333.78125</v>
      </c>
      <c r="J879" s="563">
        <v>-7701.740234375</v>
      </c>
      <c r="K879" s="563">
        <v>-298035.5</v>
      </c>
      <c r="L879" s="566">
        <v>-298035.51</v>
      </c>
    </row>
    <row r="880" spans="1:12" ht="33.75" x14ac:dyDescent="0.2">
      <c r="A880" s="561" t="s">
        <v>87</v>
      </c>
      <c r="B880" s="562">
        <v>2021</v>
      </c>
      <c r="C880" s="561" t="s">
        <v>718</v>
      </c>
      <c r="D880" s="561" t="s">
        <v>1250</v>
      </c>
      <c r="E880" s="561" t="s">
        <v>38</v>
      </c>
      <c r="F880" s="563">
        <v>283572.96999999997</v>
      </c>
      <c r="G880" s="561" t="s">
        <v>654</v>
      </c>
      <c r="H880" s="564"/>
      <c r="I880" s="563">
        <v>280580.625</v>
      </c>
      <c r="J880" s="563">
        <v>2992.35009765625</v>
      </c>
      <c r="K880" s="563">
        <v>283572.96875</v>
      </c>
      <c r="L880" s="566">
        <v>283572.96999999997</v>
      </c>
    </row>
    <row r="881" spans="1:12" ht="22.5" x14ac:dyDescent="0.2">
      <c r="A881" s="561" t="s">
        <v>87</v>
      </c>
      <c r="B881" s="562">
        <v>2021</v>
      </c>
      <c r="C881" s="561" t="s">
        <v>720</v>
      </c>
      <c r="D881" s="561" t="s">
        <v>1251</v>
      </c>
      <c r="E881" s="561" t="s">
        <v>66</v>
      </c>
      <c r="F881" s="563">
        <v>628437.73</v>
      </c>
      <c r="G881" s="561" t="s">
        <v>654</v>
      </c>
      <c r="H881" s="564"/>
      <c r="I881" s="563">
        <v>587749.75</v>
      </c>
      <c r="J881" s="563">
        <v>40687.94921875</v>
      </c>
      <c r="K881" s="563">
        <v>628437.75</v>
      </c>
      <c r="L881" s="566">
        <v>628437.73</v>
      </c>
    </row>
    <row r="882" spans="1:12" ht="45" x14ac:dyDescent="0.2">
      <c r="A882" s="561" t="s">
        <v>87</v>
      </c>
      <c r="B882" s="562">
        <v>2021</v>
      </c>
      <c r="C882" s="561" t="s">
        <v>722</v>
      </c>
      <c r="D882" s="561" t="s">
        <v>1252</v>
      </c>
      <c r="E882" s="561" t="s">
        <v>724</v>
      </c>
      <c r="F882" s="563">
        <v>-845664</v>
      </c>
      <c r="G882" s="564"/>
      <c r="H882" s="561" t="s">
        <v>654</v>
      </c>
      <c r="I882" s="565"/>
      <c r="J882" s="565"/>
      <c r="K882" s="563">
        <v>0</v>
      </c>
      <c r="L882" s="566">
        <v>-845664</v>
      </c>
    </row>
    <row r="883" spans="1:12" ht="45" x14ac:dyDescent="0.2">
      <c r="A883" s="561" t="s">
        <v>87</v>
      </c>
      <c r="B883" s="562">
        <v>2021</v>
      </c>
      <c r="C883" s="561" t="s">
        <v>725</v>
      </c>
      <c r="D883" s="561" t="s">
        <v>1253</v>
      </c>
      <c r="E883" s="561" t="s">
        <v>3024</v>
      </c>
      <c r="F883" s="563">
        <v>0</v>
      </c>
      <c r="G883" s="561" t="s">
        <v>654</v>
      </c>
      <c r="H883" s="564"/>
      <c r="I883" s="563">
        <v>15691.9501953125</v>
      </c>
      <c r="J883" s="563">
        <v>7541.18017578125</v>
      </c>
      <c r="K883" s="563">
        <v>23233.130859375</v>
      </c>
      <c r="L883" s="566">
        <v>23233.13</v>
      </c>
    </row>
    <row r="884" spans="1:12" ht="45" x14ac:dyDescent="0.2">
      <c r="A884" s="561" t="s">
        <v>87</v>
      </c>
      <c r="B884" s="562">
        <v>2021</v>
      </c>
      <c r="C884" s="561" t="s">
        <v>725</v>
      </c>
      <c r="D884" s="561" t="s">
        <v>1253</v>
      </c>
      <c r="E884" s="561" t="s">
        <v>3066</v>
      </c>
      <c r="F884" s="563">
        <v>0</v>
      </c>
      <c r="G884" s="561" t="s">
        <v>654</v>
      </c>
      <c r="H884" s="564"/>
      <c r="I884" s="563">
        <v>1241132.125</v>
      </c>
      <c r="J884" s="563">
        <v>-5504.89013671875</v>
      </c>
      <c r="K884" s="563">
        <v>1235627.25</v>
      </c>
      <c r="L884" s="566">
        <v>1235627.26</v>
      </c>
    </row>
    <row r="885" spans="1:12" ht="45" x14ac:dyDescent="0.2">
      <c r="A885" s="561" t="s">
        <v>87</v>
      </c>
      <c r="B885" s="562">
        <v>2021</v>
      </c>
      <c r="C885" s="561" t="s">
        <v>725</v>
      </c>
      <c r="D885" s="561" t="s">
        <v>1254</v>
      </c>
      <c r="E885" s="561" t="s">
        <v>728</v>
      </c>
      <c r="F885" s="563">
        <v>0</v>
      </c>
      <c r="G885" s="561" t="s">
        <v>654</v>
      </c>
      <c r="H885" s="564"/>
      <c r="I885" s="565"/>
      <c r="J885" s="565"/>
      <c r="K885" s="563">
        <v>0</v>
      </c>
      <c r="L885" s="566">
        <v>0</v>
      </c>
    </row>
    <row r="886" spans="1:12" ht="45" x14ac:dyDescent="0.2">
      <c r="A886" s="561" t="s">
        <v>87</v>
      </c>
      <c r="B886" s="562">
        <v>2021</v>
      </c>
      <c r="C886" s="561" t="s">
        <v>725</v>
      </c>
      <c r="D886" s="561" t="s">
        <v>1255</v>
      </c>
      <c r="E886" s="561" t="s">
        <v>55</v>
      </c>
      <c r="F886" s="563">
        <v>0</v>
      </c>
      <c r="G886" s="561" t="s">
        <v>654</v>
      </c>
      <c r="H886" s="564"/>
      <c r="I886" s="565"/>
      <c r="J886" s="565"/>
      <c r="K886" s="563">
        <v>0</v>
      </c>
      <c r="L886" s="566">
        <v>0</v>
      </c>
    </row>
    <row r="887" spans="1:12" ht="45" x14ac:dyDescent="0.2">
      <c r="A887" s="561" t="s">
        <v>87</v>
      </c>
      <c r="B887" s="562">
        <v>2021</v>
      </c>
      <c r="C887" s="561" t="s">
        <v>725</v>
      </c>
      <c r="D887" s="561" t="s">
        <v>1256</v>
      </c>
      <c r="E887" s="561" t="s">
        <v>56</v>
      </c>
      <c r="F887" s="563">
        <v>0</v>
      </c>
      <c r="G887" s="561" t="s">
        <v>654</v>
      </c>
      <c r="H887" s="564"/>
      <c r="I887" s="565"/>
      <c r="J887" s="565"/>
      <c r="K887" s="563">
        <v>0</v>
      </c>
      <c r="L887" s="566">
        <v>0</v>
      </c>
    </row>
    <row r="888" spans="1:12" ht="45" x14ac:dyDescent="0.2">
      <c r="A888" s="561" t="s">
        <v>87</v>
      </c>
      <c r="B888" s="562">
        <v>2021</v>
      </c>
      <c r="C888" s="561" t="s">
        <v>725</v>
      </c>
      <c r="D888" s="561" t="s">
        <v>1257</v>
      </c>
      <c r="E888" s="561" t="s">
        <v>732</v>
      </c>
      <c r="F888" s="563">
        <v>0</v>
      </c>
      <c r="G888" s="561" t="s">
        <v>654</v>
      </c>
      <c r="H888" s="564"/>
      <c r="I888" s="565"/>
      <c r="J888" s="565"/>
      <c r="K888" s="563">
        <v>0</v>
      </c>
      <c r="L888" s="566">
        <v>0</v>
      </c>
    </row>
    <row r="889" spans="1:12" ht="45" x14ac:dyDescent="0.2">
      <c r="A889" s="561" t="s">
        <v>87</v>
      </c>
      <c r="B889" s="562">
        <v>2021</v>
      </c>
      <c r="C889" s="561" t="s">
        <v>725</v>
      </c>
      <c r="D889" s="561" t="s">
        <v>1258</v>
      </c>
      <c r="E889" s="561" t="s">
        <v>734</v>
      </c>
      <c r="F889" s="563">
        <v>0</v>
      </c>
      <c r="G889" s="561" t="s">
        <v>654</v>
      </c>
      <c r="H889" s="564"/>
      <c r="I889" s="565"/>
      <c r="J889" s="565"/>
      <c r="K889" s="563">
        <v>0</v>
      </c>
      <c r="L889" s="566">
        <v>0</v>
      </c>
    </row>
    <row r="890" spans="1:12" ht="45" x14ac:dyDescent="0.2">
      <c r="A890" s="561" t="s">
        <v>87</v>
      </c>
      <c r="B890" s="562">
        <v>2021</v>
      </c>
      <c r="C890" s="561" t="s">
        <v>725</v>
      </c>
      <c r="D890" s="561" t="s">
        <v>1259</v>
      </c>
      <c r="E890" s="561" t="s">
        <v>142</v>
      </c>
      <c r="F890" s="563">
        <v>0</v>
      </c>
      <c r="G890" s="561" t="s">
        <v>654</v>
      </c>
      <c r="H890" s="564"/>
      <c r="I890" s="565"/>
      <c r="J890" s="565"/>
      <c r="K890" s="563">
        <v>0</v>
      </c>
      <c r="L890" s="566">
        <v>0</v>
      </c>
    </row>
    <row r="891" spans="1:12" ht="45" x14ac:dyDescent="0.2">
      <c r="A891" s="561" t="s">
        <v>87</v>
      </c>
      <c r="B891" s="562">
        <v>2021</v>
      </c>
      <c r="C891" s="561" t="s">
        <v>725</v>
      </c>
      <c r="D891" s="561" t="s">
        <v>1260</v>
      </c>
      <c r="E891" s="561" t="s">
        <v>143</v>
      </c>
      <c r="F891" s="563">
        <v>0</v>
      </c>
      <c r="G891" s="561" t="s">
        <v>654</v>
      </c>
      <c r="H891" s="564"/>
      <c r="I891" s="565"/>
      <c r="J891" s="565"/>
      <c r="K891" s="563">
        <v>0</v>
      </c>
      <c r="L891" s="566">
        <v>0</v>
      </c>
    </row>
    <row r="892" spans="1:12" ht="45" x14ac:dyDescent="0.2">
      <c r="A892" s="561" t="s">
        <v>87</v>
      </c>
      <c r="B892" s="562">
        <v>2021</v>
      </c>
      <c r="C892" s="561" t="s">
        <v>725</v>
      </c>
      <c r="D892" s="561" t="s">
        <v>1261</v>
      </c>
      <c r="E892" s="561" t="s">
        <v>182</v>
      </c>
      <c r="F892" s="563">
        <v>0</v>
      </c>
      <c r="G892" s="561" t="s">
        <v>654</v>
      </c>
      <c r="H892" s="564"/>
      <c r="I892" s="565"/>
      <c r="J892" s="565"/>
      <c r="K892" s="563">
        <v>0</v>
      </c>
      <c r="L892" s="566">
        <v>0</v>
      </c>
    </row>
    <row r="893" spans="1:12" ht="45" x14ac:dyDescent="0.2">
      <c r="A893" s="561" t="s">
        <v>87</v>
      </c>
      <c r="B893" s="562">
        <v>2021</v>
      </c>
      <c r="C893" s="561" t="s">
        <v>725</v>
      </c>
      <c r="D893" s="561" t="s">
        <v>1262</v>
      </c>
      <c r="E893" s="561" t="s">
        <v>394</v>
      </c>
      <c r="F893" s="563">
        <v>0</v>
      </c>
      <c r="G893" s="561" t="s">
        <v>654</v>
      </c>
      <c r="H893" s="564"/>
      <c r="I893" s="565"/>
      <c r="J893" s="565"/>
      <c r="K893" s="563">
        <v>0</v>
      </c>
      <c r="L893" s="566">
        <v>0</v>
      </c>
    </row>
    <row r="894" spans="1:12" ht="45" x14ac:dyDescent="0.2">
      <c r="A894" s="561" t="s">
        <v>87</v>
      </c>
      <c r="B894" s="562">
        <v>2021</v>
      </c>
      <c r="C894" s="561" t="s">
        <v>725</v>
      </c>
      <c r="D894" s="561" t="s">
        <v>1263</v>
      </c>
      <c r="E894" s="561" t="s">
        <v>425</v>
      </c>
      <c r="F894" s="563">
        <v>0</v>
      </c>
      <c r="G894" s="561" t="s">
        <v>654</v>
      </c>
      <c r="H894" s="564"/>
      <c r="I894" s="565"/>
      <c r="J894" s="565"/>
      <c r="K894" s="563">
        <v>0</v>
      </c>
      <c r="L894" s="566">
        <v>0</v>
      </c>
    </row>
    <row r="895" spans="1:12" ht="45" x14ac:dyDescent="0.2">
      <c r="A895" s="561" t="s">
        <v>87</v>
      </c>
      <c r="B895" s="562">
        <v>2021</v>
      </c>
      <c r="C895" s="561" t="s">
        <v>725</v>
      </c>
      <c r="D895" s="561" t="s">
        <v>3218</v>
      </c>
      <c r="E895" s="561" t="s">
        <v>443</v>
      </c>
      <c r="F895" s="563">
        <v>0</v>
      </c>
      <c r="G895" s="561" t="s">
        <v>654</v>
      </c>
      <c r="H895" s="564"/>
      <c r="I895" s="563">
        <v>281046.8125</v>
      </c>
      <c r="J895" s="563">
        <v>23994.619140625</v>
      </c>
      <c r="K895" s="563">
        <v>305041.4375</v>
      </c>
      <c r="L895" s="566">
        <v>305041.44</v>
      </c>
    </row>
    <row r="896" spans="1:12" ht="45" x14ac:dyDescent="0.2">
      <c r="A896" s="561" t="s">
        <v>87</v>
      </c>
      <c r="B896" s="562">
        <v>2021</v>
      </c>
      <c r="C896" s="561" t="s">
        <v>725</v>
      </c>
      <c r="D896" s="561" t="s">
        <v>1264</v>
      </c>
      <c r="E896" s="561" t="s">
        <v>741</v>
      </c>
      <c r="F896" s="563">
        <v>1563901.83</v>
      </c>
      <c r="G896" s="564"/>
      <c r="H896" s="564"/>
      <c r="I896" s="565"/>
      <c r="J896" s="565"/>
      <c r="K896" s="563">
        <v>0</v>
      </c>
      <c r="L896" s="566">
        <v>1563901.83</v>
      </c>
    </row>
    <row r="897" spans="1:12" ht="22.5" x14ac:dyDescent="0.2">
      <c r="A897" s="561" t="s">
        <v>87</v>
      </c>
      <c r="B897" s="562">
        <v>2021</v>
      </c>
      <c r="C897" s="561" t="s">
        <v>742</v>
      </c>
      <c r="D897" s="561" t="s">
        <v>1265</v>
      </c>
      <c r="E897" s="561" t="s">
        <v>7</v>
      </c>
      <c r="F897" s="563">
        <v>-625370.98</v>
      </c>
      <c r="G897" s="564"/>
      <c r="H897" s="561" t="s">
        <v>654</v>
      </c>
      <c r="I897" s="565"/>
      <c r="J897" s="565"/>
      <c r="K897" s="563">
        <v>0</v>
      </c>
      <c r="L897" s="566">
        <v>-625370.98</v>
      </c>
    </row>
    <row r="898" spans="1:12" ht="22.5" x14ac:dyDescent="0.2">
      <c r="A898" s="561" t="s">
        <v>88</v>
      </c>
      <c r="B898" s="562">
        <v>2021</v>
      </c>
      <c r="C898" s="561" t="s">
        <v>651</v>
      </c>
      <c r="D898" s="561" t="s">
        <v>1266</v>
      </c>
      <c r="E898" s="561" t="s">
        <v>653</v>
      </c>
      <c r="F898" s="563">
        <v>964166.61</v>
      </c>
      <c r="G898" s="564"/>
      <c r="H898" s="561" t="s">
        <v>654</v>
      </c>
      <c r="I898" s="565"/>
      <c r="J898" s="565"/>
      <c r="K898" s="563">
        <v>0</v>
      </c>
      <c r="L898" s="566">
        <v>964166.61</v>
      </c>
    </row>
    <row r="899" spans="1:12" ht="22.5" x14ac:dyDescent="0.2">
      <c r="A899" s="561" t="s">
        <v>88</v>
      </c>
      <c r="B899" s="562">
        <v>2021</v>
      </c>
      <c r="C899" s="561" t="s">
        <v>655</v>
      </c>
      <c r="D899" s="561" t="s">
        <v>1267</v>
      </c>
      <c r="E899" s="561" t="s">
        <v>657</v>
      </c>
      <c r="F899" s="563">
        <v>0</v>
      </c>
      <c r="G899" s="564"/>
      <c r="H899" s="561" t="s">
        <v>654</v>
      </c>
      <c r="I899" s="565"/>
      <c r="J899" s="565"/>
      <c r="K899" s="563">
        <v>0</v>
      </c>
      <c r="L899" s="566">
        <v>0</v>
      </c>
    </row>
    <row r="900" spans="1:12" ht="56.25" x14ac:dyDescent="0.2">
      <c r="A900" s="561" t="s">
        <v>88</v>
      </c>
      <c r="B900" s="562">
        <v>2021</v>
      </c>
      <c r="C900" s="561" t="s">
        <v>658</v>
      </c>
      <c r="D900" s="561" t="s">
        <v>1268</v>
      </c>
      <c r="E900" s="561" t="s">
        <v>447</v>
      </c>
      <c r="F900" s="563">
        <v>0</v>
      </c>
      <c r="G900" s="564"/>
      <c r="H900" s="561" t="s">
        <v>654</v>
      </c>
      <c r="I900" s="565"/>
      <c r="J900" s="565"/>
      <c r="K900" s="563">
        <v>0</v>
      </c>
      <c r="L900" s="566">
        <v>0</v>
      </c>
    </row>
    <row r="901" spans="1:12" ht="22.5" x14ac:dyDescent="0.2">
      <c r="A901" s="561" t="s">
        <v>88</v>
      </c>
      <c r="B901" s="562">
        <v>2021</v>
      </c>
      <c r="C901" s="561" t="s">
        <v>660</v>
      </c>
      <c r="D901" s="561" t="s">
        <v>1269</v>
      </c>
      <c r="E901" s="561" t="s">
        <v>662</v>
      </c>
      <c r="F901" s="563">
        <v>0</v>
      </c>
      <c r="G901" s="564"/>
      <c r="H901" s="561" t="s">
        <v>654</v>
      </c>
      <c r="I901" s="565"/>
      <c r="J901" s="565"/>
      <c r="K901" s="563">
        <v>0</v>
      </c>
      <c r="L901" s="566">
        <v>0</v>
      </c>
    </row>
    <row r="902" spans="1:12" ht="33.75" x14ac:dyDescent="0.2">
      <c r="A902" s="561" t="s">
        <v>88</v>
      </c>
      <c r="B902" s="562">
        <v>2021</v>
      </c>
      <c r="C902" s="561" t="s">
        <v>663</v>
      </c>
      <c r="D902" s="561" t="s">
        <v>1270</v>
      </c>
      <c r="E902" s="561" t="s">
        <v>665</v>
      </c>
      <c r="F902" s="563">
        <v>0</v>
      </c>
      <c r="G902" s="564"/>
      <c r="H902" s="561" t="s">
        <v>654</v>
      </c>
      <c r="I902" s="565"/>
      <c r="J902" s="565"/>
      <c r="K902" s="563">
        <v>0</v>
      </c>
      <c r="L902" s="566">
        <v>0</v>
      </c>
    </row>
    <row r="903" spans="1:12" ht="33.75" x14ac:dyDescent="0.2">
      <c r="A903" s="561" t="s">
        <v>88</v>
      </c>
      <c r="B903" s="562">
        <v>2021</v>
      </c>
      <c r="C903" s="561" t="s">
        <v>666</v>
      </c>
      <c r="D903" s="561" t="s">
        <v>1271</v>
      </c>
      <c r="E903" s="561" t="s">
        <v>668</v>
      </c>
      <c r="F903" s="563">
        <v>0</v>
      </c>
      <c r="G903" s="564"/>
      <c r="H903" s="561" t="s">
        <v>654</v>
      </c>
      <c r="I903" s="565"/>
      <c r="J903" s="565"/>
      <c r="K903" s="563">
        <v>0</v>
      </c>
      <c r="L903" s="566">
        <v>0</v>
      </c>
    </row>
    <row r="904" spans="1:12" ht="56.25" x14ac:dyDescent="0.2">
      <c r="A904" s="561" t="s">
        <v>88</v>
      </c>
      <c r="B904" s="562">
        <v>2021</v>
      </c>
      <c r="C904" s="561" t="s">
        <v>669</v>
      </c>
      <c r="D904" s="561" t="s">
        <v>1272</v>
      </c>
      <c r="E904" s="561" t="s">
        <v>671</v>
      </c>
      <c r="F904" s="563">
        <v>0</v>
      </c>
      <c r="G904" s="564"/>
      <c r="H904" s="561" t="s">
        <v>654</v>
      </c>
      <c r="I904" s="565"/>
      <c r="J904" s="565"/>
      <c r="K904" s="563">
        <v>0</v>
      </c>
      <c r="L904" s="566">
        <v>0</v>
      </c>
    </row>
    <row r="905" spans="1:12" ht="22.5" x14ac:dyDescent="0.2">
      <c r="A905" s="561" t="s">
        <v>88</v>
      </c>
      <c r="B905" s="562">
        <v>2021</v>
      </c>
      <c r="C905" s="561" t="s">
        <v>672</v>
      </c>
      <c r="D905" s="561" t="s">
        <v>1273</v>
      </c>
      <c r="E905" s="561" t="s">
        <v>12</v>
      </c>
      <c r="F905" s="563">
        <v>0</v>
      </c>
      <c r="G905" s="564"/>
      <c r="H905" s="561" t="s">
        <v>654</v>
      </c>
      <c r="I905" s="565"/>
      <c r="J905" s="565"/>
      <c r="K905" s="563">
        <v>0</v>
      </c>
      <c r="L905" s="566">
        <v>0</v>
      </c>
    </row>
    <row r="906" spans="1:12" ht="22.5" x14ac:dyDescent="0.2">
      <c r="A906" s="561" t="s">
        <v>88</v>
      </c>
      <c r="B906" s="562">
        <v>2021</v>
      </c>
      <c r="C906" s="561" t="s">
        <v>674</v>
      </c>
      <c r="D906" s="561" t="s">
        <v>1274</v>
      </c>
      <c r="E906" s="561" t="s">
        <v>13</v>
      </c>
      <c r="F906" s="563">
        <v>0</v>
      </c>
      <c r="G906" s="564"/>
      <c r="H906" s="561" t="s">
        <v>654</v>
      </c>
      <c r="I906" s="565"/>
      <c r="J906" s="565"/>
      <c r="K906" s="563">
        <v>0</v>
      </c>
      <c r="L906" s="566">
        <v>0</v>
      </c>
    </row>
    <row r="907" spans="1:12" ht="33.75" x14ac:dyDescent="0.2">
      <c r="A907" s="561" t="s">
        <v>88</v>
      </c>
      <c r="B907" s="562">
        <v>2021</v>
      </c>
      <c r="C907" s="561" t="s">
        <v>676</v>
      </c>
      <c r="D907" s="561" t="s">
        <v>1275</v>
      </c>
      <c r="E907" s="561" t="s">
        <v>15</v>
      </c>
      <c r="F907" s="563">
        <v>0</v>
      </c>
      <c r="G907" s="564"/>
      <c r="H907" s="561" t="s">
        <v>654</v>
      </c>
      <c r="I907" s="565"/>
      <c r="J907" s="565"/>
      <c r="K907" s="563">
        <v>0</v>
      </c>
      <c r="L907" s="566">
        <v>0</v>
      </c>
    </row>
    <row r="908" spans="1:12" ht="22.5" x14ac:dyDescent="0.2">
      <c r="A908" s="561" t="s">
        <v>88</v>
      </c>
      <c r="B908" s="562">
        <v>2021</v>
      </c>
      <c r="C908" s="561" t="s">
        <v>678</v>
      </c>
      <c r="D908" s="561" t="s">
        <v>1276</v>
      </c>
      <c r="E908" s="561" t="s">
        <v>680</v>
      </c>
      <c r="F908" s="563">
        <v>0</v>
      </c>
      <c r="G908" s="564"/>
      <c r="H908" s="561" t="s">
        <v>654</v>
      </c>
      <c r="I908" s="565"/>
      <c r="J908" s="565"/>
      <c r="K908" s="563">
        <v>0</v>
      </c>
      <c r="L908" s="566">
        <v>0</v>
      </c>
    </row>
    <row r="909" spans="1:12" ht="22.5" x14ac:dyDescent="0.2">
      <c r="A909" s="561" t="s">
        <v>88</v>
      </c>
      <c r="B909" s="562">
        <v>2021</v>
      </c>
      <c r="C909" s="561" t="s">
        <v>681</v>
      </c>
      <c r="D909" s="561" t="s">
        <v>1277</v>
      </c>
      <c r="E909" s="561" t="s">
        <v>23</v>
      </c>
      <c r="F909" s="563">
        <v>-122728.25</v>
      </c>
      <c r="G909" s="561" t="s">
        <v>654</v>
      </c>
      <c r="H909" s="564"/>
      <c r="I909" s="563">
        <v>-110838.3671875</v>
      </c>
      <c r="J909" s="563">
        <v>-11889.8798828125</v>
      </c>
      <c r="K909" s="563">
        <v>-122728.25</v>
      </c>
      <c r="L909" s="566">
        <v>-122728.25</v>
      </c>
    </row>
    <row r="910" spans="1:12" ht="33.75" x14ac:dyDescent="0.2">
      <c r="A910" s="561" t="s">
        <v>88</v>
      </c>
      <c r="B910" s="562">
        <v>2021</v>
      </c>
      <c r="C910" s="561" t="s">
        <v>683</v>
      </c>
      <c r="D910" s="561" t="s">
        <v>1278</v>
      </c>
      <c r="E910" s="561" t="s">
        <v>131</v>
      </c>
      <c r="F910" s="563">
        <v>-5629.47</v>
      </c>
      <c r="G910" s="561" t="s">
        <v>654</v>
      </c>
      <c r="H910" s="564"/>
      <c r="I910" s="563">
        <v>-5277.2001953125</v>
      </c>
      <c r="J910" s="563">
        <v>-352.26998901367199</v>
      </c>
      <c r="K910" s="563">
        <v>-5629.47021484375</v>
      </c>
      <c r="L910" s="566">
        <v>-5629.47</v>
      </c>
    </row>
    <row r="911" spans="1:12" ht="33.75" x14ac:dyDescent="0.2">
      <c r="A911" s="561" t="s">
        <v>88</v>
      </c>
      <c r="B911" s="562">
        <v>2021</v>
      </c>
      <c r="C911" s="561" t="s">
        <v>685</v>
      </c>
      <c r="D911" s="561" t="s">
        <v>1279</v>
      </c>
      <c r="E911" s="561" t="s">
        <v>687</v>
      </c>
      <c r="F911" s="563">
        <v>14637.03</v>
      </c>
      <c r="G911" s="564"/>
      <c r="H911" s="561" t="s">
        <v>654</v>
      </c>
      <c r="I911" s="565"/>
      <c r="J911" s="565"/>
      <c r="K911" s="563">
        <v>0</v>
      </c>
      <c r="L911" s="566">
        <v>14637.03</v>
      </c>
    </row>
    <row r="912" spans="1:12" ht="33.75" x14ac:dyDescent="0.2">
      <c r="A912" s="561" t="s">
        <v>88</v>
      </c>
      <c r="B912" s="562">
        <v>2021</v>
      </c>
      <c r="C912" s="561" t="s">
        <v>685</v>
      </c>
      <c r="D912" s="561" t="s">
        <v>1279</v>
      </c>
      <c r="E912" s="561" t="s">
        <v>688</v>
      </c>
      <c r="F912" s="563">
        <v>0</v>
      </c>
      <c r="G912" s="564"/>
      <c r="H912" s="561" t="s">
        <v>654</v>
      </c>
      <c r="I912" s="565"/>
      <c r="J912" s="565"/>
      <c r="K912" s="563">
        <v>0</v>
      </c>
      <c r="L912" s="566">
        <v>0</v>
      </c>
    </row>
    <row r="913" spans="1:12" ht="22.5" x14ac:dyDescent="0.2">
      <c r="A913" s="561" t="s">
        <v>88</v>
      </c>
      <c r="B913" s="562">
        <v>2021</v>
      </c>
      <c r="C913" s="561" t="s">
        <v>689</v>
      </c>
      <c r="D913" s="561" t="s">
        <v>1280</v>
      </c>
      <c r="E913" s="561" t="s">
        <v>691</v>
      </c>
      <c r="F913" s="563">
        <v>0</v>
      </c>
      <c r="G913" s="564"/>
      <c r="H913" s="561" t="s">
        <v>654</v>
      </c>
      <c r="I913" s="565"/>
      <c r="J913" s="565"/>
      <c r="K913" s="563">
        <v>0</v>
      </c>
      <c r="L913" s="566">
        <v>0</v>
      </c>
    </row>
    <row r="914" spans="1:12" ht="22.5" x14ac:dyDescent="0.2">
      <c r="A914" s="561" t="s">
        <v>88</v>
      </c>
      <c r="B914" s="562">
        <v>2021</v>
      </c>
      <c r="C914" s="561" t="s">
        <v>692</v>
      </c>
      <c r="D914" s="561" t="s">
        <v>1281</v>
      </c>
      <c r="E914" s="561" t="s">
        <v>50</v>
      </c>
      <c r="F914" s="563">
        <v>0</v>
      </c>
      <c r="G914" s="564"/>
      <c r="H914" s="561" t="s">
        <v>654</v>
      </c>
      <c r="I914" s="565"/>
      <c r="J914" s="565"/>
      <c r="K914" s="563">
        <v>0</v>
      </c>
      <c r="L914" s="566">
        <v>0</v>
      </c>
    </row>
    <row r="915" spans="1:12" ht="22.5" x14ac:dyDescent="0.2">
      <c r="A915" s="561" t="s">
        <v>88</v>
      </c>
      <c r="B915" s="562">
        <v>2021</v>
      </c>
      <c r="C915" s="561" t="s">
        <v>694</v>
      </c>
      <c r="D915" s="561" t="s">
        <v>1282</v>
      </c>
      <c r="E915" s="561" t="s">
        <v>696</v>
      </c>
      <c r="F915" s="563">
        <v>0</v>
      </c>
      <c r="G915" s="564"/>
      <c r="H915" s="561" t="s">
        <v>654</v>
      </c>
      <c r="I915" s="565"/>
      <c r="J915" s="565"/>
      <c r="K915" s="563">
        <v>0</v>
      </c>
      <c r="L915" s="566">
        <v>0</v>
      </c>
    </row>
    <row r="916" spans="1:12" ht="22.5" x14ac:dyDescent="0.2">
      <c r="A916" s="561" t="s">
        <v>88</v>
      </c>
      <c r="B916" s="562">
        <v>2021</v>
      </c>
      <c r="C916" s="561" t="s">
        <v>697</v>
      </c>
      <c r="D916" s="561" t="s">
        <v>1283</v>
      </c>
      <c r="E916" s="561" t="s">
        <v>6</v>
      </c>
      <c r="F916" s="563">
        <v>0</v>
      </c>
      <c r="G916" s="564"/>
      <c r="H916" s="561" t="s">
        <v>654</v>
      </c>
      <c r="I916" s="565"/>
      <c r="J916" s="565"/>
      <c r="K916" s="563">
        <v>0</v>
      </c>
      <c r="L916" s="566">
        <v>0</v>
      </c>
    </row>
    <row r="917" spans="1:12" ht="33.75" x14ac:dyDescent="0.2">
      <c r="A917" s="561" t="s">
        <v>88</v>
      </c>
      <c r="B917" s="562">
        <v>2021</v>
      </c>
      <c r="C917" s="561" t="s">
        <v>699</v>
      </c>
      <c r="D917" s="561" t="s">
        <v>1284</v>
      </c>
      <c r="E917" s="561" t="s">
        <v>701</v>
      </c>
      <c r="F917" s="563">
        <v>0</v>
      </c>
      <c r="G917" s="564"/>
      <c r="H917" s="561" t="s">
        <v>654</v>
      </c>
      <c r="I917" s="565"/>
      <c r="J917" s="565"/>
      <c r="K917" s="563">
        <v>0</v>
      </c>
      <c r="L917" s="566">
        <v>0</v>
      </c>
    </row>
    <row r="918" spans="1:12" ht="22.5" x14ac:dyDescent="0.2">
      <c r="A918" s="561" t="s">
        <v>88</v>
      </c>
      <c r="B918" s="562">
        <v>2021</v>
      </c>
      <c r="C918" s="561" t="s">
        <v>702</v>
      </c>
      <c r="D918" s="561" t="s">
        <v>1285</v>
      </c>
      <c r="E918" s="561" t="s">
        <v>704</v>
      </c>
      <c r="F918" s="563">
        <v>0</v>
      </c>
      <c r="G918" s="564"/>
      <c r="H918" s="561" t="s">
        <v>654</v>
      </c>
      <c r="I918" s="565"/>
      <c r="J918" s="565"/>
      <c r="K918" s="563">
        <v>0</v>
      </c>
      <c r="L918" s="566">
        <v>0</v>
      </c>
    </row>
    <row r="919" spans="1:12" ht="33.75" x14ac:dyDescent="0.2">
      <c r="A919" s="561" t="s">
        <v>88</v>
      </c>
      <c r="B919" s="562">
        <v>2021</v>
      </c>
      <c r="C919" s="561" t="s">
        <v>705</v>
      </c>
      <c r="D919" s="561" t="s">
        <v>1286</v>
      </c>
      <c r="E919" s="561" t="s">
        <v>1</v>
      </c>
      <c r="F919" s="563">
        <v>-91232.22</v>
      </c>
      <c r="G919" s="561" t="s">
        <v>654</v>
      </c>
      <c r="H919" s="564"/>
      <c r="I919" s="563">
        <v>-80975.359375</v>
      </c>
      <c r="J919" s="563">
        <v>-10256.8603515625</v>
      </c>
      <c r="K919" s="563">
        <v>-91232.21875</v>
      </c>
      <c r="L919" s="566">
        <v>-91232.22</v>
      </c>
    </row>
    <row r="920" spans="1:12" ht="22.5" x14ac:dyDescent="0.2">
      <c r="A920" s="561" t="s">
        <v>88</v>
      </c>
      <c r="B920" s="562">
        <v>2021</v>
      </c>
      <c r="C920" s="561" t="s">
        <v>705</v>
      </c>
      <c r="D920" s="561" t="s">
        <v>1286</v>
      </c>
      <c r="E920" s="561" t="s">
        <v>707</v>
      </c>
      <c r="F920" s="563">
        <v>0</v>
      </c>
      <c r="G920" s="564"/>
      <c r="H920" s="564"/>
      <c r="I920" s="565"/>
      <c r="J920" s="565"/>
      <c r="K920" s="563">
        <v>0</v>
      </c>
      <c r="L920" s="566">
        <v>0</v>
      </c>
    </row>
    <row r="921" spans="1:12" ht="22.5" x14ac:dyDescent="0.2">
      <c r="A921" s="561" t="s">
        <v>88</v>
      </c>
      <c r="B921" s="562">
        <v>2021</v>
      </c>
      <c r="C921" s="561" t="s">
        <v>705</v>
      </c>
      <c r="D921" s="561" t="s">
        <v>1286</v>
      </c>
      <c r="E921" s="561" t="s">
        <v>708</v>
      </c>
      <c r="F921" s="563">
        <v>0</v>
      </c>
      <c r="G921" s="564"/>
      <c r="H921" s="564"/>
      <c r="I921" s="565"/>
      <c r="J921" s="565"/>
      <c r="K921" s="563">
        <v>0</v>
      </c>
      <c r="L921" s="566">
        <v>0</v>
      </c>
    </row>
    <row r="922" spans="1:12" ht="22.5" x14ac:dyDescent="0.2">
      <c r="A922" s="561" t="s">
        <v>88</v>
      </c>
      <c r="B922" s="562">
        <v>2021</v>
      </c>
      <c r="C922" s="561" t="s">
        <v>705</v>
      </c>
      <c r="D922" s="561" t="s">
        <v>1286</v>
      </c>
      <c r="E922" s="561" t="s">
        <v>709</v>
      </c>
      <c r="F922" s="563">
        <v>0</v>
      </c>
      <c r="G922" s="564"/>
      <c r="H922" s="564"/>
      <c r="I922" s="565"/>
      <c r="J922" s="565"/>
      <c r="K922" s="563">
        <v>0</v>
      </c>
      <c r="L922" s="566">
        <v>0</v>
      </c>
    </row>
    <row r="923" spans="1:12" ht="22.5" x14ac:dyDescent="0.2">
      <c r="A923" s="561" t="s">
        <v>88</v>
      </c>
      <c r="B923" s="562">
        <v>2021</v>
      </c>
      <c r="C923" s="561" t="s">
        <v>705</v>
      </c>
      <c r="D923" s="561" t="s">
        <v>1286</v>
      </c>
      <c r="E923" s="561" t="s">
        <v>710</v>
      </c>
      <c r="F923" s="563">
        <v>0</v>
      </c>
      <c r="G923" s="564"/>
      <c r="H923" s="564"/>
      <c r="I923" s="565"/>
      <c r="J923" s="565"/>
      <c r="K923" s="563">
        <v>0</v>
      </c>
      <c r="L923" s="566">
        <v>0</v>
      </c>
    </row>
    <row r="924" spans="1:12" ht="22.5" x14ac:dyDescent="0.2">
      <c r="A924" s="561" t="s">
        <v>88</v>
      </c>
      <c r="B924" s="562">
        <v>2021</v>
      </c>
      <c r="C924" s="561" t="s">
        <v>711</v>
      </c>
      <c r="D924" s="561" t="s">
        <v>1287</v>
      </c>
      <c r="E924" s="561" t="s">
        <v>713</v>
      </c>
      <c r="F924" s="563">
        <v>0</v>
      </c>
      <c r="G924" s="564"/>
      <c r="H924" s="561" t="s">
        <v>654</v>
      </c>
      <c r="I924" s="565"/>
      <c r="J924" s="565"/>
      <c r="K924" s="563">
        <v>0</v>
      </c>
      <c r="L924" s="566">
        <v>0</v>
      </c>
    </row>
    <row r="925" spans="1:12" ht="33.75" x14ac:dyDescent="0.2">
      <c r="A925" s="561" t="s">
        <v>88</v>
      </c>
      <c r="B925" s="562">
        <v>2021</v>
      </c>
      <c r="C925" s="561" t="s">
        <v>714</v>
      </c>
      <c r="D925" s="561" t="s">
        <v>1288</v>
      </c>
      <c r="E925" s="561" t="s">
        <v>2</v>
      </c>
      <c r="F925" s="563">
        <v>32637.73</v>
      </c>
      <c r="G925" s="561" t="s">
        <v>654</v>
      </c>
      <c r="H925" s="564"/>
      <c r="I925" s="563">
        <v>35306.66015625</v>
      </c>
      <c r="J925" s="563">
        <v>-2668.92993164063</v>
      </c>
      <c r="K925" s="563">
        <v>32637.73046875</v>
      </c>
      <c r="L925" s="566">
        <v>32637.73</v>
      </c>
    </row>
    <row r="926" spans="1:12" ht="33.75" x14ac:dyDescent="0.2">
      <c r="A926" s="561" t="s">
        <v>88</v>
      </c>
      <c r="B926" s="562">
        <v>2021</v>
      </c>
      <c r="C926" s="561" t="s">
        <v>716</v>
      </c>
      <c r="D926" s="561" t="s">
        <v>1289</v>
      </c>
      <c r="E926" s="561" t="s">
        <v>3</v>
      </c>
      <c r="F926" s="563">
        <v>977894.84</v>
      </c>
      <c r="G926" s="561" t="s">
        <v>654</v>
      </c>
      <c r="H926" s="564"/>
      <c r="I926" s="563">
        <v>931853.875</v>
      </c>
      <c r="J926" s="563">
        <v>46040.98828125</v>
      </c>
      <c r="K926" s="563">
        <v>977894.8125</v>
      </c>
      <c r="L926" s="566">
        <v>977894.84</v>
      </c>
    </row>
    <row r="927" spans="1:12" ht="33.75" x14ac:dyDescent="0.2">
      <c r="A927" s="561" t="s">
        <v>88</v>
      </c>
      <c r="B927" s="562">
        <v>2021</v>
      </c>
      <c r="C927" s="561" t="s">
        <v>718</v>
      </c>
      <c r="D927" s="561" t="s">
        <v>1290</v>
      </c>
      <c r="E927" s="561" t="s">
        <v>38</v>
      </c>
      <c r="F927" s="563">
        <v>132141.54</v>
      </c>
      <c r="G927" s="561" t="s">
        <v>654</v>
      </c>
      <c r="H927" s="564"/>
      <c r="I927" s="563">
        <v>159615.34375</v>
      </c>
      <c r="J927" s="563">
        <v>-27473.80078125</v>
      </c>
      <c r="K927" s="563">
        <v>132141.546875</v>
      </c>
      <c r="L927" s="566">
        <v>132141.54</v>
      </c>
    </row>
    <row r="928" spans="1:12" ht="22.5" x14ac:dyDescent="0.2">
      <c r="A928" s="561" t="s">
        <v>88</v>
      </c>
      <c r="B928" s="562">
        <v>2021</v>
      </c>
      <c r="C928" s="561" t="s">
        <v>720</v>
      </c>
      <c r="D928" s="561" t="s">
        <v>1291</v>
      </c>
      <c r="E928" s="561" t="s">
        <v>66</v>
      </c>
      <c r="F928" s="563">
        <v>159912.54999999999</v>
      </c>
      <c r="G928" s="561" t="s">
        <v>654</v>
      </c>
      <c r="H928" s="564"/>
      <c r="I928" s="563">
        <v>154629.1875</v>
      </c>
      <c r="J928" s="563">
        <v>5283.35986328125</v>
      </c>
      <c r="K928" s="563">
        <v>159912.546875</v>
      </c>
      <c r="L928" s="566">
        <v>159912.54999999999</v>
      </c>
    </row>
    <row r="929" spans="1:12" ht="45" x14ac:dyDescent="0.2">
      <c r="A929" s="561" t="s">
        <v>88</v>
      </c>
      <c r="B929" s="562">
        <v>2021</v>
      </c>
      <c r="C929" s="561" t="s">
        <v>722</v>
      </c>
      <c r="D929" s="561" t="s">
        <v>1292</v>
      </c>
      <c r="E929" s="561" t="s">
        <v>724</v>
      </c>
      <c r="F929" s="563">
        <v>16151.36</v>
      </c>
      <c r="G929" s="564"/>
      <c r="H929" s="561" t="s">
        <v>654</v>
      </c>
      <c r="I929" s="565"/>
      <c r="J929" s="565"/>
      <c r="K929" s="563">
        <v>0</v>
      </c>
      <c r="L929" s="566">
        <v>16151.36</v>
      </c>
    </row>
    <row r="930" spans="1:12" ht="45" x14ac:dyDescent="0.2">
      <c r="A930" s="561" t="s">
        <v>88</v>
      </c>
      <c r="B930" s="562">
        <v>2021</v>
      </c>
      <c r="C930" s="561" t="s">
        <v>725</v>
      </c>
      <c r="D930" s="561" t="s">
        <v>1293</v>
      </c>
      <c r="E930" s="561" t="s">
        <v>3024</v>
      </c>
      <c r="F930" s="563">
        <v>0</v>
      </c>
      <c r="G930" s="561" t="s">
        <v>654</v>
      </c>
      <c r="H930" s="564"/>
      <c r="I930" s="565"/>
      <c r="J930" s="565"/>
      <c r="K930" s="563">
        <v>0</v>
      </c>
      <c r="L930" s="566">
        <v>0</v>
      </c>
    </row>
    <row r="931" spans="1:12" ht="45" x14ac:dyDescent="0.2">
      <c r="A931" s="561" t="s">
        <v>88</v>
      </c>
      <c r="B931" s="562">
        <v>2021</v>
      </c>
      <c r="C931" s="561" t="s">
        <v>725</v>
      </c>
      <c r="D931" s="561" t="s">
        <v>1293</v>
      </c>
      <c r="E931" s="561" t="s">
        <v>3066</v>
      </c>
      <c r="F931" s="563">
        <v>0</v>
      </c>
      <c r="G931" s="561" t="s">
        <v>654</v>
      </c>
      <c r="H931" s="564"/>
      <c r="I931" s="565"/>
      <c r="J931" s="565"/>
      <c r="K931" s="563">
        <v>0</v>
      </c>
      <c r="L931" s="566">
        <v>0</v>
      </c>
    </row>
    <row r="932" spans="1:12" ht="45" x14ac:dyDescent="0.2">
      <c r="A932" s="561" t="s">
        <v>88</v>
      </c>
      <c r="B932" s="562">
        <v>2021</v>
      </c>
      <c r="C932" s="561" t="s">
        <v>725</v>
      </c>
      <c r="D932" s="561" t="s">
        <v>1294</v>
      </c>
      <c r="E932" s="561" t="s">
        <v>728</v>
      </c>
      <c r="F932" s="563">
        <v>0</v>
      </c>
      <c r="G932" s="561" t="s">
        <v>654</v>
      </c>
      <c r="H932" s="564"/>
      <c r="I932" s="565"/>
      <c r="J932" s="565"/>
      <c r="K932" s="563">
        <v>0</v>
      </c>
      <c r="L932" s="566">
        <v>0</v>
      </c>
    </row>
    <row r="933" spans="1:12" ht="45" x14ac:dyDescent="0.2">
      <c r="A933" s="561" t="s">
        <v>88</v>
      </c>
      <c r="B933" s="562">
        <v>2021</v>
      </c>
      <c r="C933" s="561" t="s">
        <v>725</v>
      </c>
      <c r="D933" s="561" t="s">
        <v>1295</v>
      </c>
      <c r="E933" s="561" t="s">
        <v>55</v>
      </c>
      <c r="F933" s="563">
        <v>0</v>
      </c>
      <c r="G933" s="561" t="s">
        <v>654</v>
      </c>
      <c r="H933" s="564"/>
      <c r="I933" s="565"/>
      <c r="J933" s="565"/>
      <c r="K933" s="563">
        <v>0</v>
      </c>
      <c r="L933" s="566">
        <v>0</v>
      </c>
    </row>
    <row r="934" spans="1:12" ht="45" x14ac:dyDescent="0.2">
      <c r="A934" s="561" t="s">
        <v>88</v>
      </c>
      <c r="B934" s="562">
        <v>2021</v>
      </c>
      <c r="C934" s="561" t="s">
        <v>725</v>
      </c>
      <c r="D934" s="561" t="s">
        <v>1296</v>
      </c>
      <c r="E934" s="561" t="s">
        <v>56</v>
      </c>
      <c r="F934" s="563">
        <v>0</v>
      </c>
      <c r="G934" s="561" t="s">
        <v>654</v>
      </c>
      <c r="H934" s="564"/>
      <c r="I934" s="565"/>
      <c r="J934" s="565"/>
      <c r="K934" s="563">
        <v>0</v>
      </c>
      <c r="L934" s="566">
        <v>0</v>
      </c>
    </row>
    <row r="935" spans="1:12" ht="45" x14ac:dyDescent="0.2">
      <c r="A935" s="561" t="s">
        <v>88</v>
      </c>
      <c r="B935" s="562">
        <v>2021</v>
      </c>
      <c r="C935" s="561" t="s">
        <v>725</v>
      </c>
      <c r="D935" s="561" t="s">
        <v>1297</v>
      </c>
      <c r="E935" s="561" t="s">
        <v>732</v>
      </c>
      <c r="F935" s="563">
        <v>0</v>
      </c>
      <c r="G935" s="561" t="s">
        <v>654</v>
      </c>
      <c r="H935" s="564"/>
      <c r="I935" s="565"/>
      <c r="J935" s="565"/>
      <c r="K935" s="563">
        <v>0</v>
      </c>
      <c r="L935" s="566">
        <v>0</v>
      </c>
    </row>
    <row r="936" spans="1:12" ht="45" x14ac:dyDescent="0.2">
      <c r="A936" s="561" t="s">
        <v>88</v>
      </c>
      <c r="B936" s="562">
        <v>2021</v>
      </c>
      <c r="C936" s="561" t="s">
        <v>725</v>
      </c>
      <c r="D936" s="561" t="s">
        <v>1298</v>
      </c>
      <c r="E936" s="561" t="s">
        <v>734</v>
      </c>
      <c r="F936" s="563">
        <v>0</v>
      </c>
      <c r="G936" s="561" t="s">
        <v>654</v>
      </c>
      <c r="H936" s="564"/>
      <c r="I936" s="563">
        <v>25234.349609375</v>
      </c>
      <c r="J936" s="563">
        <v>-3225.15991210938</v>
      </c>
      <c r="K936" s="563">
        <v>22009.189453125</v>
      </c>
      <c r="L936" s="566">
        <v>22009.19</v>
      </c>
    </row>
    <row r="937" spans="1:12" ht="45" x14ac:dyDescent="0.2">
      <c r="A937" s="561" t="s">
        <v>88</v>
      </c>
      <c r="B937" s="562">
        <v>2021</v>
      </c>
      <c r="C937" s="561" t="s">
        <v>725</v>
      </c>
      <c r="D937" s="561" t="s">
        <v>1299</v>
      </c>
      <c r="E937" s="561" t="s">
        <v>142</v>
      </c>
      <c r="F937" s="563">
        <v>0</v>
      </c>
      <c r="G937" s="561" t="s">
        <v>654</v>
      </c>
      <c r="H937" s="564"/>
      <c r="I937" s="565"/>
      <c r="J937" s="565"/>
      <c r="K937" s="563">
        <v>0</v>
      </c>
      <c r="L937" s="566">
        <v>0</v>
      </c>
    </row>
    <row r="938" spans="1:12" ht="45" x14ac:dyDescent="0.2">
      <c r="A938" s="561" t="s">
        <v>88</v>
      </c>
      <c r="B938" s="562">
        <v>2021</v>
      </c>
      <c r="C938" s="561" t="s">
        <v>725</v>
      </c>
      <c r="D938" s="561" t="s">
        <v>1300</v>
      </c>
      <c r="E938" s="561" t="s">
        <v>143</v>
      </c>
      <c r="F938" s="563">
        <v>0</v>
      </c>
      <c r="G938" s="561" t="s">
        <v>654</v>
      </c>
      <c r="H938" s="564"/>
      <c r="I938" s="563">
        <v>53523.76171875</v>
      </c>
      <c r="J938" s="563">
        <v>-31394.349609375</v>
      </c>
      <c r="K938" s="563">
        <v>22129.41015625</v>
      </c>
      <c r="L938" s="566">
        <v>22129.41</v>
      </c>
    </row>
    <row r="939" spans="1:12" ht="45" x14ac:dyDescent="0.2">
      <c r="A939" s="561" t="s">
        <v>88</v>
      </c>
      <c r="B939" s="562">
        <v>2021</v>
      </c>
      <c r="C939" s="561" t="s">
        <v>725</v>
      </c>
      <c r="D939" s="561" t="s">
        <v>1301</v>
      </c>
      <c r="E939" s="561" t="s">
        <v>182</v>
      </c>
      <c r="F939" s="563">
        <v>0</v>
      </c>
      <c r="G939" s="561" t="s">
        <v>654</v>
      </c>
      <c r="H939" s="564"/>
      <c r="I939" s="565"/>
      <c r="J939" s="565"/>
      <c r="K939" s="563">
        <v>0</v>
      </c>
      <c r="L939" s="566">
        <v>0</v>
      </c>
    </row>
    <row r="940" spans="1:12" ht="45" x14ac:dyDescent="0.2">
      <c r="A940" s="561" t="s">
        <v>88</v>
      </c>
      <c r="B940" s="562">
        <v>2021</v>
      </c>
      <c r="C940" s="561" t="s">
        <v>725</v>
      </c>
      <c r="D940" s="561" t="s">
        <v>1302</v>
      </c>
      <c r="E940" s="561" t="s">
        <v>394</v>
      </c>
      <c r="F940" s="563">
        <v>0</v>
      </c>
      <c r="G940" s="561" t="s">
        <v>654</v>
      </c>
      <c r="H940" s="564"/>
      <c r="I940" s="563">
        <v>7251.27001953125</v>
      </c>
      <c r="J940" s="563">
        <v>-8812.33984375</v>
      </c>
      <c r="K940" s="563">
        <v>-1561.06994628906</v>
      </c>
      <c r="L940" s="566">
        <v>-1561.07</v>
      </c>
    </row>
    <row r="941" spans="1:12" ht="45" x14ac:dyDescent="0.2">
      <c r="A941" s="561" t="s">
        <v>88</v>
      </c>
      <c r="B941" s="562">
        <v>2021</v>
      </c>
      <c r="C941" s="561" t="s">
        <v>725</v>
      </c>
      <c r="D941" s="561" t="s">
        <v>1303</v>
      </c>
      <c r="E941" s="561" t="s">
        <v>425</v>
      </c>
      <c r="F941" s="563">
        <v>0</v>
      </c>
      <c r="G941" s="561" t="s">
        <v>654</v>
      </c>
      <c r="H941" s="564"/>
      <c r="I941" s="565"/>
      <c r="J941" s="565"/>
      <c r="K941" s="563">
        <v>0</v>
      </c>
      <c r="L941" s="566">
        <v>0</v>
      </c>
    </row>
    <row r="942" spans="1:12" ht="45" x14ac:dyDescent="0.2">
      <c r="A942" s="561" t="s">
        <v>88</v>
      </c>
      <c r="B942" s="562">
        <v>2021</v>
      </c>
      <c r="C942" s="561" t="s">
        <v>725</v>
      </c>
      <c r="D942" s="561" t="s">
        <v>3219</v>
      </c>
      <c r="E942" s="561" t="s">
        <v>443</v>
      </c>
      <c r="F942" s="563">
        <v>0</v>
      </c>
      <c r="G942" s="561" t="s">
        <v>654</v>
      </c>
      <c r="H942" s="564"/>
      <c r="I942" s="565"/>
      <c r="J942" s="565"/>
      <c r="K942" s="563">
        <v>0</v>
      </c>
      <c r="L942" s="566">
        <v>0</v>
      </c>
    </row>
    <row r="943" spans="1:12" ht="45" x14ac:dyDescent="0.2">
      <c r="A943" s="561" t="s">
        <v>88</v>
      </c>
      <c r="B943" s="562">
        <v>2021</v>
      </c>
      <c r="C943" s="561" t="s">
        <v>725</v>
      </c>
      <c r="D943" s="561" t="s">
        <v>1304</v>
      </c>
      <c r="E943" s="561" t="s">
        <v>741</v>
      </c>
      <c r="F943" s="563">
        <v>42577.53</v>
      </c>
      <c r="G943" s="564"/>
      <c r="H943" s="564"/>
      <c r="I943" s="565"/>
      <c r="J943" s="565"/>
      <c r="K943" s="563">
        <v>0</v>
      </c>
      <c r="L943" s="566">
        <v>42577.53</v>
      </c>
    </row>
    <row r="944" spans="1:12" ht="22.5" x14ac:dyDescent="0.2">
      <c r="A944" s="561" t="s">
        <v>88</v>
      </c>
      <c r="B944" s="562">
        <v>2021</v>
      </c>
      <c r="C944" s="561" t="s">
        <v>742</v>
      </c>
      <c r="D944" s="561" t="s">
        <v>1305</v>
      </c>
      <c r="E944" s="561" t="s">
        <v>7</v>
      </c>
      <c r="F944" s="563">
        <v>0</v>
      </c>
      <c r="G944" s="564"/>
      <c r="H944" s="561" t="s">
        <v>654</v>
      </c>
      <c r="I944" s="565"/>
      <c r="J944" s="565"/>
      <c r="K944" s="563">
        <v>0</v>
      </c>
      <c r="L944" s="566">
        <v>0</v>
      </c>
    </row>
    <row r="945" spans="1:12" ht="22.5" x14ac:dyDescent="0.2">
      <c r="A945" s="561" t="s">
        <v>89</v>
      </c>
      <c r="B945" s="562">
        <v>2021</v>
      </c>
      <c r="C945" s="561" t="s">
        <v>651</v>
      </c>
      <c r="D945" s="561" t="s">
        <v>1306</v>
      </c>
      <c r="E945" s="561" t="s">
        <v>653</v>
      </c>
      <c r="F945" s="563">
        <v>-348927.96</v>
      </c>
      <c r="G945" s="564"/>
      <c r="H945" s="561" t="s">
        <v>654</v>
      </c>
      <c r="I945" s="565"/>
      <c r="J945" s="565"/>
      <c r="K945" s="563">
        <v>0</v>
      </c>
      <c r="L945" s="566">
        <v>-348927.96</v>
      </c>
    </row>
    <row r="946" spans="1:12" ht="22.5" x14ac:dyDescent="0.2">
      <c r="A946" s="561" t="s">
        <v>89</v>
      </c>
      <c r="B946" s="562">
        <v>2021</v>
      </c>
      <c r="C946" s="561" t="s">
        <v>655</v>
      </c>
      <c r="D946" s="561" t="s">
        <v>1307</v>
      </c>
      <c r="E946" s="561" t="s">
        <v>657</v>
      </c>
      <c r="F946" s="563">
        <v>0</v>
      </c>
      <c r="G946" s="564"/>
      <c r="H946" s="561" t="s">
        <v>654</v>
      </c>
      <c r="I946" s="565"/>
      <c r="J946" s="565"/>
      <c r="K946" s="563">
        <v>0</v>
      </c>
      <c r="L946" s="566">
        <v>0</v>
      </c>
    </row>
    <row r="947" spans="1:12" ht="56.25" x14ac:dyDescent="0.2">
      <c r="A947" s="561" t="s">
        <v>89</v>
      </c>
      <c r="B947" s="562">
        <v>2021</v>
      </c>
      <c r="C947" s="561" t="s">
        <v>658</v>
      </c>
      <c r="D947" s="561" t="s">
        <v>1308</v>
      </c>
      <c r="E947" s="561" t="s">
        <v>447</v>
      </c>
      <c r="F947" s="563">
        <v>0</v>
      </c>
      <c r="G947" s="564"/>
      <c r="H947" s="561" t="s">
        <v>654</v>
      </c>
      <c r="I947" s="565"/>
      <c r="J947" s="565"/>
      <c r="K947" s="563">
        <v>0</v>
      </c>
      <c r="L947" s="566">
        <v>0</v>
      </c>
    </row>
    <row r="948" spans="1:12" ht="22.5" x14ac:dyDescent="0.2">
      <c r="A948" s="561" t="s">
        <v>89</v>
      </c>
      <c r="B948" s="562">
        <v>2021</v>
      </c>
      <c r="C948" s="561" t="s">
        <v>660</v>
      </c>
      <c r="D948" s="561" t="s">
        <v>1309</v>
      </c>
      <c r="E948" s="561" t="s">
        <v>662</v>
      </c>
      <c r="F948" s="563">
        <v>0</v>
      </c>
      <c r="G948" s="564"/>
      <c r="H948" s="561" t="s">
        <v>654</v>
      </c>
      <c r="I948" s="565"/>
      <c r="J948" s="565"/>
      <c r="K948" s="563">
        <v>0</v>
      </c>
      <c r="L948" s="566">
        <v>0</v>
      </c>
    </row>
    <row r="949" spans="1:12" ht="33.75" x14ac:dyDescent="0.2">
      <c r="A949" s="561" t="s">
        <v>89</v>
      </c>
      <c r="B949" s="562">
        <v>2021</v>
      </c>
      <c r="C949" s="561" t="s">
        <v>663</v>
      </c>
      <c r="D949" s="561" t="s">
        <v>1310</v>
      </c>
      <c r="E949" s="561" t="s">
        <v>665</v>
      </c>
      <c r="F949" s="563">
        <v>0</v>
      </c>
      <c r="G949" s="564"/>
      <c r="H949" s="561" t="s">
        <v>654</v>
      </c>
      <c r="I949" s="565"/>
      <c r="J949" s="565"/>
      <c r="K949" s="563">
        <v>0</v>
      </c>
      <c r="L949" s="566">
        <v>0</v>
      </c>
    </row>
    <row r="950" spans="1:12" ht="33.75" x14ac:dyDescent="0.2">
      <c r="A950" s="561" t="s">
        <v>89</v>
      </c>
      <c r="B950" s="562">
        <v>2021</v>
      </c>
      <c r="C950" s="561" t="s">
        <v>666</v>
      </c>
      <c r="D950" s="561" t="s">
        <v>1311</v>
      </c>
      <c r="E950" s="561" t="s">
        <v>668</v>
      </c>
      <c r="F950" s="563">
        <v>0</v>
      </c>
      <c r="G950" s="564"/>
      <c r="H950" s="561" t="s">
        <v>654</v>
      </c>
      <c r="I950" s="565"/>
      <c r="J950" s="565"/>
      <c r="K950" s="563">
        <v>0</v>
      </c>
      <c r="L950" s="566">
        <v>0</v>
      </c>
    </row>
    <row r="951" spans="1:12" ht="56.25" x14ac:dyDescent="0.2">
      <c r="A951" s="561" t="s">
        <v>89</v>
      </c>
      <c r="B951" s="562">
        <v>2021</v>
      </c>
      <c r="C951" s="561" t="s">
        <v>669</v>
      </c>
      <c r="D951" s="561" t="s">
        <v>1312</v>
      </c>
      <c r="E951" s="561" t="s">
        <v>671</v>
      </c>
      <c r="F951" s="563">
        <v>0</v>
      </c>
      <c r="G951" s="564"/>
      <c r="H951" s="561" t="s">
        <v>654</v>
      </c>
      <c r="I951" s="565"/>
      <c r="J951" s="565"/>
      <c r="K951" s="563">
        <v>0</v>
      </c>
      <c r="L951" s="566">
        <v>0</v>
      </c>
    </row>
    <row r="952" spans="1:12" ht="22.5" x14ac:dyDescent="0.2">
      <c r="A952" s="561" t="s">
        <v>89</v>
      </c>
      <c r="B952" s="562">
        <v>2021</v>
      </c>
      <c r="C952" s="561" t="s">
        <v>672</v>
      </c>
      <c r="D952" s="561" t="s">
        <v>1313</v>
      </c>
      <c r="E952" s="561" t="s">
        <v>12</v>
      </c>
      <c r="F952" s="563">
        <v>0</v>
      </c>
      <c r="G952" s="564"/>
      <c r="H952" s="561" t="s">
        <v>654</v>
      </c>
      <c r="I952" s="565"/>
      <c r="J952" s="565"/>
      <c r="K952" s="563">
        <v>0</v>
      </c>
      <c r="L952" s="566">
        <v>0</v>
      </c>
    </row>
    <row r="953" spans="1:12" ht="22.5" x14ac:dyDescent="0.2">
      <c r="A953" s="561" t="s">
        <v>89</v>
      </c>
      <c r="B953" s="562">
        <v>2021</v>
      </c>
      <c r="C953" s="561" t="s">
        <v>674</v>
      </c>
      <c r="D953" s="561" t="s">
        <v>1314</v>
      </c>
      <c r="E953" s="561" t="s">
        <v>13</v>
      </c>
      <c r="F953" s="563">
        <v>32239.52</v>
      </c>
      <c r="G953" s="564"/>
      <c r="H953" s="561" t="s">
        <v>654</v>
      </c>
      <c r="I953" s="565"/>
      <c r="J953" s="565"/>
      <c r="K953" s="563">
        <v>0</v>
      </c>
      <c r="L953" s="566">
        <v>32239.52</v>
      </c>
    </row>
    <row r="954" spans="1:12" ht="33.75" x14ac:dyDescent="0.2">
      <c r="A954" s="561" t="s">
        <v>89</v>
      </c>
      <c r="B954" s="562">
        <v>2021</v>
      </c>
      <c r="C954" s="561" t="s">
        <v>676</v>
      </c>
      <c r="D954" s="561" t="s">
        <v>1315</v>
      </c>
      <c r="E954" s="561" t="s">
        <v>15</v>
      </c>
      <c r="F954" s="563">
        <v>0</v>
      </c>
      <c r="G954" s="564"/>
      <c r="H954" s="561" t="s">
        <v>654</v>
      </c>
      <c r="I954" s="565"/>
      <c r="J954" s="565"/>
      <c r="K954" s="563">
        <v>0</v>
      </c>
      <c r="L954" s="566">
        <v>0</v>
      </c>
    </row>
    <row r="955" spans="1:12" ht="22.5" x14ac:dyDescent="0.2">
      <c r="A955" s="561" t="s">
        <v>89</v>
      </c>
      <c r="B955" s="562">
        <v>2021</v>
      </c>
      <c r="C955" s="561" t="s">
        <v>678</v>
      </c>
      <c r="D955" s="561" t="s">
        <v>1316</v>
      </c>
      <c r="E955" s="561" t="s">
        <v>680</v>
      </c>
      <c r="F955" s="563">
        <v>0</v>
      </c>
      <c r="G955" s="564"/>
      <c r="H955" s="561" t="s">
        <v>654</v>
      </c>
      <c r="I955" s="565"/>
      <c r="J955" s="565"/>
      <c r="K955" s="563">
        <v>0</v>
      </c>
      <c r="L955" s="566">
        <v>0</v>
      </c>
    </row>
    <row r="956" spans="1:12" ht="22.5" x14ac:dyDescent="0.2">
      <c r="A956" s="561" t="s">
        <v>89</v>
      </c>
      <c r="B956" s="562">
        <v>2021</v>
      </c>
      <c r="C956" s="561" t="s">
        <v>681</v>
      </c>
      <c r="D956" s="561" t="s">
        <v>1317</v>
      </c>
      <c r="E956" s="561" t="s">
        <v>23</v>
      </c>
      <c r="F956" s="563">
        <v>2905534.53</v>
      </c>
      <c r="G956" s="561" t="s">
        <v>654</v>
      </c>
      <c r="H956" s="564"/>
      <c r="I956" s="563">
        <v>2765232.75</v>
      </c>
      <c r="J956" s="563">
        <v>140301.8125</v>
      </c>
      <c r="K956" s="563">
        <v>2905534.5</v>
      </c>
      <c r="L956" s="566">
        <v>2905534.53</v>
      </c>
    </row>
    <row r="957" spans="1:12" ht="33.75" x14ac:dyDescent="0.2">
      <c r="A957" s="561" t="s">
        <v>89</v>
      </c>
      <c r="B957" s="562">
        <v>2021</v>
      </c>
      <c r="C957" s="561" t="s">
        <v>683</v>
      </c>
      <c r="D957" s="561" t="s">
        <v>1318</v>
      </c>
      <c r="E957" s="561" t="s">
        <v>131</v>
      </c>
      <c r="F957" s="563">
        <v>-39852.92</v>
      </c>
      <c r="G957" s="561" t="s">
        <v>654</v>
      </c>
      <c r="H957" s="564"/>
      <c r="I957" s="563">
        <v>-38137.71875</v>
      </c>
      <c r="J957" s="563">
        <v>-1715.19995117188</v>
      </c>
      <c r="K957" s="563">
        <v>-39852.921875</v>
      </c>
      <c r="L957" s="566">
        <v>-39852.92</v>
      </c>
    </row>
    <row r="958" spans="1:12" ht="33.75" x14ac:dyDescent="0.2">
      <c r="A958" s="561" t="s">
        <v>89</v>
      </c>
      <c r="B958" s="562">
        <v>2021</v>
      </c>
      <c r="C958" s="561" t="s">
        <v>685</v>
      </c>
      <c r="D958" s="561" t="s">
        <v>1319</v>
      </c>
      <c r="E958" s="561" t="s">
        <v>687</v>
      </c>
      <c r="F958" s="563">
        <v>0</v>
      </c>
      <c r="G958" s="564"/>
      <c r="H958" s="561" t="s">
        <v>654</v>
      </c>
      <c r="I958" s="565"/>
      <c r="J958" s="565"/>
      <c r="K958" s="563">
        <v>0</v>
      </c>
      <c r="L958" s="566">
        <v>0</v>
      </c>
    </row>
    <row r="959" spans="1:12" ht="33.75" x14ac:dyDescent="0.2">
      <c r="A959" s="561" t="s">
        <v>89</v>
      </c>
      <c r="B959" s="562">
        <v>2021</v>
      </c>
      <c r="C959" s="561" t="s">
        <v>685</v>
      </c>
      <c r="D959" s="561" t="s">
        <v>1319</v>
      </c>
      <c r="E959" s="561" t="s">
        <v>688</v>
      </c>
      <c r="F959" s="563">
        <v>0</v>
      </c>
      <c r="G959" s="564"/>
      <c r="H959" s="561" t="s">
        <v>654</v>
      </c>
      <c r="I959" s="565"/>
      <c r="J959" s="565"/>
      <c r="K959" s="563">
        <v>0</v>
      </c>
      <c r="L959" s="566">
        <v>0</v>
      </c>
    </row>
    <row r="960" spans="1:12" ht="22.5" x14ac:dyDescent="0.2">
      <c r="A960" s="561" t="s">
        <v>89</v>
      </c>
      <c r="B960" s="562">
        <v>2021</v>
      </c>
      <c r="C960" s="561" t="s">
        <v>689</v>
      </c>
      <c r="D960" s="561" t="s">
        <v>1320</v>
      </c>
      <c r="E960" s="561" t="s">
        <v>691</v>
      </c>
      <c r="F960" s="563">
        <v>0</v>
      </c>
      <c r="G960" s="564"/>
      <c r="H960" s="561" t="s">
        <v>654</v>
      </c>
      <c r="I960" s="565"/>
      <c r="J960" s="565"/>
      <c r="K960" s="563">
        <v>0</v>
      </c>
      <c r="L960" s="566">
        <v>0</v>
      </c>
    </row>
    <row r="961" spans="1:12" ht="22.5" x14ac:dyDescent="0.2">
      <c r="A961" s="561" t="s">
        <v>89</v>
      </c>
      <c r="B961" s="562">
        <v>2021</v>
      </c>
      <c r="C961" s="561" t="s">
        <v>692</v>
      </c>
      <c r="D961" s="561" t="s">
        <v>1321</v>
      </c>
      <c r="E961" s="561" t="s">
        <v>50</v>
      </c>
      <c r="F961" s="563">
        <v>0</v>
      </c>
      <c r="G961" s="564"/>
      <c r="H961" s="561" t="s">
        <v>654</v>
      </c>
      <c r="I961" s="565"/>
      <c r="J961" s="565"/>
      <c r="K961" s="563">
        <v>0</v>
      </c>
      <c r="L961" s="566">
        <v>0</v>
      </c>
    </row>
    <row r="962" spans="1:12" ht="22.5" x14ac:dyDescent="0.2">
      <c r="A962" s="561" t="s">
        <v>89</v>
      </c>
      <c r="B962" s="562">
        <v>2021</v>
      </c>
      <c r="C962" s="561" t="s">
        <v>694</v>
      </c>
      <c r="D962" s="561" t="s">
        <v>1322</v>
      </c>
      <c r="E962" s="561" t="s">
        <v>696</v>
      </c>
      <c r="F962" s="563">
        <v>0</v>
      </c>
      <c r="G962" s="564"/>
      <c r="H962" s="561" t="s">
        <v>654</v>
      </c>
      <c r="I962" s="565"/>
      <c r="J962" s="565"/>
      <c r="K962" s="563">
        <v>0</v>
      </c>
      <c r="L962" s="566">
        <v>0</v>
      </c>
    </row>
    <row r="963" spans="1:12" ht="22.5" x14ac:dyDescent="0.2">
      <c r="A963" s="561" t="s">
        <v>89</v>
      </c>
      <c r="B963" s="562">
        <v>2021</v>
      </c>
      <c r="C963" s="561" t="s">
        <v>697</v>
      </c>
      <c r="D963" s="561" t="s">
        <v>1323</v>
      </c>
      <c r="E963" s="561" t="s">
        <v>6</v>
      </c>
      <c r="F963" s="563">
        <v>0</v>
      </c>
      <c r="G963" s="564"/>
      <c r="H963" s="561" t="s">
        <v>654</v>
      </c>
      <c r="I963" s="565"/>
      <c r="J963" s="565"/>
      <c r="K963" s="563">
        <v>0</v>
      </c>
      <c r="L963" s="566">
        <v>0</v>
      </c>
    </row>
    <row r="964" spans="1:12" ht="33.75" x14ac:dyDescent="0.2">
      <c r="A964" s="561" t="s">
        <v>89</v>
      </c>
      <c r="B964" s="562">
        <v>2021</v>
      </c>
      <c r="C964" s="561" t="s">
        <v>699</v>
      </c>
      <c r="D964" s="561" t="s">
        <v>1324</v>
      </c>
      <c r="E964" s="561" t="s">
        <v>701</v>
      </c>
      <c r="F964" s="563">
        <v>0</v>
      </c>
      <c r="G964" s="564"/>
      <c r="H964" s="561" t="s">
        <v>654</v>
      </c>
      <c r="I964" s="565"/>
      <c r="J964" s="565"/>
      <c r="K964" s="563">
        <v>0</v>
      </c>
      <c r="L964" s="566">
        <v>0</v>
      </c>
    </row>
    <row r="965" spans="1:12" ht="22.5" x14ac:dyDescent="0.2">
      <c r="A965" s="561" t="s">
        <v>89</v>
      </c>
      <c r="B965" s="562">
        <v>2021</v>
      </c>
      <c r="C965" s="561" t="s">
        <v>702</v>
      </c>
      <c r="D965" s="561" t="s">
        <v>1325</v>
      </c>
      <c r="E965" s="561" t="s">
        <v>704</v>
      </c>
      <c r="F965" s="563">
        <v>147816.68</v>
      </c>
      <c r="G965" s="564"/>
      <c r="H965" s="561" t="s">
        <v>654</v>
      </c>
      <c r="I965" s="565"/>
      <c r="J965" s="565"/>
      <c r="K965" s="563">
        <v>0</v>
      </c>
      <c r="L965" s="566">
        <v>147816.68</v>
      </c>
    </row>
    <row r="966" spans="1:12" ht="33.75" x14ac:dyDescent="0.2">
      <c r="A966" s="561" t="s">
        <v>89</v>
      </c>
      <c r="B966" s="562">
        <v>2021</v>
      </c>
      <c r="C966" s="561" t="s">
        <v>705</v>
      </c>
      <c r="D966" s="561" t="s">
        <v>1326</v>
      </c>
      <c r="E966" s="561" t="s">
        <v>1</v>
      </c>
      <c r="F966" s="563">
        <v>-974050.26</v>
      </c>
      <c r="G966" s="561" t="s">
        <v>654</v>
      </c>
      <c r="H966" s="564"/>
      <c r="I966" s="563">
        <v>-935785.6875</v>
      </c>
      <c r="J966" s="563">
        <v>-38264.578125</v>
      </c>
      <c r="K966" s="563">
        <v>-974050.25</v>
      </c>
      <c r="L966" s="566">
        <v>-974050.26</v>
      </c>
    </row>
    <row r="967" spans="1:12" ht="22.5" x14ac:dyDescent="0.2">
      <c r="A967" s="561" t="s">
        <v>89</v>
      </c>
      <c r="B967" s="562">
        <v>2021</v>
      </c>
      <c r="C967" s="561" t="s">
        <v>705</v>
      </c>
      <c r="D967" s="561" t="s">
        <v>1326</v>
      </c>
      <c r="E967" s="561" t="s">
        <v>707</v>
      </c>
      <c r="F967" s="563">
        <v>0</v>
      </c>
      <c r="G967" s="564"/>
      <c r="H967" s="564"/>
      <c r="I967" s="565"/>
      <c r="J967" s="565"/>
      <c r="K967" s="563">
        <v>0</v>
      </c>
      <c r="L967" s="566">
        <v>0</v>
      </c>
    </row>
    <row r="968" spans="1:12" ht="22.5" x14ac:dyDescent="0.2">
      <c r="A968" s="561" t="s">
        <v>89</v>
      </c>
      <c r="B968" s="562">
        <v>2021</v>
      </c>
      <c r="C968" s="561" t="s">
        <v>705</v>
      </c>
      <c r="D968" s="561" t="s">
        <v>1326</v>
      </c>
      <c r="E968" s="561" t="s">
        <v>708</v>
      </c>
      <c r="F968" s="563">
        <v>0</v>
      </c>
      <c r="G968" s="564"/>
      <c r="H968" s="564"/>
      <c r="I968" s="565"/>
      <c r="J968" s="565"/>
      <c r="K968" s="563">
        <v>0</v>
      </c>
      <c r="L968" s="566">
        <v>0</v>
      </c>
    </row>
    <row r="969" spans="1:12" ht="22.5" x14ac:dyDescent="0.2">
      <c r="A969" s="561" t="s">
        <v>89</v>
      </c>
      <c r="B969" s="562">
        <v>2021</v>
      </c>
      <c r="C969" s="561" t="s">
        <v>705</v>
      </c>
      <c r="D969" s="561" t="s">
        <v>1326</v>
      </c>
      <c r="E969" s="561" t="s">
        <v>709</v>
      </c>
      <c r="F969" s="563">
        <v>-4122.76</v>
      </c>
      <c r="G969" s="564"/>
      <c r="H969" s="564"/>
      <c r="I969" s="565"/>
      <c r="J969" s="565"/>
      <c r="K969" s="563">
        <v>0</v>
      </c>
      <c r="L969" s="566">
        <v>-4122.76</v>
      </c>
    </row>
    <row r="970" spans="1:12" ht="22.5" x14ac:dyDescent="0.2">
      <c r="A970" s="561" t="s">
        <v>89</v>
      </c>
      <c r="B970" s="562">
        <v>2021</v>
      </c>
      <c r="C970" s="561" t="s">
        <v>705</v>
      </c>
      <c r="D970" s="561" t="s">
        <v>1326</v>
      </c>
      <c r="E970" s="561" t="s">
        <v>710</v>
      </c>
      <c r="F970" s="563">
        <v>-146008.62</v>
      </c>
      <c r="G970" s="564"/>
      <c r="H970" s="564"/>
      <c r="I970" s="565"/>
      <c r="J970" s="565"/>
      <c r="K970" s="563">
        <v>0</v>
      </c>
      <c r="L970" s="566">
        <v>-146008.62</v>
      </c>
    </row>
    <row r="971" spans="1:12" ht="22.5" x14ac:dyDescent="0.2">
      <c r="A971" s="561" t="s">
        <v>89</v>
      </c>
      <c r="B971" s="562">
        <v>2021</v>
      </c>
      <c r="C971" s="561" t="s">
        <v>711</v>
      </c>
      <c r="D971" s="561" t="s">
        <v>1327</v>
      </c>
      <c r="E971" s="561" t="s">
        <v>713</v>
      </c>
      <c r="F971" s="563">
        <v>0</v>
      </c>
      <c r="G971" s="564"/>
      <c r="H971" s="561" t="s">
        <v>654</v>
      </c>
      <c r="I971" s="565"/>
      <c r="J971" s="565"/>
      <c r="K971" s="563">
        <v>0</v>
      </c>
      <c r="L971" s="566">
        <v>0</v>
      </c>
    </row>
    <row r="972" spans="1:12" ht="33.75" x14ac:dyDescent="0.2">
      <c r="A972" s="561" t="s">
        <v>89</v>
      </c>
      <c r="B972" s="562">
        <v>2021</v>
      </c>
      <c r="C972" s="561" t="s">
        <v>714</v>
      </c>
      <c r="D972" s="561" t="s">
        <v>1328</v>
      </c>
      <c r="E972" s="561" t="s">
        <v>2</v>
      </c>
      <c r="F972" s="563">
        <v>932330.77</v>
      </c>
      <c r="G972" s="561" t="s">
        <v>654</v>
      </c>
      <c r="H972" s="564"/>
      <c r="I972" s="563">
        <v>832095.375</v>
      </c>
      <c r="J972" s="563">
        <v>100235.3828125</v>
      </c>
      <c r="K972" s="563">
        <v>932330.75</v>
      </c>
      <c r="L972" s="566">
        <v>932330.77</v>
      </c>
    </row>
    <row r="973" spans="1:12" ht="33.75" x14ac:dyDescent="0.2">
      <c r="A973" s="561" t="s">
        <v>89</v>
      </c>
      <c r="B973" s="562">
        <v>2021</v>
      </c>
      <c r="C973" s="561" t="s">
        <v>716</v>
      </c>
      <c r="D973" s="561" t="s">
        <v>1329</v>
      </c>
      <c r="E973" s="561" t="s">
        <v>3</v>
      </c>
      <c r="F973" s="563">
        <v>787126.68</v>
      </c>
      <c r="G973" s="561" t="s">
        <v>654</v>
      </c>
      <c r="H973" s="564"/>
      <c r="I973" s="563">
        <v>709572.3125</v>
      </c>
      <c r="J973" s="563">
        <v>77554.3515625</v>
      </c>
      <c r="K973" s="563">
        <v>787126.6875</v>
      </c>
      <c r="L973" s="566">
        <v>787126.68</v>
      </c>
    </row>
    <row r="974" spans="1:12" ht="33.75" x14ac:dyDescent="0.2">
      <c r="A974" s="561" t="s">
        <v>89</v>
      </c>
      <c r="B974" s="562">
        <v>2021</v>
      </c>
      <c r="C974" s="561" t="s">
        <v>718</v>
      </c>
      <c r="D974" s="561" t="s">
        <v>1330</v>
      </c>
      <c r="E974" s="561" t="s">
        <v>38</v>
      </c>
      <c r="F974" s="563">
        <v>-1214841.74</v>
      </c>
      <c r="G974" s="561" t="s">
        <v>654</v>
      </c>
      <c r="H974" s="564"/>
      <c r="I974" s="563">
        <v>-1116818.25</v>
      </c>
      <c r="J974" s="563">
        <v>-98023.4375</v>
      </c>
      <c r="K974" s="563">
        <v>-1214841.75</v>
      </c>
      <c r="L974" s="566">
        <v>-1214841.74</v>
      </c>
    </row>
    <row r="975" spans="1:12" ht="22.5" x14ac:dyDescent="0.2">
      <c r="A975" s="561" t="s">
        <v>89</v>
      </c>
      <c r="B975" s="562">
        <v>2021</v>
      </c>
      <c r="C975" s="561" t="s">
        <v>720</v>
      </c>
      <c r="D975" s="561" t="s">
        <v>1331</v>
      </c>
      <c r="E975" s="561" t="s">
        <v>66</v>
      </c>
      <c r="F975" s="563">
        <v>1776012.58</v>
      </c>
      <c r="G975" s="561" t="s">
        <v>654</v>
      </c>
      <c r="H975" s="564"/>
      <c r="I975" s="563">
        <v>1744153.625</v>
      </c>
      <c r="J975" s="563">
        <v>31859</v>
      </c>
      <c r="K975" s="563">
        <v>1776012.625</v>
      </c>
      <c r="L975" s="566">
        <v>1776012.58</v>
      </c>
    </row>
    <row r="976" spans="1:12" ht="45" x14ac:dyDescent="0.2">
      <c r="A976" s="561" t="s">
        <v>89</v>
      </c>
      <c r="B976" s="562">
        <v>2021</v>
      </c>
      <c r="C976" s="561" t="s">
        <v>722</v>
      </c>
      <c r="D976" s="561" t="s">
        <v>1332</v>
      </c>
      <c r="E976" s="561" t="s">
        <v>724</v>
      </c>
      <c r="F976" s="563">
        <v>-483551.48</v>
      </c>
      <c r="G976" s="564"/>
      <c r="H976" s="561" t="s">
        <v>654</v>
      </c>
      <c r="I976" s="565"/>
      <c r="J976" s="565"/>
      <c r="K976" s="563">
        <v>0</v>
      </c>
      <c r="L976" s="566">
        <v>-483551.48</v>
      </c>
    </row>
    <row r="977" spans="1:12" ht="45" x14ac:dyDescent="0.2">
      <c r="A977" s="561" t="s">
        <v>89</v>
      </c>
      <c r="B977" s="562">
        <v>2021</v>
      </c>
      <c r="C977" s="561" t="s">
        <v>725</v>
      </c>
      <c r="D977" s="561" t="s">
        <v>1333</v>
      </c>
      <c r="E977" s="561" t="s">
        <v>3024</v>
      </c>
      <c r="F977" s="563">
        <v>0</v>
      </c>
      <c r="G977" s="561" t="s">
        <v>654</v>
      </c>
      <c r="H977" s="564"/>
      <c r="I977" s="565"/>
      <c r="J977" s="565"/>
      <c r="K977" s="563">
        <v>0</v>
      </c>
      <c r="L977" s="566">
        <v>0</v>
      </c>
    </row>
    <row r="978" spans="1:12" ht="45" x14ac:dyDescent="0.2">
      <c r="A978" s="561" t="s">
        <v>89</v>
      </c>
      <c r="B978" s="562">
        <v>2021</v>
      </c>
      <c r="C978" s="561" t="s">
        <v>725</v>
      </c>
      <c r="D978" s="561" t="s">
        <v>1333</v>
      </c>
      <c r="E978" s="561" t="s">
        <v>3066</v>
      </c>
      <c r="F978" s="563">
        <v>0</v>
      </c>
      <c r="G978" s="561" t="s">
        <v>654</v>
      </c>
      <c r="H978" s="564"/>
      <c r="I978" s="563">
        <v>3220223.75</v>
      </c>
      <c r="J978" s="563">
        <v>21437.33984375</v>
      </c>
      <c r="K978" s="563">
        <v>3241661.25</v>
      </c>
      <c r="L978" s="566">
        <v>3241661.15</v>
      </c>
    </row>
    <row r="979" spans="1:12" ht="45" x14ac:dyDescent="0.2">
      <c r="A979" s="561" t="s">
        <v>89</v>
      </c>
      <c r="B979" s="562">
        <v>2021</v>
      </c>
      <c r="C979" s="561" t="s">
        <v>725</v>
      </c>
      <c r="D979" s="561" t="s">
        <v>1334</v>
      </c>
      <c r="E979" s="561" t="s">
        <v>728</v>
      </c>
      <c r="F979" s="563">
        <v>0</v>
      </c>
      <c r="G979" s="561" t="s">
        <v>654</v>
      </c>
      <c r="H979" s="564"/>
      <c r="I979" s="565"/>
      <c r="J979" s="565"/>
      <c r="K979" s="563">
        <v>0</v>
      </c>
      <c r="L979" s="566">
        <v>0</v>
      </c>
    </row>
    <row r="980" spans="1:12" ht="45" x14ac:dyDescent="0.2">
      <c r="A980" s="561" t="s">
        <v>89</v>
      </c>
      <c r="B980" s="562">
        <v>2021</v>
      </c>
      <c r="C980" s="561" t="s">
        <v>725</v>
      </c>
      <c r="D980" s="561" t="s">
        <v>1335</v>
      </c>
      <c r="E980" s="561" t="s">
        <v>55</v>
      </c>
      <c r="F980" s="563">
        <v>0</v>
      </c>
      <c r="G980" s="561" t="s">
        <v>654</v>
      </c>
      <c r="H980" s="564"/>
      <c r="I980" s="565"/>
      <c r="J980" s="565"/>
      <c r="K980" s="563">
        <v>0</v>
      </c>
      <c r="L980" s="566">
        <v>0</v>
      </c>
    </row>
    <row r="981" spans="1:12" ht="45" x14ac:dyDescent="0.2">
      <c r="A981" s="561" t="s">
        <v>89</v>
      </c>
      <c r="B981" s="562">
        <v>2021</v>
      </c>
      <c r="C981" s="561" t="s">
        <v>725</v>
      </c>
      <c r="D981" s="561" t="s">
        <v>1336</v>
      </c>
      <c r="E981" s="561" t="s">
        <v>56</v>
      </c>
      <c r="F981" s="563">
        <v>0</v>
      </c>
      <c r="G981" s="561" t="s">
        <v>654</v>
      </c>
      <c r="H981" s="564"/>
      <c r="I981" s="565"/>
      <c r="J981" s="565"/>
      <c r="K981" s="563">
        <v>0</v>
      </c>
      <c r="L981" s="566">
        <v>0</v>
      </c>
    </row>
    <row r="982" spans="1:12" ht="45" x14ac:dyDescent="0.2">
      <c r="A982" s="561" t="s">
        <v>89</v>
      </c>
      <c r="B982" s="562">
        <v>2021</v>
      </c>
      <c r="C982" s="561" t="s">
        <v>725</v>
      </c>
      <c r="D982" s="561" t="s">
        <v>1337</v>
      </c>
      <c r="E982" s="561" t="s">
        <v>732</v>
      </c>
      <c r="F982" s="563">
        <v>0</v>
      </c>
      <c r="G982" s="561" t="s">
        <v>654</v>
      </c>
      <c r="H982" s="564"/>
      <c r="I982" s="565"/>
      <c r="J982" s="565"/>
      <c r="K982" s="563">
        <v>0</v>
      </c>
      <c r="L982" s="566">
        <v>0</v>
      </c>
    </row>
    <row r="983" spans="1:12" ht="45" x14ac:dyDescent="0.2">
      <c r="A983" s="561" t="s">
        <v>89</v>
      </c>
      <c r="B983" s="562">
        <v>2021</v>
      </c>
      <c r="C983" s="561" t="s">
        <v>725</v>
      </c>
      <c r="D983" s="561" t="s">
        <v>1338</v>
      </c>
      <c r="E983" s="561" t="s">
        <v>734</v>
      </c>
      <c r="F983" s="563">
        <v>0</v>
      </c>
      <c r="G983" s="561" t="s">
        <v>654</v>
      </c>
      <c r="H983" s="564"/>
      <c r="I983" s="565"/>
      <c r="J983" s="565"/>
      <c r="K983" s="563">
        <v>0</v>
      </c>
      <c r="L983" s="566">
        <v>0</v>
      </c>
    </row>
    <row r="984" spans="1:12" ht="45" x14ac:dyDescent="0.2">
      <c r="A984" s="561" t="s">
        <v>89</v>
      </c>
      <c r="B984" s="562">
        <v>2021</v>
      </c>
      <c r="C984" s="561" t="s">
        <v>725</v>
      </c>
      <c r="D984" s="561" t="s">
        <v>1339</v>
      </c>
      <c r="E984" s="561" t="s">
        <v>142</v>
      </c>
      <c r="F984" s="563">
        <v>0</v>
      </c>
      <c r="G984" s="561" t="s">
        <v>654</v>
      </c>
      <c r="H984" s="564"/>
      <c r="I984" s="565"/>
      <c r="J984" s="565"/>
      <c r="K984" s="563">
        <v>0</v>
      </c>
      <c r="L984" s="566">
        <v>0</v>
      </c>
    </row>
    <row r="985" spans="1:12" ht="45" x14ac:dyDescent="0.2">
      <c r="A985" s="561" t="s">
        <v>89</v>
      </c>
      <c r="B985" s="562">
        <v>2021</v>
      </c>
      <c r="C985" s="561" t="s">
        <v>725</v>
      </c>
      <c r="D985" s="561" t="s">
        <v>1340</v>
      </c>
      <c r="E985" s="561" t="s">
        <v>143</v>
      </c>
      <c r="F985" s="563">
        <v>0</v>
      </c>
      <c r="G985" s="561" t="s">
        <v>654</v>
      </c>
      <c r="H985" s="564"/>
      <c r="I985" s="565"/>
      <c r="J985" s="565"/>
      <c r="K985" s="563">
        <v>0</v>
      </c>
      <c r="L985" s="566">
        <v>0</v>
      </c>
    </row>
    <row r="986" spans="1:12" ht="45" x14ac:dyDescent="0.2">
      <c r="A986" s="561" t="s">
        <v>89</v>
      </c>
      <c r="B986" s="562">
        <v>2021</v>
      </c>
      <c r="C986" s="561" t="s">
        <v>725</v>
      </c>
      <c r="D986" s="561" t="s">
        <v>1341</v>
      </c>
      <c r="E986" s="561" t="s">
        <v>182</v>
      </c>
      <c r="F986" s="563">
        <v>0</v>
      </c>
      <c r="G986" s="561" t="s">
        <v>654</v>
      </c>
      <c r="H986" s="564"/>
      <c r="I986" s="563">
        <v>2149571</v>
      </c>
      <c r="J986" s="563">
        <v>271195.9375</v>
      </c>
      <c r="K986" s="563">
        <v>2420767</v>
      </c>
      <c r="L986" s="566">
        <v>2420767.0499999998</v>
      </c>
    </row>
    <row r="987" spans="1:12" ht="45" x14ac:dyDescent="0.2">
      <c r="A987" s="561" t="s">
        <v>89</v>
      </c>
      <c r="B987" s="562">
        <v>2021</v>
      </c>
      <c r="C987" s="561" t="s">
        <v>725</v>
      </c>
      <c r="D987" s="561" t="s">
        <v>1342</v>
      </c>
      <c r="E987" s="561" t="s">
        <v>394</v>
      </c>
      <c r="F987" s="563">
        <v>0</v>
      </c>
      <c r="G987" s="561" t="s">
        <v>654</v>
      </c>
      <c r="H987" s="564"/>
      <c r="I987" s="565"/>
      <c r="J987" s="565"/>
      <c r="K987" s="563">
        <v>0</v>
      </c>
      <c r="L987" s="566">
        <v>0</v>
      </c>
    </row>
    <row r="988" spans="1:12" ht="45" x14ac:dyDescent="0.2">
      <c r="A988" s="561" t="s">
        <v>89</v>
      </c>
      <c r="B988" s="562">
        <v>2021</v>
      </c>
      <c r="C988" s="561" t="s">
        <v>725</v>
      </c>
      <c r="D988" s="561" t="s">
        <v>1343</v>
      </c>
      <c r="E988" s="561" t="s">
        <v>425</v>
      </c>
      <c r="F988" s="563">
        <v>0</v>
      </c>
      <c r="G988" s="561" t="s">
        <v>654</v>
      </c>
      <c r="H988" s="564"/>
      <c r="I988" s="565"/>
      <c r="J988" s="565"/>
      <c r="K988" s="563">
        <v>0</v>
      </c>
      <c r="L988" s="566">
        <v>0</v>
      </c>
    </row>
    <row r="989" spans="1:12" ht="45" x14ac:dyDescent="0.2">
      <c r="A989" s="561" t="s">
        <v>89</v>
      </c>
      <c r="B989" s="562">
        <v>2021</v>
      </c>
      <c r="C989" s="561" t="s">
        <v>725</v>
      </c>
      <c r="D989" s="561" t="s">
        <v>3220</v>
      </c>
      <c r="E989" s="561" t="s">
        <v>443</v>
      </c>
      <c r="F989" s="563">
        <v>0</v>
      </c>
      <c r="G989" s="561" t="s">
        <v>654</v>
      </c>
      <c r="H989" s="564"/>
      <c r="I989" s="563">
        <v>81726.3515625</v>
      </c>
      <c r="J989" s="563">
        <v>58045.08984375</v>
      </c>
      <c r="K989" s="563">
        <v>139771.4375</v>
      </c>
      <c r="L989" s="566">
        <v>139771.44</v>
      </c>
    </row>
    <row r="990" spans="1:12" ht="45" x14ac:dyDescent="0.2">
      <c r="A990" s="561" t="s">
        <v>89</v>
      </c>
      <c r="B990" s="562">
        <v>2021</v>
      </c>
      <c r="C990" s="561" t="s">
        <v>725</v>
      </c>
      <c r="D990" s="561" t="s">
        <v>1344</v>
      </c>
      <c r="E990" s="561" t="s">
        <v>741</v>
      </c>
      <c r="F990" s="563">
        <v>5802199.6399999997</v>
      </c>
      <c r="G990" s="564"/>
      <c r="H990" s="564"/>
      <c r="I990" s="565"/>
      <c r="J990" s="565"/>
      <c r="K990" s="563">
        <v>0</v>
      </c>
      <c r="L990" s="566">
        <v>5802199.6399999997</v>
      </c>
    </row>
    <row r="991" spans="1:12" ht="22.5" x14ac:dyDescent="0.2">
      <c r="A991" s="561" t="s">
        <v>89</v>
      </c>
      <c r="B991" s="562">
        <v>2021</v>
      </c>
      <c r="C991" s="561" t="s">
        <v>742</v>
      </c>
      <c r="D991" s="561" t="s">
        <v>1345</v>
      </c>
      <c r="E991" s="561" t="s">
        <v>7</v>
      </c>
      <c r="F991" s="563">
        <v>0</v>
      </c>
      <c r="G991" s="564"/>
      <c r="H991" s="561" t="s">
        <v>654</v>
      </c>
      <c r="I991" s="565"/>
      <c r="J991" s="565"/>
      <c r="K991" s="563">
        <v>0</v>
      </c>
      <c r="L991" s="566">
        <v>0</v>
      </c>
    </row>
    <row r="992" spans="1:12" ht="22.5" x14ac:dyDescent="0.2">
      <c r="A992" s="561" t="s">
        <v>90</v>
      </c>
      <c r="B992" s="562">
        <v>2021</v>
      </c>
      <c r="C992" s="561" t="s">
        <v>651</v>
      </c>
      <c r="D992" s="561" t="s">
        <v>1346</v>
      </c>
      <c r="E992" s="561" t="s">
        <v>653</v>
      </c>
      <c r="F992" s="563">
        <v>-52259.72</v>
      </c>
      <c r="G992" s="564"/>
      <c r="H992" s="561" t="s">
        <v>654</v>
      </c>
      <c r="I992" s="565"/>
      <c r="J992" s="565"/>
      <c r="K992" s="563">
        <v>0</v>
      </c>
      <c r="L992" s="566">
        <v>-52259.72</v>
      </c>
    </row>
    <row r="993" spans="1:12" ht="15" x14ac:dyDescent="0.2">
      <c r="A993" s="561" t="s">
        <v>90</v>
      </c>
      <c r="B993" s="562">
        <v>2021</v>
      </c>
      <c r="C993" s="561" t="s">
        <v>655</v>
      </c>
      <c r="D993" s="561" t="s">
        <v>1347</v>
      </c>
      <c r="E993" s="561" t="s">
        <v>657</v>
      </c>
      <c r="F993" s="563">
        <v>15837.61</v>
      </c>
      <c r="G993" s="564"/>
      <c r="H993" s="561" t="s">
        <v>654</v>
      </c>
      <c r="I993" s="565"/>
      <c r="J993" s="565"/>
      <c r="K993" s="563">
        <v>0</v>
      </c>
      <c r="L993" s="566">
        <v>15837.61</v>
      </c>
    </row>
    <row r="994" spans="1:12" ht="56.25" x14ac:dyDescent="0.2">
      <c r="A994" s="561" t="s">
        <v>90</v>
      </c>
      <c r="B994" s="562">
        <v>2021</v>
      </c>
      <c r="C994" s="561" t="s">
        <v>658</v>
      </c>
      <c r="D994" s="561" t="s">
        <v>1348</v>
      </c>
      <c r="E994" s="561" t="s">
        <v>447</v>
      </c>
      <c r="F994" s="563">
        <v>-27927.8</v>
      </c>
      <c r="G994" s="564"/>
      <c r="H994" s="561" t="s">
        <v>654</v>
      </c>
      <c r="I994" s="565"/>
      <c r="J994" s="565"/>
      <c r="K994" s="563">
        <v>0</v>
      </c>
      <c r="L994" s="566">
        <v>-27927.8</v>
      </c>
    </row>
    <row r="995" spans="1:12" ht="22.5" x14ac:dyDescent="0.2">
      <c r="A995" s="561" t="s">
        <v>90</v>
      </c>
      <c r="B995" s="562">
        <v>2021</v>
      </c>
      <c r="C995" s="561" t="s">
        <v>660</v>
      </c>
      <c r="D995" s="561" t="s">
        <v>1349</v>
      </c>
      <c r="E995" s="561" t="s">
        <v>662</v>
      </c>
      <c r="F995" s="563">
        <v>8007.94</v>
      </c>
      <c r="G995" s="564"/>
      <c r="H995" s="561" t="s">
        <v>654</v>
      </c>
      <c r="I995" s="565"/>
      <c r="J995" s="565"/>
      <c r="K995" s="563">
        <v>0</v>
      </c>
      <c r="L995" s="566">
        <v>8007.94</v>
      </c>
    </row>
    <row r="996" spans="1:12" ht="33.75" x14ac:dyDescent="0.2">
      <c r="A996" s="561" t="s">
        <v>90</v>
      </c>
      <c r="B996" s="562">
        <v>2021</v>
      </c>
      <c r="C996" s="561" t="s">
        <v>663</v>
      </c>
      <c r="D996" s="561" t="s">
        <v>1350</v>
      </c>
      <c r="E996" s="561" t="s">
        <v>665</v>
      </c>
      <c r="F996" s="563">
        <v>0</v>
      </c>
      <c r="G996" s="564"/>
      <c r="H996" s="561" t="s">
        <v>654</v>
      </c>
      <c r="I996" s="565"/>
      <c r="J996" s="565"/>
      <c r="K996" s="563">
        <v>0</v>
      </c>
      <c r="L996" s="566">
        <v>0</v>
      </c>
    </row>
    <row r="997" spans="1:12" ht="33.75" x14ac:dyDescent="0.2">
      <c r="A997" s="561" t="s">
        <v>90</v>
      </c>
      <c r="B997" s="562">
        <v>2021</v>
      </c>
      <c r="C997" s="561" t="s">
        <v>666</v>
      </c>
      <c r="D997" s="561" t="s">
        <v>1351</v>
      </c>
      <c r="E997" s="561" t="s">
        <v>668</v>
      </c>
      <c r="F997" s="563">
        <v>0</v>
      </c>
      <c r="G997" s="564"/>
      <c r="H997" s="561" t="s">
        <v>654</v>
      </c>
      <c r="I997" s="565"/>
      <c r="J997" s="565"/>
      <c r="K997" s="563">
        <v>0</v>
      </c>
      <c r="L997" s="566">
        <v>0</v>
      </c>
    </row>
    <row r="998" spans="1:12" ht="56.25" x14ac:dyDescent="0.2">
      <c r="A998" s="561" t="s">
        <v>90</v>
      </c>
      <c r="B998" s="562">
        <v>2021</v>
      </c>
      <c r="C998" s="561" t="s">
        <v>669</v>
      </c>
      <c r="D998" s="561" t="s">
        <v>1352</v>
      </c>
      <c r="E998" s="561" t="s">
        <v>671</v>
      </c>
      <c r="F998" s="563">
        <v>0</v>
      </c>
      <c r="G998" s="564"/>
      <c r="H998" s="561" t="s">
        <v>654</v>
      </c>
      <c r="I998" s="565"/>
      <c r="J998" s="565"/>
      <c r="K998" s="563">
        <v>0</v>
      </c>
      <c r="L998" s="566">
        <v>0</v>
      </c>
    </row>
    <row r="999" spans="1:12" ht="22.5" x14ac:dyDescent="0.2">
      <c r="A999" s="561" t="s">
        <v>90</v>
      </c>
      <c r="B999" s="562">
        <v>2021</v>
      </c>
      <c r="C999" s="561" t="s">
        <v>672</v>
      </c>
      <c r="D999" s="561" t="s">
        <v>1353</v>
      </c>
      <c r="E999" s="561" t="s">
        <v>12</v>
      </c>
      <c r="F999" s="563">
        <v>0</v>
      </c>
      <c r="G999" s="564"/>
      <c r="H999" s="561" t="s">
        <v>654</v>
      </c>
      <c r="I999" s="565"/>
      <c r="J999" s="565"/>
      <c r="K999" s="563">
        <v>0</v>
      </c>
      <c r="L999" s="566">
        <v>0</v>
      </c>
    </row>
    <row r="1000" spans="1:12" ht="22.5" x14ac:dyDescent="0.2">
      <c r="A1000" s="561" t="s">
        <v>90</v>
      </c>
      <c r="B1000" s="562">
        <v>2021</v>
      </c>
      <c r="C1000" s="561" t="s">
        <v>674</v>
      </c>
      <c r="D1000" s="561" t="s">
        <v>1354</v>
      </c>
      <c r="E1000" s="561" t="s">
        <v>13</v>
      </c>
      <c r="F1000" s="563">
        <v>0</v>
      </c>
      <c r="G1000" s="564"/>
      <c r="H1000" s="561" t="s">
        <v>654</v>
      </c>
      <c r="I1000" s="565"/>
      <c r="J1000" s="565"/>
      <c r="K1000" s="563">
        <v>0</v>
      </c>
      <c r="L1000" s="566">
        <v>0</v>
      </c>
    </row>
    <row r="1001" spans="1:12" ht="33.75" x14ac:dyDescent="0.2">
      <c r="A1001" s="561" t="s">
        <v>90</v>
      </c>
      <c r="B1001" s="562">
        <v>2021</v>
      </c>
      <c r="C1001" s="561" t="s">
        <v>676</v>
      </c>
      <c r="D1001" s="561" t="s">
        <v>1355</v>
      </c>
      <c r="E1001" s="561" t="s">
        <v>15</v>
      </c>
      <c r="F1001" s="563">
        <v>0</v>
      </c>
      <c r="G1001" s="564"/>
      <c r="H1001" s="561" t="s">
        <v>654</v>
      </c>
      <c r="I1001" s="565"/>
      <c r="J1001" s="565"/>
      <c r="K1001" s="563">
        <v>0</v>
      </c>
      <c r="L1001" s="566">
        <v>0</v>
      </c>
    </row>
    <row r="1002" spans="1:12" ht="15" x14ac:dyDescent="0.2">
      <c r="A1002" s="561" t="s">
        <v>90</v>
      </c>
      <c r="B1002" s="562">
        <v>2021</v>
      </c>
      <c r="C1002" s="561" t="s">
        <v>678</v>
      </c>
      <c r="D1002" s="561" t="s">
        <v>1356</v>
      </c>
      <c r="E1002" s="561" t="s">
        <v>680</v>
      </c>
      <c r="F1002" s="563">
        <v>-1130.07</v>
      </c>
      <c r="G1002" s="564"/>
      <c r="H1002" s="561" t="s">
        <v>654</v>
      </c>
      <c r="I1002" s="565"/>
      <c r="J1002" s="565"/>
      <c r="K1002" s="563">
        <v>0</v>
      </c>
      <c r="L1002" s="566">
        <v>-1130.07</v>
      </c>
    </row>
    <row r="1003" spans="1:12" ht="15" x14ac:dyDescent="0.2">
      <c r="A1003" s="561" t="s">
        <v>90</v>
      </c>
      <c r="B1003" s="562">
        <v>2021</v>
      </c>
      <c r="C1003" s="561" t="s">
        <v>681</v>
      </c>
      <c r="D1003" s="561" t="s">
        <v>1357</v>
      </c>
      <c r="E1003" s="561" t="s">
        <v>23</v>
      </c>
      <c r="F1003" s="563">
        <v>230518.37</v>
      </c>
      <c r="G1003" s="561" t="s">
        <v>654</v>
      </c>
      <c r="H1003" s="564"/>
      <c r="I1003" s="563">
        <v>229171.65625</v>
      </c>
      <c r="J1003" s="563">
        <v>1346.7099609375</v>
      </c>
      <c r="K1003" s="563">
        <v>230518.375</v>
      </c>
      <c r="L1003" s="566">
        <v>230518.37</v>
      </c>
    </row>
    <row r="1004" spans="1:12" ht="33.75" x14ac:dyDescent="0.2">
      <c r="A1004" s="561" t="s">
        <v>90</v>
      </c>
      <c r="B1004" s="562">
        <v>2021</v>
      </c>
      <c r="C1004" s="561" t="s">
        <v>683</v>
      </c>
      <c r="D1004" s="561" t="s">
        <v>1358</v>
      </c>
      <c r="E1004" s="561" t="s">
        <v>131</v>
      </c>
      <c r="F1004" s="563">
        <v>-19155.04</v>
      </c>
      <c r="G1004" s="561" t="s">
        <v>654</v>
      </c>
      <c r="H1004" s="564"/>
      <c r="I1004" s="563">
        <v>-18468.470703125</v>
      </c>
      <c r="J1004" s="563">
        <v>-686.57000732421898</v>
      </c>
      <c r="K1004" s="563">
        <v>-19155.0390625</v>
      </c>
      <c r="L1004" s="566">
        <v>-19155.04</v>
      </c>
    </row>
    <row r="1005" spans="1:12" ht="33.75" x14ac:dyDescent="0.2">
      <c r="A1005" s="561" t="s">
        <v>90</v>
      </c>
      <c r="B1005" s="562">
        <v>2021</v>
      </c>
      <c r="C1005" s="561" t="s">
        <v>685</v>
      </c>
      <c r="D1005" s="561" t="s">
        <v>1359</v>
      </c>
      <c r="E1005" s="561" t="s">
        <v>687</v>
      </c>
      <c r="F1005" s="563">
        <v>2286.14</v>
      </c>
      <c r="G1005" s="564"/>
      <c r="H1005" s="561" t="s">
        <v>654</v>
      </c>
      <c r="I1005" s="565"/>
      <c r="J1005" s="565"/>
      <c r="K1005" s="563">
        <v>0</v>
      </c>
      <c r="L1005" s="566">
        <v>2286.14</v>
      </c>
    </row>
    <row r="1006" spans="1:12" ht="33.75" x14ac:dyDescent="0.2">
      <c r="A1006" s="561" t="s">
        <v>90</v>
      </c>
      <c r="B1006" s="562">
        <v>2021</v>
      </c>
      <c r="C1006" s="561" t="s">
        <v>685</v>
      </c>
      <c r="D1006" s="561" t="s">
        <v>1359</v>
      </c>
      <c r="E1006" s="561" t="s">
        <v>688</v>
      </c>
      <c r="F1006" s="563">
        <v>2286.14</v>
      </c>
      <c r="G1006" s="564"/>
      <c r="H1006" s="561" t="s">
        <v>654</v>
      </c>
      <c r="I1006" s="565"/>
      <c r="J1006" s="565"/>
      <c r="K1006" s="563">
        <v>0</v>
      </c>
      <c r="L1006" s="566">
        <v>2286.14</v>
      </c>
    </row>
    <row r="1007" spans="1:12" ht="22.5" x14ac:dyDescent="0.2">
      <c r="A1007" s="561" t="s">
        <v>90</v>
      </c>
      <c r="B1007" s="562">
        <v>2021</v>
      </c>
      <c r="C1007" s="561" t="s">
        <v>689</v>
      </c>
      <c r="D1007" s="561" t="s">
        <v>1360</v>
      </c>
      <c r="E1007" s="561" t="s">
        <v>691</v>
      </c>
      <c r="F1007" s="563">
        <v>0</v>
      </c>
      <c r="G1007" s="564"/>
      <c r="H1007" s="561" t="s">
        <v>654</v>
      </c>
      <c r="I1007" s="565"/>
      <c r="J1007" s="565"/>
      <c r="K1007" s="563">
        <v>0</v>
      </c>
      <c r="L1007" s="566">
        <v>0</v>
      </c>
    </row>
    <row r="1008" spans="1:12" ht="22.5" x14ac:dyDescent="0.2">
      <c r="A1008" s="561" t="s">
        <v>90</v>
      </c>
      <c r="B1008" s="562">
        <v>2021</v>
      </c>
      <c r="C1008" s="561" t="s">
        <v>692</v>
      </c>
      <c r="D1008" s="561" t="s">
        <v>1361</v>
      </c>
      <c r="E1008" s="561" t="s">
        <v>50</v>
      </c>
      <c r="F1008" s="563">
        <v>494048.74</v>
      </c>
      <c r="G1008" s="564"/>
      <c r="H1008" s="561" t="s">
        <v>654</v>
      </c>
      <c r="I1008" s="565"/>
      <c r="J1008" s="565"/>
      <c r="K1008" s="563">
        <v>0</v>
      </c>
      <c r="L1008" s="566">
        <v>494048.74</v>
      </c>
    </row>
    <row r="1009" spans="1:12" ht="22.5" x14ac:dyDescent="0.2">
      <c r="A1009" s="561" t="s">
        <v>90</v>
      </c>
      <c r="B1009" s="562">
        <v>2021</v>
      </c>
      <c r="C1009" s="561" t="s">
        <v>694</v>
      </c>
      <c r="D1009" s="561" t="s">
        <v>1362</v>
      </c>
      <c r="E1009" s="561" t="s">
        <v>696</v>
      </c>
      <c r="F1009" s="563">
        <v>0</v>
      </c>
      <c r="G1009" s="564"/>
      <c r="H1009" s="561" t="s">
        <v>654</v>
      </c>
      <c r="I1009" s="565"/>
      <c r="J1009" s="565"/>
      <c r="K1009" s="563">
        <v>0</v>
      </c>
      <c r="L1009" s="566">
        <v>0</v>
      </c>
    </row>
    <row r="1010" spans="1:12" ht="22.5" x14ac:dyDescent="0.2">
      <c r="A1010" s="561" t="s">
        <v>90</v>
      </c>
      <c r="B1010" s="562">
        <v>2021</v>
      </c>
      <c r="C1010" s="561" t="s">
        <v>697</v>
      </c>
      <c r="D1010" s="561" t="s">
        <v>1363</v>
      </c>
      <c r="E1010" s="561" t="s">
        <v>6</v>
      </c>
      <c r="F1010" s="563">
        <v>0</v>
      </c>
      <c r="G1010" s="564"/>
      <c r="H1010" s="561" t="s">
        <v>654</v>
      </c>
      <c r="I1010" s="565"/>
      <c r="J1010" s="565"/>
      <c r="K1010" s="563">
        <v>0</v>
      </c>
      <c r="L1010" s="566">
        <v>0</v>
      </c>
    </row>
    <row r="1011" spans="1:12" ht="33.75" x14ac:dyDescent="0.2">
      <c r="A1011" s="561" t="s">
        <v>90</v>
      </c>
      <c r="B1011" s="562">
        <v>2021</v>
      </c>
      <c r="C1011" s="561" t="s">
        <v>699</v>
      </c>
      <c r="D1011" s="561" t="s">
        <v>1364</v>
      </c>
      <c r="E1011" s="561" t="s">
        <v>701</v>
      </c>
      <c r="F1011" s="563">
        <v>3432.76</v>
      </c>
      <c r="G1011" s="564"/>
      <c r="H1011" s="561" t="s">
        <v>654</v>
      </c>
      <c r="I1011" s="565"/>
      <c r="J1011" s="565"/>
      <c r="K1011" s="563">
        <v>0</v>
      </c>
      <c r="L1011" s="566">
        <v>3432.76</v>
      </c>
    </row>
    <row r="1012" spans="1:12" ht="22.5" x14ac:dyDescent="0.2">
      <c r="A1012" s="561" t="s">
        <v>90</v>
      </c>
      <c r="B1012" s="562">
        <v>2021</v>
      </c>
      <c r="C1012" s="561" t="s">
        <v>702</v>
      </c>
      <c r="D1012" s="561" t="s">
        <v>1365</v>
      </c>
      <c r="E1012" s="561" t="s">
        <v>704</v>
      </c>
      <c r="F1012" s="563">
        <v>-14215.78</v>
      </c>
      <c r="G1012" s="564"/>
      <c r="H1012" s="561" t="s">
        <v>654</v>
      </c>
      <c r="I1012" s="565"/>
      <c r="J1012" s="565"/>
      <c r="K1012" s="563">
        <v>0</v>
      </c>
      <c r="L1012" s="566">
        <v>-14215.78</v>
      </c>
    </row>
    <row r="1013" spans="1:12" ht="33.75" x14ac:dyDescent="0.2">
      <c r="A1013" s="561" t="s">
        <v>90</v>
      </c>
      <c r="B1013" s="562">
        <v>2021</v>
      </c>
      <c r="C1013" s="561" t="s">
        <v>705</v>
      </c>
      <c r="D1013" s="561" t="s">
        <v>1366</v>
      </c>
      <c r="E1013" s="561" t="s">
        <v>1</v>
      </c>
      <c r="F1013" s="563">
        <v>-452877.54</v>
      </c>
      <c r="G1013" s="561" t="s">
        <v>654</v>
      </c>
      <c r="H1013" s="564"/>
      <c r="I1013" s="563">
        <v>-446246.6875</v>
      </c>
      <c r="J1013" s="563">
        <v>-6630.85986328125</v>
      </c>
      <c r="K1013" s="563">
        <v>-452877.53125</v>
      </c>
      <c r="L1013" s="566">
        <v>-452877.54</v>
      </c>
    </row>
    <row r="1014" spans="1:12" ht="22.5" x14ac:dyDescent="0.2">
      <c r="A1014" s="561" t="s">
        <v>90</v>
      </c>
      <c r="B1014" s="562">
        <v>2021</v>
      </c>
      <c r="C1014" s="561" t="s">
        <v>705</v>
      </c>
      <c r="D1014" s="561" t="s">
        <v>1366</v>
      </c>
      <c r="E1014" s="561" t="s">
        <v>707</v>
      </c>
      <c r="F1014" s="563">
        <v>0</v>
      </c>
      <c r="G1014" s="564"/>
      <c r="H1014" s="564"/>
      <c r="I1014" s="565"/>
      <c r="J1014" s="565"/>
      <c r="K1014" s="563">
        <v>0</v>
      </c>
      <c r="L1014" s="566">
        <v>0</v>
      </c>
    </row>
    <row r="1015" spans="1:12" ht="22.5" x14ac:dyDescent="0.2">
      <c r="A1015" s="561" t="s">
        <v>90</v>
      </c>
      <c r="B1015" s="562">
        <v>2021</v>
      </c>
      <c r="C1015" s="561" t="s">
        <v>705</v>
      </c>
      <c r="D1015" s="561" t="s">
        <v>1366</v>
      </c>
      <c r="E1015" s="561" t="s">
        <v>708</v>
      </c>
      <c r="F1015" s="563">
        <v>0</v>
      </c>
      <c r="G1015" s="564"/>
      <c r="H1015" s="564"/>
      <c r="I1015" s="565"/>
      <c r="J1015" s="565"/>
      <c r="K1015" s="563">
        <v>0</v>
      </c>
      <c r="L1015" s="566">
        <v>0</v>
      </c>
    </row>
    <row r="1016" spans="1:12" ht="22.5" x14ac:dyDescent="0.2">
      <c r="A1016" s="561" t="s">
        <v>90</v>
      </c>
      <c r="B1016" s="562">
        <v>2021</v>
      </c>
      <c r="C1016" s="561" t="s">
        <v>705</v>
      </c>
      <c r="D1016" s="561" t="s">
        <v>1366</v>
      </c>
      <c r="E1016" s="561" t="s">
        <v>709</v>
      </c>
      <c r="F1016" s="563">
        <v>-483.64</v>
      </c>
      <c r="G1016" s="564"/>
      <c r="H1016" s="564"/>
      <c r="I1016" s="565"/>
      <c r="J1016" s="565"/>
      <c r="K1016" s="563">
        <v>0</v>
      </c>
      <c r="L1016" s="566">
        <v>-483.64</v>
      </c>
    </row>
    <row r="1017" spans="1:12" ht="22.5" x14ac:dyDescent="0.2">
      <c r="A1017" s="561" t="s">
        <v>90</v>
      </c>
      <c r="B1017" s="562">
        <v>2021</v>
      </c>
      <c r="C1017" s="561" t="s">
        <v>705</v>
      </c>
      <c r="D1017" s="561" t="s">
        <v>1366</v>
      </c>
      <c r="E1017" s="561" t="s">
        <v>710</v>
      </c>
      <c r="F1017" s="563">
        <v>-38936.629999999997</v>
      </c>
      <c r="G1017" s="564"/>
      <c r="H1017" s="564"/>
      <c r="I1017" s="565"/>
      <c r="J1017" s="565"/>
      <c r="K1017" s="563">
        <v>0</v>
      </c>
      <c r="L1017" s="566">
        <v>-38936.629999999997</v>
      </c>
    </row>
    <row r="1018" spans="1:12" ht="15" x14ac:dyDescent="0.2">
      <c r="A1018" s="561" t="s">
        <v>90</v>
      </c>
      <c r="B1018" s="562">
        <v>2021</v>
      </c>
      <c r="C1018" s="561" t="s">
        <v>711</v>
      </c>
      <c r="D1018" s="561" t="s">
        <v>1367</v>
      </c>
      <c r="E1018" s="561" t="s">
        <v>713</v>
      </c>
      <c r="F1018" s="563">
        <v>0</v>
      </c>
      <c r="G1018" s="564"/>
      <c r="H1018" s="561" t="s">
        <v>654</v>
      </c>
      <c r="I1018" s="565"/>
      <c r="J1018" s="565"/>
      <c r="K1018" s="563">
        <v>0</v>
      </c>
      <c r="L1018" s="566">
        <v>0</v>
      </c>
    </row>
    <row r="1019" spans="1:12" ht="33.75" x14ac:dyDescent="0.2">
      <c r="A1019" s="561" t="s">
        <v>90</v>
      </c>
      <c r="B1019" s="562">
        <v>2021</v>
      </c>
      <c r="C1019" s="561" t="s">
        <v>714</v>
      </c>
      <c r="D1019" s="561" t="s">
        <v>1368</v>
      </c>
      <c r="E1019" s="561" t="s">
        <v>2</v>
      </c>
      <c r="F1019" s="563">
        <v>44199.7</v>
      </c>
      <c r="G1019" s="561" t="s">
        <v>654</v>
      </c>
      <c r="H1019" s="564"/>
      <c r="I1019" s="563">
        <v>48538.96875</v>
      </c>
      <c r="J1019" s="563">
        <v>-4339.27001953125</v>
      </c>
      <c r="K1019" s="563">
        <v>44199.69921875</v>
      </c>
      <c r="L1019" s="566">
        <v>44199.7</v>
      </c>
    </row>
    <row r="1020" spans="1:12" ht="33.75" x14ac:dyDescent="0.2">
      <c r="A1020" s="561" t="s">
        <v>90</v>
      </c>
      <c r="B1020" s="562">
        <v>2021</v>
      </c>
      <c r="C1020" s="561" t="s">
        <v>716</v>
      </c>
      <c r="D1020" s="561" t="s">
        <v>1369</v>
      </c>
      <c r="E1020" s="561" t="s">
        <v>3</v>
      </c>
      <c r="F1020" s="563">
        <v>82993.570000000007</v>
      </c>
      <c r="G1020" s="561" t="s">
        <v>654</v>
      </c>
      <c r="H1020" s="564"/>
      <c r="I1020" s="563">
        <v>78470</v>
      </c>
      <c r="J1020" s="563">
        <v>4523.56982421875</v>
      </c>
      <c r="K1020" s="563">
        <v>82993.5703125</v>
      </c>
      <c r="L1020" s="566">
        <v>82993.570000000007</v>
      </c>
    </row>
    <row r="1021" spans="1:12" ht="33.75" x14ac:dyDescent="0.2">
      <c r="A1021" s="561" t="s">
        <v>90</v>
      </c>
      <c r="B1021" s="562">
        <v>2021</v>
      </c>
      <c r="C1021" s="561" t="s">
        <v>718</v>
      </c>
      <c r="D1021" s="561" t="s">
        <v>1370</v>
      </c>
      <c r="E1021" s="561" t="s">
        <v>38</v>
      </c>
      <c r="F1021" s="563">
        <v>-954149.43</v>
      </c>
      <c r="G1021" s="561" t="s">
        <v>654</v>
      </c>
      <c r="H1021" s="564"/>
      <c r="I1021" s="563">
        <v>-944642.25</v>
      </c>
      <c r="J1021" s="563">
        <v>-9507.1796875</v>
      </c>
      <c r="K1021" s="563">
        <v>-954149.4375</v>
      </c>
      <c r="L1021" s="566">
        <v>-954149.43</v>
      </c>
    </row>
    <row r="1022" spans="1:12" ht="22.5" x14ac:dyDescent="0.2">
      <c r="A1022" s="561" t="s">
        <v>90</v>
      </c>
      <c r="B1022" s="562">
        <v>2021</v>
      </c>
      <c r="C1022" s="561" t="s">
        <v>720</v>
      </c>
      <c r="D1022" s="561" t="s">
        <v>1371</v>
      </c>
      <c r="E1022" s="561" t="s">
        <v>66</v>
      </c>
      <c r="F1022" s="563">
        <v>1166267.7</v>
      </c>
      <c r="G1022" s="561" t="s">
        <v>654</v>
      </c>
      <c r="H1022" s="564"/>
      <c r="I1022" s="563">
        <v>1160699.125</v>
      </c>
      <c r="J1022" s="563">
        <v>5568.56982421875</v>
      </c>
      <c r="K1022" s="563">
        <v>1166267.75</v>
      </c>
      <c r="L1022" s="566">
        <v>1166267.7</v>
      </c>
    </row>
    <row r="1023" spans="1:12" ht="45" x14ac:dyDescent="0.2">
      <c r="A1023" s="561" t="s">
        <v>90</v>
      </c>
      <c r="B1023" s="562">
        <v>2021</v>
      </c>
      <c r="C1023" s="561" t="s">
        <v>722</v>
      </c>
      <c r="D1023" s="561" t="s">
        <v>1372</v>
      </c>
      <c r="E1023" s="561" t="s">
        <v>724</v>
      </c>
      <c r="F1023" s="563">
        <v>-272186.34000000003</v>
      </c>
      <c r="G1023" s="564"/>
      <c r="H1023" s="561" t="s">
        <v>654</v>
      </c>
      <c r="I1023" s="565"/>
      <c r="J1023" s="565"/>
      <c r="K1023" s="563">
        <v>0</v>
      </c>
      <c r="L1023" s="566">
        <v>-272186.34000000003</v>
      </c>
    </row>
    <row r="1024" spans="1:12" ht="45" x14ac:dyDescent="0.2">
      <c r="A1024" s="561" t="s">
        <v>90</v>
      </c>
      <c r="B1024" s="562">
        <v>2021</v>
      </c>
      <c r="C1024" s="561" t="s">
        <v>725</v>
      </c>
      <c r="D1024" s="561" t="s">
        <v>1373</v>
      </c>
      <c r="E1024" s="561" t="s">
        <v>3024</v>
      </c>
      <c r="F1024" s="563">
        <v>0</v>
      </c>
      <c r="G1024" s="561" t="s">
        <v>654</v>
      </c>
      <c r="H1024" s="564"/>
      <c r="I1024" s="565"/>
      <c r="J1024" s="565"/>
      <c r="K1024" s="563">
        <v>0</v>
      </c>
      <c r="L1024" s="566">
        <v>0</v>
      </c>
    </row>
    <row r="1025" spans="1:12" ht="45" x14ac:dyDescent="0.2">
      <c r="A1025" s="561" t="s">
        <v>90</v>
      </c>
      <c r="B1025" s="562">
        <v>2021</v>
      </c>
      <c r="C1025" s="561" t="s">
        <v>725</v>
      </c>
      <c r="D1025" s="561" t="s">
        <v>1373</v>
      </c>
      <c r="E1025" s="561" t="s">
        <v>3066</v>
      </c>
      <c r="F1025" s="563">
        <v>0</v>
      </c>
      <c r="G1025" s="561" t="s">
        <v>654</v>
      </c>
      <c r="H1025" s="564"/>
      <c r="I1025" s="565"/>
      <c r="J1025" s="565"/>
      <c r="K1025" s="563">
        <v>0</v>
      </c>
      <c r="L1025" s="566">
        <v>0</v>
      </c>
    </row>
    <row r="1026" spans="1:12" ht="45" x14ac:dyDescent="0.2">
      <c r="A1026" s="561" t="s">
        <v>90</v>
      </c>
      <c r="B1026" s="562">
        <v>2021</v>
      </c>
      <c r="C1026" s="561" t="s">
        <v>725</v>
      </c>
      <c r="D1026" s="561" t="s">
        <v>1374</v>
      </c>
      <c r="E1026" s="561" t="s">
        <v>728</v>
      </c>
      <c r="F1026" s="563">
        <v>0</v>
      </c>
      <c r="G1026" s="561" t="s">
        <v>654</v>
      </c>
      <c r="H1026" s="564"/>
      <c r="I1026" s="565"/>
      <c r="J1026" s="565"/>
      <c r="K1026" s="563">
        <v>0</v>
      </c>
      <c r="L1026" s="566">
        <v>0</v>
      </c>
    </row>
    <row r="1027" spans="1:12" ht="45" x14ac:dyDescent="0.2">
      <c r="A1027" s="561" t="s">
        <v>90</v>
      </c>
      <c r="B1027" s="562">
        <v>2021</v>
      </c>
      <c r="C1027" s="561" t="s">
        <v>725</v>
      </c>
      <c r="D1027" s="561" t="s">
        <v>1375</v>
      </c>
      <c r="E1027" s="561" t="s">
        <v>55</v>
      </c>
      <c r="F1027" s="563">
        <v>0</v>
      </c>
      <c r="G1027" s="561" t="s">
        <v>654</v>
      </c>
      <c r="H1027" s="564"/>
      <c r="I1027" s="565"/>
      <c r="J1027" s="565"/>
      <c r="K1027" s="563">
        <v>0</v>
      </c>
      <c r="L1027" s="566">
        <v>0</v>
      </c>
    </row>
    <row r="1028" spans="1:12" ht="45" x14ac:dyDescent="0.2">
      <c r="A1028" s="561" t="s">
        <v>90</v>
      </c>
      <c r="B1028" s="562">
        <v>2021</v>
      </c>
      <c r="C1028" s="561" t="s">
        <v>725</v>
      </c>
      <c r="D1028" s="561" t="s">
        <v>1376</v>
      </c>
      <c r="E1028" s="561" t="s">
        <v>56</v>
      </c>
      <c r="F1028" s="563">
        <v>0</v>
      </c>
      <c r="G1028" s="561" t="s">
        <v>654</v>
      </c>
      <c r="H1028" s="564"/>
      <c r="I1028" s="565"/>
      <c r="J1028" s="565"/>
      <c r="K1028" s="563">
        <v>0</v>
      </c>
      <c r="L1028" s="566">
        <v>0</v>
      </c>
    </row>
    <row r="1029" spans="1:12" ht="45" x14ac:dyDescent="0.2">
      <c r="A1029" s="561" t="s">
        <v>90</v>
      </c>
      <c r="B1029" s="562">
        <v>2021</v>
      </c>
      <c r="C1029" s="561" t="s">
        <v>725</v>
      </c>
      <c r="D1029" s="561" t="s">
        <v>1377</v>
      </c>
      <c r="E1029" s="561" t="s">
        <v>732</v>
      </c>
      <c r="F1029" s="563">
        <v>0</v>
      </c>
      <c r="G1029" s="561" t="s">
        <v>654</v>
      </c>
      <c r="H1029" s="564"/>
      <c r="I1029" s="565"/>
      <c r="J1029" s="565"/>
      <c r="K1029" s="563">
        <v>0</v>
      </c>
      <c r="L1029" s="566">
        <v>0</v>
      </c>
    </row>
    <row r="1030" spans="1:12" ht="45" x14ac:dyDescent="0.2">
      <c r="A1030" s="561" t="s">
        <v>90</v>
      </c>
      <c r="B1030" s="562">
        <v>2021</v>
      </c>
      <c r="C1030" s="561" t="s">
        <v>725</v>
      </c>
      <c r="D1030" s="561" t="s">
        <v>1378</v>
      </c>
      <c r="E1030" s="561" t="s">
        <v>734</v>
      </c>
      <c r="F1030" s="563">
        <v>0</v>
      </c>
      <c r="G1030" s="561" t="s">
        <v>654</v>
      </c>
      <c r="H1030" s="564"/>
      <c r="I1030" s="565"/>
      <c r="J1030" s="565"/>
      <c r="K1030" s="563">
        <v>0</v>
      </c>
      <c r="L1030" s="566">
        <v>0</v>
      </c>
    </row>
    <row r="1031" spans="1:12" ht="45" x14ac:dyDescent="0.2">
      <c r="A1031" s="561" t="s">
        <v>90</v>
      </c>
      <c r="B1031" s="562">
        <v>2021</v>
      </c>
      <c r="C1031" s="561" t="s">
        <v>725</v>
      </c>
      <c r="D1031" s="561" t="s">
        <v>1379</v>
      </c>
      <c r="E1031" s="561" t="s">
        <v>142</v>
      </c>
      <c r="F1031" s="563">
        <v>0</v>
      </c>
      <c r="G1031" s="561" t="s">
        <v>654</v>
      </c>
      <c r="H1031" s="564"/>
      <c r="I1031" s="565"/>
      <c r="J1031" s="565"/>
      <c r="K1031" s="563">
        <v>0</v>
      </c>
      <c r="L1031" s="566">
        <v>0</v>
      </c>
    </row>
    <row r="1032" spans="1:12" ht="45" x14ac:dyDescent="0.2">
      <c r="A1032" s="561" t="s">
        <v>90</v>
      </c>
      <c r="B1032" s="562">
        <v>2021</v>
      </c>
      <c r="C1032" s="561" t="s">
        <v>725</v>
      </c>
      <c r="D1032" s="561" t="s">
        <v>1380</v>
      </c>
      <c r="E1032" s="561" t="s">
        <v>143</v>
      </c>
      <c r="F1032" s="563">
        <v>0</v>
      </c>
      <c r="G1032" s="561" t="s">
        <v>654</v>
      </c>
      <c r="H1032" s="564"/>
      <c r="I1032" s="565"/>
      <c r="J1032" s="565"/>
      <c r="K1032" s="563">
        <v>0</v>
      </c>
      <c r="L1032" s="566">
        <v>0</v>
      </c>
    </row>
    <row r="1033" spans="1:12" ht="45" x14ac:dyDescent="0.2">
      <c r="A1033" s="561" t="s">
        <v>90</v>
      </c>
      <c r="B1033" s="562">
        <v>2021</v>
      </c>
      <c r="C1033" s="561" t="s">
        <v>725</v>
      </c>
      <c r="D1033" s="561" t="s">
        <v>1381</v>
      </c>
      <c r="E1033" s="561" t="s">
        <v>182</v>
      </c>
      <c r="F1033" s="563">
        <v>0</v>
      </c>
      <c r="G1033" s="561" t="s">
        <v>654</v>
      </c>
      <c r="H1033" s="564"/>
      <c r="I1033" s="563">
        <v>0.74000000953674305</v>
      </c>
      <c r="J1033" s="565"/>
      <c r="K1033" s="563">
        <v>0.74000000953674305</v>
      </c>
      <c r="L1033" s="566">
        <v>0.74</v>
      </c>
    </row>
    <row r="1034" spans="1:12" ht="45" x14ac:dyDescent="0.2">
      <c r="A1034" s="561" t="s">
        <v>90</v>
      </c>
      <c r="B1034" s="562">
        <v>2021</v>
      </c>
      <c r="C1034" s="561" t="s">
        <v>725</v>
      </c>
      <c r="D1034" s="561" t="s">
        <v>1382</v>
      </c>
      <c r="E1034" s="561" t="s">
        <v>394</v>
      </c>
      <c r="F1034" s="563">
        <v>0</v>
      </c>
      <c r="G1034" s="561" t="s">
        <v>654</v>
      </c>
      <c r="H1034" s="564"/>
      <c r="I1034" s="563">
        <v>68063.90625</v>
      </c>
      <c r="J1034" s="563">
        <v>18719.580078125</v>
      </c>
      <c r="K1034" s="563">
        <v>86783.4921875</v>
      </c>
      <c r="L1034" s="566">
        <v>86783.49</v>
      </c>
    </row>
    <row r="1035" spans="1:12" ht="45" x14ac:dyDescent="0.2">
      <c r="A1035" s="561" t="s">
        <v>90</v>
      </c>
      <c r="B1035" s="562">
        <v>2021</v>
      </c>
      <c r="C1035" s="561" t="s">
        <v>725</v>
      </c>
      <c r="D1035" s="561" t="s">
        <v>1383</v>
      </c>
      <c r="E1035" s="561" t="s">
        <v>425</v>
      </c>
      <c r="F1035" s="563">
        <v>0</v>
      </c>
      <c r="G1035" s="561" t="s">
        <v>654</v>
      </c>
      <c r="H1035" s="564"/>
      <c r="I1035" s="563">
        <v>-13146.0498046875</v>
      </c>
      <c r="J1035" s="563">
        <v>7538.25</v>
      </c>
      <c r="K1035" s="563">
        <v>-5607.7998046875</v>
      </c>
      <c r="L1035" s="566">
        <v>-5607.8</v>
      </c>
    </row>
    <row r="1036" spans="1:12" ht="45" x14ac:dyDescent="0.2">
      <c r="A1036" s="561" t="s">
        <v>90</v>
      </c>
      <c r="B1036" s="562">
        <v>2021</v>
      </c>
      <c r="C1036" s="561" t="s">
        <v>725</v>
      </c>
      <c r="D1036" s="561" t="s">
        <v>3221</v>
      </c>
      <c r="E1036" s="561" t="s">
        <v>443</v>
      </c>
      <c r="F1036" s="563">
        <v>0</v>
      </c>
      <c r="G1036" s="561" t="s">
        <v>654</v>
      </c>
      <c r="H1036" s="564"/>
      <c r="I1036" s="563">
        <v>14879.7001953125</v>
      </c>
      <c r="J1036" s="563">
        <v>-30524.759765625</v>
      </c>
      <c r="K1036" s="563">
        <v>-15645.0595703125</v>
      </c>
      <c r="L1036" s="566">
        <v>-15645.06</v>
      </c>
    </row>
    <row r="1037" spans="1:12" ht="45" x14ac:dyDescent="0.2">
      <c r="A1037" s="561" t="s">
        <v>90</v>
      </c>
      <c r="B1037" s="562">
        <v>2021</v>
      </c>
      <c r="C1037" s="561" t="s">
        <v>725</v>
      </c>
      <c r="D1037" s="561" t="s">
        <v>1384</v>
      </c>
      <c r="E1037" s="561" t="s">
        <v>741</v>
      </c>
      <c r="F1037" s="563">
        <v>65531.37</v>
      </c>
      <c r="G1037" s="564"/>
      <c r="H1037" s="564"/>
      <c r="I1037" s="565"/>
      <c r="J1037" s="565"/>
      <c r="K1037" s="563">
        <v>0</v>
      </c>
      <c r="L1037" s="566">
        <v>65531.37</v>
      </c>
    </row>
    <row r="1038" spans="1:12" ht="22.5" x14ac:dyDescent="0.2">
      <c r="A1038" s="561" t="s">
        <v>90</v>
      </c>
      <c r="B1038" s="562">
        <v>2021</v>
      </c>
      <c r="C1038" s="561" t="s">
        <v>742</v>
      </c>
      <c r="D1038" s="561" t="s">
        <v>1385</v>
      </c>
      <c r="E1038" s="561" t="s">
        <v>7</v>
      </c>
      <c r="F1038" s="563">
        <v>0</v>
      </c>
      <c r="G1038" s="564"/>
      <c r="H1038" s="561" t="s">
        <v>654</v>
      </c>
      <c r="I1038" s="565"/>
      <c r="J1038" s="565"/>
      <c r="K1038" s="563">
        <v>0</v>
      </c>
      <c r="L1038" s="566">
        <v>0</v>
      </c>
    </row>
    <row r="1039" spans="1:12" ht="22.5" x14ac:dyDescent="0.2">
      <c r="A1039" s="561" t="s">
        <v>91</v>
      </c>
      <c r="B1039" s="562">
        <v>2021</v>
      </c>
      <c r="C1039" s="561" t="s">
        <v>651</v>
      </c>
      <c r="D1039" s="561" t="s">
        <v>1386</v>
      </c>
      <c r="E1039" s="561" t="s">
        <v>653</v>
      </c>
      <c r="F1039" s="563">
        <v>7484.38</v>
      </c>
      <c r="G1039" s="564"/>
      <c r="H1039" s="561" t="s">
        <v>654</v>
      </c>
      <c r="I1039" s="565"/>
      <c r="J1039" s="565"/>
      <c r="K1039" s="563">
        <v>0</v>
      </c>
      <c r="L1039" s="566">
        <v>7484.38</v>
      </c>
    </row>
    <row r="1040" spans="1:12" ht="22.5" x14ac:dyDescent="0.2">
      <c r="A1040" s="561" t="s">
        <v>91</v>
      </c>
      <c r="B1040" s="562">
        <v>2021</v>
      </c>
      <c r="C1040" s="561" t="s">
        <v>655</v>
      </c>
      <c r="D1040" s="561" t="s">
        <v>1387</v>
      </c>
      <c r="E1040" s="561" t="s">
        <v>657</v>
      </c>
      <c r="F1040" s="563">
        <v>0</v>
      </c>
      <c r="G1040" s="564"/>
      <c r="H1040" s="561" t="s">
        <v>654</v>
      </c>
      <c r="I1040" s="565"/>
      <c r="J1040" s="565"/>
      <c r="K1040" s="563">
        <v>0</v>
      </c>
      <c r="L1040" s="566">
        <v>0</v>
      </c>
    </row>
    <row r="1041" spans="1:12" ht="56.25" x14ac:dyDescent="0.2">
      <c r="A1041" s="561" t="s">
        <v>91</v>
      </c>
      <c r="B1041" s="562">
        <v>2021</v>
      </c>
      <c r="C1041" s="561" t="s">
        <v>658</v>
      </c>
      <c r="D1041" s="561" t="s">
        <v>1388</v>
      </c>
      <c r="E1041" s="561" t="s">
        <v>447</v>
      </c>
      <c r="F1041" s="563">
        <v>0</v>
      </c>
      <c r="G1041" s="564"/>
      <c r="H1041" s="561" t="s">
        <v>654</v>
      </c>
      <c r="I1041" s="565"/>
      <c r="J1041" s="565"/>
      <c r="K1041" s="563">
        <v>0</v>
      </c>
      <c r="L1041" s="566">
        <v>0</v>
      </c>
    </row>
    <row r="1042" spans="1:12" ht="22.5" x14ac:dyDescent="0.2">
      <c r="A1042" s="561" t="s">
        <v>91</v>
      </c>
      <c r="B1042" s="562">
        <v>2021</v>
      </c>
      <c r="C1042" s="561" t="s">
        <v>660</v>
      </c>
      <c r="D1042" s="561" t="s">
        <v>1389</v>
      </c>
      <c r="E1042" s="561" t="s">
        <v>662</v>
      </c>
      <c r="F1042" s="563">
        <v>0</v>
      </c>
      <c r="G1042" s="564"/>
      <c r="H1042" s="561" t="s">
        <v>654</v>
      </c>
      <c r="I1042" s="565"/>
      <c r="J1042" s="565"/>
      <c r="K1042" s="563">
        <v>0</v>
      </c>
      <c r="L1042" s="566">
        <v>0</v>
      </c>
    </row>
    <row r="1043" spans="1:12" ht="33.75" x14ac:dyDescent="0.2">
      <c r="A1043" s="561" t="s">
        <v>91</v>
      </c>
      <c r="B1043" s="562">
        <v>2021</v>
      </c>
      <c r="C1043" s="561" t="s">
        <v>663</v>
      </c>
      <c r="D1043" s="561" t="s">
        <v>1390</v>
      </c>
      <c r="E1043" s="561" t="s">
        <v>665</v>
      </c>
      <c r="F1043" s="563">
        <v>87334.5</v>
      </c>
      <c r="G1043" s="564"/>
      <c r="H1043" s="561" t="s">
        <v>654</v>
      </c>
      <c r="I1043" s="565"/>
      <c r="J1043" s="565"/>
      <c r="K1043" s="563">
        <v>0</v>
      </c>
      <c r="L1043" s="566">
        <v>87334.5</v>
      </c>
    </row>
    <row r="1044" spans="1:12" ht="33.75" x14ac:dyDescent="0.2">
      <c r="A1044" s="561" t="s">
        <v>91</v>
      </c>
      <c r="B1044" s="562">
        <v>2021</v>
      </c>
      <c r="C1044" s="561" t="s">
        <v>666</v>
      </c>
      <c r="D1044" s="561" t="s">
        <v>1391</v>
      </c>
      <c r="E1044" s="561" t="s">
        <v>668</v>
      </c>
      <c r="F1044" s="563">
        <v>28880.45</v>
      </c>
      <c r="G1044" s="564"/>
      <c r="H1044" s="561" t="s">
        <v>654</v>
      </c>
      <c r="I1044" s="565"/>
      <c r="J1044" s="565"/>
      <c r="K1044" s="563">
        <v>0</v>
      </c>
      <c r="L1044" s="566">
        <v>28880.45</v>
      </c>
    </row>
    <row r="1045" spans="1:12" ht="56.25" x14ac:dyDescent="0.2">
      <c r="A1045" s="561" t="s">
        <v>91</v>
      </c>
      <c r="B1045" s="562">
        <v>2021</v>
      </c>
      <c r="C1045" s="561" t="s">
        <v>669</v>
      </c>
      <c r="D1045" s="561" t="s">
        <v>1392</v>
      </c>
      <c r="E1045" s="561" t="s">
        <v>671</v>
      </c>
      <c r="F1045" s="563">
        <v>-13756</v>
      </c>
      <c r="G1045" s="564"/>
      <c r="H1045" s="561" t="s">
        <v>654</v>
      </c>
      <c r="I1045" s="565"/>
      <c r="J1045" s="565"/>
      <c r="K1045" s="563">
        <v>0</v>
      </c>
      <c r="L1045" s="566">
        <v>-13756</v>
      </c>
    </row>
    <row r="1046" spans="1:12" ht="22.5" x14ac:dyDescent="0.2">
      <c r="A1046" s="561" t="s">
        <v>91</v>
      </c>
      <c r="B1046" s="562">
        <v>2021</v>
      </c>
      <c r="C1046" s="561" t="s">
        <v>672</v>
      </c>
      <c r="D1046" s="561" t="s">
        <v>1393</v>
      </c>
      <c r="E1046" s="561" t="s">
        <v>12</v>
      </c>
      <c r="F1046" s="563">
        <v>0</v>
      </c>
      <c r="G1046" s="564"/>
      <c r="H1046" s="561" t="s">
        <v>654</v>
      </c>
      <c r="I1046" s="565"/>
      <c r="J1046" s="565"/>
      <c r="K1046" s="563">
        <v>0</v>
      </c>
      <c r="L1046" s="566">
        <v>0</v>
      </c>
    </row>
    <row r="1047" spans="1:12" ht="22.5" x14ac:dyDescent="0.2">
      <c r="A1047" s="561" t="s">
        <v>91</v>
      </c>
      <c r="B1047" s="562">
        <v>2021</v>
      </c>
      <c r="C1047" s="561" t="s">
        <v>674</v>
      </c>
      <c r="D1047" s="561" t="s">
        <v>1394</v>
      </c>
      <c r="E1047" s="561" t="s">
        <v>13</v>
      </c>
      <c r="F1047" s="563">
        <v>0</v>
      </c>
      <c r="G1047" s="564"/>
      <c r="H1047" s="561" t="s">
        <v>654</v>
      </c>
      <c r="I1047" s="565"/>
      <c r="J1047" s="565"/>
      <c r="K1047" s="563">
        <v>0</v>
      </c>
      <c r="L1047" s="566">
        <v>0</v>
      </c>
    </row>
    <row r="1048" spans="1:12" ht="33.75" x14ac:dyDescent="0.2">
      <c r="A1048" s="561" t="s">
        <v>91</v>
      </c>
      <c r="B1048" s="562">
        <v>2021</v>
      </c>
      <c r="C1048" s="561" t="s">
        <v>676</v>
      </c>
      <c r="D1048" s="561" t="s">
        <v>1395</v>
      </c>
      <c r="E1048" s="561" t="s">
        <v>15</v>
      </c>
      <c r="F1048" s="563">
        <v>0</v>
      </c>
      <c r="G1048" s="564"/>
      <c r="H1048" s="561" t="s">
        <v>654</v>
      </c>
      <c r="I1048" s="565"/>
      <c r="J1048" s="565"/>
      <c r="K1048" s="563">
        <v>0</v>
      </c>
      <c r="L1048" s="566">
        <v>0</v>
      </c>
    </row>
    <row r="1049" spans="1:12" ht="22.5" x14ac:dyDescent="0.2">
      <c r="A1049" s="561" t="s">
        <v>91</v>
      </c>
      <c r="B1049" s="562">
        <v>2021</v>
      </c>
      <c r="C1049" s="561" t="s">
        <v>678</v>
      </c>
      <c r="D1049" s="561" t="s">
        <v>1396</v>
      </c>
      <c r="E1049" s="561" t="s">
        <v>680</v>
      </c>
      <c r="F1049" s="563">
        <v>0</v>
      </c>
      <c r="G1049" s="564"/>
      <c r="H1049" s="561" t="s">
        <v>654</v>
      </c>
      <c r="I1049" s="565"/>
      <c r="J1049" s="565"/>
      <c r="K1049" s="563">
        <v>0</v>
      </c>
      <c r="L1049" s="566">
        <v>0</v>
      </c>
    </row>
    <row r="1050" spans="1:12" ht="22.5" x14ac:dyDescent="0.2">
      <c r="A1050" s="561" t="s">
        <v>91</v>
      </c>
      <c r="B1050" s="562">
        <v>2021</v>
      </c>
      <c r="C1050" s="561" t="s">
        <v>681</v>
      </c>
      <c r="D1050" s="561" t="s">
        <v>1397</v>
      </c>
      <c r="E1050" s="561" t="s">
        <v>23</v>
      </c>
      <c r="F1050" s="563">
        <v>0</v>
      </c>
      <c r="G1050" s="561" t="s">
        <v>654</v>
      </c>
      <c r="H1050" s="564"/>
      <c r="I1050" s="565"/>
      <c r="J1050" s="565"/>
      <c r="K1050" s="563">
        <v>0</v>
      </c>
      <c r="L1050" s="566">
        <v>0</v>
      </c>
    </row>
    <row r="1051" spans="1:12" ht="33.75" x14ac:dyDescent="0.2">
      <c r="A1051" s="561" t="s">
        <v>91</v>
      </c>
      <c r="B1051" s="562">
        <v>2021</v>
      </c>
      <c r="C1051" s="561" t="s">
        <v>683</v>
      </c>
      <c r="D1051" s="561" t="s">
        <v>1398</v>
      </c>
      <c r="E1051" s="561" t="s">
        <v>131</v>
      </c>
      <c r="F1051" s="563">
        <v>-2422.31</v>
      </c>
      <c r="G1051" s="561" t="s">
        <v>654</v>
      </c>
      <c r="H1051" s="564"/>
      <c r="I1051" s="563">
        <v>-2331.7900390625</v>
      </c>
      <c r="J1051" s="563">
        <v>-90.519996643066406</v>
      </c>
      <c r="K1051" s="563">
        <v>-2422.31005859375</v>
      </c>
      <c r="L1051" s="566">
        <v>-2422.31</v>
      </c>
    </row>
    <row r="1052" spans="1:12" ht="33.75" x14ac:dyDescent="0.2">
      <c r="A1052" s="561" t="s">
        <v>91</v>
      </c>
      <c r="B1052" s="562">
        <v>2021</v>
      </c>
      <c r="C1052" s="561" t="s">
        <v>685</v>
      </c>
      <c r="D1052" s="561" t="s">
        <v>1399</v>
      </c>
      <c r="E1052" s="561" t="s">
        <v>687</v>
      </c>
      <c r="F1052" s="563">
        <v>1994.5</v>
      </c>
      <c r="G1052" s="564"/>
      <c r="H1052" s="561" t="s">
        <v>654</v>
      </c>
      <c r="I1052" s="565"/>
      <c r="J1052" s="565"/>
      <c r="K1052" s="563">
        <v>0</v>
      </c>
      <c r="L1052" s="566">
        <v>1994.5</v>
      </c>
    </row>
    <row r="1053" spans="1:12" ht="33.75" x14ac:dyDescent="0.2">
      <c r="A1053" s="561" t="s">
        <v>91</v>
      </c>
      <c r="B1053" s="562">
        <v>2021</v>
      </c>
      <c r="C1053" s="561" t="s">
        <v>685</v>
      </c>
      <c r="D1053" s="561" t="s">
        <v>1399</v>
      </c>
      <c r="E1053" s="561" t="s">
        <v>688</v>
      </c>
      <c r="F1053" s="563">
        <v>0</v>
      </c>
      <c r="G1053" s="564"/>
      <c r="H1053" s="561" t="s">
        <v>654</v>
      </c>
      <c r="I1053" s="565"/>
      <c r="J1053" s="565"/>
      <c r="K1053" s="563">
        <v>0</v>
      </c>
      <c r="L1053" s="566">
        <v>0</v>
      </c>
    </row>
    <row r="1054" spans="1:12" ht="22.5" x14ac:dyDescent="0.2">
      <c r="A1054" s="561" t="s">
        <v>91</v>
      </c>
      <c r="B1054" s="562">
        <v>2021</v>
      </c>
      <c r="C1054" s="561" t="s">
        <v>689</v>
      </c>
      <c r="D1054" s="561" t="s">
        <v>1400</v>
      </c>
      <c r="E1054" s="561" t="s">
        <v>691</v>
      </c>
      <c r="F1054" s="563">
        <v>0</v>
      </c>
      <c r="G1054" s="564"/>
      <c r="H1054" s="561" t="s">
        <v>654</v>
      </c>
      <c r="I1054" s="565"/>
      <c r="J1054" s="565"/>
      <c r="K1054" s="563">
        <v>0</v>
      </c>
      <c r="L1054" s="566">
        <v>0</v>
      </c>
    </row>
    <row r="1055" spans="1:12" ht="22.5" x14ac:dyDescent="0.2">
      <c r="A1055" s="561" t="s">
        <v>91</v>
      </c>
      <c r="B1055" s="562">
        <v>2021</v>
      </c>
      <c r="C1055" s="561" t="s">
        <v>692</v>
      </c>
      <c r="D1055" s="561" t="s">
        <v>1401</v>
      </c>
      <c r="E1055" s="561" t="s">
        <v>50</v>
      </c>
      <c r="F1055" s="563">
        <v>48208.93</v>
      </c>
      <c r="G1055" s="564"/>
      <c r="H1055" s="561" t="s">
        <v>654</v>
      </c>
      <c r="I1055" s="565"/>
      <c r="J1055" s="565"/>
      <c r="K1055" s="563">
        <v>0</v>
      </c>
      <c r="L1055" s="566">
        <v>48208.93</v>
      </c>
    </row>
    <row r="1056" spans="1:12" ht="22.5" x14ac:dyDescent="0.2">
      <c r="A1056" s="561" t="s">
        <v>91</v>
      </c>
      <c r="B1056" s="562">
        <v>2021</v>
      </c>
      <c r="C1056" s="561" t="s">
        <v>694</v>
      </c>
      <c r="D1056" s="561" t="s">
        <v>1402</v>
      </c>
      <c r="E1056" s="561" t="s">
        <v>696</v>
      </c>
      <c r="F1056" s="563">
        <v>0</v>
      </c>
      <c r="G1056" s="564"/>
      <c r="H1056" s="561" t="s">
        <v>654</v>
      </c>
      <c r="I1056" s="565"/>
      <c r="J1056" s="565"/>
      <c r="K1056" s="563">
        <v>0</v>
      </c>
      <c r="L1056" s="566">
        <v>0</v>
      </c>
    </row>
    <row r="1057" spans="1:12" ht="22.5" x14ac:dyDescent="0.2">
      <c r="A1057" s="561" t="s">
        <v>91</v>
      </c>
      <c r="B1057" s="562">
        <v>2021</v>
      </c>
      <c r="C1057" s="561" t="s">
        <v>697</v>
      </c>
      <c r="D1057" s="561" t="s">
        <v>1403</v>
      </c>
      <c r="E1057" s="561" t="s">
        <v>6</v>
      </c>
      <c r="F1057" s="563">
        <v>0</v>
      </c>
      <c r="G1057" s="564"/>
      <c r="H1057" s="561" t="s">
        <v>654</v>
      </c>
      <c r="I1057" s="565"/>
      <c r="J1057" s="565"/>
      <c r="K1057" s="563">
        <v>0</v>
      </c>
      <c r="L1057" s="566">
        <v>0</v>
      </c>
    </row>
    <row r="1058" spans="1:12" ht="33.75" x14ac:dyDescent="0.2">
      <c r="A1058" s="561" t="s">
        <v>91</v>
      </c>
      <c r="B1058" s="562">
        <v>2021</v>
      </c>
      <c r="C1058" s="561" t="s">
        <v>699</v>
      </c>
      <c r="D1058" s="561" t="s">
        <v>1404</v>
      </c>
      <c r="E1058" s="561" t="s">
        <v>701</v>
      </c>
      <c r="F1058" s="563">
        <v>0</v>
      </c>
      <c r="G1058" s="564"/>
      <c r="H1058" s="561" t="s">
        <v>654</v>
      </c>
      <c r="I1058" s="565"/>
      <c r="J1058" s="565"/>
      <c r="K1058" s="563">
        <v>0</v>
      </c>
      <c r="L1058" s="566">
        <v>0</v>
      </c>
    </row>
    <row r="1059" spans="1:12" ht="22.5" x14ac:dyDescent="0.2">
      <c r="A1059" s="561" t="s">
        <v>91</v>
      </c>
      <c r="B1059" s="562">
        <v>2021</v>
      </c>
      <c r="C1059" s="561" t="s">
        <v>702</v>
      </c>
      <c r="D1059" s="561" t="s">
        <v>1405</v>
      </c>
      <c r="E1059" s="561" t="s">
        <v>704</v>
      </c>
      <c r="F1059" s="563">
        <v>21410.59</v>
      </c>
      <c r="G1059" s="564"/>
      <c r="H1059" s="561" t="s">
        <v>654</v>
      </c>
      <c r="I1059" s="565"/>
      <c r="J1059" s="565"/>
      <c r="K1059" s="563">
        <v>0</v>
      </c>
      <c r="L1059" s="566">
        <v>21410.59</v>
      </c>
    </row>
    <row r="1060" spans="1:12" ht="33.75" x14ac:dyDescent="0.2">
      <c r="A1060" s="561" t="s">
        <v>91</v>
      </c>
      <c r="B1060" s="562">
        <v>2021</v>
      </c>
      <c r="C1060" s="561" t="s">
        <v>705</v>
      </c>
      <c r="D1060" s="561" t="s">
        <v>1406</v>
      </c>
      <c r="E1060" s="561" t="s">
        <v>1</v>
      </c>
      <c r="F1060" s="563">
        <v>-330758.19</v>
      </c>
      <c r="G1060" s="561" t="s">
        <v>654</v>
      </c>
      <c r="H1060" s="564"/>
      <c r="I1060" s="563">
        <v>-316171.625</v>
      </c>
      <c r="J1060" s="563">
        <v>-14586.5595703125</v>
      </c>
      <c r="K1060" s="563">
        <v>-330758.1875</v>
      </c>
      <c r="L1060" s="566">
        <v>-330758.19</v>
      </c>
    </row>
    <row r="1061" spans="1:12" ht="22.5" x14ac:dyDescent="0.2">
      <c r="A1061" s="561" t="s">
        <v>91</v>
      </c>
      <c r="B1061" s="562">
        <v>2021</v>
      </c>
      <c r="C1061" s="561" t="s">
        <v>705</v>
      </c>
      <c r="D1061" s="561" t="s">
        <v>1406</v>
      </c>
      <c r="E1061" s="561" t="s">
        <v>707</v>
      </c>
      <c r="F1061" s="563">
        <v>0</v>
      </c>
      <c r="G1061" s="564"/>
      <c r="H1061" s="564"/>
      <c r="I1061" s="565"/>
      <c r="J1061" s="565"/>
      <c r="K1061" s="563">
        <v>0</v>
      </c>
      <c r="L1061" s="566">
        <v>0</v>
      </c>
    </row>
    <row r="1062" spans="1:12" ht="22.5" x14ac:dyDescent="0.2">
      <c r="A1062" s="561" t="s">
        <v>91</v>
      </c>
      <c r="B1062" s="562">
        <v>2021</v>
      </c>
      <c r="C1062" s="561" t="s">
        <v>705</v>
      </c>
      <c r="D1062" s="561" t="s">
        <v>1406</v>
      </c>
      <c r="E1062" s="561" t="s">
        <v>708</v>
      </c>
      <c r="F1062" s="563">
        <v>0</v>
      </c>
      <c r="G1062" s="564"/>
      <c r="H1062" s="564"/>
      <c r="I1062" s="565"/>
      <c r="J1062" s="565"/>
      <c r="K1062" s="563">
        <v>0</v>
      </c>
      <c r="L1062" s="566">
        <v>0</v>
      </c>
    </row>
    <row r="1063" spans="1:12" ht="22.5" x14ac:dyDescent="0.2">
      <c r="A1063" s="561" t="s">
        <v>91</v>
      </c>
      <c r="B1063" s="562">
        <v>2021</v>
      </c>
      <c r="C1063" s="561" t="s">
        <v>705</v>
      </c>
      <c r="D1063" s="561" t="s">
        <v>1406</v>
      </c>
      <c r="E1063" s="561" t="s">
        <v>709</v>
      </c>
      <c r="F1063" s="563">
        <v>-2223.37</v>
      </c>
      <c r="G1063" s="564"/>
      <c r="H1063" s="564"/>
      <c r="I1063" s="565"/>
      <c r="J1063" s="565"/>
      <c r="K1063" s="563">
        <v>0</v>
      </c>
      <c r="L1063" s="566">
        <v>-2223.37</v>
      </c>
    </row>
    <row r="1064" spans="1:12" ht="22.5" x14ac:dyDescent="0.2">
      <c r="A1064" s="561" t="s">
        <v>91</v>
      </c>
      <c r="B1064" s="562">
        <v>2021</v>
      </c>
      <c r="C1064" s="561" t="s">
        <v>705</v>
      </c>
      <c r="D1064" s="561" t="s">
        <v>1406</v>
      </c>
      <c r="E1064" s="561" t="s">
        <v>710</v>
      </c>
      <c r="F1064" s="563">
        <v>-66843.78</v>
      </c>
      <c r="G1064" s="564"/>
      <c r="H1064" s="564"/>
      <c r="I1064" s="565"/>
      <c r="J1064" s="565"/>
      <c r="K1064" s="563">
        <v>0</v>
      </c>
      <c r="L1064" s="566">
        <v>-66843.78</v>
      </c>
    </row>
    <row r="1065" spans="1:12" ht="22.5" x14ac:dyDescent="0.2">
      <c r="A1065" s="561" t="s">
        <v>91</v>
      </c>
      <c r="B1065" s="562">
        <v>2021</v>
      </c>
      <c r="C1065" s="561" t="s">
        <v>711</v>
      </c>
      <c r="D1065" s="561" t="s">
        <v>1407</v>
      </c>
      <c r="E1065" s="561" t="s">
        <v>713</v>
      </c>
      <c r="F1065" s="563">
        <v>0</v>
      </c>
      <c r="G1065" s="564"/>
      <c r="H1065" s="561" t="s">
        <v>654</v>
      </c>
      <c r="I1065" s="565"/>
      <c r="J1065" s="565"/>
      <c r="K1065" s="563">
        <v>0</v>
      </c>
      <c r="L1065" s="566">
        <v>0</v>
      </c>
    </row>
    <row r="1066" spans="1:12" ht="33.75" x14ac:dyDescent="0.2">
      <c r="A1066" s="561" t="s">
        <v>91</v>
      </c>
      <c r="B1066" s="562">
        <v>2021</v>
      </c>
      <c r="C1066" s="561" t="s">
        <v>714</v>
      </c>
      <c r="D1066" s="561" t="s">
        <v>1408</v>
      </c>
      <c r="E1066" s="561" t="s">
        <v>2</v>
      </c>
      <c r="F1066" s="563">
        <v>24951.62</v>
      </c>
      <c r="G1066" s="561" t="s">
        <v>654</v>
      </c>
      <c r="H1066" s="564"/>
      <c r="I1066" s="563">
        <v>24592.759765625</v>
      </c>
      <c r="J1066" s="563">
        <v>358.85998535156301</v>
      </c>
      <c r="K1066" s="563">
        <v>24951.619140625</v>
      </c>
      <c r="L1066" s="566">
        <v>24951.62</v>
      </c>
    </row>
    <row r="1067" spans="1:12" ht="33.75" x14ac:dyDescent="0.2">
      <c r="A1067" s="561" t="s">
        <v>91</v>
      </c>
      <c r="B1067" s="562">
        <v>2021</v>
      </c>
      <c r="C1067" s="561" t="s">
        <v>716</v>
      </c>
      <c r="D1067" s="561" t="s">
        <v>1409</v>
      </c>
      <c r="E1067" s="561" t="s">
        <v>3</v>
      </c>
      <c r="F1067" s="563">
        <v>3421.32</v>
      </c>
      <c r="G1067" s="561" t="s">
        <v>654</v>
      </c>
      <c r="H1067" s="564"/>
      <c r="I1067" s="563">
        <v>3045.71997070313</v>
      </c>
      <c r="J1067" s="563">
        <v>375.60000610351602</v>
      </c>
      <c r="K1067" s="563">
        <v>3421.32006835938</v>
      </c>
      <c r="L1067" s="566">
        <v>3421.32</v>
      </c>
    </row>
    <row r="1068" spans="1:12" ht="33.75" x14ac:dyDescent="0.2">
      <c r="A1068" s="561" t="s">
        <v>91</v>
      </c>
      <c r="B1068" s="562">
        <v>2021</v>
      </c>
      <c r="C1068" s="561" t="s">
        <v>718</v>
      </c>
      <c r="D1068" s="561" t="s">
        <v>1410</v>
      </c>
      <c r="E1068" s="561" t="s">
        <v>38</v>
      </c>
      <c r="F1068" s="563">
        <v>137476.54</v>
      </c>
      <c r="G1068" s="561" t="s">
        <v>654</v>
      </c>
      <c r="H1068" s="564"/>
      <c r="I1068" s="563">
        <v>129669.703125</v>
      </c>
      <c r="J1068" s="563">
        <v>7806.83984375</v>
      </c>
      <c r="K1068" s="563">
        <v>137476.546875</v>
      </c>
      <c r="L1068" s="566">
        <v>137476.54</v>
      </c>
    </row>
    <row r="1069" spans="1:12" ht="22.5" x14ac:dyDescent="0.2">
      <c r="A1069" s="561" t="s">
        <v>91</v>
      </c>
      <c r="B1069" s="562">
        <v>2021</v>
      </c>
      <c r="C1069" s="561" t="s">
        <v>720</v>
      </c>
      <c r="D1069" s="561" t="s">
        <v>1411</v>
      </c>
      <c r="E1069" s="561" t="s">
        <v>66</v>
      </c>
      <c r="F1069" s="563">
        <v>771444.61</v>
      </c>
      <c r="G1069" s="561" t="s">
        <v>654</v>
      </c>
      <c r="H1069" s="564"/>
      <c r="I1069" s="563">
        <v>765777.75</v>
      </c>
      <c r="J1069" s="563">
        <v>5666.89013671875</v>
      </c>
      <c r="K1069" s="563">
        <v>771444.625</v>
      </c>
      <c r="L1069" s="566">
        <v>771444.61</v>
      </c>
    </row>
    <row r="1070" spans="1:12" ht="45" x14ac:dyDescent="0.2">
      <c r="A1070" s="561" t="s">
        <v>91</v>
      </c>
      <c r="B1070" s="562">
        <v>2021</v>
      </c>
      <c r="C1070" s="561" t="s">
        <v>722</v>
      </c>
      <c r="D1070" s="561" t="s">
        <v>1412</v>
      </c>
      <c r="E1070" s="561" t="s">
        <v>724</v>
      </c>
      <c r="F1070" s="563">
        <v>-62617.21</v>
      </c>
      <c r="G1070" s="564"/>
      <c r="H1070" s="561" t="s">
        <v>654</v>
      </c>
      <c r="I1070" s="565"/>
      <c r="J1070" s="565"/>
      <c r="K1070" s="563">
        <v>0</v>
      </c>
      <c r="L1070" s="566">
        <v>-62617.21</v>
      </c>
    </row>
    <row r="1071" spans="1:12" ht="45" x14ac:dyDescent="0.2">
      <c r="A1071" s="561" t="s">
        <v>91</v>
      </c>
      <c r="B1071" s="562">
        <v>2021</v>
      </c>
      <c r="C1071" s="561" t="s">
        <v>725</v>
      </c>
      <c r="D1071" s="561" t="s">
        <v>1413</v>
      </c>
      <c r="E1071" s="561" t="s">
        <v>3024</v>
      </c>
      <c r="F1071" s="563">
        <v>0</v>
      </c>
      <c r="G1071" s="561" t="s">
        <v>654</v>
      </c>
      <c r="H1071" s="564"/>
      <c r="I1071" s="565"/>
      <c r="J1071" s="565"/>
      <c r="K1071" s="563">
        <v>0</v>
      </c>
      <c r="L1071" s="566">
        <v>0</v>
      </c>
    </row>
    <row r="1072" spans="1:12" ht="45" x14ac:dyDescent="0.2">
      <c r="A1072" s="561" t="s">
        <v>91</v>
      </c>
      <c r="B1072" s="562">
        <v>2021</v>
      </c>
      <c r="C1072" s="561" t="s">
        <v>725</v>
      </c>
      <c r="D1072" s="561" t="s">
        <v>1413</v>
      </c>
      <c r="E1072" s="561" t="s">
        <v>3066</v>
      </c>
      <c r="F1072" s="563">
        <v>0</v>
      </c>
      <c r="G1072" s="561" t="s">
        <v>654</v>
      </c>
      <c r="H1072" s="564"/>
      <c r="I1072" s="565"/>
      <c r="J1072" s="565"/>
      <c r="K1072" s="563">
        <v>0</v>
      </c>
      <c r="L1072" s="566">
        <v>0</v>
      </c>
    </row>
    <row r="1073" spans="1:12" ht="45" x14ac:dyDescent="0.2">
      <c r="A1073" s="561" t="s">
        <v>91</v>
      </c>
      <c r="B1073" s="562">
        <v>2021</v>
      </c>
      <c r="C1073" s="561" t="s">
        <v>725</v>
      </c>
      <c r="D1073" s="561" t="s">
        <v>1414</v>
      </c>
      <c r="E1073" s="561" t="s">
        <v>728</v>
      </c>
      <c r="F1073" s="563">
        <v>0</v>
      </c>
      <c r="G1073" s="561" t="s">
        <v>654</v>
      </c>
      <c r="H1073" s="564"/>
      <c r="I1073" s="565"/>
      <c r="J1073" s="565"/>
      <c r="K1073" s="563">
        <v>0</v>
      </c>
      <c r="L1073" s="566">
        <v>0</v>
      </c>
    </row>
    <row r="1074" spans="1:12" ht="45" x14ac:dyDescent="0.2">
      <c r="A1074" s="561" t="s">
        <v>91</v>
      </c>
      <c r="B1074" s="562">
        <v>2021</v>
      </c>
      <c r="C1074" s="561" t="s">
        <v>725</v>
      </c>
      <c r="D1074" s="561" t="s">
        <v>1415</v>
      </c>
      <c r="E1074" s="561" t="s">
        <v>55</v>
      </c>
      <c r="F1074" s="563">
        <v>0</v>
      </c>
      <c r="G1074" s="561" t="s">
        <v>654</v>
      </c>
      <c r="H1074" s="564"/>
      <c r="I1074" s="565"/>
      <c r="J1074" s="565"/>
      <c r="K1074" s="563">
        <v>0</v>
      </c>
      <c r="L1074" s="566">
        <v>0</v>
      </c>
    </row>
    <row r="1075" spans="1:12" ht="45" x14ac:dyDescent="0.2">
      <c r="A1075" s="561" t="s">
        <v>91</v>
      </c>
      <c r="B1075" s="562">
        <v>2021</v>
      </c>
      <c r="C1075" s="561" t="s">
        <v>725</v>
      </c>
      <c r="D1075" s="561" t="s">
        <v>1416</v>
      </c>
      <c r="E1075" s="561" t="s">
        <v>56</v>
      </c>
      <c r="F1075" s="563">
        <v>0</v>
      </c>
      <c r="G1075" s="561" t="s">
        <v>654</v>
      </c>
      <c r="H1075" s="564"/>
      <c r="I1075" s="565"/>
      <c r="J1075" s="565"/>
      <c r="K1075" s="563">
        <v>0</v>
      </c>
      <c r="L1075" s="566">
        <v>0</v>
      </c>
    </row>
    <row r="1076" spans="1:12" ht="45" x14ac:dyDescent="0.2">
      <c r="A1076" s="561" t="s">
        <v>91</v>
      </c>
      <c r="B1076" s="562">
        <v>2021</v>
      </c>
      <c r="C1076" s="561" t="s">
        <v>725</v>
      </c>
      <c r="D1076" s="561" t="s">
        <v>1417</v>
      </c>
      <c r="E1076" s="561" t="s">
        <v>732</v>
      </c>
      <c r="F1076" s="563">
        <v>0</v>
      </c>
      <c r="G1076" s="561" t="s">
        <v>654</v>
      </c>
      <c r="H1076" s="564"/>
      <c r="I1076" s="565"/>
      <c r="J1076" s="565"/>
      <c r="K1076" s="563">
        <v>0</v>
      </c>
      <c r="L1076" s="566">
        <v>0</v>
      </c>
    </row>
    <row r="1077" spans="1:12" ht="45" x14ac:dyDescent="0.2">
      <c r="A1077" s="561" t="s">
        <v>91</v>
      </c>
      <c r="B1077" s="562">
        <v>2021</v>
      </c>
      <c r="C1077" s="561" t="s">
        <v>725</v>
      </c>
      <c r="D1077" s="561" t="s">
        <v>1418</v>
      </c>
      <c r="E1077" s="561" t="s">
        <v>734</v>
      </c>
      <c r="F1077" s="563">
        <v>0</v>
      </c>
      <c r="G1077" s="561" t="s">
        <v>654</v>
      </c>
      <c r="H1077" s="564"/>
      <c r="I1077" s="565"/>
      <c r="J1077" s="565"/>
      <c r="K1077" s="563">
        <v>0</v>
      </c>
      <c r="L1077" s="566">
        <v>0</v>
      </c>
    </row>
    <row r="1078" spans="1:12" ht="45" x14ac:dyDescent="0.2">
      <c r="A1078" s="561" t="s">
        <v>91</v>
      </c>
      <c r="B1078" s="562">
        <v>2021</v>
      </c>
      <c r="C1078" s="561" t="s">
        <v>725</v>
      </c>
      <c r="D1078" s="561" t="s">
        <v>1419</v>
      </c>
      <c r="E1078" s="561" t="s">
        <v>142</v>
      </c>
      <c r="F1078" s="563">
        <v>0</v>
      </c>
      <c r="G1078" s="561" t="s">
        <v>654</v>
      </c>
      <c r="H1078" s="564"/>
      <c r="I1078" s="565"/>
      <c r="J1078" s="565"/>
      <c r="K1078" s="563">
        <v>0</v>
      </c>
      <c r="L1078" s="566">
        <v>0</v>
      </c>
    </row>
    <row r="1079" spans="1:12" ht="45" x14ac:dyDescent="0.2">
      <c r="A1079" s="561" t="s">
        <v>91</v>
      </c>
      <c r="B1079" s="562">
        <v>2021</v>
      </c>
      <c r="C1079" s="561" t="s">
        <v>725</v>
      </c>
      <c r="D1079" s="561" t="s">
        <v>1420</v>
      </c>
      <c r="E1079" s="561" t="s">
        <v>143</v>
      </c>
      <c r="F1079" s="563">
        <v>0</v>
      </c>
      <c r="G1079" s="561" t="s">
        <v>654</v>
      </c>
      <c r="H1079" s="564"/>
      <c r="I1079" s="563">
        <v>26176.58984375</v>
      </c>
      <c r="J1079" s="563">
        <v>-2100.3701171875</v>
      </c>
      <c r="K1079" s="563">
        <v>24076.220703125</v>
      </c>
      <c r="L1079" s="566">
        <v>24076.22</v>
      </c>
    </row>
    <row r="1080" spans="1:12" ht="45" x14ac:dyDescent="0.2">
      <c r="A1080" s="561" t="s">
        <v>91</v>
      </c>
      <c r="B1080" s="562">
        <v>2021</v>
      </c>
      <c r="C1080" s="561" t="s">
        <v>725</v>
      </c>
      <c r="D1080" s="561" t="s">
        <v>1421</v>
      </c>
      <c r="E1080" s="561" t="s">
        <v>182</v>
      </c>
      <c r="F1080" s="563">
        <v>0</v>
      </c>
      <c r="G1080" s="561" t="s">
        <v>654</v>
      </c>
      <c r="H1080" s="564"/>
      <c r="I1080" s="563">
        <v>60306.8984375</v>
      </c>
      <c r="J1080" s="563">
        <v>-14911.6396484375</v>
      </c>
      <c r="K1080" s="563">
        <v>45395.26171875</v>
      </c>
      <c r="L1080" s="566">
        <v>45395.26</v>
      </c>
    </row>
    <row r="1081" spans="1:12" ht="45" x14ac:dyDescent="0.2">
      <c r="A1081" s="561" t="s">
        <v>91</v>
      </c>
      <c r="B1081" s="562">
        <v>2021</v>
      </c>
      <c r="C1081" s="561" t="s">
        <v>725</v>
      </c>
      <c r="D1081" s="561" t="s">
        <v>1422</v>
      </c>
      <c r="E1081" s="561" t="s">
        <v>394</v>
      </c>
      <c r="F1081" s="563">
        <v>0</v>
      </c>
      <c r="G1081" s="561" t="s">
        <v>654</v>
      </c>
      <c r="H1081" s="564"/>
      <c r="I1081" s="565"/>
      <c r="J1081" s="565"/>
      <c r="K1081" s="563">
        <v>0</v>
      </c>
      <c r="L1081" s="566">
        <v>0</v>
      </c>
    </row>
    <row r="1082" spans="1:12" ht="45" x14ac:dyDescent="0.2">
      <c r="A1082" s="561" t="s">
        <v>91</v>
      </c>
      <c r="B1082" s="562">
        <v>2021</v>
      </c>
      <c r="C1082" s="561" t="s">
        <v>725</v>
      </c>
      <c r="D1082" s="561" t="s">
        <v>1423</v>
      </c>
      <c r="E1082" s="561" t="s">
        <v>425</v>
      </c>
      <c r="F1082" s="563">
        <v>0</v>
      </c>
      <c r="G1082" s="561" t="s">
        <v>654</v>
      </c>
      <c r="H1082" s="564"/>
      <c r="I1082" s="565"/>
      <c r="J1082" s="565"/>
      <c r="K1082" s="563">
        <v>0</v>
      </c>
      <c r="L1082" s="566">
        <v>0</v>
      </c>
    </row>
    <row r="1083" spans="1:12" ht="45" x14ac:dyDescent="0.2">
      <c r="A1083" s="561" t="s">
        <v>91</v>
      </c>
      <c r="B1083" s="562">
        <v>2021</v>
      </c>
      <c r="C1083" s="561" t="s">
        <v>725</v>
      </c>
      <c r="D1083" s="561" t="s">
        <v>3222</v>
      </c>
      <c r="E1083" s="561" t="s">
        <v>443</v>
      </c>
      <c r="F1083" s="563">
        <v>0</v>
      </c>
      <c r="G1083" s="561" t="s">
        <v>654</v>
      </c>
      <c r="H1083" s="564"/>
      <c r="I1083" s="565"/>
      <c r="J1083" s="565"/>
      <c r="K1083" s="563">
        <v>0</v>
      </c>
      <c r="L1083" s="566">
        <v>0</v>
      </c>
    </row>
    <row r="1084" spans="1:12" ht="45" x14ac:dyDescent="0.2">
      <c r="A1084" s="561" t="s">
        <v>91</v>
      </c>
      <c r="B1084" s="562">
        <v>2021</v>
      </c>
      <c r="C1084" s="561" t="s">
        <v>725</v>
      </c>
      <c r="D1084" s="561" t="s">
        <v>1424</v>
      </c>
      <c r="E1084" s="561" t="s">
        <v>741</v>
      </c>
      <c r="F1084" s="563">
        <v>69471.48</v>
      </c>
      <c r="G1084" s="564"/>
      <c r="H1084" s="564"/>
      <c r="I1084" s="565"/>
      <c r="J1084" s="565"/>
      <c r="K1084" s="563">
        <v>0</v>
      </c>
      <c r="L1084" s="566">
        <v>69471.48</v>
      </c>
    </row>
    <row r="1085" spans="1:12" ht="22.5" x14ac:dyDescent="0.2">
      <c r="A1085" s="561" t="s">
        <v>91</v>
      </c>
      <c r="B1085" s="562">
        <v>2021</v>
      </c>
      <c r="C1085" s="561" t="s">
        <v>742</v>
      </c>
      <c r="D1085" s="561" t="s">
        <v>1425</v>
      </c>
      <c r="E1085" s="561" t="s">
        <v>7</v>
      </c>
      <c r="F1085" s="563">
        <v>-106223.95</v>
      </c>
      <c r="G1085" s="564"/>
      <c r="H1085" s="561" t="s">
        <v>654</v>
      </c>
      <c r="I1085" s="565"/>
      <c r="J1085" s="565"/>
      <c r="K1085" s="563">
        <v>0</v>
      </c>
      <c r="L1085" s="566">
        <v>-106223.95</v>
      </c>
    </row>
    <row r="1086" spans="1:12" ht="22.5" x14ac:dyDescent="0.2">
      <c r="A1086" s="561" t="s">
        <v>92</v>
      </c>
      <c r="B1086" s="562">
        <v>2021</v>
      </c>
      <c r="C1086" s="561" t="s">
        <v>651</v>
      </c>
      <c r="D1086" s="561" t="s">
        <v>1426</v>
      </c>
      <c r="E1086" s="561" t="s">
        <v>653</v>
      </c>
      <c r="F1086" s="563">
        <v>28194945.039999999</v>
      </c>
      <c r="G1086" s="564"/>
      <c r="H1086" s="561" t="s">
        <v>654</v>
      </c>
      <c r="I1086" s="565"/>
      <c r="J1086" s="565"/>
      <c r="K1086" s="563">
        <v>0</v>
      </c>
      <c r="L1086" s="566">
        <v>28194945.039999999</v>
      </c>
    </row>
    <row r="1087" spans="1:12" ht="15" x14ac:dyDescent="0.2">
      <c r="A1087" s="561" t="s">
        <v>92</v>
      </c>
      <c r="B1087" s="562">
        <v>2021</v>
      </c>
      <c r="C1087" s="561" t="s">
        <v>655</v>
      </c>
      <c r="D1087" s="561" t="s">
        <v>1427</v>
      </c>
      <c r="E1087" s="561" t="s">
        <v>657</v>
      </c>
      <c r="F1087" s="563">
        <v>0</v>
      </c>
      <c r="G1087" s="564"/>
      <c r="H1087" s="561" t="s">
        <v>654</v>
      </c>
      <c r="I1087" s="565"/>
      <c r="J1087" s="565"/>
      <c r="K1087" s="563">
        <v>0</v>
      </c>
      <c r="L1087" s="566">
        <v>0</v>
      </c>
    </row>
    <row r="1088" spans="1:12" ht="56.25" x14ac:dyDescent="0.2">
      <c r="A1088" s="561" t="s">
        <v>92</v>
      </c>
      <c r="B1088" s="562">
        <v>2021</v>
      </c>
      <c r="C1088" s="561" t="s">
        <v>658</v>
      </c>
      <c r="D1088" s="561" t="s">
        <v>1428</v>
      </c>
      <c r="E1088" s="561" t="s">
        <v>447</v>
      </c>
      <c r="F1088" s="563">
        <v>0</v>
      </c>
      <c r="G1088" s="564"/>
      <c r="H1088" s="561" t="s">
        <v>654</v>
      </c>
      <c r="I1088" s="565"/>
      <c r="J1088" s="565"/>
      <c r="K1088" s="563">
        <v>0</v>
      </c>
      <c r="L1088" s="566">
        <v>0</v>
      </c>
    </row>
    <row r="1089" spans="1:12" ht="22.5" x14ac:dyDescent="0.2">
      <c r="A1089" s="561" t="s">
        <v>92</v>
      </c>
      <c r="B1089" s="562">
        <v>2021</v>
      </c>
      <c r="C1089" s="561" t="s">
        <v>660</v>
      </c>
      <c r="D1089" s="561" t="s">
        <v>1429</v>
      </c>
      <c r="E1089" s="561" t="s">
        <v>662</v>
      </c>
      <c r="F1089" s="563">
        <v>475267.1</v>
      </c>
      <c r="G1089" s="564"/>
      <c r="H1089" s="561" t="s">
        <v>654</v>
      </c>
      <c r="I1089" s="565"/>
      <c r="J1089" s="565"/>
      <c r="K1089" s="563">
        <v>0</v>
      </c>
      <c r="L1089" s="566">
        <v>475267.1</v>
      </c>
    </row>
    <row r="1090" spans="1:12" ht="33.75" x14ac:dyDescent="0.2">
      <c r="A1090" s="561" t="s">
        <v>92</v>
      </c>
      <c r="B1090" s="562">
        <v>2021</v>
      </c>
      <c r="C1090" s="561" t="s">
        <v>663</v>
      </c>
      <c r="D1090" s="561" t="s">
        <v>1430</v>
      </c>
      <c r="E1090" s="561" t="s">
        <v>665</v>
      </c>
      <c r="F1090" s="563">
        <v>0</v>
      </c>
      <c r="G1090" s="564"/>
      <c r="H1090" s="561" t="s">
        <v>654</v>
      </c>
      <c r="I1090" s="565"/>
      <c r="J1090" s="565"/>
      <c r="K1090" s="563">
        <v>0</v>
      </c>
      <c r="L1090" s="566">
        <v>0</v>
      </c>
    </row>
    <row r="1091" spans="1:12" ht="33.75" x14ac:dyDescent="0.2">
      <c r="A1091" s="561" t="s">
        <v>92</v>
      </c>
      <c r="B1091" s="562">
        <v>2021</v>
      </c>
      <c r="C1091" s="561" t="s">
        <v>666</v>
      </c>
      <c r="D1091" s="561" t="s">
        <v>1431</v>
      </c>
      <c r="E1091" s="561" t="s">
        <v>668</v>
      </c>
      <c r="F1091" s="563">
        <v>0</v>
      </c>
      <c r="G1091" s="564"/>
      <c r="H1091" s="561" t="s">
        <v>654</v>
      </c>
      <c r="I1091" s="565"/>
      <c r="J1091" s="565"/>
      <c r="K1091" s="563">
        <v>0</v>
      </c>
      <c r="L1091" s="566">
        <v>0</v>
      </c>
    </row>
    <row r="1092" spans="1:12" ht="56.25" x14ac:dyDescent="0.2">
      <c r="A1092" s="561" t="s">
        <v>92</v>
      </c>
      <c r="B1092" s="562">
        <v>2021</v>
      </c>
      <c r="C1092" s="561" t="s">
        <v>669</v>
      </c>
      <c r="D1092" s="561" t="s">
        <v>1432</v>
      </c>
      <c r="E1092" s="561" t="s">
        <v>671</v>
      </c>
      <c r="F1092" s="563">
        <v>0</v>
      </c>
      <c r="G1092" s="564"/>
      <c r="H1092" s="561" t="s">
        <v>654</v>
      </c>
      <c r="I1092" s="565"/>
      <c r="J1092" s="565"/>
      <c r="K1092" s="563">
        <v>0</v>
      </c>
      <c r="L1092" s="566">
        <v>0</v>
      </c>
    </row>
    <row r="1093" spans="1:12" ht="22.5" x14ac:dyDescent="0.2">
      <c r="A1093" s="561" t="s">
        <v>92</v>
      </c>
      <c r="B1093" s="562">
        <v>2021</v>
      </c>
      <c r="C1093" s="561" t="s">
        <v>672</v>
      </c>
      <c r="D1093" s="561" t="s">
        <v>1433</v>
      </c>
      <c r="E1093" s="561" t="s">
        <v>12</v>
      </c>
      <c r="F1093" s="563">
        <v>0</v>
      </c>
      <c r="G1093" s="564"/>
      <c r="H1093" s="561" t="s">
        <v>654</v>
      </c>
      <c r="I1093" s="565"/>
      <c r="J1093" s="565"/>
      <c r="K1093" s="563">
        <v>0</v>
      </c>
      <c r="L1093" s="566">
        <v>0</v>
      </c>
    </row>
    <row r="1094" spans="1:12" ht="22.5" x14ac:dyDescent="0.2">
      <c r="A1094" s="561" t="s">
        <v>92</v>
      </c>
      <c r="B1094" s="562">
        <v>2021</v>
      </c>
      <c r="C1094" s="561" t="s">
        <v>674</v>
      </c>
      <c r="D1094" s="561" t="s">
        <v>1434</v>
      </c>
      <c r="E1094" s="561" t="s">
        <v>13</v>
      </c>
      <c r="F1094" s="563">
        <v>0</v>
      </c>
      <c r="G1094" s="564"/>
      <c r="H1094" s="561" t="s">
        <v>654</v>
      </c>
      <c r="I1094" s="565"/>
      <c r="J1094" s="565"/>
      <c r="K1094" s="563">
        <v>0</v>
      </c>
      <c r="L1094" s="566">
        <v>0</v>
      </c>
    </row>
    <row r="1095" spans="1:12" ht="33.75" x14ac:dyDescent="0.2">
      <c r="A1095" s="561" t="s">
        <v>92</v>
      </c>
      <c r="B1095" s="562">
        <v>2021</v>
      </c>
      <c r="C1095" s="561" t="s">
        <v>676</v>
      </c>
      <c r="D1095" s="561" t="s">
        <v>1435</v>
      </c>
      <c r="E1095" s="561" t="s">
        <v>15</v>
      </c>
      <c r="F1095" s="563">
        <v>0</v>
      </c>
      <c r="G1095" s="564"/>
      <c r="H1095" s="561" t="s">
        <v>654</v>
      </c>
      <c r="I1095" s="565"/>
      <c r="J1095" s="565"/>
      <c r="K1095" s="563">
        <v>0</v>
      </c>
      <c r="L1095" s="566">
        <v>0</v>
      </c>
    </row>
    <row r="1096" spans="1:12" ht="15" x14ac:dyDescent="0.2">
      <c r="A1096" s="561" t="s">
        <v>92</v>
      </c>
      <c r="B1096" s="562">
        <v>2021</v>
      </c>
      <c r="C1096" s="561" t="s">
        <v>678</v>
      </c>
      <c r="D1096" s="561" t="s">
        <v>1436</v>
      </c>
      <c r="E1096" s="561" t="s">
        <v>680</v>
      </c>
      <c r="F1096" s="563">
        <v>0</v>
      </c>
      <c r="G1096" s="564"/>
      <c r="H1096" s="561" t="s">
        <v>654</v>
      </c>
      <c r="I1096" s="565"/>
      <c r="J1096" s="565"/>
      <c r="K1096" s="563">
        <v>0</v>
      </c>
      <c r="L1096" s="566">
        <v>0</v>
      </c>
    </row>
    <row r="1097" spans="1:12" ht="15" x14ac:dyDescent="0.2">
      <c r="A1097" s="561" t="s">
        <v>92</v>
      </c>
      <c r="B1097" s="562">
        <v>2021</v>
      </c>
      <c r="C1097" s="561" t="s">
        <v>681</v>
      </c>
      <c r="D1097" s="561" t="s">
        <v>1437</v>
      </c>
      <c r="E1097" s="561" t="s">
        <v>23</v>
      </c>
      <c r="F1097" s="563">
        <v>349341.14</v>
      </c>
      <c r="G1097" s="561" t="s">
        <v>654</v>
      </c>
      <c r="H1097" s="564"/>
      <c r="I1097" s="563">
        <v>341438.84375</v>
      </c>
      <c r="J1097" s="563">
        <v>7902.31005859375</v>
      </c>
      <c r="K1097" s="563">
        <v>349341.125</v>
      </c>
      <c r="L1097" s="566">
        <v>349341.14</v>
      </c>
    </row>
    <row r="1098" spans="1:12" ht="33.75" x14ac:dyDescent="0.2">
      <c r="A1098" s="561" t="s">
        <v>92</v>
      </c>
      <c r="B1098" s="562">
        <v>2021</v>
      </c>
      <c r="C1098" s="561" t="s">
        <v>683</v>
      </c>
      <c r="D1098" s="561" t="s">
        <v>1438</v>
      </c>
      <c r="E1098" s="561" t="s">
        <v>131</v>
      </c>
      <c r="F1098" s="563">
        <v>-12978.64</v>
      </c>
      <c r="G1098" s="561" t="s">
        <v>654</v>
      </c>
      <c r="H1098" s="564"/>
      <c r="I1098" s="563">
        <v>-12400.2802734375</v>
      </c>
      <c r="J1098" s="563">
        <v>-578.35998535156295</v>
      </c>
      <c r="K1098" s="563">
        <v>-12978.6396484375</v>
      </c>
      <c r="L1098" s="566">
        <v>-12978.64</v>
      </c>
    </row>
    <row r="1099" spans="1:12" ht="33.75" x14ac:dyDescent="0.2">
      <c r="A1099" s="561" t="s">
        <v>92</v>
      </c>
      <c r="B1099" s="562">
        <v>2021</v>
      </c>
      <c r="C1099" s="561" t="s">
        <v>685</v>
      </c>
      <c r="D1099" s="561" t="s">
        <v>1439</v>
      </c>
      <c r="E1099" s="561" t="s">
        <v>687</v>
      </c>
      <c r="F1099" s="563">
        <v>0</v>
      </c>
      <c r="G1099" s="564"/>
      <c r="H1099" s="561" t="s">
        <v>654</v>
      </c>
      <c r="I1099" s="565"/>
      <c r="J1099" s="565"/>
      <c r="K1099" s="563">
        <v>0</v>
      </c>
      <c r="L1099" s="566">
        <v>0</v>
      </c>
    </row>
    <row r="1100" spans="1:12" ht="33.75" x14ac:dyDescent="0.2">
      <c r="A1100" s="561" t="s">
        <v>92</v>
      </c>
      <c r="B1100" s="562">
        <v>2021</v>
      </c>
      <c r="C1100" s="561" t="s">
        <v>685</v>
      </c>
      <c r="D1100" s="561" t="s">
        <v>1439</v>
      </c>
      <c r="E1100" s="561" t="s">
        <v>688</v>
      </c>
      <c r="F1100" s="563">
        <v>0</v>
      </c>
      <c r="G1100" s="564"/>
      <c r="H1100" s="561" t="s">
        <v>654</v>
      </c>
      <c r="I1100" s="565"/>
      <c r="J1100" s="565"/>
      <c r="K1100" s="563">
        <v>0</v>
      </c>
      <c r="L1100" s="566">
        <v>0</v>
      </c>
    </row>
    <row r="1101" spans="1:12" ht="22.5" x14ac:dyDescent="0.2">
      <c r="A1101" s="561" t="s">
        <v>92</v>
      </c>
      <c r="B1101" s="562">
        <v>2021</v>
      </c>
      <c r="C1101" s="561" t="s">
        <v>689</v>
      </c>
      <c r="D1101" s="561" t="s">
        <v>1440</v>
      </c>
      <c r="E1101" s="561" t="s">
        <v>691</v>
      </c>
      <c r="F1101" s="563">
        <v>0</v>
      </c>
      <c r="G1101" s="564"/>
      <c r="H1101" s="561" t="s">
        <v>654</v>
      </c>
      <c r="I1101" s="565"/>
      <c r="J1101" s="565"/>
      <c r="K1101" s="563">
        <v>0</v>
      </c>
      <c r="L1101" s="566">
        <v>0</v>
      </c>
    </row>
    <row r="1102" spans="1:12" ht="22.5" x14ac:dyDescent="0.2">
      <c r="A1102" s="561" t="s">
        <v>92</v>
      </c>
      <c r="B1102" s="562">
        <v>2021</v>
      </c>
      <c r="C1102" s="561" t="s">
        <v>692</v>
      </c>
      <c r="D1102" s="561" t="s">
        <v>1441</v>
      </c>
      <c r="E1102" s="561" t="s">
        <v>50</v>
      </c>
      <c r="F1102" s="563">
        <v>677331.08</v>
      </c>
      <c r="G1102" s="564"/>
      <c r="H1102" s="561" t="s">
        <v>654</v>
      </c>
      <c r="I1102" s="565"/>
      <c r="J1102" s="565"/>
      <c r="K1102" s="563">
        <v>0</v>
      </c>
      <c r="L1102" s="566">
        <v>677331.08</v>
      </c>
    </row>
    <row r="1103" spans="1:12" ht="22.5" x14ac:dyDescent="0.2">
      <c r="A1103" s="561" t="s">
        <v>92</v>
      </c>
      <c r="B1103" s="562">
        <v>2021</v>
      </c>
      <c r="C1103" s="561" t="s">
        <v>694</v>
      </c>
      <c r="D1103" s="561" t="s">
        <v>1442</v>
      </c>
      <c r="E1103" s="561" t="s">
        <v>696</v>
      </c>
      <c r="F1103" s="563">
        <v>0</v>
      </c>
      <c r="G1103" s="564"/>
      <c r="H1103" s="561" t="s">
        <v>654</v>
      </c>
      <c r="I1103" s="565"/>
      <c r="J1103" s="565"/>
      <c r="K1103" s="563">
        <v>0</v>
      </c>
      <c r="L1103" s="566">
        <v>0</v>
      </c>
    </row>
    <row r="1104" spans="1:12" ht="22.5" x14ac:dyDescent="0.2">
      <c r="A1104" s="561" t="s">
        <v>92</v>
      </c>
      <c r="B1104" s="562">
        <v>2021</v>
      </c>
      <c r="C1104" s="561" t="s">
        <v>697</v>
      </c>
      <c r="D1104" s="561" t="s">
        <v>1443</v>
      </c>
      <c r="E1104" s="561" t="s">
        <v>6</v>
      </c>
      <c r="F1104" s="563">
        <v>0</v>
      </c>
      <c r="G1104" s="564"/>
      <c r="H1104" s="561" t="s">
        <v>654</v>
      </c>
      <c r="I1104" s="565"/>
      <c r="J1104" s="565"/>
      <c r="K1104" s="563">
        <v>0</v>
      </c>
      <c r="L1104" s="566">
        <v>0</v>
      </c>
    </row>
    <row r="1105" spans="1:12" ht="33.75" x14ac:dyDescent="0.2">
      <c r="A1105" s="561" t="s">
        <v>92</v>
      </c>
      <c r="B1105" s="562">
        <v>2021</v>
      </c>
      <c r="C1105" s="561" t="s">
        <v>699</v>
      </c>
      <c r="D1105" s="561" t="s">
        <v>1444</v>
      </c>
      <c r="E1105" s="561" t="s">
        <v>701</v>
      </c>
      <c r="F1105" s="563">
        <v>2823993.59</v>
      </c>
      <c r="G1105" s="564"/>
      <c r="H1105" s="561" t="s">
        <v>654</v>
      </c>
      <c r="I1105" s="565"/>
      <c r="J1105" s="565"/>
      <c r="K1105" s="563">
        <v>0</v>
      </c>
      <c r="L1105" s="566">
        <v>2823993.59</v>
      </c>
    </row>
    <row r="1106" spans="1:12" ht="22.5" x14ac:dyDescent="0.2">
      <c r="A1106" s="561" t="s">
        <v>92</v>
      </c>
      <c r="B1106" s="562">
        <v>2021</v>
      </c>
      <c r="C1106" s="561" t="s">
        <v>702</v>
      </c>
      <c r="D1106" s="561" t="s">
        <v>1445</v>
      </c>
      <c r="E1106" s="561" t="s">
        <v>704</v>
      </c>
      <c r="F1106" s="563">
        <v>0</v>
      </c>
      <c r="G1106" s="564"/>
      <c r="H1106" s="561" t="s">
        <v>654</v>
      </c>
      <c r="I1106" s="565"/>
      <c r="J1106" s="565"/>
      <c r="K1106" s="563">
        <v>0</v>
      </c>
      <c r="L1106" s="566">
        <v>0</v>
      </c>
    </row>
    <row r="1107" spans="1:12" ht="33.75" x14ac:dyDescent="0.2">
      <c r="A1107" s="561" t="s">
        <v>92</v>
      </c>
      <c r="B1107" s="562">
        <v>2021</v>
      </c>
      <c r="C1107" s="561" t="s">
        <v>705</v>
      </c>
      <c r="D1107" s="561" t="s">
        <v>1446</v>
      </c>
      <c r="E1107" s="561" t="s">
        <v>1</v>
      </c>
      <c r="F1107" s="563">
        <v>-864356.97</v>
      </c>
      <c r="G1107" s="561" t="s">
        <v>654</v>
      </c>
      <c r="H1107" s="564"/>
      <c r="I1107" s="563">
        <v>-846200.8125</v>
      </c>
      <c r="J1107" s="563">
        <v>-18156.150390625</v>
      </c>
      <c r="K1107" s="563">
        <v>-864357</v>
      </c>
      <c r="L1107" s="566">
        <v>-864356.97</v>
      </c>
    </row>
    <row r="1108" spans="1:12" ht="22.5" x14ac:dyDescent="0.2">
      <c r="A1108" s="561" t="s">
        <v>92</v>
      </c>
      <c r="B1108" s="562">
        <v>2021</v>
      </c>
      <c r="C1108" s="561" t="s">
        <v>705</v>
      </c>
      <c r="D1108" s="561" t="s">
        <v>1446</v>
      </c>
      <c r="E1108" s="561" t="s">
        <v>707</v>
      </c>
      <c r="F1108" s="563">
        <v>5.6</v>
      </c>
      <c r="G1108" s="564"/>
      <c r="H1108" s="564"/>
      <c r="I1108" s="565"/>
      <c r="J1108" s="565"/>
      <c r="K1108" s="563">
        <v>0</v>
      </c>
      <c r="L1108" s="566">
        <v>5.6</v>
      </c>
    </row>
    <row r="1109" spans="1:12" ht="22.5" x14ac:dyDescent="0.2">
      <c r="A1109" s="561" t="s">
        <v>92</v>
      </c>
      <c r="B1109" s="562">
        <v>2021</v>
      </c>
      <c r="C1109" s="561" t="s">
        <v>705</v>
      </c>
      <c r="D1109" s="561" t="s">
        <v>1446</v>
      </c>
      <c r="E1109" s="561" t="s">
        <v>708</v>
      </c>
      <c r="F1109" s="563">
        <v>394.33</v>
      </c>
      <c r="G1109" s="564"/>
      <c r="H1109" s="564"/>
      <c r="I1109" s="565"/>
      <c r="J1109" s="565"/>
      <c r="K1109" s="563">
        <v>0</v>
      </c>
      <c r="L1109" s="566">
        <v>394.33</v>
      </c>
    </row>
    <row r="1110" spans="1:12" ht="22.5" x14ac:dyDescent="0.2">
      <c r="A1110" s="561" t="s">
        <v>92</v>
      </c>
      <c r="B1110" s="562">
        <v>2021</v>
      </c>
      <c r="C1110" s="561" t="s">
        <v>705</v>
      </c>
      <c r="D1110" s="561" t="s">
        <v>1446</v>
      </c>
      <c r="E1110" s="561" t="s">
        <v>709</v>
      </c>
      <c r="F1110" s="563">
        <v>2304.9299999999998</v>
      </c>
      <c r="G1110" s="564"/>
      <c r="H1110" s="564"/>
      <c r="I1110" s="565"/>
      <c r="J1110" s="565"/>
      <c r="K1110" s="563">
        <v>0</v>
      </c>
      <c r="L1110" s="566">
        <v>2304.9299999999998</v>
      </c>
    </row>
    <row r="1111" spans="1:12" ht="22.5" x14ac:dyDescent="0.2">
      <c r="A1111" s="561" t="s">
        <v>92</v>
      </c>
      <c r="B1111" s="562">
        <v>2021</v>
      </c>
      <c r="C1111" s="561" t="s">
        <v>705</v>
      </c>
      <c r="D1111" s="561" t="s">
        <v>1446</v>
      </c>
      <c r="E1111" s="561" t="s">
        <v>710</v>
      </c>
      <c r="F1111" s="563">
        <v>170394.59</v>
      </c>
      <c r="G1111" s="564"/>
      <c r="H1111" s="564"/>
      <c r="I1111" s="565"/>
      <c r="J1111" s="565"/>
      <c r="K1111" s="563">
        <v>0</v>
      </c>
      <c r="L1111" s="566">
        <v>170394.59</v>
      </c>
    </row>
    <row r="1112" spans="1:12" ht="15" x14ac:dyDescent="0.2">
      <c r="A1112" s="561" t="s">
        <v>92</v>
      </c>
      <c r="B1112" s="562">
        <v>2021</v>
      </c>
      <c r="C1112" s="561" t="s">
        <v>711</v>
      </c>
      <c r="D1112" s="561" t="s">
        <v>1447</v>
      </c>
      <c r="E1112" s="561" t="s">
        <v>713</v>
      </c>
      <c r="F1112" s="563">
        <v>0</v>
      </c>
      <c r="G1112" s="564"/>
      <c r="H1112" s="561" t="s">
        <v>654</v>
      </c>
      <c r="I1112" s="565"/>
      <c r="J1112" s="565"/>
      <c r="K1112" s="563">
        <v>0</v>
      </c>
      <c r="L1112" s="566">
        <v>0</v>
      </c>
    </row>
    <row r="1113" spans="1:12" ht="33.75" x14ac:dyDescent="0.2">
      <c r="A1113" s="561" t="s">
        <v>92</v>
      </c>
      <c r="B1113" s="562">
        <v>2021</v>
      </c>
      <c r="C1113" s="561" t="s">
        <v>714</v>
      </c>
      <c r="D1113" s="561" t="s">
        <v>1448</v>
      </c>
      <c r="E1113" s="561" t="s">
        <v>2</v>
      </c>
      <c r="F1113" s="563">
        <v>993841.05</v>
      </c>
      <c r="G1113" s="561" t="s">
        <v>654</v>
      </c>
      <c r="H1113" s="564"/>
      <c r="I1113" s="563">
        <v>990683.6875</v>
      </c>
      <c r="J1113" s="563">
        <v>3157.3701171875</v>
      </c>
      <c r="K1113" s="563">
        <v>993841.0625</v>
      </c>
      <c r="L1113" s="566">
        <v>993841.05</v>
      </c>
    </row>
    <row r="1114" spans="1:12" ht="33.75" x14ac:dyDescent="0.2">
      <c r="A1114" s="561" t="s">
        <v>92</v>
      </c>
      <c r="B1114" s="562">
        <v>2021</v>
      </c>
      <c r="C1114" s="561" t="s">
        <v>716</v>
      </c>
      <c r="D1114" s="561" t="s">
        <v>1449</v>
      </c>
      <c r="E1114" s="561" t="s">
        <v>3</v>
      </c>
      <c r="F1114" s="563">
        <v>818212.55</v>
      </c>
      <c r="G1114" s="561" t="s">
        <v>654</v>
      </c>
      <c r="H1114" s="564"/>
      <c r="I1114" s="563">
        <v>811022.375</v>
      </c>
      <c r="J1114" s="563">
        <v>7190.16015625</v>
      </c>
      <c r="K1114" s="563">
        <v>818212.5625</v>
      </c>
      <c r="L1114" s="566">
        <v>818212.55</v>
      </c>
    </row>
    <row r="1115" spans="1:12" ht="33.75" x14ac:dyDescent="0.2">
      <c r="A1115" s="561" t="s">
        <v>92</v>
      </c>
      <c r="B1115" s="562">
        <v>2021</v>
      </c>
      <c r="C1115" s="561" t="s">
        <v>718</v>
      </c>
      <c r="D1115" s="561" t="s">
        <v>1450</v>
      </c>
      <c r="E1115" s="561" t="s">
        <v>38</v>
      </c>
      <c r="F1115" s="563">
        <v>-474400.34</v>
      </c>
      <c r="G1115" s="561" t="s">
        <v>654</v>
      </c>
      <c r="H1115" s="564"/>
      <c r="I1115" s="563">
        <v>-449929.8125</v>
      </c>
      <c r="J1115" s="563">
        <v>-24470.51953125</v>
      </c>
      <c r="K1115" s="563">
        <v>-474400.34375</v>
      </c>
      <c r="L1115" s="566">
        <v>-474400.34</v>
      </c>
    </row>
    <row r="1116" spans="1:12" ht="22.5" x14ac:dyDescent="0.2">
      <c r="A1116" s="561" t="s">
        <v>92</v>
      </c>
      <c r="B1116" s="562">
        <v>2021</v>
      </c>
      <c r="C1116" s="561" t="s">
        <v>720</v>
      </c>
      <c r="D1116" s="561" t="s">
        <v>1451</v>
      </c>
      <c r="E1116" s="561" t="s">
        <v>66</v>
      </c>
      <c r="F1116" s="563">
        <v>361629.27</v>
      </c>
      <c r="G1116" s="561" t="s">
        <v>654</v>
      </c>
      <c r="H1116" s="564"/>
      <c r="I1116" s="563">
        <v>347956.53125</v>
      </c>
      <c r="J1116" s="563">
        <v>13672.73046875</v>
      </c>
      <c r="K1116" s="563">
        <v>361629.28125</v>
      </c>
      <c r="L1116" s="566">
        <v>361629.27</v>
      </c>
    </row>
    <row r="1117" spans="1:12" ht="45" x14ac:dyDescent="0.2">
      <c r="A1117" s="561" t="s">
        <v>92</v>
      </c>
      <c r="B1117" s="562">
        <v>2021</v>
      </c>
      <c r="C1117" s="561" t="s">
        <v>722</v>
      </c>
      <c r="D1117" s="561" t="s">
        <v>1452</v>
      </c>
      <c r="E1117" s="561" t="s">
        <v>724</v>
      </c>
      <c r="F1117" s="563">
        <v>-209102.62</v>
      </c>
      <c r="G1117" s="564"/>
      <c r="H1117" s="561" t="s">
        <v>654</v>
      </c>
      <c r="I1117" s="565"/>
      <c r="J1117" s="565"/>
      <c r="K1117" s="563">
        <v>0</v>
      </c>
      <c r="L1117" s="566">
        <v>-209102.62</v>
      </c>
    </row>
    <row r="1118" spans="1:12" ht="45" x14ac:dyDescent="0.2">
      <c r="A1118" s="561" t="s">
        <v>92</v>
      </c>
      <c r="B1118" s="562">
        <v>2021</v>
      </c>
      <c r="C1118" s="561" t="s">
        <v>725</v>
      </c>
      <c r="D1118" s="561" t="s">
        <v>1453</v>
      </c>
      <c r="E1118" s="561" t="s">
        <v>3024</v>
      </c>
      <c r="F1118" s="563">
        <v>0</v>
      </c>
      <c r="G1118" s="561" t="s">
        <v>654</v>
      </c>
      <c r="H1118" s="564"/>
      <c r="I1118" s="563">
        <v>67781.15625</v>
      </c>
      <c r="J1118" s="563">
        <v>-88502.5</v>
      </c>
      <c r="K1118" s="563">
        <v>-20721.33984375</v>
      </c>
      <c r="L1118" s="566">
        <v>-20721.34</v>
      </c>
    </row>
    <row r="1119" spans="1:12" ht="45" x14ac:dyDescent="0.2">
      <c r="A1119" s="561" t="s">
        <v>92</v>
      </c>
      <c r="B1119" s="562">
        <v>2021</v>
      </c>
      <c r="C1119" s="561" t="s">
        <v>725</v>
      </c>
      <c r="D1119" s="561" t="s">
        <v>1453</v>
      </c>
      <c r="E1119" s="561" t="s">
        <v>3066</v>
      </c>
      <c r="F1119" s="563">
        <v>0</v>
      </c>
      <c r="G1119" s="561" t="s">
        <v>654</v>
      </c>
      <c r="H1119" s="564"/>
      <c r="I1119" s="563">
        <v>-907256.6875</v>
      </c>
      <c r="J1119" s="563">
        <v>-8213.26953125</v>
      </c>
      <c r="K1119" s="563">
        <v>-915469.9375</v>
      </c>
      <c r="L1119" s="566">
        <v>-915469.95</v>
      </c>
    </row>
    <row r="1120" spans="1:12" ht="45" x14ac:dyDescent="0.2">
      <c r="A1120" s="561" t="s">
        <v>92</v>
      </c>
      <c r="B1120" s="562">
        <v>2021</v>
      </c>
      <c r="C1120" s="561" t="s">
        <v>725</v>
      </c>
      <c r="D1120" s="561" t="s">
        <v>1454</v>
      </c>
      <c r="E1120" s="561" t="s">
        <v>728</v>
      </c>
      <c r="F1120" s="563">
        <v>0</v>
      </c>
      <c r="G1120" s="561" t="s">
        <v>654</v>
      </c>
      <c r="H1120" s="564"/>
      <c r="I1120" s="565"/>
      <c r="J1120" s="565"/>
      <c r="K1120" s="563">
        <v>0</v>
      </c>
      <c r="L1120" s="566">
        <v>0</v>
      </c>
    </row>
    <row r="1121" spans="1:12" ht="45" x14ac:dyDescent="0.2">
      <c r="A1121" s="561" t="s">
        <v>92</v>
      </c>
      <c r="B1121" s="562">
        <v>2021</v>
      </c>
      <c r="C1121" s="561" t="s">
        <v>725</v>
      </c>
      <c r="D1121" s="561" t="s">
        <v>1455</v>
      </c>
      <c r="E1121" s="561" t="s">
        <v>55</v>
      </c>
      <c r="F1121" s="563">
        <v>0</v>
      </c>
      <c r="G1121" s="561" t="s">
        <v>654</v>
      </c>
      <c r="H1121" s="564"/>
      <c r="I1121" s="565"/>
      <c r="J1121" s="565"/>
      <c r="K1121" s="563">
        <v>0</v>
      </c>
      <c r="L1121" s="566">
        <v>0</v>
      </c>
    </row>
    <row r="1122" spans="1:12" ht="45" x14ac:dyDescent="0.2">
      <c r="A1122" s="561" t="s">
        <v>92</v>
      </c>
      <c r="B1122" s="562">
        <v>2021</v>
      </c>
      <c r="C1122" s="561" t="s">
        <v>725</v>
      </c>
      <c r="D1122" s="561" t="s">
        <v>1456</v>
      </c>
      <c r="E1122" s="561" t="s">
        <v>56</v>
      </c>
      <c r="F1122" s="563">
        <v>0</v>
      </c>
      <c r="G1122" s="561" t="s">
        <v>654</v>
      </c>
      <c r="H1122" s="564"/>
      <c r="I1122" s="565"/>
      <c r="J1122" s="565"/>
      <c r="K1122" s="563">
        <v>0</v>
      </c>
      <c r="L1122" s="566">
        <v>0</v>
      </c>
    </row>
    <row r="1123" spans="1:12" ht="45" x14ac:dyDescent="0.2">
      <c r="A1123" s="561" t="s">
        <v>92</v>
      </c>
      <c r="B1123" s="562">
        <v>2021</v>
      </c>
      <c r="C1123" s="561" t="s">
        <v>725</v>
      </c>
      <c r="D1123" s="561" t="s">
        <v>1457</v>
      </c>
      <c r="E1123" s="561" t="s">
        <v>732</v>
      </c>
      <c r="F1123" s="563">
        <v>0</v>
      </c>
      <c r="G1123" s="561" t="s">
        <v>654</v>
      </c>
      <c r="H1123" s="564"/>
      <c r="I1123" s="565"/>
      <c r="J1123" s="565"/>
      <c r="K1123" s="563">
        <v>0</v>
      </c>
      <c r="L1123" s="566">
        <v>0</v>
      </c>
    </row>
    <row r="1124" spans="1:12" ht="45" x14ac:dyDescent="0.2">
      <c r="A1124" s="561" t="s">
        <v>92</v>
      </c>
      <c r="B1124" s="562">
        <v>2021</v>
      </c>
      <c r="C1124" s="561" t="s">
        <v>725</v>
      </c>
      <c r="D1124" s="561" t="s">
        <v>1458</v>
      </c>
      <c r="E1124" s="561" t="s">
        <v>734</v>
      </c>
      <c r="F1124" s="563">
        <v>0</v>
      </c>
      <c r="G1124" s="561" t="s">
        <v>654</v>
      </c>
      <c r="H1124" s="564"/>
      <c r="I1124" s="565"/>
      <c r="J1124" s="565"/>
      <c r="K1124" s="563">
        <v>0</v>
      </c>
      <c r="L1124" s="566">
        <v>0</v>
      </c>
    </row>
    <row r="1125" spans="1:12" ht="45" x14ac:dyDescent="0.2">
      <c r="A1125" s="561" t="s">
        <v>92</v>
      </c>
      <c r="B1125" s="562">
        <v>2021</v>
      </c>
      <c r="C1125" s="561" t="s">
        <v>725</v>
      </c>
      <c r="D1125" s="561" t="s">
        <v>1459</v>
      </c>
      <c r="E1125" s="561" t="s">
        <v>142</v>
      </c>
      <c r="F1125" s="563">
        <v>0</v>
      </c>
      <c r="G1125" s="561" t="s">
        <v>654</v>
      </c>
      <c r="H1125" s="564"/>
      <c r="I1125" s="565"/>
      <c r="J1125" s="565"/>
      <c r="K1125" s="563">
        <v>0</v>
      </c>
      <c r="L1125" s="566">
        <v>0</v>
      </c>
    </row>
    <row r="1126" spans="1:12" ht="45" x14ac:dyDescent="0.2">
      <c r="A1126" s="561" t="s">
        <v>92</v>
      </c>
      <c r="B1126" s="562">
        <v>2021</v>
      </c>
      <c r="C1126" s="561" t="s">
        <v>725</v>
      </c>
      <c r="D1126" s="561" t="s">
        <v>1460</v>
      </c>
      <c r="E1126" s="561" t="s">
        <v>143</v>
      </c>
      <c r="F1126" s="563">
        <v>0</v>
      </c>
      <c r="G1126" s="561" t="s">
        <v>654</v>
      </c>
      <c r="H1126" s="564"/>
      <c r="I1126" s="565"/>
      <c r="J1126" s="565"/>
      <c r="K1126" s="563">
        <v>0</v>
      </c>
      <c r="L1126" s="566">
        <v>0</v>
      </c>
    </row>
    <row r="1127" spans="1:12" ht="45" x14ac:dyDescent="0.2">
      <c r="A1127" s="561" t="s">
        <v>92</v>
      </c>
      <c r="B1127" s="562">
        <v>2021</v>
      </c>
      <c r="C1127" s="561" t="s">
        <v>725</v>
      </c>
      <c r="D1127" s="561" t="s">
        <v>1461</v>
      </c>
      <c r="E1127" s="561" t="s">
        <v>182</v>
      </c>
      <c r="F1127" s="563">
        <v>0</v>
      </c>
      <c r="G1127" s="561" t="s">
        <v>654</v>
      </c>
      <c r="H1127" s="564"/>
      <c r="I1127" s="565"/>
      <c r="J1127" s="565"/>
      <c r="K1127" s="563">
        <v>0</v>
      </c>
      <c r="L1127" s="566">
        <v>0</v>
      </c>
    </row>
    <row r="1128" spans="1:12" ht="45" x14ac:dyDescent="0.2">
      <c r="A1128" s="561" t="s">
        <v>92</v>
      </c>
      <c r="B1128" s="562">
        <v>2021</v>
      </c>
      <c r="C1128" s="561" t="s">
        <v>725</v>
      </c>
      <c r="D1128" s="561" t="s">
        <v>1462</v>
      </c>
      <c r="E1128" s="561" t="s">
        <v>394</v>
      </c>
      <c r="F1128" s="563">
        <v>0</v>
      </c>
      <c r="G1128" s="561" t="s">
        <v>654</v>
      </c>
      <c r="H1128" s="564"/>
      <c r="I1128" s="565"/>
      <c r="J1128" s="565"/>
      <c r="K1128" s="563">
        <v>0</v>
      </c>
      <c r="L1128" s="566">
        <v>0</v>
      </c>
    </row>
    <row r="1129" spans="1:12" ht="45" x14ac:dyDescent="0.2">
      <c r="A1129" s="561" t="s">
        <v>92</v>
      </c>
      <c r="B1129" s="562">
        <v>2021</v>
      </c>
      <c r="C1129" s="561" t="s">
        <v>725</v>
      </c>
      <c r="D1129" s="561" t="s">
        <v>1463</v>
      </c>
      <c r="E1129" s="561" t="s">
        <v>425</v>
      </c>
      <c r="F1129" s="563">
        <v>0</v>
      </c>
      <c r="G1129" s="561" t="s">
        <v>654</v>
      </c>
      <c r="H1129" s="564"/>
      <c r="I1129" s="563">
        <v>-52179.69921875</v>
      </c>
      <c r="J1129" s="563">
        <v>-13364.759765625</v>
      </c>
      <c r="K1129" s="563">
        <v>-65544.4609375</v>
      </c>
      <c r="L1129" s="566">
        <v>-65544.460000000006</v>
      </c>
    </row>
    <row r="1130" spans="1:12" ht="45" x14ac:dyDescent="0.2">
      <c r="A1130" s="561" t="s">
        <v>92</v>
      </c>
      <c r="B1130" s="562">
        <v>2021</v>
      </c>
      <c r="C1130" s="561" t="s">
        <v>725</v>
      </c>
      <c r="D1130" s="561" t="s">
        <v>3223</v>
      </c>
      <c r="E1130" s="561" t="s">
        <v>443</v>
      </c>
      <c r="F1130" s="563">
        <v>0</v>
      </c>
      <c r="G1130" s="561" t="s">
        <v>654</v>
      </c>
      <c r="H1130" s="564"/>
      <c r="I1130" s="563">
        <v>155600</v>
      </c>
      <c r="J1130" s="563">
        <v>5324.6298828125</v>
      </c>
      <c r="K1130" s="563">
        <v>160924.625</v>
      </c>
      <c r="L1130" s="566">
        <v>160924.63</v>
      </c>
    </row>
    <row r="1131" spans="1:12" ht="45" x14ac:dyDescent="0.2">
      <c r="A1131" s="561" t="s">
        <v>92</v>
      </c>
      <c r="B1131" s="562">
        <v>2021</v>
      </c>
      <c r="C1131" s="561" t="s">
        <v>725</v>
      </c>
      <c r="D1131" s="561" t="s">
        <v>1464</v>
      </c>
      <c r="E1131" s="561" t="s">
        <v>741</v>
      </c>
      <c r="F1131" s="563">
        <v>-840811.12</v>
      </c>
      <c r="G1131" s="564"/>
      <c r="H1131" s="564"/>
      <c r="I1131" s="565"/>
      <c r="J1131" s="565"/>
      <c r="K1131" s="563">
        <v>0</v>
      </c>
      <c r="L1131" s="566">
        <v>-840811.12</v>
      </c>
    </row>
    <row r="1132" spans="1:12" ht="22.5" x14ac:dyDescent="0.2">
      <c r="A1132" s="561" t="s">
        <v>92</v>
      </c>
      <c r="B1132" s="562">
        <v>2021</v>
      </c>
      <c r="C1132" s="561" t="s">
        <v>742</v>
      </c>
      <c r="D1132" s="561" t="s">
        <v>1465</v>
      </c>
      <c r="E1132" s="561" t="s">
        <v>7</v>
      </c>
      <c r="F1132" s="563">
        <v>0</v>
      </c>
      <c r="G1132" s="564"/>
      <c r="H1132" s="561" t="s">
        <v>654</v>
      </c>
      <c r="I1132" s="565"/>
      <c r="J1132" s="565"/>
      <c r="K1132" s="563">
        <v>0</v>
      </c>
      <c r="L1132" s="566">
        <v>0</v>
      </c>
    </row>
    <row r="1133" spans="1:12" ht="22.5" x14ac:dyDescent="0.2">
      <c r="A1133" s="561" t="s">
        <v>199</v>
      </c>
      <c r="B1133" s="562">
        <v>2021</v>
      </c>
      <c r="C1133" s="561" t="s">
        <v>651</v>
      </c>
      <c r="D1133" s="561" t="s">
        <v>1466</v>
      </c>
      <c r="E1133" s="561" t="s">
        <v>653</v>
      </c>
      <c r="F1133" s="563">
        <v>-26780.03</v>
      </c>
      <c r="G1133" s="564"/>
      <c r="H1133" s="561" t="s">
        <v>654</v>
      </c>
      <c r="I1133" s="565"/>
      <c r="J1133" s="565"/>
      <c r="K1133" s="563">
        <v>0</v>
      </c>
      <c r="L1133" s="566">
        <v>-26780.03</v>
      </c>
    </row>
    <row r="1134" spans="1:12" ht="15" x14ac:dyDescent="0.2">
      <c r="A1134" s="561" t="s">
        <v>199</v>
      </c>
      <c r="B1134" s="562">
        <v>2021</v>
      </c>
      <c r="C1134" s="561" t="s">
        <v>655</v>
      </c>
      <c r="D1134" s="561" t="s">
        <v>1467</v>
      </c>
      <c r="E1134" s="561" t="s">
        <v>657</v>
      </c>
      <c r="F1134" s="563">
        <v>25055.119999999999</v>
      </c>
      <c r="G1134" s="564"/>
      <c r="H1134" s="561" t="s">
        <v>654</v>
      </c>
      <c r="I1134" s="565"/>
      <c r="J1134" s="565"/>
      <c r="K1134" s="563">
        <v>0</v>
      </c>
      <c r="L1134" s="566">
        <v>25055.119999999999</v>
      </c>
    </row>
    <row r="1135" spans="1:12" ht="56.25" x14ac:dyDescent="0.2">
      <c r="A1135" s="561" t="s">
        <v>199</v>
      </c>
      <c r="B1135" s="562">
        <v>2021</v>
      </c>
      <c r="C1135" s="561" t="s">
        <v>658</v>
      </c>
      <c r="D1135" s="561" t="s">
        <v>1468</v>
      </c>
      <c r="E1135" s="561" t="s">
        <v>447</v>
      </c>
      <c r="F1135" s="563">
        <v>0</v>
      </c>
      <c r="G1135" s="564"/>
      <c r="H1135" s="561" t="s">
        <v>654</v>
      </c>
      <c r="I1135" s="565"/>
      <c r="J1135" s="565"/>
      <c r="K1135" s="563">
        <v>0</v>
      </c>
      <c r="L1135" s="566">
        <v>0</v>
      </c>
    </row>
    <row r="1136" spans="1:12" ht="22.5" x14ac:dyDescent="0.2">
      <c r="A1136" s="561" t="s">
        <v>199</v>
      </c>
      <c r="B1136" s="562">
        <v>2021</v>
      </c>
      <c r="C1136" s="561" t="s">
        <v>660</v>
      </c>
      <c r="D1136" s="561" t="s">
        <v>1469</v>
      </c>
      <c r="E1136" s="561" t="s">
        <v>662</v>
      </c>
      <c r="F1136" s="563">
        <v>0</v>
      </c>
      <c r="G1136" s="564"/>
      <c r="H1136" s="561" t="s">
        <v>654</v>
      </c>
      <c r="I1136" s="565"/>
      <c r="J1136" s="565"/>
      <c r="K1136" s="563">
        <v>0</v>
      </c>
      <c r="L1136" s="566">
        <v>0</v>
      </c>
    </row>
    <row r="1137" spans="1:12" ht="33.75" x14ac:dyDescent="0.2">
      <c r="A1137" s="561" t="s">
        <v>199</v>
      </c>
      <c r="B1137" s="562">
        <v>2021</v>
      </c>
      <c r="C1137" s="561" t="s">
        <v>663</v>
      </c>
      <c r="D1137" s="561" t="s">
        <v>1470</v>
      </c>
      <c r="E1137" s="561" t="s">
        <v>665</v>
      </c>
      <c r="F1137" s="563">
        <v>0</v>
      </c>
      <c r="G1137" s="564"/>
      <c r="H1137" s="561" t="s">
        <v>654</v>
      </c>
      <c r="I1137" s="565"/>
      <c r="J1137" s="565"/>
      <c r="K1137" s="563">
        <v>0</v>
      </c>
      <c r="L1137" s="566">
        <v>0</v>
      </c>
    </row>
    <row r="1138" spans="1:12" ht="33.75" x14ac:dyDescent="0.2">
      <c r="A1138" s="561" t="s">
        <v>199</v>
      </c>
      <c r="B1138" s="562">
        <v>2021</v>
      </c>
      <c r="C1138" s="561" t="s">
        <v>666</v>
      </c>
      <c r="D1138" s="561" t="s">
        <v>1471</v>
      </c>
      <c r="E1138" s="561" t="s">
        <v>668</v>
      </c>
      <c r="F1138" s="563">
        <v>0</v>
      </c>
      <c r="G1138" s="564"/>
      <c r="H1138" s="561" t="s">
        <v>654</v>
      </c>
      <c r="I1138" s="565"/>
      <c r="J1138" s="565"/>
      <c r="K1138" s="563">
        <v>0</v>
      </c>
      <c r="L1138" s="566">
        <v>0</v>
      </c>
    </row>
    <row r="1139" spans="1:12" ht="56.25" x14ac:dyDescent="0.2">
      <c r="A1139" s="561" t="s">
        <v>199</v>
      </c>
      <c r="B1139" s="562">
        <v>2021</v>
      </c>
      <c r="C1139" s="561" t="s">
        <v>669</v>
      </c>
      <c r="D1139" s="561" t="s">
        <v>1472</v>
      </c>
      <c r="E1139" s="561" t="s">
        <v>671</v>
      </c>
      <c r="F1139" s="563">
        <v>0</v>
      </c>
      <c r="G1139" s="564"/>
      <c r="H1139" s="561" t="s">
        <v>654</v>
      </c>
      <c r="I1139" s="565"/>
      <c r="J1139" s="565"/>
      <c r="K1139" s="563">
        <v>0</v>
      </c>
      <c r="L1139" s="566">
        <v>0</v>
      </c>
    </row>
    <row r="1140" spans="1:12" ht="22.5" x14ac:dyDescent="0.2">
      <c r="A1140" s="561" t="s">
        <v>199</v>
      </c>
      <c r="B1140" s="562">
        <v>2021</v>
      </c>
      <c r="C1140" s="561" t="s">
        <v>672</v>
      </c>
      <c r="D1140" s="561" t="s">
        <v>1473</v>
      </c>
      <c r="E1140" s="561" t="s">
        <v>12</v>
      </c>
      <c r="F1140" s="563">
        <v>0</v>
      </c>
      <c r="G1140" s="564"/>
      <c r="H1140" s="561" t="s">
        <v>654</v>
      </c>
      <c r="I1140" s="565"/>
      <c r="J1140" s="565"/>
      <c r="K1140" s="563">
        <v>0</v>
      </c>
      <c r="L1140" s="566">
        <v>0</v>
      </c>
    </row>
    <row r="1141" spans="1:12" ht="22.5" x14ac:dyDescent="0.2">
      <c r="A1141" s="561" t="s">
        <v>199</v>
      </c>
      <c r="B1141" s="562">
        <v>2021</v>
      </c>
      <c r="C1141" s="561" t="s">
        <v>674</v>
      </c>
      <c r="D1141" s="561" t="s">
        <v>1474</v>
      </c>
      <c r="E1141" s="561" t="s">
        <v>13</v>
      </c>
      <c r="F1141" s="563">
        <v>0</v>
      </c>
      <c r="G1141" s="564"/>
      <c r="H1141" s="561" t="s">
        <v>654</v>
      </c>
      <c r="I1141" s="565"/>
      <c r="J1141" s="565"/>
      <c r="K1141" s="563">
        <v>0</v>
      </c>
      <c r="L1141" s="566">
        <v>0</v>
      </c>
    </row>
    <row r="1142" spans="1:12" ht="33.75" x14ac:dyDescent="0.2">
      <c r="A1142" s="561" t="s">
        <v>199</v>
      </c>
      <c r="B1142" s="562">
        <v>2021</v>
      </c>
      <c r="C1142" s="561" t="s">
        <v>676</v>
      </c>
      <c r="D1142" s="561" t="s">
        <v>1475</v>
      </c>
      <c r="E1142" s="561" t="s">
        <v>15</v>
      </c>
      <c r="F1142" s="563">
        <v>0</v>
      </c>
      <c r="G1142" s="564"/>
      <c r="H1142" s="561" t="s">
        <v>654</v>
      </c>
      <c r="I1142" s="565"/>
      <c r="J1142" s="565"/>
      <c r="K1142" s="563">
        <v>0</v>
      </c>
      <c r="L1142" s="566">
        <v>0</v>
      </c>
    </row>
    <row r="1143" spans="1:12" ht="15" x14ac:dyDescent="0.2">
      <c r="A1143" s="561" t="s">
        <v>199</v>
      </c>
      <c r="B1143" s="562">
        <v>2021</v>
      </c>
      <c r="C1143" s="561" t="s">
        <v>678</v>
      </c>
      <c r="D1143" s="561" t="s">
        <v>1476</v>
      </c>
      <c r="E1143" s="561" t="s">
        <v>680</v>
      </c>
      <c r="F1143" s="563">
        <v>14402.15</v>
      </c>
      <c r="G1143" s="564"/>
      <c r="H1143" s="561" t="s">
        <v>654</v>
      </c>
      <c r="I1143" s="565"/>
      <c r="J1143" s="565"/>
      <c r="K1143" s="563">
        <v>0</v>
      </c>
      <c r="L1143" s="566">
        <v>14402.15</v>
      </c>
    </row>
    <row r="1144" spans="1:12" ht="15" x14ac:dyDescent="0.2">
      <c r="A1144" s="561" t="s">
        <v>199</v>
      </c>
      <c r="B1144" s="562">
        <v>2021</v>
      </c>
      <c r="C1144" s="561" t="s">
        <v>681</v>
      </c>
      <c r="D1144" s="561" t="s">
        <v>1477</v>
      </c>
      <c r="E1144" s="561" t="s">
        <v>23</v>
      </c>
      <c r="F1144" s="563">
        <v>445096.79</v>
      </c>
      <c r="G1144" s="561" t="s">
        <v>654</v>
      </c>
      <c r="H1144" s="564"/>
      <c r="I1144" s="563">
        <v>440605.3125</v>
      </c>
      <c r="J1144" s="563">
        <v>4491.47021484375</v>
      </c>
      <c r="K1144" s="563">
        <v>445096.78125</v>
      </c>
      <c r="L1144" s="566">
        <v>445096.79</v>
      </c>
    </row>
    <row r="1145" spans="1:12" ht="33.75" x14ac:dyDescent="0.2">
      <c r="A1145" s="561" t="s">
        <v>199</v>
      </c>
      <c r="B1145" s="562">
        <v>2021</v>
      </c>
      <c r="C1145" s="561" t="s">
        <v>683</v>
      </c>
      <c r="D1145" s="561" t="s">
        <v>1478</v>
      </c>
      <c r="E1145" s="561" t="s">
        <v>131</v>
      </c>
      <c r="F1145" s="563">
        <v>-3175.97</v>
      </c>
      <c r="G1145" s="561" t="s">
        <v>654</v>
      </c>
      <c r="H1145" s="564"/>
      <c r="I1145" s="563">
        <v>-3071.61010742188</v>
      </c>
      <c r="J1145" s="563">
        <v>-104.360000610352</v>
      </c>
      <c r="K1145" s="563">
        <v>-3175.96997070313</v>
      </c>
      <c r="L1145" s="566">
        <v>-3175.97</v>
      </c>
    </row>
    <row r="1146" spans="1:12" ht="33.75" x14ac:dyDescent="0.2">
      <c r="A1146" s="561" t="s">
        <v>199</v>
      </c>
      <c r="B1146" s="562">
        <v>2021</v>
      </c>
      <c r="C1146" s="561" t="s">
        <v>685</v>
      </c>
      <c r="D1146" s="561" t="s">
        <v>1479</v>
      </c>
      <c r="E1146" s="561" t="s">
        <v>687</v>
      </c>
      <c r="F1146" s="563">
        <v>0</v>
      </c>
      <c r="G1146" s="564"/>
      <c r="H1146" s="561" t="s">
        <v>654</v>
      </c>
      <c r="I1146" s="565"/>
      <c r="J1146" s="565"/>
      <c r="K1146" s="563">
        <v>0</v>
      </c>
      <c r="L1146" s="566">
        <v>0</v>
      </c>
    </row>
    <row r="1147" spans="1:12" ht="33.75" x14ac:dyDescent="0.2">
      <c r="A1147" s="561" t="s">
        <v>199</v>
      </c>
      <c r="B1147" s="562">
        <v>2021</v>
      </c>
      <c r="C1147" s="561" t="s">
        <v>685</v>
      </c>
      <c r="D1147" s="561" t="s">
        <v>1479</v>
      </c>
      <c r="E1147" s="561" t="s">
        <v>688</v>
      </c>
      <c r="F1147" s="563">
        <v>0</v>
      </c>
      <c r="G1147" s="564"/>
      <c r="H1147" s="561" t="s">
        <v>654</v>
      </c>
      <c r="I1147" s="565"/>
      <c r="J1147" s="565"/>
      <c r="K1147" s="563">
        <v>0</v>
      </c>
      <c r="L1147" s="566">
        <v>0</v>
      </c>
    </row>
    <row r="1148" spans="1:12" ht="22.5" x14ac:dyDescent="0.2">
      <c r="A1148" s="561" t="s">
        <v>199</v>
      </c>
      <c r="B1148" s="562">
        <v>2021</v>
      </c>
      <c r="C1148" s="561" t="s">
        <v>689</v>
      </c>
      <c r="D1148" s="561" t="s">
        <v>1480</v>
      </c>
      <c r="E1148" s="561" t="s">
        <v>691</v>
      </c>
      <c r="F1148" s="563">
        <v>0</v>
      </c>
      <c r="G1148" s="564"/>
      <c r="H1148" s="561" t="s">
        <v>654</v>
      </c>
      <c r="I1148" s="565"/>
      <c r="J1148" s="565"/>
      <c r="K1148" s="563">
        <v>0</v>
      </c>
      <c r="L1148" s="566">
        <v>0</v>
      </c>
    </row>
    <row r="1149" spans="1:12" ht="22.5" x14ac:dyDescent="0.2">
      <c r="A1149" s="561" t="s">
        <v>199</v>
      </c>
      <c r="B1149" s="562">
        <v>2021</v>
      </c>
      <c r="C1149" s="561" t="s">
        <v>692</v>
      </c>
      <c r="D1149" s="561" t="s">
        <v>1481</v>
      </c>
      <c r="E1149" s="561" t="s">
        <v>50</v>
      </c>
      <c r="F1149" s="563">
        <v>130786.2</v>
      </c>
      <c r="G1149" s="564"/>
      <c r="H1149" s="561" t="s">
        <v>654</v>
      </c>
      <c r="I1149" s="565"/>
      <c r="J1149" s="565"/>
      <c r="K1149" s="563">
        <v>0</v>
      </c>
      <c r="L1149" s="566">
        <v>130786.2</v>
      </c>
    </row>
    <row r="1150" spans="1:12" ht="22.5" x14ac:dyDescent="0.2">
      <c r="A1150" s="561" t="s">
        <v>199</v>
      </c>
      <c r="B1150" s="562">
        <v>2021</v>
      </c>
      <c r="C1150" s="561" t="s">
        <v>694</v>
      </c>
      <c r="D1150" s="561" t="s">
        <v>1482</v>
      </c>
      <c r="E1150" s="561" t="s">
        <v>696</v>
      </c>
      <c r="F1150" s="563">
        <v>0</v>
      </c>
      <c r="G1150" s="564"/>
      <c r="H1150" s="561" t="s">
        <v>654</v>
      </c>
      <c r="I1150" s="565"/>
      <c r="J1150" s="565"/>
      <c r="K1150" s="563">
        <v>0</v>
      </c>
      <c r="L1150" s="566">
        <v>0</v>
      </c>
    </row>
    <row r="1151" spans="1:12" ht="22.5" x14ac:dyDescent="0.2">
      <c r="A1151" s="561" t="s">
        <v>199</v>
      </c>
      <c r="B1151" s="562">
        <v>2021</v>
      </c>
      <c r="C1151" s="561" t="s">
        <v>697</v>
      </c>
      <c r="D1151" s="561" t="s">
        <v>1483</v>
      </c>
      <c r="E1151" s="561" t="s">
        <v>6</v>
      </c>
      <c r="F1151" s="563">
        <v>0</v>
      </c>
      <c r="G1151" s="564"/>
      <c r="H1151" s="561" t="s">
        <v>654</v>
      </c>
      <c r="I1151" s="565"/>
      <c r="J1151" s="565"/>
      <c r="K1151" s="563">
        <v>0</v>
      </c>
      <c r="L1151" s="566">
        <v>0</v>
      </c>
    </row>
    <row r="1152" spans="1:12" ht="33.75" x14ac:dyDescent="0.2">
      <c r="A1152" s="561" t="s">
        <v>199</v>
      </c>
      <c r="B1152" s="562">
        <v>2021</v>
      </c>
      <c r="C1152" s="561" t="s">
        <v>699</v>
      </c>
      <c r="D1152" s="561" t="s">
        <v>1484</v>
      </c>
      <c r="E1152" s="561" t="s">
        <v>701</v>
      </c>
      <c r="F1152" s="563">
        <v>0</v>
      </c>
      <c r="G1152" s="564"/>
      <c r="H1152" s="561" t="s">
        <v>654</v>
      </c>
      <c r="I1152" s="565"/>
      <c r="J1152" s="565"/>
      <c r="K1152" s="563">
        <v>0</v>
      </c>
      <c r="L1152" s="566">
        <v>0</v>
      </c>
    </row>
    <row r="1153" spans="1:12" ht="22.5" x14ac:dyDescent="0.2">
      <c r="A1153" s="561" t="s">
        <v>199</v>
      </c>
      <c r="B1153" s="562">
        <v>2021</v>
      </c>
      <c r="C1153" s="561" t="s">
        <v>702</v>
      </c>
      <c r="D1153" s="561" t="s">
        <v>1485</v>
      </c>
      <c r="E1153" s="561" t="s">
        <v>704</v>
      </c>
      <c r="F1153" s="563">
        <v>0</v>
      </c>
      <c r="G1153" s="564"/>
      <c r="H1153" s="561" t="s">
        <v>654</v>
      </c>
      <c r="I1153" s="565"/>
      <c r="J1153" s="565"/>
      <c r="K1153" s="563">
        <v>0</v>
      </c>
      <c r="L1153" s="566">
        <v>0</v>
      </c>
    </row>
    <row r="1154" spans="1:12" ht="33.75" x14ac:dyDescent="0.2">
      <c r="A1154" s="561" t="s">
        <v>199</v>
      </c>
      <c r="B1154" s="562">
        <v>2021</v>
      </c>
      <c r="C1154" s="561" t="s">
        <v>705</v>
      </c>
      <c r="D1154" s="561" t="s">
        <v>1486</v>
      </c>
      <c r="E1154" s="561" t="s">
        <v>1</v>
      </c>
      <c r="F1154" s="563">
        <v>-132339.9</v>
      </c>
      <c r="G1154" s="561" t="s">
        <v>654</v>
      </c>
      <c r="H1154" s="564"/>
      <c r="I1154" s="563">
        <v>-131202.171875</v>
      </c>
      <c r="J1154" s="563">
        <v>-1137.72998046875</v>
      </c>
      <c r="K1154" s="563">
        <v>-132339.90625</v>
      </c>
      <c r="L1154" s="566">
        <v>-132339.9</v>
      </c>
    </row>
    <row r="1155" spans="1:12" ht="22.5" x14ac:dyDescent="0.2">
      <c r="A1155" s="561" t="s">
        <v>199</v>
      </c>
      <c r="B1155" s="562">
        <v>2021</v>
      </c>
      <c r="C1155" s="561" t="s">
        <v>705</v>
      </c>
      <c r="D1155" s="561" t="s">
        <v>1486</v>
      </c>
      <c r="E1155" s="561" t="s">
        <v>707</v>
      </c>
      <c r="F1155" s="563">
        <v>0</v>
      </c>
      <c r="G1155" s="564"/>
      <c r="H1155" s="564"/>
      <c r="I1155" s="565"/>
      <c r="J1155" s="565"/>
      <c r="K1155" s="563">
        <v>0</v>
      </c>
      <c r="L1155" s="566">
        <v>0</v>
      </c>
    </row>
    <row r="1156" spans="1:12" ht="22.5" x14ac:dyDescent="0.2">
      <c r="A1156" s="561" t="s">
        <v>199</v>
      </c>
      <c r="B1156" s="562">
        <v>2021</v>
      </c>
      <c r="C1156" s="561" t="s">
        <v>705</v>
      </c>
      <c r="D1156" s="561" t="s">
        <v>1486</v>
      </c>
      <c r="E1156" s="561" t="s">
        <v>708</v>
      </c>
      <c r="F1156" s="563">
        <v>0</v>
      </c>
      <c r="G1156" s="564"/>
      <c r="H1156" s="564"/>
      <c r="I1156" s="565"/>
      <c r="J1156" s="565"/>
      <c r="K1156" s="563">
        <v>0</v>
      </c>
      <c r="L1156" s="566">
        <v>0</v>
      </c>
    </row>
    <row r="1157" spans="1:12" ht="22.5" x14ac:dyDescent="0.2">
      <c r="A1157" s="561" t="s">
        <v>199</v>
      </c>
      <c r="B1157" s="562">
        <v>2021</v>
      </c>
      <c r="C1157" s="561" t="s">
        <v>705</v>
      </c>
      <c r="D1157" s="561" t="s">
        <v>1486</v>
      </c>
      <c r="E1157" s="561" t="s">
        <v>709</v>
      </c>
      <c r="F1157" s="563">
        <v>0</v>
      </c>
      <c r="G1157" s="564"/>
      <c r="H1157" s="564"/>
      <c r="I1157" s="565"/>
      <c r="J1157" s="565"/>
      <c r="K1157" s="563">
        <v>0</v>
      </c>
      <c r="L1157" s="566">
        <v>0</v>
      </c>
    </row>
    <row r="1158" spans="1:12" ht="22.5" x14ac:dyDescent="0.2">
      <c r="A1158" s="561" t="s">
        <v>199</v>
      </c>
      <c r="B1158" s="562">
        <v>2021</v>
      </c>
      <c r="C1158" s="561" t="s">
        <v>705</v>
      </c>
      <c r="D1158" s="561" t="s">
        <v>1486</v>
      </c>
      <c r="E1158" s="561" t="s">
        <v>710</v>
      </c>
      <c r="F1158" s="563">
        <v>-19281.73</v>
      </c>
      <c r="G1158" s="564"/>
      <c r="H1158" s="564"/>
      <c r="I1158" s="565"/>
      <c r="J1158" s="565"/>
      <c r="K1158" s="563">
        <v>0</v>
      </c>
      <c r="L1158" s="566">
        <v>-19281.73</v>
      </c>
    </row>
    <row r="1159" spans="1:12" ht="15" x14ac:dyDescent="0.2">
      <c r="A1159" s="561" t="s">
        <v>199</v>
      </c>
      <c r="B1159" s="562">
        <v>2021</v>
      </c>
      <c r="C1159" s="561" t="s">
        <v>711</v>
      </c>
      <c r="D1159" s="561" t="s">
        <v>1487</v>
      </c>
      <c r="E1159" s="561" t="s">
        <v>713</v>
      </c>
      <c r="F1159" s="563">
        <v>0</v>
      </c>
      <c r="G1159" s="564"/>
      <c r="H1159" s="561" t="s">
        <v>654</v>
      </c>
      <c r="I1159" s="565"/>
      <c r="J1159" s="565"/>
      <c r="K1159" s="563">
        <v>0</v>
      </c>
      <c r="L1159" s="566">
        <v>0</v>
      </c>
    </row>
    <row r="1160" spans="1:12" ht="33.75" x14ac:dyDescent="0.2">
      <c r="A1160" s="561" t="s">
        <v>199</v>
      </c>
      <c r="B1160" s="562">
        <v>2021</v>
      </c>
      <c r="C1160" s="561" t="s">
        <v>714</v>
      </c>
      <c r="D1160" s="561" t="s">
        <v>1488</v>
      </c>
      <c r="E1160" s="561" t="s">
        <v>2</v>
      </c>
      <c r="F1160" s="563">
        <v>408820.03</v>
      </c>
      <c r="G1160" s="561" t="s">
        <v>654</v>
      </c>
      <c r="H1160" s="564"/>
      <c r="I1160" s="563">
        <v>404061.0625</v>
      </c>
      <c r="J1160" s="563">
        <v>4758.97021484375</v>
      </c>
      <c r="K1160" s="563">
        <v>408820.03125</v>
      </c>
      <c r="L1160" s="566">
        <v>408820.03</v>
      </c>
    </row>
    <row r="1161" spans="1:12" ht="33.75" x14ac:dyDescent="0.2">
      <c r="A1161" s="561" t="s">
        <v>199</v>
      </c>
      <c r="B1161" s="562">
        <v>2021</v>
      </c>
      <c r="C1161" s="561" t="s">
        <v>716</v>
      </c>
      <c r="D1161" s="561" t="s">
        <v>1489</v>
      </c>
      <c r="E1161" s="561" t="s">
        <v>3</v>
      </c>
      <c r="F1161" s="563">
        <v>85466.65</v>
      </c>
      <c r="G1161" s="561" t="s">
        <v>654</v>
      </c>
      <c r="H1161" s="564"/>
      <c r="I1161" s="563">
        <v>84486.5</v>
      </c>
      <c r="J1161" s="563">
        <v>980.15002441406295</v>
      </c>
      <c r="K1161" s="563">
        <v>85466.6484375</v>
      </c>
      <c r="L1161" s="566">
        <v>85466.65</v>
      </c>
    </row>
    <row r="1162" spans="1:12" ht="33.75" x14ac:dyDescent="0.2">
      <c r="A1162" s="561" t="s">
        <v>199</v>
      </c>
      <c r="B1162" s="562">
        <v>2021</v>
      </c>
      <c r="C1162" s="561" t="s">
        <v>718</v>
      </c>
      <c r="D1162" s="561" t="s">
        <v>1490</v>
      </c>
      <c r="E1162" s="561" t="s">
        <v>38</v>
      </c>
      <c r="F1162" s="563">
        <v>119969.27</v>
      </c>
      <c r="G1162" s="561" t="s">
        <v>654</v>
      </c>
      <c r="H1162" s="564"/>
      <c r="I1162" s="563">
        <v>116629.453125</v>
      </c>
      <c r="J1162" s="563">
        <v>3339.82006835938</v>
      </c>
      <c r="K1162" s="563">
        <v>119969.2734375</v>
      </c>
      <c r="L1162" s="566">
        <v>119969.27</v>
      </c>
    </row>
    <row r="1163" spans="1:12" ht="22.5" x14ac:dyDescent="0.2">
      <c r="A1163" s="561" t="s">
        <v>199</v>
      </c>
      <c r="B1163" s="562">
        <v>2021</v>
      </c>
      <c r="C1163" s="561" t="s">
        <v>720</v>
      </c>
      <c r="D1163" s="561" t="s">
        <v>1491</v>
      </c>
      <c r="E1163" s="561" t="s">
        <v>66</v>
      </c>
      <c r="F1163" s="563">
        <v>299986.3</v>
      </c>
      <c r="G1163" s="561" t="s">
        <v>654</v>
      </c>
      <c r="H1163" s="564"/>
      <c r="I1163" s="563">
        <v>297015.96875</v>
      </c>
      <c r="J1163" s="563">
        <v>2970.32006835938</v>
      </c>
      <c r="K1163" s="563">
        <v>299986.3125</v>
      </c>
      <c r="L1163" s="566">
        <v>299986.3</v>
      </c>
    </row>
    <row r="1164" spans="1:12" ht="45" x14ac:dyDescent="0.2">
      <c r="A1164" s="561" t="s">
        <v>199</v>
      </c>
      <c r="B1164" s="562">
        <v>2021</v>
      </c>
      <c r="C1164" s="561" t="s">
        <v>722</v>
      </c>
      <c r="D1164" s="561" t="s">
        <v>1492</v>
      </c>
      <c r="E1164" s="561" t="s">
        <v>724</v>
      </c>
      <c r="F1164" s="563">
        <v>-168250.97</v>
      </c>
      <c r="G1164" s="564"/>
      <c r="H1164" s="561" t="s">
        <v>654</v>
      </c>
      <c r="I1164" s="565"/>
      <c r="J1164" s="565"/>
      <c r="K1164" s="563">
        <v>0</v>
      </c>
      <c r="L1164" s="566">
        <v>-168250.97</v>
      </c>
    </row>
    <row r="1165" spans="1:12" ht="45" x14ac:dyDescent="0.2">
      <c r="A1165" s="561" t="s">
        <v>199</v>
      </c>
      <c r="B1165" s="562">
        <v>2021</v>
      </c>
      <c r="C1165" s="561" t="s">
        <v>725</v>
      </c>
      <c r="D1165" s="561" t="s">
        <v>1493</v>
      </c>
      <c r="E1165" s="561" t="s">
        <v>3024</v>
      </c>
      <c r="F1165" s="563">
        <v>0</v>
      </c>
      <c r="G1165" s="561" t="s">
        <v>654</v>
      </c>
      <c r="H1165" s="564"/>
      <c r="I1165" s="563">
        <v>108502.15625</v>
      </c>
      <c r="J1165" s="563">
        <v>-123079.671875</v>
      </c>
      <c r="K1165" s="563">
        <v>-14577.509765625</v>
      </c>
      <c r="L1165" s="566">
        <v>-14577.51</v>
      </c>
    </row>
    <row r="1166" spans="1:12" ht="45" x14ac:dyDescent="0.2">
      <c r="A1166" s="561" t="s">
        <v>199</v>
      </c>
      <c r="B1166" s="562">
        <v>2021</v>
      </c>
      <c r="C1166" s="561" t="s">
        <v>725</v>
      </c>
      <c r="D1166" s="561" t="s">
        <v>1493</v>
      </c>
      <c r="E1166" s="561" t="s">
        <v>3066</v>
      </c>
      <c r="F1166" s="563">
        <v>0</v>
      </c>
      <c r="G1166" s="561" t="s">
        <v>654</v>
      </c>
      <c r="H1166" s="564"/>
      <c r="I1166" s="563">
        <v>1126.34997558594</v>
      </c>
      <c r="J1166" s="563">
        <v>11773.169921875</v>
      </c>
      <c r="K1166" s="563">
        <v>12899.51953125</v>
      </c>
      <c r="L1166" s="566">
        <v>12899.52</v>
      </c>
    </row>
    <row r="1167" spans="1:12" ht="45" x14ac:dyDescent="0.2">
      <c r="A1167" s="561" t="s">
        <v>199</v>
      </c>
      <c r="B1167" s="562">
        <v>2021</v>
      </c>
      <c r="C1167" s="561" t="s">
        <v>725</v>
      </c>
      <c r="D1167" s="561" t="s">
        <v>1494</v>
      </c>
      <c r="E1167" s="561" t="s">
        <v>728</v>
      </c>
      <c r="F1167" s="563">
        <v>0</v>
      </c>
      <c r="G1167" s="561" t="s">
        <v>654</v>
      </c>
      <c r="H1167" s="564"/>
      <c r="I1167" s="565"/>
      <c r="J1167" s="565"/>
      <c r="K1167" s="563">
        <v>0</v>
      </c>
      <c r="L1167" s="566">
        <v>0</v>
      </c>
    </row>
    <row r="1168" spans="1:12" ht="45" x14ac:dyDescent="0.2">
      <c r="A1168" s="561" t="s">
        <v>199</v>
      </c>
      <c r="B1168" s="562">
        <v>2021</v>
      </c>
      <c r="C1168" s="561" t="s">
        <v>725</v>
      </c>
      <c r="D1168" s="561" t="s">
        <v>1495</v>
      </c>
      <c r="E1168" s="561" t="s">
        <v>55</v>
      </c>
      <c r="F1168" s="563">
        <v>0</v>
      </c>
      <c r="G1168" s="561" t="s">
        <v>654</v>
      </c>
      <c r="H1168" s="564"/>
      <c r="I1168" s="565"/>
      <c r="J1168" s="565"/>
      <c r="K1168" s="563">
        <v>0</v>
      </c>
      <c r="L1168" s="566">
        <v>0</v>
      </c>
    </row>
    <row r="1169" spans="1:12" ht="45" x14ac:dyDescent="0.2">
      <c r="A1169" s="561" t="s">
        <v>199</v>
      </c>
      <c r="B1169" s="562">
        <v>2021</v>
      </c>
      <c r="C1169" s="561" t="s">
        <v>725</v>
      </c>
      <c r="D1169" s="561" t="s">
        <v>1496</v>
      </c>
      <c r="E1169" s="561" t="s">
        <v>56</v>
      </c>
      <c r="F1169" s="563">
        <v>0</v>
      </c>
      <c r="G1169" s="561" t="s">
        <v>654</v>
      </c>
      <c r="H1169" s="564"/>
      <c r="I1169" s="565"/>
      <c r="J1169" s="565"/>
      <c r="K1169" s="563">
        <v>0</v>
      </c>
      <c r="L1169" s="566">
        <v>0</v>
      </c>
    </row>
    <row r="1170" spans="1:12" ht="45" x14ac:dyDescent="0.2">
      <c r="A1170" s="561" t="s">
        <v>199</v>
      </c>
      <c r="B1170" s="562">
        <v>2021</v>
      </c>
      <c r="C1170" s="561" t="s">
        <v>725</v>
      </c>
      <c r="D1170" s="561" t="s">
        <v>1497</v>
      </c>
      <c r="E1170" s="561" t="s">
        <v>732</v>
      </c>
      <c r="F1170" s="563">
        <v>0</v>
      </c>
      <c r="G1170" s="561" t="s">
        <v>654</v>
      </c>
      <c r="H1170" s="564"/>
      <c r="I1170" s="565"/>
      <c r="J1170" s="565"/>
      <c r="K1170" s="563">
        <v>0</v>
      </c>
      <c r="L1170" s="566">
        <v>0</v>
      </c>
    </row>
    <row r="1171" spans="1:12" ht="45" x14ac:dyDescent="0.2">
      <c r="A1171" s="561" t="s">
        <v>199</v>
      </c>
      <c r="B1171" s="562">
        <v>2021</v>
      </c>
      <c r="C1171" s="561" t="s">
        <v>725</v>
      </c>
      <c r="D1171" s="561" t="s">
        <v>1498</v>
      </c>
      <c r="E1171" s="561" t="s">
        <v>734</v>
      </c>
      <c r="F1171" s="563">
        <v>0</v>
      </c>
      <c r="G1171" s="561" t="s">
        <v>654</v>
      </c>
      <c r="H1171" s="564"/>
      <c r="I1171" s="565"/>
      <c r="J1171" s="565"/>
      <c r="K1171" s="563">
        <v>0</v>
      </c>
      <c r="L1171" s="566">
        <v>0</v>
      </c>
    </row>
    <row r="1172" spans="1:12" ht="45" x14ac:dyDescent="0.2">
      <c r="A1172" s="561" t="s">
        <v>199</v>
      </c>
      <c r="B1172" s="562">
        <v>2021</v>
      </c>
      <c r="C1172" s="561" t="s">
        <v>725</v>
      </c>
      <c r="D1172" s="561" t="s">
        <v>1499</v>
      </c>
      <c r="E1172" s="561" t="s">
        <v>142</v>
      </c>
      <c r="F1172" s="563">
        <v>0</v>
      </c>
      <c r="G1172" s="561" t="s">
        <v>654</v>
      </c>
      <c r="H1172" s="564"/>
      <c r="I1172" s="565"/>
      <c r="J1172" s="565"/>
      <c r="K1172" s="563">
        <v>0</v>
      </c>
      <c r="L1172" s="566">
        <v>0</v>
      </c>
    </row>
    <row r="1173" spans="1:12" ht="45" x14ac:dyDescent="0.2">
      <c r="A1173" s="561" t="s">
        <v>199</v>
      </c>
      <c r="B1173" s="562">
        <v>2021</v>
      </c>
      <c r="C1173" s="561" t="s">
        <v>725</v>
      </c>
      <c r="D1173" s="561" t="s">
        <v>1500</v>
      </c>
      <c r="E1173" s="561" t="s">
        <v>143</v>
      </c>
      <c r="F1173" s="563">
        <v>0</v>
      </c>
      <c r="G1173" s="561" t="s">
        <v>654</v>
      </c>
      <c r="H1173" s="564"/>
      <c r="I1173" s="565"/>
      <c r="J1173" s="565"/>
      <c r="K1173" s="563">
        <v>0</v>
      </c>
      <c r="L1173" s="566">
        <v>0</v>
      </c>
    </row>
    <row r="1174" spans="1:12" ht="45" x14ac:dyDescent="0.2">
      <c r="A1174" s="561" t="s">
        <v>199</v>
      </c>
      <c r="B1174" s="562">
        <v>2021</v>
      </c>
      <c r="C1174" s="561" t="s">
        <v>725</v>
      </c>
      <c r="D1174" s="561" t="s">
        <v>1501</v>
      </c>
      <c r="E1174" s="561" t="s">
        <v>182</v>
      </c>
      <c r="F1174" s="563">
        <v>0</v>
      </c>
      <c r="G1174" s="561" t="s">
        <v>654</v>
      </c>
      <c r="H1174" s="564"/>
      <c r="I1174" s="565"/>
      <c r="J1174" s="565"/>
      <c r="K1174" s="563">
        <v>0</v>
      </c>
      <c r="L1174" s="566">
        <v>0</v>
      </c>
    </row>
    <row r="1175" spans="1:12" ht="45" x14ac:dyDescent="0.2">
      <c r="A1175" s="561" t="s">
        <v>199</v>
      </c>
      <c r="B1175" s="562">
        <v>2021</v>
      </c>
      <c r="C1175" s="561" t="s">
        <v>725</v>
      </c>
      <c r="D1175" s="561" t="s">
        <v>1502</v>
      </c>
      <c r="E1175" s="561" t="s">
        <v>394</v>
      </c>
      <c r="F1175" s="563">
        <v>0</v>
      </c>
      <c r="G1175" s="561" t="s">
        <v>654</v>
      </c>
      <c r="H1175" s="564"/>
      <c r="I1175" s="565"/>
      <c r="J1175" s="565"/>
      <c r="K1175" s="563">
        <v>0</v>
      </c>
      <c r="L1175" s="566">
        <v>0</v>
      </c>
    </row>
    <row r="1176" spans="1:12" ht="45" x14ac:dyDescent="0.2">
      <c r="A1176" s="561" t="s">
        <v>199</v>
      </c>
      <c r="B1176" s="562">
        <v>2021</v>
      </c>
      <c r="C1176" s="561" t="s">
        <v>725</v>
      </c>
      <c r="D1176" s="561" t="s">
        <v>1503</v>
      </c>
      <c r="E1176" s="561" t="s">
        <v>425</v>
      </c>
      <c r="F1176" s="563">
        <v>0</v>
      </c>
      <c r="G1176" s="561" t="s">
        <v>654</v>
      </c>
      <c r="H1176" s="564"/>
      <c r="I1176" s="565"/>
      <c r="J1176" s="563">
        <v>865.69000244140602</v>
      </c>
      <c r="K1176" s="563">
        <v>865.69000244140602</v>
      </c>
      <c r="L1176" s="566">
        <v>865.69</v>
      </c>
    </row>
    <row r="1177" spans="1:12" ht="45" x14ac:dyDescent="0.2">
      <c r="A1177" s="561" t="s">
        <v>199</v>
      </c>
      <c r="B1177" s="562">
        <v>2021</v>
      </c>
      <c r="C1177" s="561" t="s">
        <v>725</v>
      </c>
      <c r="D1177" s="561" t="s">
        <v>3224</v>
      </c>
      <c r="E1177" s="561" t="s">
        <v>443</v>
      </c>
      <c r="F1177" s="563">
        <v>0</v>
      </c>
      <c r="G1177" s="561" t="s">
        <v>654</v>
      </c>
      <c r="H1177" s="564"/>
      <c r="I1177" s="563">
        <v>-589.92999267578102</v>
      </c>
      <c r="J1177" s="563">
        <v>-82.519996643066406</v>
      </c>
      <c r="K1177" s="563">
        <v>-672.45001220703102</v>
      </c>
      <c r="L1177" s="566">
        <v>-672.45</v>
      </c>
    </row>
    <row r="1178" spans="1:12" ht="45" x14ac:dyDescent="0.2">
      <c r="A1178" s="561" t="s">
        <v>199</v>
      </c>
      <c r="B1178" s="562">
        <v>2021</v>
      </c>
      <c r="C1178" s="561" t="s">
        <v>725</v>
      </c>
      <c r="D1178" s="561" t="s">
        <v>1504</v>
      </c>
      <c r="E1178" s="561" t="s">
        <v>741</v>
      </c>
      <c r="F1178" s="563">
        <v>-1484.75</v>
      </c>
      <c r="G1178" s="564"/>
      <c r="H1178" s="564"/>
      <c r="I1178" s="565"/>
      <c r="J1178" s="565"/>
      <c r="K1178" s="563">
        <v>0</v>
      </c>
      <c r="L1178" s="566">
        <v>-1484.75</v>
      </c>
    </row>
    <row r="1179" spans="1:12" ht="22.5" x14ac:dyDescent="0.2">
      <c r="A1179" s="561" t="s">
        <v>199</v>
      </c>
      <c r="B1179" s="562">
        <v>2021</v>
      </c>
      <c r="C1179" s="561" t="s">
        <v>742</v>
      </c>
      <c r="D1179" s="561" t="s">
        <v>1505</v>
      </c>
      <c r="E1179" s="561" t="s">
        <v>7</v>
      </c>
      <c r="F1179" s="563">
        <v>0</v>
      </c>
      <c r="G1179" s="564"/>
      <c r="H1179" s="561" t="s">
        <v>654</v>
      </c>
      <c r="I1179" s="565"/>
      <c r="J1179" s="565"/>
      <c r="K1179" s="563">
        <v>0</v>
      </c>
      <c r="L1179" s="566">
        <v>0</v>
      </c>
    </row>
    <row r="1180" spans="1:12" ht="22.5" x14ac:dyDescent="0.2">
      <c r="A1180" s="561" t="s">
        <v>93</v>
      </c>
      <c r="B1180" s="562">
        <v>2021</v>
      </c>
      <c r="C1180" s="561" t="s">
        <v>651</v>
      </c>
      <c r="D1180" s="561" t="s">
        <v>1506</v>
      </c>
      <c r="E1180" s="561" t="s">
        <v>653</v>
      </c>
      <c r="F1180" s="563">
        <v>-103206.19</v>
      </c>
      <c r="G1180" s="564"/>
      <c r="H1180" s="561" t="s">
        <v>654</v>
      </c>
      <c r="I1180" s="565"/>
      <c r="J1180" s="565"/>
      <c r="K1180" s="563">
        <v>0</v>
      </c>
      <c r="L1180" s="566">
        <v>-103206.19</v>
      </c>
    </row>
    <row r="1181" spans="1:12" ht="15" x14ac:dyDescent="0.2">
      <c r="A1181" s="561" t="s">
        <v>93</v>
      </c>
      <c r="B1181" s="562">
        <v>2021</v>
      </c>
      <c r="C1181" s="561" t="s">
        <v>655</v>
      </c>
      <c r="D1181" s="561" t="s">
        <v>1507</v>
      </c>
      <c r="E1181" s="561" t="s">
        <v>657</v>
      </c>
      <c r="F1181" s="563">
        <v>34495.879999999997</v>
      </c>
      <c r="G1181" s="564"/>
      <c r="H1181" s="561" t="s">
        <v>654</v>
      </c>
      <c r="I1181" s="565"/>
      <c r="J1181" s="565"/>
      <c r="K1181" s="563">
        <v>0</v>
      </c>
      <c r="L1181" s="566">
        <v>34495.879999999997</v>
      </c>
    </row>
    <row r="1182" spans="1:12" ht="56.25" x14ac:dyDescent="0.2">
      <c r="A1182" s="561" t="s">
        <v>93</v>
      </c>
      <c r="B1182" s="562">
        <v>2021</v>
      </c>
      <c r="C1182" s="561" t="s">
        <v>658</v>
      </c>
      <c r="D1182" s="561" t="s">
        <v>1508</v>
      </c>
      <c r="E1182" s="561" t="s">
        <v>447</v>
      </c>
      <c r="F1182" s="563">
        <v>0</v>
      </c>
      <c r="G1182" s="564"/>
      <c r="H1182" s="561" t="s">
        <v>654</v>
      </c>
      <c r="I1182" s="565"/>
      <c r="J1182" s="565"/>
      <c r="K1182" s="563">
        <v>0</v>
      </c>
      <c r="L1182" s="566">
        <v>0</v>
      </c>
    </row>
    <row r="1183" spans="1:12" ht="22.5" x14ac:dyDescent="0.2">
      <c r="A1183" s="561" t="s">
        <v>93</v>
      </c>
      <c r="B1183" s="562">
        <v>2021</v>
      </c>
      <c r="C1183" s="561" t="s">
        <v>660</v>
      </c>
      <c r="D1183" s="561" t="s">
        <v>1509</v>
      </c>
      <c r="E1183" s="561" t="s">
        <v>662</v>
      </c>
      <c r="F1183" s="563">
        <v>0</v>
      </c>
      <c r="G1183" s="564"/>
      <c r="H1183" s="561" t="s">
        <v>654</v>
      </c>
      <c r="I1183" s="565"/>
      <c r="J1183" s="565"/>
      <c r="K1183" s="563">
        <v>0</v>
      </c>
      <c r="L1183" s="566">
        <v>0</v>
      </c>
    </row>
    <row r="1184" spans="1:12" ht="33.75" x14ac:dyDescent="0.2">
      <c r="A1184" s="561" t="s">
        <v>93</v>
      </c>
      <c r="B1184" s="562">
        <v>2021</v>
      </c>
      <c r="C1184" s="561" t="s">
        <v>663</v>
      </c>
      <c r="D1184" s="561" t="s">
        <v>1510</v>
      </c>
      <c r="E1184" s="561" t="s">
        <v>665</v>
      </c>
      <c r="F1184" s="563">
        <v>0</v>
      </c>
      <c r="G1184" s="564"/>
      <c r="H1184" s="561" t="s">
        <v>654</v>
      </c>
      <c r="I1184" s="565"/>
      <c r="J1184" s="565"/>
      <c r="K1184" s="563">
        <v>0</v>
      </c>
      <c r="L1184" s="566">
        <v>0</v>
      </c>
    </row>
    <row r="1185" spans="1:12" ht="33.75" x14ac:dyDescent="0.2">
      <c r="A1185" s="561" t="s">
        <v>93</v>
      </c>
      <c r="B1185" s="562">
        <v>2021</v>
      </c>
      <c r="C1185" s="561" t="s">
        <v>666</v>
      </c>
      <c r="D1185" s="561" t="s">
        <v>1511</v>
      </c>
      <c r="E1185" s="561" t="s">
        <v>668</v>
      </c>
      <c r="F1185" s="563">
        <v>0</v>
      </c>
      <c r="G1185" s="564"/>
      <c r="H1185" s="561" t="s">
        <v>654</v>
      </c>
      <c r="I1185" s="565"/>
      <c r="J1185" s="565"/>
      <c r="K1185" s="563">
        <v>0</v>
      </c>
      <c r="L1185" s="566">
        <v>0</v>
      </c>
    </row>
    <row r="1186" spans="1:12" ht="56.25" x14ac:dyDescent="0.2">
      <c r="A1186" s="561" t="s">
        <v>93</v>
      </c>
      <c r="B1186" s="562">
        <v>2021</v>
      </c>
      <c r="C1186" s="561" t="s">
        <v>669</v>
      </c>
      <c r="D1186" s="561" t="s">
        <v>1512</v>
      </c>
      <c r="E1186" s="561" t="s">
        <v>671</v>
      </c>
      <c r="F1186" s="563">
        <v>0</v>
      </c>
      <c r="G1186" s="564"/>
      <c r="H1186" s="561" t="s">
        <v>654</v>
      </c>
      <c r="I1186" s="565"/>
      <c r="J1186" s="565"/>
      <c r="K1186" s="563">
        <v>0</v>
      </c>
      <c r="L1186" s="566">
        <v>0</v>
      </c>
    </row>
    <row r="1187" spans="1:12" ht="22.5" x14ac:dyDescent="0.2">
      <c r="A1187" s="561" t="s">
        <v>93</v>
      </c>
      <c r="B1187" s="562">
        <v>2021</v>
      </c>
      <c r="C1187" s="561" t="s">
        <v>672</v>
      </c>
      <c r="D1187" s="561" t="s">
        <v>1513</v>
      </c>
      <c r="E1187" s="561" t="s">
        <v>12</v>
      </c>
      <c r="F1187" s="563">
        <v>0</v>
      </c>
      <c r="G1187" s="564"/>
      <c r="H1187" s="561" t="s">
        <v>654</v>
      </c>
      <c r="I1187" s="565"/>
      <c r="J1187" s="565"/>
      <c r="K1187" s="563">
        <v>0</v>
      </c>
      <c r="L1187" s="566">
        <v>0</v>
      </c>
    </row>
    <row r="1188" spans="1:12" ht="22.5" x14ac:dyDescent="0.2">
      <c r="A1188" s="561" t="s">
        <v>93</v>
      </c>
      <c r="B1188" s="562">
        <v>2021</v>
      </c>
      <c r="C1188" s="561" t="s">
        <v>674</v>
      </c>
      <c r="D1188" s="561" t="s">
        <v>1514</v>
      </c>
      <c r="E1188" s="561" t="s">
        <v>13</v>
      </c>
      <c r="F1188" s="563">
        <v>0</v>
      </c>
      <c r="G1188" s="564"/>
      <c r="H1188" s="561" t="s">
        <v>654</v>
      </c>
      <c r="I1188" s="565"/>
      <c r="J1188" s="565"/>
      <c r="K1188" s="563">
        <v>0</v>
      </c>
      <c r="L1188" s="566">
        <v>0</v>
      </c>
    </row>
    <row r="1189" spans="1:12" ht="33.75" x14ac:dyDescent="0.2">
      <c r="A1189" s="561" t="s">
        <v>93</v>
      </c>
      <c r="B1189" s="562">
        <v>2021</v>
      </c>
      <c r="C1189" s="561" t="s">
        <v>676</v>
      </c>
      <c r="D1189" s="561" t="s">
        <v>1515</v>
      </c>
      <c r="E1189" s="561" t="s">
        <v>15</v>
      </c>
      <c r="F1189" s="563">
        <v>0</v>
      </c>
      <c r="G1189" s="564"/>
      <c r="H1189" s="561" t="s">
        <v>654</v>
      </c>
      <c r="I1189" s="565"/>
      <c r="J1189" s="565"/>
      <c r="K1189" s="563">
        <v>0</v>
      </c>
      <c r="L1189" s="566">
        <v>0</v>
      </c>
    </row>
    <row r="1190" spans="1:12" ht="15" x14ac:dyDescent="0.2">
      <c r="A1190" s="561" t="s">
        <v>93</v>
      </c>
      <c r="B1190" s="562">
        <v>2021</v>
      </c>
      <c r="C1190" s="561" t="s">
        <v>678</v>
      </c>
      <c r="D1190" s="561" t="s">
        <v>1516</v>
      </c>
      <c r="E1190" s="561" t="s">
        <v>680</v>
      </c>
      <c r="F1190" s="563">
        <v>551.41999999999996</v>
      </c>
      <c r="G1190" s="564"/>
      <c r="H1190" s="561" t="s">
        <v>654</v>
      </c>
      <c r="I1190" s="565"/>
      <c r="J1190" s="565"/>
      <c r="K1190" s="563">
        <v>0</v>
      </c>
      <c r="L1190" s="566">
        <v>551.41999999999996</v>
      </c>
    </row>
    <row r="1191" spans="1:12" ht="15" x14ac:dyDescent="0.2">
      <c r="A1191" s="561" t="s">
        <v>93</v>
      </c>
      <c r="B1191" s="562">
        <v>2021</v>
      </c>
      <c r="C1191" s="561" t="s">
        <v>681</v>
      </c>
      <c r="D1191" s="561" t="s">
        <v>1517</v>
      </c>
      <c r="E1191" s="561" t="s">
        <v>23</v>
      </c>
      <c r="F1191" s="563">
        <v>812706.54</v>
      </c>
      <c r="G1191" s="561" t="s">
        <v>654</v>
      </c>
      <c r="H1191" s="564"/>
      <c r="I1191" s="563">
        <v>811066.375</v>
      </c>
      <c r="J1191" s="563">
        <v>1640.14001464844</v>
      </c>
      <c r="K1191" s="563">
        <v>812706.5625</v>
      </c>
      <c r="L1191" s="566">
        <v>812706.54</v>
      </c>
    </row>
    <row r="1192" spans="1:12" ht="33.75" x14ac:dyDescent="0.2">
      <c r="A1192" s="561" t="s">
        <v>93</v>
      </c>
      <c r="B1192" s="562">
        <v>2021</v>
      </c>
      <c r="C1192" s="561" t="s">
        <v>683</v>
      </c>
      <c r="D1192" s="561" t="s">
        <v>1518</v>
      </c>
      <c r="E1192" s="561" t="s">
        <v>131</v>
      </c>
      <c r="F1192" s="563">
        <v>-32709.86</v>
      </c>
      <c r="G1192" s="561" t="s">
        <v>654</v>
      </c>
      <c r="H1192" s="564"/>
      <c r="I1192" s="563">
        <v>-31376.109375</v>
      </c>
      <c r="J1192" s="563">
        <v>-1333.75</v>
      </c>
      <c r="K1192" s="563">
        <v>-32709.859375</v>
      </c>
      <c r="L1192" s="566">
        <v>-32709.86</v>
      </c>
    </row>
    <row r="1193" spans="1:12" ht="33.75" x14ac:dyDescent="0.2">
      <c r="A1193" s="561" t="s">
        <v>93</v>
      </c>
      <c r="B1193" s="562">
        <v>2021</v>
      </c>
      <c r="C1193" s="561" t="s">
        <v>685</v>
      </c>
      <c r="D1193" s="561" t="s">
        <v>1519</v>
      </c>
      <c r="E1193" s="561" t="s">
        <v>687</v>
      </c>
      <c r="F1193" s="563">
        <v>99347.34</v>
      </c>
      <c r="G1193" s="564"/>
      <c r="H1193" s="561" t="s">
        <v>654</v>
      </c>
      <c r="I1193" s="565"/>
      <c r="J1193" s="565"/>
      <c r="K1193" s="563">
        <v>0</v>
      </c>
      <c r="L1193" s="566">
        <v>99347.34</v>
      </c>
    </row>
    <row r="1194" spans="1:12" ht="33.75" x14ac:dyDescent="0.2">
      <c r="A1194" s="561" t="s">
        <v>93</v>
      </c>
      <c r="B1194" s="562">
        <v>2021</v>
      </c>
      <c r="C1194" s="561" t="s">
        <v>685</v>
      </c>
      <c r="D1194" s="561" t="s">
        <v>1519</v>
      </c>
      <c r="E1194" s="561" t="s">
        <v>688</v>
      </c>
      <c r="F1194" s="563">
        <v>0</v>
      </c>
      <c r="G1194" s="564"/>
      <c r="H1194" s="561" t="s">
        <v>654</v>
      </c>
      <c r="I1194" s="565"/>
      <c r="J1194" s="565"/>
      <c r="K1194" s="563">
        <v>0</v>
      </c>
      <c r="L1194" s="566">
        <v>0</v>
      </c>
    </row>
    <row r="1195" spans="1:12" ht="22.5" x14ac:dyDescent="0.2">
      <c r="A1195" s="561" t="s">
        <v>93</v>
      </c>
      <c r="B1195" s="562">
        <v>2021</v>
      </c>
      <c r="C1195" s="561" t="s">
        <v>689</v>
      </c>
      <c r="D1195" s="561" t="s">
        <v>1520</v>
      </c>
      <c r="E1195" s="561" t="s">
        <v>691</v>
      </c>
      <c r="F1195" s="563">
        <v>0</v>
      </c>
      <c r="G1195" s="564"/>
      <c r="H1195" s="561" t="s">
        <v>654</v>
      </c>
      <c r="I1195" s="565"/>
      <c r="J1195" s="565"/>
      <c r="K1195" s="563">
        <v>0</v>
      </c>
      <c r="L1195" s="566">
        <v>0</v>
      </c>
    </row>
    <row r="1196" spans="1:12" ht="22.5" x14ac:dyDescent="0.2">
      <c r="A1196" s="561" t="s">
        <v>93</v>
      </c>
      <c r="B1196" s="562">
        <v>2021</v>
      </c>
      <c r="C1196" s="561" t="s">
        <v>692</v>
      </c>
      <c r="D1196" s="561" t="s">
        <v>1521</v>
      </c>
      <c r="E1196" s="561" t="s">
        <v>50</v>
      </c>
      <c r="F1196" s="563">
        <v>465599.29</v>
      </c>
      <c r="G1196" s="564"/>
      <c r="H1196" s="561" t="s">
        <v>654</v>
      </c>
      <c r="I1196" s="565"/>
      <c r="J1196" s="565"/>
      <c r="K1196" s="563">
        <v>0</v>
      </c>
      <c r="L1196" s="566">
        <v>465599.29</v>
      </c>
    </row>
    <row r="1197" spans="1:12" ht="22.5" x14ac:dyDescent="0.2">
      <c r="A1197" s="561" t="s">
        <v>93</v>
      </c>
      <c r="B1197" s="562">
        <v>2021</v>
      </c>
      <c r="C1197" s="561" t="s">
        <v>694</v>
      </c>
      <c r="D1197" s="561" t="s">
        <v>1522</v>
      </c>
      <c r="E1197" s="561" t="s">
        <v>696</v>
      </c>
      <c r="F1197" s="563">
        <v>0</v>
      </c>
      <c r="G1197" s="564"/>
      <c r="H1197" s="561" t="s">
        <v>654</v>
      </c>
      <c r="I1197" s="565"/>
      <c r="J1197" s="565"/>
      <c r="K1197" s="563">
        <v>0</v>
      </c>
      <c r="L1197" s="566">
        <v>0</v>
      </c>
    </row>
    <row r="1198" spans="1:12" ht="22.5" x14ac:dyDescent="0.2">
      <c r="A1198" s="561" t="s">
        <v>93</v>
      </c>
      <c r="B1198" s="562">
        <v>2021</v>
      </c>
      <c r="C1198" s="561" t="s">
        <v>697</v>
      </c>
      <c r="D1198" s="561" t="s">
        <v>1523</v>
      </c>
      <c r="E1198" s="561" t="s">
        <v>6</v>
      </c>
      <c r="F1198" s="563">
        <v>0</v>
      </c>
      <c r="G1198" s="564"/>
      <c r="H1198" s="561" t="s">
        <v>654</v>
      </c>
      <c r="I1198" s="565"/>
      <c r="J1198" s="565"/>
      <c r="K1198" s="563">
        <v>0</v>
      </c>
      <c r="L1198" s="566">
        <v>0</v>
      </c>
    </row>
    <row r="1199" spans="1:12" ht="33.75" x14ac:dyDescent="0.2">
      <c r="A1199" s="561" t="s">
        <v>93</v>
      </c>
      <c r="B1199" s="562">
        <v>2021</v>
      </c>
      <c r="C1199" s="561" t="s">
        <v>699</v>
      </c>
      <c r="D1199" s="561" t="s">
        <v>1524</v>
      </c>
      <c r="E1199" s="561" t="s">
        <v>701</v>
      </c>
      <c r="F1199" s="563">
        <v>0</v>
      </c>
      <c r="G1199" s="564"/>
      <c r="H1199" s="561" t="s">
        <v>654</v>
      </c>
      <c r="I1199" s="565"/>
      <c r="J1199" s="565"/>
      <c r="K1199" s="563">
        <v>0</v>
      </c>
      <c r="L1199" s="566">
        <v>0</v>
      </c>
    </row>
    <row r="1200" spans="1:12" ht="22.5" x14ac:dyDescent="0.2">
      <c r="A1200" s="561" t="s">
        <v>93</v>
      </c>
      <c r="B1200" s="562">
        <v>2021</v>
      </c>
      <c r="C1200" s="561" t="s">
        <v>702</v>
      </c>
      <c r="D1200" s="561" t="s">
        <v>1525</v>
      </c>
      <c r="E1200" s="561" t="s">
        <v>704</v>
      </c>
      <c r="F1200" s="563">
        <v>0</v>
      </c>
      <c r="G1200" s="564"/>
      <c r="H1200" s="561" t="s">
        <v>654</v>
      </c>
      <c r="I1200" s="565"/>
      <c r="J1200" s="565"/>
      <c r="K1200" s="563">
        <v>0</v>
      </c>
      <c r="L1200" s="566">
        <v>0</v>
      </c>
    </row>
    <row r="1201" spans="1:12" ht="33.75" x14ac:dyDescent="0.2">
      <c r="A1201" s="561" t="s">
        <v>93</v>
      </c>
      <c r="B1201" s="562">
        <v>2021</v>
      </c>
      <c r="C1201" s="561" t="s">
        <v>705</v>
      </c>
      <c r="D1201" s="561" t="s">
        <v>1526</v>
      </c>
      <c r="E1201" s="561" t="s">
        <v>1</v>
      </c>
      <c r="F1201" s="563">
        <v>-505444.17</v>
      </c>
      <c r="G1201" s="561" t="s">
        <v>654</v>
      </c>
      <c r="H1201" s="564"/>
      <c r="I1201" s="563">
        <v>-488405.625</v>
      </c>
      <c r="J1201" s="563">
        <v>-17038.529296875</v>
      </c>
      <c r="K1201" s="563">
        <v>-505444.15625</v>
      </c>
      <c r="L1201" s="566">
        <v>-505444.17</v>
      </c>
    </row>
    <row r="1202" spans="1:12" ht="22.5" x14ac:dyDescent="0.2">
      <c r="A1202" s="561" t="s">
        <v>93</v>
      </c>
      <c r="B1202" s="562">
        <v>2021</v>
      </c>
      <c r="C1202" s="561" t="s">
        <v>705</v>
      </c>
      <c r="D1202" s="561" t="s">
        <v>1526</v>
      </c>
      <c r="E1202" s="561" t="s">
        <v>707</v>
      </c>
      <c r="F1202" s="563">
        <v>0</v>
      </c>
      <c r="G1202" s="564"/>
      <c r="H1202" s="564"/>
      <c r="I1202" s="565"/>
      <c r="J1202" s="565"/>
      <c r="K1202" s="563">
        <v>0</v>
      </c>
      <c r="L1202" s="566">
        <v>0</v>
      </c>
    </row>
    <row r="1203" spans="1:12" ht="22.5" x14ac:dyDescent="0.2">
      <c r="A1203" s="561" t="s">
        <v>93</v>
      </c>
      <c r="B1203" s="562">
        <v>2021</v>
      </c>
      <c r="C1203" s="561" t="s">
        <v>705</v>
      </c>
      <c r="D1203" s="561" t="s">
        <v>1526</v>
      </c>
      <c r="E1203" s="561" t="s">
        <v>708</v>
      </c>
      <c r="F1203" s="563">
        <v>0</v>
      </c>
      <c r="G1203" s="564"/>
      <c r="H1203" s="564"/>
      <c r="I1203" s="565"/>
      <c r="J1203" s="565"/>
      <c r="K1203" s="563">
        <v>0</v>
      </c>
      <c r="L1203" s="566">
        <v>0</v>
      </c>
    </row>
    <row r="1204" spans="1:12" ht="22.5" x14ac:dyDescent="0.2">
      <c r="A1204" s="561" t="s">
        <v>93</v>
      </c>
      <c r="B1204" s="562">
        <v>2021</v>
      </c>
      <c r="C1204" s="561" t="s">
        <v>705</v>
      </c>
      <c r="D1204" s="561" t="s">
        <v>1526</v>
      </c>
      <c r="E1204" s="561" t="s">
        <v>709</v>
      </c>
      <c r="F1204" s="563">
        <v>-2328</v>
      </c>
      <c r="G1204" s="564"/>
      <c r="H1204" s="564"/>
      <c r="I1204" s="565"/>
      <c r="J1204" s="565"/>
      <c r="K1204" s="563">
        <v>0</v>
      </c>
      <c r="L1204" s="566">
        <v>-2328</v>
      </c>
    </row>
    <row r="1205" spans="1:12" ht="22.5" x14ac:dyDescent="0.2">
      <c r="A1205" s="561" t="s">
        <v>93</v>
      </c>
      <c r="B1205" s="562">
        <v>2021</v>
      </c>
      <c r="C1205" s="561" t="s">
        <v>705</v>
      </c>
      <c r="D1205" s="561" t="s">
        <v>1526</v>
      </c>
      <c r="E1205" s="561" t="s">
        <v>710</v>
      </c>
      <c r="F1205" s="563">
        <v>-64097</v>
      </c>
      <c r="G1205" s="564"/>
      <c r="H1205" s="564"/>
      <c r="I1205" s="565"/>
      <c r="J1205" s="565"/>
      <c r="K1205" s="563">
        <v>0</v>
      </c>
      <c r="L1205" s="566">
        <v>-64097</v>
      </c>
    </row>
    <row r="1206" spans="1:12" ht="15" x14ac:dyDescent="0.2">
      <c r="A1206" s="561" t="s">
        <v>93</v>
      </c>
      <c r="B1206" s="562">
        <v>2021</v>
      </c>
      <c r="C1206" s="561" t="s">
        <v>711</v>
      </c>
      <c r="D1206" s="561" t="s">
        <v>1527</v>
      </c>
      <c r="E1206" s="561" t="s">
        <v>713</v>
      </c>
      <c r="F1206" s="563">
        <v>0</v>
      </c>
      <c r="G1206" s="564"/>
      <c r="H1206" s="561" t="s">
        <v>654</v>
      </c>
      <c r="I1206" s="565"/>
      <c r="J1206" s="565"/>
      <c r="K1206" s="563">
        <v>0</v>
      </c>
      <c r="L1206" s="566">
        <v>0</v>
      </c>
    </row>
    <row r="1207" spans="1:12" ht="33.75" x14ac:dyDescent="0.2">
      <c r="A1207" s="561" t="s">
        <v>93</v>
      </c>
      <c r="B1207" s="562">
        <v>2021</v>
      </c>
      <c r="C1207" s="561" t="s">
        <v>714</v>
      </c>
      <c r="D1207" s="561" t="s">
        <v>1528</v>
      </c>
      <c r="E1207" s="561" t="s">
        <v>2</v>
      </c>
      <c r="F1207" s="563">
        <v>557357.17000000004</v>
      </c>
      <c r="G1207" s="561" t="s">
        <v>654</v>
      </c>
      <c r="H1207" s="564"/>
      <c r="I1207" s="563">
        <v>549695.375</v>
      </c>
      <c r="J1207" s="563">
        <v>7661.7998046875</v>
      </c>
      <c r="K1207" s="563">
        <v>557357.1875</v>
      </c>
      <c r="L1207" s="566">
        <v>557357.17000000004</v>
      </c>
    </row>
    <row r="1208" spans="1:12" ht="33.75" x14ac:dyDescent="0.2">
      <c r="A1208" s="561" t="s">
        <v>93</v>
      </c>
      <c r="B1208" s="562">
        <v>2021</v>
      </c>
      <c r="C1208" s="561" t="s">
        <v>716</v>
      </c>
      <c r="D1208" s="561" t="s">
        <v>1529</v>
      </c>
      <c r="E1208" s="561" t="s">
        <v>3</v>
      </c>
      <c r="F1208" s="563">
        <v>256125.58</v>
      </c>
      <c r="G1208" s="561" t="s">
        <v>654</v>
      </c>
      <c r="H1208" s="564"/>
      <c r="I1208" s="563">
        <v>253441.8125</v>
      </c>
      <c r="J1208" s="563">
        <v>2683.77001953125</v>
      </c>
      <c r="K1208" s="563">
        <v>256125.578125</v>
      </c>
      <c r="L1208" s="566">
        <v>256125.58</v>
      </c>
    </row>
    <row r="1209" spans="1:12" ht="33.75" x14ac:dyDescent="0.2">
      <c r="A1209" s="561" t="s">
        <v>93</v>
      </c>
      <c r="B1209" s="562">
        <v>2021</v>
      </c>
      <c r="C1209" s="561" t="s">
        <v>718</v>
      </c>
      <c r="D1209" s="561" t="s">
        <v>1530</v>
      </c>
      <c r="E1209" s="561" t="s">
        <v>38</v>
      </c>
      <c r="F1209" s="563">
        <v>-1201561.8899999999</v>
      </c>
      <c r="G1209" s="561" t="s">
        <v>654</v>
      </c>
      <c r="H1209" s="564"/>
      <c r="I1209" s="563">
        <v>-1225004.75</v>
      </c>
      <c r="J1209" s="563">
        <v>23442.869140625</v>
      </c>
      <c r="K1209" s="563">
        <v>-1201561.875</v>
      </c>
      <c r="L1209" s="566">
        <v>-1201561.8899999999</v>
      </c>
    </row>
    <row r="1210" spans="1:12" ht="22.5" x14ac:dyDescent="0.2">
      <c r="A1210" s="561" t="s">
        <v>93</v>
      </c>
      <c r="B1210" s="562">
        <v>2021</v>
      </c>
      <c r="C1210" s="561" t="s">
        <v>720</v>
      </c>
      <c r="D1210" s="561" t="s">
        <v>1531</v>
      </c>
      <c r="E1210" s="561" t="s">
        <v>66</v>
      </c>
      <c r="F1210" s="563">
        <v>-2214698.7799999998</v>
      </c>
      <c r="G1210" s="561" t="s">
        <v>654</v>
      </c>
      <c r="H1210" s="564"/>
      <c r="I1210" s="563">
        <v>-2152928.75</v>
      </c>
      <c r="J1210" s="563">
        <v>-61769.94140625</v>
      </c>
      <c r="K1210" s="563">
        <v>-2214698.75</v>
      </c>
      <c r="L1210" s="566">
        <v>-2214698.7799999998</v>
      </c>
    </row>
    <row r="1211" spans="1:12" ht="45" x14ac:dyDescent="0.2">
      <c r="A1211" s="561" t="s">
        <v>93</v>
      </c>
      <c r="B1211" s="562">
        <v>2021</v>
      </c>
      <c r="C1211" s="561" t="s">
        <v>722</v>
      </c>
      <c r="D1211" s="561" t="s">
        <v>1532</v>
      </c>
      <c r="E1211" s="561" t="s">
        <v>724</v>
      </c>
      <c r="F1211" s="563">
        <v>0</v>
      </c>
      <c r="G1211" s="564"/>
      <c r="H1211" s="561" t="s">
        <v>654</v>
      </c>
      <c r="I1211" s="565"/>
      <c r="J1211" s="565"/>
      <c r="K1211" s="563">
        <v>0</v>
      </c>
      <c r="L1211" s="566">
        <v>0</v>
      </c>
    </row>
    <row r="1212" spans="1:12" ht="45" x14ac:dyDescent="0.2">
      <c r="A1212" s="561" t="s">
        <v>93</v>
      </c>
      <c r="B1212" s="562">
        <v>2021</v>
      </c>
      <c r="C1212" s="561" t="s">
        <v>725</v>
      </c>
      <c r="D1212" s="561" t="s">
        <v>1533</v>
      </c>
      <c r="E1212" s="561" t="s">
        <v>3024</v>
      </c>
      <c r="F1212" s="563">
        <v>0</v>
      </c>
      <c r="G1212" s="561" t="s">
        <v>654</v>
      </c>
      <c r="H1212" s="564"/>
      <c r="I1212" s="563">
        <v>-28298</v>
      </c>
      <c r="J1212" s="563">
        <v>-20484.2890625</v>
      </c>
      <c r="K1212" s="563">
        <v>-48782.2890625</v>
      </c>
      <c r="L1212" s="566">
        <v>-48782.29</v>
      </c>
    </row>
    <row r="1213" spans="1:12" ht="45" x14ac:dyDescent="0.2">
      <c r="A1213" s="561" t="s">
        <v>93</v>
      </c>
      <c r="B1213" s="562">
        <v>2021</v>
      </c>
      <c r="C1213" s="561" t="s">
        <v>725</v>
      </c>
      <c r="D1213" s="561" t="s">
        <v>1533</v>
      </c>
      <c r="E1213" s="561" t="s">
        <v>3066</v>
      </c>
      <c r="F1213" s="563">
        <v>0</v>
      </c>
      <c r="G1213" s="561" t="s">
        <v>654</v>
      </c>
      <c r="H1213" s="564"/>
      <c r="I1213" s="565"/>
      <c r="J1213" s="565"/>
      <c r="K1213" s="563">
        <v>0</v>
      </c>
      <c r="L1213" s="566">
        <v>0</v>
      </c>
    </row>
    <row r="1214" spans="1:12" ht="45" x14ac:dyDescent="0.2">
      <c r="A1214" s="561" t="s">
        <v>93</v>
      </c>
      <c r="B1214" s="562">
        <v>2021</v>
      </c>
      <c r="C1214" s="561" t="s">
        <v>725</v>
      </c>
      <c r="D1214" s="561" t="s">
        <v>1534</v>
      </c>
      <c r="E1214" s="561" t="s">
        <v>728</v>
      </c>
      <c r="F1214" s="563">
        <v>0</v>
      </c>
      <c r="G1214" s="561" t="s">
        <v>654</v>
      </c>
      <c r="H1214" s="564"/>
      <c r="I1214" s="565"/>
      <c r="J1214" s="565"/>
      <c r="K1214" s="563">
        <v>0</v>
      </c>
      <c r="L1214" s="566">
        <v>0</v>
      </c>
    </row>
    <row r="1215" spans="1:12" ht="45" x14ac:dyDescent="0.2">
      <c r="A1215" s="561" t="s">
        <v>93</v>
      </c>
      <c r="B1215" s="562">
        <v>2021</v>
      </c>
      <c r="C1215" s="561" t="s">
        <v>725</v>
      </c>
      <c r="D1215" s="561" t="s">
        <v>1535</v>
      </c>
      <c r="E1215" s="561" t="s">
        <v>55</v>
      </c>
      <c r="F1215" s="563">
        <v>0</v>
      </c>
      <c r="G1215" s="561" t="s">
        <v>654</v>
      </c>
      <c r="H1215" s="564"/>
      <c r="I1215" s="565"/>
      <c r="J1215" s="565"/>
      <c r="K1215" s="563">
        <v>0</v>
      </c>
      <c r="L1215" s="566">
        <v>0</v>
      </c>
    </row>
    <row r="1216" spans="1:12" ht="45" x14ac:dyDescent="0.2">
      <c r="A1216" s="561" t="s">
        <v>93</v>
      </c>
      <c r="B1216" s="562">
        <v>2021</v>
      </c>
      <c r="C1216" s="561" t="s">
        <v>725</v>
      </c>
      <c r="D1216" s="561" t="s">
        <v>1536</v>
      </c>
      <c r="E1216" s="561" t="s">
        <v>56</v>
      </c>
      <c r="F1216" s="563">
        <v>0</v>
      </c>
      <c r="G1216" s="561" t="s">
        <v>654</v>
      </c>
      <c r="H1216" s="564"/>
      <c r="I1216" s="565"/>
      <c r="J1216" s="565"/>
      <c r="K1216" s="563">
        <v>0</v>
      </c>
      <c r="L1216" s="566">
        <v>0</v>
      </c>
    </row>
    <row r="1217" spans="1:12" ht="45" x14ac:dyDescent="0.2">
      <c r="A1217" s="561" t="s">
        <v>93</v>
      </c>
      <c r="B1217" s="562">
        <v>2021</v>
      </c>
      <c r="C1217" s="561" t="s">
        <v>725</v>
      </c>
      <c r="D1217" s="561" t="s">
        <v>1537</v>
      </c>
      <c r="E1217" s="561" t="s">
        <v>732</v>
      </c>
      <c r="F1217" s="563">
        <v>0</v>
      </c>
      <c r="G1217" s="561" t="s">
        <v>654</v>
      </c>
      <c r="H1217" s="564"/>
      <c r="I1217" s="565"/>
      <c r="J1217" s="565"/>
      <c r="K1217" s="563">
        <v>0</v>
      </c>
      <c r="L1217" s="566">
        <v>0</v>
      </c>
    </row>
    <row r="1218" spans="1:12" ht="45" x14ac:dyDescent="0.2">
      <c r="A1218" s="561" t="s">
        <v>93</v>
      </c>
      <c r="B1218" s="562">
        <v>2021</v>
      </c>
      <c r="C1218" s="561" t="s">
        <v>725</v>
      </c>
      <c r="D1218" s="561" t="s">
        <v>1538</v>
      </c>
      <c r="E1218" s="561" t="s">
        <v>734</v>
      </c>
      <c r="F1218" s="563">
        <v>0</v>
      </c>
      <c r="G1218" s="561" t="s">
        <v>654</v>
      </c>
      <c r="H1218" s="564"/>
      <c r="I1218" s="565"/>
      <c r="J1218" s="565"/>
      <c r="K1218" s="563">
        <v>0</v>
      </c>
      <c r="L1218" s="566">
        <v>0</v>
      </c>
    </row>
    <row r="1219" spans="1:12" ht="45" x14ac:dyDescent="0.2">
      <c r="A1219" s="561" t="s">
        <v>93</v>
      </c>
      <c r="B1219" s="562">
        <v>2021</v>
      </c>
      <c r="C1219" s="561" t="s">
        <v>725</v>
      </c>
      <c r="D1219" s="561" t="s">
        <v>1539</v>
      </c>
      <c r="E1219" s="561" t="s">
        <v>142</v>
      </c>
      <c r="F1219" s="563">
        <v>0</v>
      </c>
      <c r="G1219" s="561" t="s">
        <v>654</v>
      </c>
      <c r="H1219" s="564"/>
      <c r="I1219" s="565"/>
      <c r="J1219" s="565"/>
      <c r="K1219" s="563">
        <v>0</v>
      </c>
      <c r="L1219" s="566">
        <v>0</v>
      </c>
    </row>
    <row r="1220" spans="1:12" ht="45" x14ac:dyDescent="0.2">
      <c r="A1220" s="561" t="s">
        <v>93</v>
      </c>
      <c r="B1220" s="562">
        <v>2021</v>
      </c>
      <c r="C1220" s="561" t="s">
        <v>725</v>
      </c>
      <c r="D1220" s="561" t="s">
        <v>1540</v>
      </c>
      <c r="E1220" s="561" t="s">
        <v>143</v>
      </c>
      <c r="F1220" s="563">
        <v>0</v>
      </c>
      <c r="G1220" s="561" t="s">
        <v>654</v>
      </c>
      <c r="H1220" s="564"/>
      <c r="I1220" s="565"/>
      <c r="J1220" s="565"/>
      <c r="K1220" s="563">
        <v>0</v>
      </c>
      <c r="L1220" s="566">
        <v>0</v>
      </c>
    </row>
    <row r="1221" spans="1:12" ht="45" x14ac:dyDescent="0.2">
      <c r="A1221" s="561" t="s">
        <v>93</v>
      </c>
      <c r="B1221" s="562">
        <v>2021</v>
      </c>
      <c r="C1221" s="561" t="s">
        <v>725</v>
      </c>
      <c r="D1221" s="561" t="s">
        <v>1541</v>
      </c>
      <c r="E1221" s="561" t="s">
        <v>182</v>
      </c>
      <c r="F1221" s="563">
        <v>0</v>
      </c>
      <c r="G1221" s="561" t="s">
        <v>654</v>
      </c>
      <c r="H1221" s="564"/>
      <c r="I1221" s="565"/>
      <c r="J1221" s="565"/>
      <c r="K1221" s="563">
        <v>0</v>
      </c>
      <c r="L1221" s="566">
        <v>0</v>
      </c>
    </row>
    <row r="1222" spans="1:12" ht="45" x14ac:dyDescent="0.2">
      <c r="A1222" s="561" t="s">
        <v>93</v>
      </c>
      <c r="B1222" s="562">
        <v>2021</v>
      </c>
      <c r="C1222" s="561" t="s">
        <v>725</v>
      </c>
      <c r="D1222" s="561" t="s">
        <v>1542</v>
      </c>
      <c r="E1222" s="561" t="s">
        <v>394</v>
      </c>
      <c r="F1222" s="563">
        <v>0</v>
      </c>
      <c r="G1222" s="561" t="s">
        <v>654</v>
      </c>
      <c r="H1222" s="564"/>
      <c r="I1222" s="563">
        <v>-27867</v>
      </c>
      <c r="J1222" s="563">
        <v>62189.828125</v>
      </c>
      <c r="K1222" s="563">
        <v>34322.828125</v>
      </c>
      <c r="L1222" s="566">
        <v>34322.83</v>
      </c>
    </row>
    <row r="1223" spans="1:12" ht="45" x14ac:dyDescent="0.2">
      <c r="A1223" s="561" t="s">
        <v>93</v>
      </c>
      <c r="B1223" s="562">
        <v>2021</v>
      </c>
      <c r="C1223" s="561" t="s">
        <v>725</v>
      </c>
      <c r="D1223" s="561" t="s">
        <v>1543</v>
      </c>
      <c r="E1223" s="561" t="s">
        <v>425</v>
      </c>
      <c r="F1223" s="563">
        <v>0</v>
      </c>
      <c r="G1223" s="561" t="s">
        <v>654</v>
      </c>
      <c r="H1223" s="564"/>
      <c r="I1223" s="565"/>
      <c r="J1223" s="565"/>
      <c r="K1223" s="563">
        <v>0</v>
      </c>
      <c r="L1223" s="566">
        <v>0</v>
      </c>
    </row>
    <row r="1224" spans="1:12" ht="45" x14ac:dyDescent="0.2">
      <c r="A1224" s="561" t="s">
        <v>93</v>
      </c>
      <c r="B1224" s="562">
        <v>2021</v>
      </c>
      <c r="C1224" s="561" t="s">
        <v>725</v>
      </c>
      <c r="D1224" s="561" t="s">
        <v>3225</v>
      </c>
      <c r="E1224" s="561" t="s">
        <v>443</v>
      </c>
      <c r="F1224" s="563">
        <v>0</v>
      </c>
      <c r="G1224" s="561" t="s">
        <v>654</v>
      </c>
      <c r="H1224" s="564"/>
      <c r="I1224" s="563">
        <v>-217814.6875</v>
      </c>
      <c r="J1224" s="563">
        <v>200170.0625</v>
      </c>
      <c r="K1224" s="563">
        <v>-17644.619140625</v>
      </c>
      <c r="L1224" s="566">
        <v>-17644.62</v>
      </c>
    </row>
    <row r="1225" spans="1:12" ht="45" x14ac:dyDescent="0.2">
      <c r="A1225" s="561" t="s">
        <v>93</v>
      </c>
      <c r="B1225" s="562">
        <v>2021</v>
      </c>
      <c r="C1225" s="561" t="s">
        <v>725</v>
      </c>
      <c r="D1225" s="561" t="s">
        <v>1544</v>
      </c>
      <c r="E1225" s="561" t="s">
        <v>741</v>
      </c>
      <c r="F1225" s="563">
        <v>-32104.080000000002</v>
      </c>
      <c r="G1225" s="564"/>
      <c r="H1225" s="564"/>
      <c r="I1225" s="565"/>
      <c r="J1225" s="565"/>
      <c r="K1225" s="563">
        <v>0</v>
      </c>
      <c r="L1225" s="566">
        <v>-32104.080000000002</v>
      </c>
    </row>
    <row r="1226" spans="1:12" ht="22.5" x14ac:dyDescent="0.2">
      <c r="A1226" s="561" t="s">
        <v>93</v>
      </c>
      <c r="B1226" s="562">
        <v>2021</v>
      </c>
      <c r="C1226" s="561" t="s">
        <v>742</v>
      </c>
      <c r="D1226" s="561" t="s">
        <v>1545</v>
      </c>
      <c r="E1226" s="561" t="s">
        <v>7</v>
      </c>
      <c r="F1226" s="563">
        <v>-325058.65000000002</v>
      </c>
      <c r="G1226" s="564"/>
      <c r="H1226" s="561" t="s">
        <v>654</v>
      </c>
      <c r="I1226" s="565"/>
      <c r="J1226" s="565"/>
      <c r="K1226" s="563">
        <v>0</v>
      </c>
      <c r="L1226" s="566">
        <v>-325058.65000000002</v>
      </c>
    </row>
    <row r="1227" spans="1:12" ht="22.5" x14ac:dyDescent="0.2">
      <c r="A1227" s="561" t="s">
        <v>3226</v>
      </c>
      <c r="B1227" s="562">
        <v>2021</v>
      </c>
      <c r="C1227" s="561" t="s">
        <v>651</v>
      </c>
      <c r="D1227" s="561" t="s">
        <v>3227</v>
      </c>
      <c r="E1227" s="561" t="s">
        <v>653</v>
      </c>
      <c r="F1227" s="563">
        <v>-67070.179999999993</v>
      </c>
      <c r="G1227" s="564"/>
      <c r="H1227" s="561" t="s">
        <v>654</v>
      </c>
      <c r="I1227" s="565"/>
      <c r="J1227" s="565"/>
      <c r="K1227" s="563">
        <v>0</v>
      </c>
      <c r="L1227" s="566">
        <v>-67070.179999999993</v>
      </c>
    </row>
    <row r="1228" spans="1:12" ht="22.5" x14ac:dyDescent="0.2">
      <c r="A1228" s="561" t="s">
        <v>3226</v>
      </c>
      <c r="B1228" s="562">
        <v>2021</v>
      </c>
      <c r="C1228" s="561" t="s">
        <v>655</v>
      </c>
      <c r="D1228" s="561" t="s">
        <v>3228</v>
      </c>
      <c r="E1228" s="561" t="s">
        <v>657</v>
      </c>
      <c r="F1228" s="563">
        <v>4826.3100000000004</v>
      </c>
      <c r="G1228" s="564"/>
      <c r="H1228" s="561" t="s">
        <v>654</v>
      </c>
      <c r="I1228" s="565"/>
      <c r="J1228" s="565"/>
      <c r="K1228" s="563">
        <v>0</v>
      </c>
      <c r="L1228" s="566">
        <v>4826.3100000000004</v>
      </c>
    </row>
    <row r="1229" spans="1:12" ht="56.25" x14ac:dyDescent="0.2">
      <c r="A1229" s="561" t="s">
        <v>3226</v>
      </c>
      <c r="B1229" s="562">
        <v>2021</v>
      </c>
      <c r="C1229" s="561" t="s">
        <v>658</v>
      </c>
      <c r="D1229" s="561" t="s">
        <v>3229</v>
      </c>
      <c r="E1229" s="561" t="s">
        <v>447</v>
      </c>
      <c r="F1229" s="563">
        <v>0</v>
      </c>
      <c r="G1229" s="564"/>
      <c r="H1229" s="561" t="s">
        <v>654</v>
      </c>
      <c r="I1229" s="565"/>
      <c r="J1229" s="565"/>
      <c r="K1229" s="563">
        <v>0</v>
      </c>
      <c r="L1229" s="566">
        <v>0</v>
      </c>
    </row>
    <row r="1230" spans="1:12" ht="22.5" x14ac:dyDescent="0.2">
      <c r="A1230" s="561" t="s">
        <v>3226</v>
      </c>
      <c r="B1230" s="562">
        <v>2021</v>
      </c>
      <c r="C1230" s="561" t="s">
        <v>660</v>
      </c>
      <c r="D1230" s="561" t="s">
        <v>3230</v>
      </c>
      <c r="E1230" s="561" t="s">
        <v>662</v>
      </c>
      <c r="F1230" s="563">
        <v>4.2</v>
      </c>
      <c r="G1230" s="564"/>
      <c r="H1230" s="561" t="s">
        <v>654</v>
      </c>
      <c r="I1230" s="565"/>
      <c r="J1230" s="565"/>
      <c r="K1230" s="563">
        <v>0</v>
      </c>
      <c r="L1230" s="566">
        <v>4.2</v>
      </c>
    </row>
    <row r="1231" spans="1:12" ht="33.75" x14ac:dyDescent="0.2">
      <c r="A1231" s="561" t="s">
        <v>3226</v>
      </c>
      <c r="B1231" s="562">
        <v>2021</v>
      </c>
      <c r="C1231" s="561" t="s">
        <v>663</v>
      </c>
      <c r="D1231" s="561" t="s">
        <v>3231</v>
      </c>
      <c r="E1231" s="561" t="s">
        <v>665</v>
      </c>
      <c r="F1231" s="563">
        <v>0</v>
      </c>
      <c r="G1231" s="564"/>
      <c r="H1231" s="561" t="s">
        <v>654</v>
      </c>
      <c r="I1231" s="565"/>
      <c r="J1231" s="565"/>
      <c r="K1231" s="563">
        <v>0</v>
      </c>
      <c r="L1231" s="566">
        <v>0</v>
      </c>
    </row>
    <row r="1232" spans="1:12" ht="33.75" x14ac:dyDescent="0.2">
      <c r="A1232" s="561" t="s">
        <v>3226</v>
      </c>
      <c r="B1232" s="562">
        <v>2021</v>
      </c>
      <c r="C1232" s="561" t="s">
        <v>666</v>
      </c>
      <c r="D1232" s="561" t="s">
        <v>3232</v>
      </c>
      <c r="E1232" s="561" t="s">
        <v>668</v>
      </c>
      <c r="F1232" s="563">
        <v>0</v>
      </c>
      <c r="G1232" s="564"/>
      <c r="H1232" s="561" t="s">
        <v>654</v>
      </c>
      <c r="I1232" s="565"/>
      <c r="J1232" s="565"/>
      <c r="K1232" s="563">
        <v>0</v>
      </c>
      <c r="L1232" s="566">
        <v>0</v>
      </c>
    </row>
    <row r="1233" spans="1:12" ht="56.25" x14ac:dyDescent="0.2">
      <c r="A1233" s="561" t="s">
        <v>3226</v>
      </c>
      <c r="B1233" s="562">
        <v>2021</v>
      </c>
      <c r="C1233" s="561" t="s">
        <v>669</v>
      </c>
      <c r="D1233" s="561" t="s">
        <v>3233</v>
      </c>
      <c r="E1233" s="561" t="s">
        <v>671</v>
      </c>
      <c r="F1233" s="563">
        <v>0</v>
      </c>
      <c r="G1233" s="564"/>
      <c r="H1233" s="561" t="s">
        <v>654</v>
      </c>
      <c r="I1233" s="565"/>
      <c r="J1233" s="565"/>
      <c r="K1233" s="563">
        <v>0</v>
      </c>
      <c r="L1233" s="566">
        <v>0</v>
      </c>
    </row>
    <row r="1234" spans="1:12" ht="22.5" x14ac:dyDescent="0.2">
      <c r="A1234" s="561" t="s">
        <v>3226</v>
      </c>
      <c r="B1234" s="562">
        <v>2021</v>
      </c>
      <c r="C1234" s="561" t="s">
        <v>672</v>
      </c>
      <c r="D1234" s="561" t="s">
        <v>3234</v>
      </c>
      <c r="E1234" s="561" t="s">
        <v>12</v>
      </c>
      <c r="F1234" s="563">
        <v>0</v>
      </c>
      <c r="G1234" s="564"/>
      <c r="H1234" s="561" t="s">
        <v>654</v>
      </c>
      <c r="I1234" s="565"/>
      <c r="J1234" s="565"/>
      <c r="K1234" s="563">
        <v>0</v>
      </c>
      <c r="L1234" s="566">
        <v>0</v>
      </c>
    </row>
    <row r="1235" spans="1:12" ht="22.5" x14ac:dyDescent="0.2">
      <c r="A1235" s="561" t="s">
        <v>3226</v>
      </c>
      <c r="B1235" s="562">
        <v>2021</v>
      </c>
      <c r="C1235" s="561" t="s">
        <v>674</v>
      </c>
      <c r="D1235" s="561" t="s">
        <v>3235</v>
      </c>
      <c r="E1235" s="561" t="s">
        <v>13</v>
      </c>
      <c r="F1235" s="563">
        <v>0</v>
      </c>
      <c r="G1235" s="564"/>
      <c r="H1235" s="561" t="s">
        <v>654</v>
      </c>
      <c r="I1235" s="565"/>
      <c r="J1235" s="565"/>
      <c r="K1235" s="563">
        <v>0</v>
      </c>
      <c r="L1235" s="566">
        <v>0</v>
      </c>
    </row>
    <row r="1236" spans="1:12" ht="33.75" x14ac:dyDescent="0.2">
      <c r="A1236" s="561" t="s">
        <v>3226</v>
      </c>
      <c r="B1236" s="562">
        <v>2021</v>
      </c>
      <c r="C1236" s="561" t="s">
        <v>676</v>
      </c>
      <c r="D1236" s="561" t="s">
        <v>3236</v>
      </c>
      <c r="E1236" s="561" t="s">
        <v>15</v>
      </c>
      <c r="F1236" s="563">
        <v>0</v>
      </c>
      <c r="G1236" s="564"/>
      <c r="H1236" s="561" t="s">
        <v>654</v>
      </c>
      <c r="I1236" s="565"/>
      <c r="J1236" s="565"/>
      <c r="K1236" s="563">
        <v>0</v>
      </c>
      <c r="L1236" s="566">
        <v>0</v>
      </c>
    </row>
    <row r="1237" spans="1:12" ht="22.5" x14ac:dyDescent="0.2">
      <c r="A1237" s="561" t="s">
        <v>3226</v>
      </c>
      <c r="B1237" s="562">
        <v>2021</v>
      </c>
      <c r="C1237" s="561" t="s">
        <v>678</v>
      </c>
      <c r="D1237" s="561" t="s">
        <v>3237</v>
      </c>
      <c r="E1237" s="561" t="s">
        <v>680</v>
      </c>
      <c r="F1237" s="563">
        <v>0</v>
      </c>
      <c r="G1237" s="564"/>
      <c r="H1237" s="561" t="s">
        <v>654</v>
      </c>
      <c r="I1237" s="565"/>
      <c r="J1237" s="565"/>
      <c r="K1237" s="563">
        <v>0</v>
      </c>
      <c r="L1237" s="566">
        <v>0</v>
      </c>
    </row>
    <row r="1238" spans="1:12" ht="22.5" x14ac:dyDescent="0.2">
      <c r="A1238" s="561" t="s">
        <v>3226</v>
      </c>
      <c r="B1238" s="562">
        <v>2021</v>
      </c>
      <c r="C1238" s="561" t="s">
        <v>681</v>
      </c>
      <c r="D1238" s="561" t="s">
        <v>3238</v>
      </c>
      <c r="E1238" s="561" t="s">
        <v>23</v>
      </c>
      <c r="F1238" s="563">
        <v>170030.37</v>
      </c>
      <c r="G1238" s="561" t="s">
        <v>654</v>
      </c>
      <c r="H1238" s="564"/>
      <c r="I1238" s="563">
        <v>169380.21875</v>
      </c>
      <c r="J1238" s="563">
        <v>650.15002441406295</v>
      </c>
      <c r="K1238" s="563">
        <v>170030.375</v>
      </c>
      <c r="L1238" s="566">
        <v>170030.37</v>
      </c>
    </row>
    <row r="1239" spans="1:12" ht="33.75" x14ac:dyDescent="0.2">
      <c r="A1239" s="561" t="s">
        <v>3226</v>
      </c>
      <c r="B1239" s="562">
        <v>2021</v>
      </c>
      <c r="C1239" s="561" t="s">
        <v>683</v>
      </c>
      <c r="D1239" s="561" t="s">
        <v>3239</v>
      </c>
      <c r="E1239" s="561" t="s">
        <v>131</v>
      </c>
      <c r="F1239" s="563">
        <v>-336.89</v>
      </c>
      <c r="G1239" s="561" t="s">
        <v>654</v>
      </c>
      <c r="H1239" s="564"/>
      <c r="I1239" s="563">
        <v>-335.08999633789102</v>
      </c>
      <c r="J1239" s="563">
        <v>-1.79999995231628</v>
      </c>
      <c r="K1239" s="563">
        <v>-336.89001464843801</v>
      </c>
      <c r="L1239" s="566">
        <v>-336.89</v>
      </c>
    </row>
    <row r="1240" spans="1:12" ht="33.75" x14ac:dyDescent="0.2">
      <c r="A1240" s="561" t="s">
        <v>3226</v>
      </c>
      <c r="B1240" s="562">
        <v>2021</v>
      </c>
      <c r="C1240" s="561" t="s">
        <v>685</v>
      </c>
      <c r="D1240" s="561" t="s">
        <v>3240</v>
      </c>
      <c r="E1240" s="561" t="s">
        <v>687</v>
      </c>
      <c r="F1240" s="563">
        <v>-1125.51</v>
      </c>
      <c r="G1240" s="564"/>
      <c r="H1240" s="561" t="s">
        <v>654</v>
      </c>
      <c r="I1240" s="565"/>
      <c r="J1240" s="565"/>
      <c r="K1240" s="563">
        <v>0</v>
      </c>
      <c r="L1240" s="566">
        <v>-1125.51</v>
      </c>
    </row>
    <row r="1241" spans="1:12" ht="33.75" x14ac:dyDescent="0.2">
      <c r="A1241" s="561" t="s">
        <v>3226</v>
      </c>
      <c r="B1241" s="562">
        <v>2021</v>
      </c>
      <c r="C1241" s="561" t="s">
        <v>685</v>
      </c>
      <c r="D1241" s="561" t="s">
        <v>3240</v>
      </c>
      <c r="E1241" s="561" t="s">
        <v>688</v>
      </c>
      <c r="F1241" s="563">
        <v>0</v>
      </c>
      <c r="G1241" s="564"/>
      <c r="H1241" s="561" t="s">
        <v>654</v>
      </c>
      <c r="I1241" s="565"/>
      <c r="J1241" s="565"/>
      <c r="K1241" s="563">
        <v>0</v>
      </c>
      <c r="L1241" s="566">
        <v>0</v>
      </c>
    </row>
    <row r="1242" spans="1:12" ht="22.5" x14ac:dyDescent="0.2">
      <c r="A1242" s="561" t="s">
        <v>3226</v>
      </c>
      <c r="B1242" s="562">
        <v>2021</v>
      </c>
      <c r="C1242" s="561" t="s">
        <v>689</v>
      </c>
      <c r="D1242" s="561" t="s">
        <v>3241</v>
      </c>
      <c r="E1242" s="561" t="s">
        <v>691</v>
      </c>
      <c r="F1242" s="563">
        <v>0</v>
      </c>
      <c r="G1242" s="564"/>
      <c r="H1242" s="561" t="s">
        <v>654</v>
      </c>
      <c r="I1242" s="565"/>
      <c r="J1242" s="565"/>
      <c r="K1242" s="563">
        <v>0</v>
      </c>
      <c r="L1242" s="566">
        <v>0</v>
      </c>
    </row>
    <row r="1243" spans="1:12" ht="22.5" x14ac:dyDescent="0.2">
      <c r="A1243" s="561" t="s">
        <v>3226</v>
      </c>
      <c r="B1243" s="562">
        <v>2021</v>
      </c>
      <c r="C1243" s="561" t="s">
        <v>692</v>
      </c>
      <c r="D1243" s="561" t="s">
        <v>3242</v>
      </c>
      <c r="E1243" s="561" t="s">
        <v>50</v>
      </c>
      <c r="F1243" s="563">
        <v>0</v>
      </c>
      <c r="G1243" s="564"/>
      <c r="H1243" s="561" t="s">
        <v>654</v>
      </c>
      <c r="I1243" s="565"/>
      <c r="J1243" s="565"/>
      <c r="K1243" s="563">
        <v>0</v>
      </c>
      <c r="L1243" s="566">
        <v>0</v>
      </c>
    </row>
    <row r="1244" spans="1:12" ht="22.5" x14ac:dyDescent="0.2">
      <c r="A1244" s="561" t="s">
        <v>3226</v>
      </c>
      <c r="B1244" s="562">
        <v>2021</v>
      </c>
      <c r="C1244" s="561" t="s">
        <v>694</v>
      </c>
      <c r="D1244" s="561" t="s">
        <v>3243</v>
      </c>
      <c r="E1244" s="561" t="s">
        <v>696</v>
      </c>
      <c r="F1244" s="563">
        <v>0</v>
      </c>
      <c r="G1244" s="564"/>
      <c r="H1244" s="561" t="s">
        <v>654</v>
      </c>
      <c r="I1244" s="565"/>
      <c r="J1244" s="565"/>
      <c r="K1244" s="563">
        <v>0</v>
      </c>
      <c r="L1244" s="566">
        <v>0</v>
      </c>
    </row>
    <row r="1245" spans="1:12" ht="22.5" x14ac:dyDescent="0.2">
      <c r="A1245" s="561" t="s">
        <v>3226</v>
      </c>
      <c r="B1245" s="562">
        <v>2021</v>
      </c>
      <c r="C1245" s="561" t="s">
        <v>697</v>
      </c>
      <c r="D1245" s="561" t="s">
        <v>3244</v>
      </c>
      <c r="E1245" s="561" t="s">
        <v>6</v>
      </c>
      <c r="F1245" s="563">
        <v>0</v>
      </c>
      <c r="G1245" s="564"/>
      <c r="H1245" s="561" t="s">
        <v>654</v>
      </c>
      <c r="I1245" s="565"/>
      <c r="J1245" s="565"/>
      <c r="K1245" s="563">
        <v>0</v>
      </c>
      <c r="L1245" s="566">
        <v>0</v>
      </c>
    </row>
    <row r="1246" spans="1:12" ht="33.75" x14ac:dyDescent="0.2">
      <c r="A1246" s="561" t="s">
        <v>3226</v>
      </c>
      <c r="B1246" s="562">
        <v>2021</v>
      </c>
      <c r="C1246" s="561" t="s">
        <v>699</v>
      </c>
      <c r="D1246" s="561" t="s">
        <v>3245</v>
      </c>
      <c r="E1246" s="561" t="s">
        <v>701</v>
      </c>
      <c r="F1246" s="563">
        <v>0</v>
      </c>
      <c r="G1246" s="564"/>
      <c r="H1246" s="561" t="s">
        <v>654</v>
      </c>
      <c r="I1246" s="565"/>
      <c r="J1246" s="565"/>
      <c r="K1246" s="563">
        <v>0</v>
      </c>
      <c r="L1246" s="566">
        <v>0</v>
      </c>
    </row>
    <row r="1247" spans="1:12" ht="22.5" x14ac:dyDescent="0.2">
      <c r="A1247" s="561" t="s">
        <v>3226</v>
      </c>
      <c r="B1247" s="562">
        <v>2021</v>
      </c>
      <c r="C1247" s="561" t="s">
        <v>702</v>
      </c>
      <c r="D1247" s="561" t="s">
        <v>3246</v>
      </c>
      <c r="E1247" s="561" t="s">
        <v>704</v>
      </c>
      <c r="F1247" s="563">
        <v>0</v>
      </c>
      <c r="G1247" s="564"/>
      <c r="H1247" s="561" t="s">
        <v>654</v>
      </c>
      <c r="I1247" s="565"/>
      <c r="J1247" s="565"/>
      <c r="K1247" s="563">
        <v>0</v>
      </c>
      <c r="L1247" s="566">
        <v>0</v>
      </c>
    </row>
    <row r="1248" spans="1:12" ht="33.75" x14ac:dyDescent="0.2">
      <c r="A1248" s="561" t="s">
        <v>3226</v>
      </c>
      <c r="B1248" s="562">
        <v>2021</v>
      </c>
      <c r="C1248" s="561" t="s">
        <v>705</v>
      </c>
      <c r="D1248" s="561" t="s">
        <v>3247</v>
      </c>
      <c r="E1248" s="561" t="s">
        <v>1</v>
      </c>
      <c r="F1248" s="563">
        <v>-36140.050000000003</v>
      </c>
      <c r="G1248" s="561" t="s">
        <v>654</v>
      </c>
      <c r="H1248" s="564"/>
      <c r="I1248" s="563">
        <v>-35958.76953125</v>
      </c>
      <c r="J1248" s="563">
        <v>-181.27999877929699</v>
      </c>
      <c r="K1248" s="563">
        <v>-36140.05078125</v>
      </c>
      <c r="L1248" s="566">
        <v>-36140.050000000003</v>
      </c>
    </row>
    <row r="1249" spans="1:12" ht="22.5" x14ac:dyDescent="0.2">
      <c r="A1249" s="561" t="s">
        <v>3226</v>
      </c>
      <c r="B1249" s="562">
        <v>2021</v>
      </c>
      <c r="C1249" s="561" t="s">
        <v>705</v>
      </c>
      <c r="D1249" s="561" t="s">
        <v>3247</v>
      </c>
      <c r="E1249" s="561" t="s">
        <v>707</v>
      </c>
      <c r="F1249" s="563">
        <v>0</v>
      </c>
      <c r="G1249" s="564"/>
      <c r="H1249" s="564"/>
      <c r="I1249" s="565"/>
      <c r="J1249" s="565"/>
      <c r="K1249" s="563">
        <v>0</v>
      </c>
      <c r="L1249" s="566">
        <v>0</v>
      </c>
    </row>
    <row r="1250" spans="1:12" ht="22.5" x14ac:dyDescent="0.2">
      <c r="A1250" s="561" t="s">
        <v>3226</v>
      </c>
      <c r="B1250" s="562">
        <v>2021</v>
      </c>
      <c r="C1250" s="561" t="s">
        <v>705</v>
      </c>
      <c r="D1250" s="561" t="s">
        <v>3247</v>
      </c>
      <c r="E1250" s="561" t="s">
        <v>708</v>
      </c>
      <c r="F1250" s="563">
        <v>0</v>
      </c>
      <c r="G1250" s="564"/>
      <c r="H1250" s="564"/>
      <c r="I1250" s="565"/>
      <c r="J1250" s="565"/>
      <c r="K1250" s="563">
        <v>0</v>
      </c>
      <c r="L1250" s="566">
        <v>0</v>
      </c>
    </row>
    <row r="1251" spans="1:12" ht="22.5" x14ac:dyDescent="0.2">
      <c r="A1251" s="561" t="s">
        <v>3226</v>
      </c>
      <c r="B1251" s="562">
        <v>2021</v>
      </c>
      <c r="C1251" s="561" t="s">
        <v>705</v>
      </c>
      <c r="D1251" s="561" t="s">
        <v>3247</v>
      </c>
      <c r="E1251" s="561" t="s">
        <v>709</v>
      </c>
      <c r="F1251" s="563">
        <v>0</v>
      </c>
      <c r="G1251" s="564"/>
      <c r="H1251" s="564"/>
      <c r="I1251" s="565"/>
      <c r="J1251" s="565"/>
      <c r="K1251" s="563">
        <v>0</v>
      </c>
      <c r="L1251" s="566">
        <v>0</v>
      </c>
    </row>
    <row r="1252" spans="1:12" ht="22.5" x14ac:dyDescent="0.2">
      <c r="A1252" s="561" t="s">
        <v>3226</v>
      </c>
      <c r="B1252" s="562">
        <v>2021</v>
      </c>
      <c r="C1252" s="561" t="s">
        <v>705</v>
      </c>
      <c r="D1252" s="561" t="s">
        <v>3247</v>
      </c>
      <c r="E1252" s="561" t="s">
        <v>710</v>
      </c>
      <c r="F1252" s="563">
        <v>0</v>
      </c>
      <c r="G1252" s="564"/>
      <c r="H1252" s="564"/>
      <c r="I1252" s="565"/>
      <c r="J1252" s="565"/>
      <c r="K1252" s="563">
        <v>0</v>
      </c>
      <c r="L1252" s="566">
        <v>0</v>
      </c>
    </row>
    <row r="1253" spans="1:12" ht="22.5" x14ac:dyDescent="0.2">
      <c r="A1253" s="561" t="s">
        <v>3226</v>
      </c>
      <c r="B1253" s="562">
        <v>2021</v>
      </c>
      <c r="C1253" s="561" t="s">
        <v>711</v>
      </c>
      <c r="D1253" s="561" t="s">
        <v>3248</v>
      </c>
      <c r="E1253" s="561" t="s">
        <v>713</v>
      </c>
      <c r="F1253" s="563">
        <v>0</v>
      </c>
      <c r="G1253" s="564"/>
      <c r="H1253" s="561" t="s">
        <v>654</v>
      </c>
      <c r="I1253" s="565"/>
      <c r="J1253" s="565"/>
      <c r="K1253" s="563">
        <v>0</v>
      </c>
      <c r="L1253" s="566">
        <v>0</v>
      </c>
    </row>
    <row r="1254" spans="1:12" ht="33.75" x14ac:dyDescent="0.2">
      <c r="A1254" s="561" t="s">
        <v>3226</v>
      </c>
      <c r="B1254" s="562">
        <v>2021</v>
      </c>
      <c r="C1254" s="561" t="s">
        <v>714</v>
      </c>
      <c r="D1254" s="561" t="s">
        <v>3249</v>
      </c>
      <c r="E1254" s="561" t="s">
        <v>2</v>
      </c>
      <c r="F1254" s="563">
        <v>-42083.98</v>
      </c>
      <c r="G1254" s="561" t="s">
        <v>654</v>
      </c>
      <c r="H1254" s="564"/>
      <c r="I1254" s="563">
        <v>-41602.6796875</v>
      </c>
      <c r="J1254" s="563">
        <v>-481.29998779296898</v>
      </c>
      <c r="K1254" s="563">
        <v>-42083.98046875</v>
      </c>
      <c r="L1254" s="566">
        <v>-42083.98</v>
      </c>
    </row>
    <row r="1255" spans="1:12" ht="33.75" x14ac:dyDescent="0.2">
      <c r="A1255" s="561" t="s">
        <v>3226</v>
      </c>
      <c r="B1255" s="562">
        <v>2021</v>
      </c>
      <c r="C1255" s="561" t="s">
        <v>716</v>
      </c>
      <c r="D1255" s="561" t="s">
        <v>3250</v>
      </c>
      <c r="E1255" s="561" t="s">
        <v>3</v>
      </c>
      <c r="F1255" s="563">
        <v>-38501.24</v>
      </c>
      <c r="G1255" s="561" t="s">
        <v>654</v>
      </c>
      <c r="H1255" s="564"/>
      <c r="I1255" s="563">
        <v>-38159.76953125</v>
      </c>
      <c r="J1255" s="563">
        <v>-341.47000122070301</v>
      </c>
      <c r="K1255" s="563">
        <v>-38501.23828125</v>
      </c>
      <c r="L1255" s="566">
        <v>-38501.24</v>
      </c>
    </row>
    <row r="1256" spans="1:12" ht="33.75" x14ac:dyDescent="0.2">
      <c r="A1256" s="561" t="s">
        <v>3226</v>
      </c>
      <c r="B1256" s="562">
        <v>2021</v>
      </c>
      <c r="C1256" s="561" t="s">
        <v>718</v>
      </c>
      <c r="D1256" s="561" t="s">
        <v>3251</v>
      </c>
      <c r="E1256" s="561" t="s">
        <v>38</v>
      </c>
      <c r="F1256" s="563">
        <v>-41977.69</v>
      </c>
      <c r="G1256" s="561" t="s">
        <v>654</v>
      </c>
      <c r="H1256" s="564"/>
      <c r="I1256" s="563">
        <v>-41548.80078125</v>
      </c>
      <c r="J1256" s="563">
        <v>-428.89001464843801</v>
      </c>
      <c r="K1256" s="563">
        <v>-41977.69140625</v>
      </c>
      <c r="L1256" s="566">
        <v>-41977.69</v>
      </c>
    </row>
    <row r="1257" spans="1:12" ht="22.5" x14ac:dyDescent="0.2">
      <c r="A1257" s="561" t="s">
        <v>3226</v>
      </c>
      <c r="B1257" s="562">
        <v>2021</v>
      </c>
      <c r="C1257" s="561" t="s">
        <v>720</v>
      </c>
      <c r="D1257" s="561" t="s">
        <v>3252</v>
      </c>
      <c r="E1257" s="561" t="s">
        <v>66</v>
      </c>
      <c r="F1257" s="563">
        <v>158647.07</v>
      </c>
      <c r="G1257" s="561" t="s">
        <v>654</v>
      </c>
      <c r="H1257" s="564"/>
      <c r="I1257" s="563">
        <v>158178.109375</v>
      </c>
      <c r="J1257" s="563">
        <v>468.95999145507801</v>
      </c>
      <c r="K1257" s="563">
        <v>158647.0625</v>
      </c>
      <c r="L1257" s="566">
        <v>158647.07</v>
      </c>
    </row>
    <row r="1258" spans="1:12" ht="45" x14ac:dyDescent="0.2">
      <c r="A1258" s="561" t="s">
        <v>3226</v>
      </c>
      <c r="B1258" s="562">
        <v>2021</v>
      </c>
      <c r="C1258" s="561" t="s">
        <v>722</v>
      </c>
      <c r="D1258" s="561" t="s">
        <v>3253</v>
      </c>
      <c r="E1258" s="561" t="s">
        <v>724</v>
      </c>
      <c r="F1258" s="563">
        <v>0</v>
      </c>
      <c r="G1258" s="564"/>
      <c r="H1258" s="561" t="s">
        <v>654</v>
      </c>
      <c r="I1258" s="565"/>
      <c r="J1258" s="565"/>
      <c r="K1258" s="563">
        <v>0</v>
      </c>
      <c r="L1258" s="566">
        <v>0</v>
      </c>
    </row>
    <row r="1259" spans="1:12" ht="45" x14ac:dyDescent="0.2">
      <c r="A1259" s="561" t="s">
        <v>3226</v>
      </c>
      <c r="B1259" s="562">
        <v>2021</v>
      </c>
      <c r="C1259" s="561" t="s">
        <v>725</v>
      </c>
      <c r="D1259" s="561" t="s">
        <v>3254</v>
      </c>
      <c r="E1259" s="561" t="s">
        <v>3024</v>
      </c>
      <c r="F1259" s="563">
        <v>0</v>
      </c>
      <c r="G1259" s="561" t="s">
        <v>654</v>
      </c>
      <c r="H1259" s="564"/>
      <c r="I1259" s="563">
        <v>1767.7099609375</v>
      </c>
      <c r="J1259" s="563">
        <v>5955.56982421875</v>
      </c>
      <c r="K1259" s="563">
        <v>7723.27978515625</v>
      </c>
      <c r="L1259" s="566">
        <v>7723.28</v>
      </c>
    </row>
    <row r="1260" spans="1:12" ht="45" x14ac:dyDescent="0.2">
      <c r="A1260" s="561" t="s">
        <v>3226</v>
      </c>
      <c r="B1260" s="562">
        <v>2021</v>
      </c>
      <c r="C1260" s="561" t="s">
        <v>725</v>
      </c>
      <c r="D1260" s="561" t="s">
        <v>3254</v>
      </c>
      <c r="E1260" s="561" t="s">
        <v>3066</v>
      </c>
      <c r="F1260" s="563">
        <v>0</v>
      </c>
      <c r="G1260" s="561" t="s">
        <v>654</v>
      </c>
      <c r="H1260" s="564"/>
      <c r="I1260" s="563">
        <v>54794.76171875</v>
      </c>
      <c r="J1260" s="563">
        <v>670</v>
      </c>
      <c r="K1260" s="563">
        <v>55464.76171875</v>
      </c>
      <c r="L1260" s="566">
        <v>55464.76</v>
      </c>
    </row>
    <row r="1261" spans="1:12" ht="45" x14ac:dyDescent="0.2">
      <c r="A1261" s="561" t="s">
        <v>3226</v>
      </c>
      <c r="B1261" s="562">
        <v>2021</v>
      </c>
      <c r="C1261" s="561" t="s">
        <v>725</v>
      </c>
      <c r="D1261" s="561" t="s">
        <v>3255</v>
      </c>
      <c r="E1261" s="561" t="s">
        <v>728</v>
      </c>
      <c r="F1261" s="563">
        <v>0</v>
      </c>
      <c r="G1261" s="561" t="s">
        <v>654</v>
      </c>
      <c r="H1261" s="564"/>
      <c r="I1261" s="565"/>
      <c r="J1261" s="565"/>
      <c r="K1261" s="563">
        <v>0</v>
      </c>
      <c r="L1261" s="566">
        <v>0</v>
      </c>
    </row>
    <row r="1262" spans="1:12" ht="45" x14ac:dyDescent="0.2">
      <c r="A1262" s="561" t="s">
        <v>3226</v>
      </c>
      <c r="B1262" s="562">
        <v>2021</v>
      </c>
      <c r="C1262" s="561" t="s">
        <v>725</v>
      </c>
      <c r="D1262" s="561" t="s">
        <v>3256</v>
      </c>
      <c r="E1262" s="561" t="s">
        <v>55</v>
      </c>
      <c r="F1262" s="563">
        <v>0</v>
      </c>
      <c r="G1262" s="561" t="s">
        <v>654</v>
      </c>
      <c r="H1262" s="564"/>
      <c r="I1262" s="565"/>
      <c r="J1262" s="565"/>
      <c r="K1262" s="563">
        <v>0</v>
      </c>
      <c r="L1262" s="566">
        <v>0</v>
      </c>
    </row>
    <row r="1263" spans="1:12" ht="45" x14ac:dyDescent="0.2">
      <c r="A1263" s="561" t="s">
        <v>3226</v>
      </c>
      <c r="B1263" s="562">
        <v>2021</v>
      </c>
      <c r="C1263" s="561" t="s">
        <v>725</v>
      </c>
      <c r="D1263" s="561" t="s">
        <v>3257</v>
      </c>
      <c r="E1263" s="561" t="s">
        <v>56</v>
      </c>
      <c r="F1263" s="563">
        <v>0</v>
      </c>
      <c r="G1263" s="561" t="s">
        <v>654</v>
      </c>
      <c r="H1263" s="564"/>
      <c r="I1263" s="565"/>
      <c r="J1263" s="565"/>
      <c r="K1263" s="563">
        <v>0</v>
      </c>
      <c r="L1263" s="566">
        <v>0</v>
      </c>
    </row>
    <row r="1264" spans="1:12" ht="45" x14ac:dyDescent="0.2">
      <c r="A1264" s="561" t="s">
        <v>3226</v>
      </c>
      <c r="B1264" s="562">
        <v>2021</v>
      </c>
      <c r="C1264" s="561" t="s">
        <v>725</v>
      </c>
      <c r="D1264" s="561" t="s">
        <v>3258</v>
      </c>
      <c r="E1264" s="561" t="s">
        <v>732</v>
      </c>
      <c r="F1264" s="563">
        <v>0</v>
      </c>
      <c r="G1264" s="561" t="s">
        <v>654</v>
      </c>
      <c r="H1264" s="564"/>
      <c r="I1264" s="565"/>
      <c r="J1264" s="565"/>
      <c r="K1264" s="563">
        <v>0</v>
      </c>
      <c r="L1264" s="566">
        <v>0</v>
      </c>
    </row>
    <row r="1265" spans="1:12" ht="45" x14ac:dyDescent="0.2">
      <c r="A1265" s="561" t="s">
        <v>3226</v>
      </c>
      <c r="B1265" s="562">
        <v>2021</v>
      </c>
      <c r="C1265" s="561" t="s">
        <v>725</v>
      </c>
      <c r="D1265" s="561" t="s">
        <v>3259</v>
      </c>
      <c r="E1265" s="561" t="s">
        <v>734</v>
      </c>
      <c r="F1265" s="563">
        <v>0</v>
      </c>
      <c r="G1265" s="561" t="s">
        <v>654</v>
      </c>
      <c r="H1265" s="564"/>
      <c r="I1265" s="565"/>
      <c r="J1265" s="565"/>
      <c r="K1265" s="563">
        <v>0</v>
      </c>
      <c r="L1265" s="566">
        <v>0</v>
      </c>
    </row>
    <row r="1266" spans="1:12" ht="45" x14ac:dyDescent="0.2">
      <c r="A1266" s="561" t="s">
        <v>3226</v>
      </c>
      <c r="B1266" s="562">
        <v>2021</v>
      </c>
      <c r="C1266" s="561" t="s">
        <v>725</v>
      </c>
      <c r="D1266" s="561" t="s">
        <v>3260</v>
      </c>
      <c r="E1266" s="561" t="s">
        <v>142</v>
      </c>
      <c r="F1266" s="563">
        <v>0</v>
      </c>
      <c r="G1266" s="561" t="s">
        <v>654</v>
      </c>
      <c r="H1266" s="564"/>
      <c r="I1266" s="565"/>
      <c r="J1266" s="565"/>
      <c r="K1266" s="563">
        <v>0</v>
      </c>
      <c r="L1266" s="566">
        <v>0</v>
      </c>
    </row>
    <row r="1267" spans="1:12" ht="45" x14ac:dyDescent="0.2">
      <c r="A1267" s="561" t="s">
        <v>3226</v>
      </c>
      <c r="B1267" s="562">
        <v>2021</v>
      </c>
      <c r="C1267" s="561" t="s">
        <v>725</v>
      </c>
      <c r="D1267" s="561" t="s">
        <v>3261</v>
      </c>
      <c r="E1267" s="561" t="s">
        <v>143</v>
      </c>
      <c r="F1267" s="563">
        <v>0</v>
      </c>
      <c r="G1267" s="561" t="s">
        <v>654</v>
      </c>
      <c r="H1267" s="564"/>
      <c r="I1267" s="565"/>
      <c r="J1267" s="565"/>
      <c r="K1267" s="563">
        <v>0</v>
      </c>
      <c r="L1267" s="566">
        <v>0</v>
      </c>
    </row>
    <row r="1268" spans="1:12" ht="45" x14ac:dyDescent="0.2">
      <c r="A1268" s="561" t="s">
        <v>3226</v>
      </c>
      <c r="B1268" s="562">
        <v>2021</v>
      </c>
      <c r="C1268" s="561" t="s">
        <v>725</v>
      </c>
      <c r="D1268" s="561" t="s">
        <v>3262</v>
      </c>
      <c r="E1268" s="561" t="s">
        <v>182</v>
      </c>
      <c r="F1268" s="563">
        <v>0</v>
      </c>
      <c r="G1268" s="561" t="s">
        <v>654</v>
      </c>
      <c r="H1268" s="564"/>
      <c r="I1268" s="565"/>
      <c r="J1268" s="565"/>
      <c r="K1268" s="563">
        <v>0</v>
      </c>
      <c r="L1268" s="566">
        <v>0</v>
      </c>
    </row>
    <row r="1269" spans="1:12" ht="45" x14ac:dyDescent="0.2">
      <c r="A1269" s="561" t="s">
        <v>3226</v>
      </c>
      <c r="B1269" s="562">
        <v>2021</v>
      </c>
      <c r="C1269" s="561" t="s">
        <v>725</v>
      </c>
      <c r="D1269" s="561" t="s">
        <v>3263</v>
      </c>
      <c r="E1269" s="561" t="s">
        <v>394</v>
      </c>
      <c r="F1269" s="563">
        <v>0</v>
      </c>
      <c r="G1269" s="561" t="s">
        <v>654</v>
      </c>
      <c r="H1269" s="564"/>
      <c r="I1269" s="565"/>
      <c r="J1269" s="565"/>
      <c r="K1269" s="563">
        <v>0</v>
      </c>
      <c r="L1269" s="566">
        <v>0</v>
      </c>
    </row>
    <row r="1270" spans="1:12" ht="45" x14ac:dyDescent="0.2">
      <c r="A1270" s="561" t="s">
        <v>3226</v>
      </c>
      <c r="B1270" s="562">
        <v>2021</v>
      </c>
      <c r="C1270" s="561" t="s">
        <v>725</v>
      </c>
      <c r="D1270" s="561" t="s">
        <v>3264</v>
      </c>
      <c r="E1270" s="561" t="s">
        <v>425</v>
      </c>
      <c r="F1270" s="563">
        <v>0</v>
      </c>
      <c r="G1270" s="561" t="s">
        <v>654</v>
      </c>
      <c r="H1270" s="564"/>
      <c r="I1270" s="565"/>
      <c r="J1270" s="565"/>
      <c r="K1270" s="563">
        <v>0</v>
      </c>
      <c r="L1270" s="566">
        <v>0</v>
      </c>
    </row>
    <row r="1271" spans="1:12" ht="45" x14ac:dyDescent="0.2">
      <c r="A1271" s="561" t="s">
        <v>3226</v>
      </c>
      <c r="B1271" s="562">
        <v>2021</v>
      </c>
      <c r="C1271" s="561" t="s">
        <v>725</v>
      </c>
      <c r="D1271" s="561" t="s">
        <v>3265</v>
      </c>
      <c r="E1271" s="561" t="s">
        <v>443</v>
      </c>
      <c r="F1271" s="563">
        <v>0</v>
      </c>
      <c r="G1271" s="561" t="s">
        <v>654</v>
      </c>
      <c r="H1271" s="564"/>
      <c r="I1271" s="565"/>
      <c r="J1271" s="565"/>
      <c r="K1271" s="563">
        <v>0</v>
      </c>
      <c r="L1271" s="566">
        <v>0</v>
      </c>
    </row>
    <row r="1272" spans="1:12" ht="45" x14ac:dyDescent="0.2">
      <c r="A1272" s="561" t="s">
        <v>3226</v>
      </c>
      <c r="B1272" s="562">
        <v>2021</v>
      </c>
      <c r="C1272" s="561" t="s">
        <v>725</v>
      </c>
      <c r="D1272" s="561" t="s">
        <v>3266</v>
      </c>
      <c r="E1272" s="561" t="s">
        <v>741</v>
      </c>
      <c r="F1272" s="563">
        <v>63188.04</v>
      </c>
      <c r="G1272" s="564"/>
      <c r="H1272" s="564"/>
      <c r="I1272" s="565"/>
      <c r="J1272" s="565"/>
      <c r="K1272" s="563">
        <v>0</v>
      </c>
      <c r="L1272" s="566">
        <v>63188.04</v>
      </c>
    </row>
    <row r="1273" spans="1:12" ht="22.5" x14ac:dyDescent="0.2">
      <c r="A1273" s="561" t="s">
        <v>3226</v>
      </c>
      <c r="B1273" s="562">
        <v>2021</v>
      </c>
      <c r="C1273" s="561" t="s">
        <v>742</v>
      </c>
      <c r="D1273" s="561" t="s">
        <v>3267</v>
      </c>
      <c r="E1273" s="561" t="s">
        <v>7</v>
      </c>
      <c r="F1273" s="563">
        <v>0</v>
      </c>
      <c r="G1273" s="564"/>
      <c r="H1273" s="561" t="s">
        <v>654</v>
      </c>
      <c r="I1273" s="565"/>
      <c r="J1273" s="565"/>
      <c r="K1273" s="563">
        <v>0</v>
      </c>
      <c r="L1273" s="566">
        <v>0</v>
      </c>
    </row>
    <row r="1274" spans="1:12" ht="22.5" x14ac:dyDescent="0.2">
      <c r="A1274" s="561" t="s">
        <v>94</v>
      </c>
      <c r="B1274" s="562">
        <v>2021</v>
      </c>
      <c r="C1274" s="561" t="s">
        <v>651</v>
      </c>
      <c r="D1274" s="561" t="s">
        <v>1546</v>
      </c>
      <c r="E1274" s="561" t="s">
        <v>653</v>
      </c>
      <c r="F1274" s="563">
        <v>218.67</v>
      </c>
      <c r="G1274" s="564"/>
      <c r="H1274" s="561" t="s">
        <v>654</v>
      </c>
      <c r="I1274" s="565"/>
      <c r="J1274" s="565"/>
      <c r="K1274" s="563">
        <v>0</v>
      </c>
      <c r="L1274" s="566">
        <v>218.67</v>
      </c>
    </row>
    <row r="1275" spans="1:12" ht="15" x14ac:dyDescent="0.2">
      <c r="A1275" s="561" t="s">
        <v>94</v>
      </c>
      <c r="B1275" s="562">
        <v>2021</v>
      </c>
      <c r="C1275" s="561" t="s">
        <v>655</v>
      </c>
      <c r="D1275" s="561" t="s">
        <v>1547</v>
      </c>
      <c r="E1275" s="561" t="s">
        <v>657</v>
      </c>
      <c r="F1275" s="563">
        <v>0</v>
      </c>
      <c r="G1275" s="564"/>
      <c r="H1275" s="561" t="s">
        <v>654</v>
      </c>
      <c r="I1275" s="565"/>
      <c r="J1275" s="565"/>
      <c r="K1275" s="563">
        <v>0</v>
      </c>
      <c r="L1275" s="566">
        <v>0</v>
      </c>
    </row>
    <row r="1276" spans="1:12" ht="56.25" x14ac:dyDescent="0.2">
      <c r="A1276" s="561" t="s">
        <v>94</v>
      </c>
      <c r="B1276" s="562">
        <v>2021</v>
      </c>
      <c r="C1276" s="561" t="s">
        <v>658</v>
      </c>
      <c r="D1276" s="561" t="s">
        <v>1548</v>
      </c>
      <c r="E1276" s="561" t="s">
        <v>447</v>
      </c>
      <c r="F1276" s="563">
        <v>0</v>
      </c>
      <c r="G1276" s="564"/>
      <c r="H1276" s="561" t="s">
        <v>654</v>
      </c>
      <c r="I1276" s="565"/>
      <c r="J1276" s="565"/>
      <c r="K1276" s="563">
        <v>0</v>
      </c>
      <c r="L1276" s="566">
        <v>0</v>
      </c>
    </row>
    <row r="1277" spans="1:12" ht="22.5" x14ac:dyDescent="0.2">
      <c r="A1277" s="561" t="s">
        <v>94</v>
      </c>
      <c r="B1277" s="562">
        <v>2021</v>
      </c>
      <c r="C1277" s="561" t="s">
        <v>660</v>
      </c>
      <c r="D1277" s="561" t="s">
        <v>1549</v>
      </c>
      <c r="E1277" s="561" t="s">
        <v>662</v>
      </c>
      <c r="F1277" s="563">
        <v>0</v>
      </c>
      <c r="G1277" s="564"/>
      <c r="H1277" s="561" t="s">
        <v>654</v>
      </c>
      <c r="I1277" s="565"/>
      <c r="J1277" s="565"/>
      <c r="K1277" s="563">
        <v>0</v>
      </c>
      <c r="L1277" s="566">
        <v>0</v>
      </c>
    </row>
    <row r="1278" spans="1:12" ht="33.75" x14ac:dyDescent="0.2">
      <c r="A1278" s="561" t="s">
        <v>94</v>
      </c>
      <c r="B1278" s="562">
        <v>2021</v>
      </c>
      <c r="C1278" s="561" t="s">
        <v>663</v>
      </c>
      <c r="D1278" s="561" t="s">
        <v>1550</v>
      </c>
      <c r="E1278" s="561" t="s">
        <v>665</v>
      </c>
      <c r="F1278" s="563">
        <v>0</v>
      </c>
      <c r="G1278" s="564"/>
      <c r="H1278" s="561" t="s">
        <v>654</v>
      </c>
      <c r="I1278" s="565"/>
      <c r="J1278" s="565"/>
      <c r="K1278" s="563">
        <v>0</v>
      </c>
      <c r="L1278" s="566">
        <v>0</v>
      </c>
    </row>
    <row r="1279" spans="1:12" ht="33.75" x14ac:dyDescent="0.2">
      <c r="A1279" s="561" t="s">
        <v>94</v>
      </c>
      <c r="B1279" s="562">
        <v>2021</v>
      </c>
      <c r="C1279" s="561" t="s">
        <v>666</v>
      </c>
      <c r="D1279" s="561" t="s">
        <v>1551</v>
      </c>
      <c r="E1279" s="561" t="s">
        <v>668</v>
      </c>
      <c r="F1279" s="563">
        <v>0</v>
      </c>
      <c r="G1279" s="564"/>
      <c r="H1279" s="561" t="s">
        <v>654</v>
      </c>
      <c r="I1279" s="565"/>
      <c r="J1279" s="565"/>
      <c r="K1279" s="563">
        <v>0</v>
      </c>
      <c r="L1279" s="566">
        <v>0</v>
      </c>
    </row>
    <row r="1280" spans="1:12" ht="56.25" x14ac:dyDescent="0.2">
      <c r="A1280" s="561" t="s">
        <v>94</v>
      </c>
      <c r="B1280" s="562">
        <v>2021</v>
      </c>
      <c r="C1280" s="561" t="s">
        <v>669</v>
      </c>
      <c r="D1280" s="561" t="s">
        <v>1552</v>
      </c>
      <c r="E1280" s="561" t="s">
        <v>671</v>
      </c>
      <c r="F1280" s="563">
        <v>0</v>
      </c>
      <c r="G1280" s="564"/>
      <c r="H1280" s="561" t="s">
        <v>654</v>
      </c>
      <c r="I1280" s="565"/>
      <c r="J1280" s="565"/>
      <c r="K1280" s="563">
        <v>0</v>
      </c>
      <c r="L1280" s="566">
        <v>0</v>
      </c>
    </row>
    <row r="1281" spans="1:12" ht="22.5" x14ac:dyDescent="0.2">
      <c r="A1281" s="561" t="s">
        <v>94</v>
      </c>
      <c r="B1281" s="562">
        <v>2021</v>
      </c>
      <c r="C1281" s="561" t="s">
        <v>672</v>
      </c>
      <c r="D1281" s="561" t="s">
        <v>1553</v>
      </c>
      <c r="E1281" s="561" t="s">
        <v>12</v>
      </c>
      <c r="F1281" s="563">
        <v>0</v>
      </c>
      <c r="G1281" s="564"/>
      <c r="H1281" s="561" t="s">
        <v>654</v>
      </c>
      <c r="I1281" s="565"/>
      <c r="J1281" s="565"/>
      <c r="K1281" s="563">
        <v>0</v>
      </c>
      <c r="L1281" s="566">
        <v>0</v>
      </c>
    </row>
    <row r="1282" spans="1:12" ht="22.5" x14ac:dyDescent="0.2">
      <c r="A1282" s="561" t="s">
        <v>94</v>
      </c>
      <c r="B1282" s="562">
        <v>2021</v>
      </c>
      <c r="C1282" s="561" t="s">
        <v>674</v>
      </c>
      <c r="D1282" s="561" t="s">
        <v>1554</v>
      </c>
      <c r="E1282" s="561" t="s">
        <v>13</v>
      </c>
      <c r="F1282" s="563">
        <v>1296.01</v>
      </c>
      <c r="G1282" s="564"/>
      <c r="H1282" s="561" t="s">
        <v>654</v>
      </c>
      <c r="I1282" s="565"/>
      <c r="J1282" s="565"/>
      <c r="K1282" s="563">
        <v>0</v>
      </c>
      <c r="L1282" s="566">
        <v>1296.01</v>
      </c>
    </row>
    <row r="1283" spans="1:12" ht="33.75" x14ac:dyDescent="0.2">
      <c r="A1283" s="561" t="s">
        <v>94</v>
      </c>
      <c r="B1283" s="562">
        <v>2021</v>
      </c>
      <c r="C1283" s="561" t="s">
        <v>676</v>
      </c>
      <c r="D1283" s="561" t="s">
        <v>1555</v>
      </c>
      <c r="E1283" s="561" t="s">
        <v>15</v>
      </c>
      <c r="F1283" s="563">
        <v>0</v>
      </c>
      <c r="G1283" s="564"/>
      <c r="H1283" s="561" t="s">
        <v>654</v>
      </c>
      <c r="I1283" s="565"/>
      <c r="J1283" s="565"/>
      <c r="K1283" s="563">
        <v>0</v>
      </c>
      <c r="L1283" s="566">
        <v>0</v>
      </c>
    </row>
    <row r="1284" spans="1:12" ht="15" x14ac:dyDescent="0.2">
      <c r="A1284" s="561" t="s">
        <v>94</v>
      </c>
      <c r="B1284" s="562">
        <v>2021</v>
      </c>
      <c r="C1284" s="561" t="s">
        <v>678</v>
      </c>
      <c r="D1284" s="561" t="s">
        <v>1556</v>
      </c>
      <c r="E1284" s="561" t="s">
        <v>680</v>
      </c>
      <c r="F1284" s="563">
        <v>0</v>
      </c>
      <c r="G1284" s="564"/>
      <c r="H1284" s="561" t="s">
        <v>654</v>
      </c>
      <c r="I1284" s="565"/>
      <c r="J1284" s="565"/>
      <c r="K1284" s="563">
        <v>0</v>
      </c>
      <c r="L1284" s="566">
        <v>0</v>
      </c>
    </row>
    <row r="1285" spans="1:12" ht="15" x14ac:dyDescent="0.2">
      <c r="A1285" s="561" t="s">
        <v>94</v>
      </c>
      <c r="B1285" s="562">
        <v>2021</v>
      </c>
      <c r="C1285" s="561" t="s">
        <v>681</v>
      </c>
      <c r="D1285" s="561" t="s">
        <v>1557</v>
      </c>
      <c r="E1285" s="561" t="s">
        <v>23</v>
      </c>
      <c r="F1285" s="563">
        <v>114149.77</v>
      </c>
      <c r="G1285" s="561" t="s">
        <v>654</v>
      </c>
      <c r="H1285" s="564"/>
      <c r="I1285" s="563">
        <v>110449.7421875</v>
      </c>
      <c r="J1285" s="563">
        <v>3700.03002929688</v>
      </c>
      <c r="K1285" s="563">
        <v>114149.7734375</v>
      </c>
      <c r="L1285" s="566">
        <v>114149.77</v>
      </c>
    </row>
    <row r="1286" spans="1:12" ht="33.75" x14ac:dyDescent="0.2">
      <c r="A1286" s="561" t="s">
        <v>94</v>
      </c>
      <c r="B1286" s="562">
        <v>2021</v>
      </c>
      <c r="C1286" s="561" t="s">
        <v>683</v>
      </c>
      <c r="D1286" s="561" t="s">
        <v>1558</v>
      </c>
      <c r="E1286" s="561" t="s">
        <v>131</v>
      </c>
      <c r="F1286" s="563">
        <v>41.67</v>
      </c>
      <c r="G1286" s="561" t="s">
        <v>654</v>
      </c>
      <c r="H1286" s="564"/>
      <c r="I1286" s="563">
        <v>53.380001068115199</v>
      </c>
      <c r="J1286" s="563">
        <v>-11.710000038146999</v>
      </c>
      <c r="K1286" s="563">
        <v>41.669998168945298</v>
      </c>
      <c r="L1286" s="566">
        <v>41.67</v>
      </c>
    </row>
    <row r="1287" spans="1:12" ht="33.75" x14ac:dyDescent="0.2">
      <c r="A1287" s="561" t="s">
        <v>94</v>
      </c>
      <c r="B1287" s="562">
        <v>2021</v>
      </c>
      <c r="C1287" s="561" t="s">
        <v>685</v>
      </c>
      <c r="D1287" s="561" t="s">
        <v>1559</v>
      </c>
      <c r="E1287" s="561" t="s">
        <v>687</v>
      </c>
      <c r="F1287" s="563">
        <v>-4008.09</v>
      </c>
      <c r="G1287" s="564"/>
      <c r="H1287" s="561" t="s">
        <v>654</v>
      </c>
      <c r="I1287" s="565"/>
      <c r="J1287" s="565"/>
      <c r="K1287" s="563">
        <v>0</v>
      </c>
      <c r="L1287" s="566">
        <v>-4008.09</v>
      </c>
    </row>
    <row r="1288" spans="1:12" ht="33.75" x14ac:dyDescent="0.2">
      <c r="A1288" s="561" t="s">
        <v>94</v>
      </c>
      <c r="B1288" s="562">
        <v>2021</v>
      </c>
      <c r="C1288" s="561" t="s">
        <v>685</v>
      </c>
      <c r="D1288" s="561" t="s">
        <v>1559</v>
      </c>
      <c r="E1288" s="561" t="s">
        <v>688</v>
      </c>
      <c r="F1288" s="563">
        <v>-4008.09</v>
      </c>
      <c r="G1288" s="564"/>
      <c r="H1288" s="561" t="s">
        <v>654</v>
      </c>
      <c r="I1288" s="565"/>
      <c r="J1288" s="565"/>
      <c r="K1288" s="563">
        <v>0</v>
      </c>
      <c r="L1288" s="566">
        <v>-4008.09</v>
      </c>
    </row>
    <row r="1289" spans="1:12" ht="22.5" x14ac:dyDescent="0.2">
      <c r="A1289" s="561" t="s">
        <v>94</v>
      </c>
      <c r="B1289" s="562">
        <v>2021</v>
      </c>
      <c r="C1289" s="561" t="s">
        <v>689</v>
      </c>
      <c r="D1289" s="561" t="s">
        <v>1560</v>
      </c>
      <c r="E1289" s="561" t="s">
        <v>691</v>
      </c>
      <c r="F1289" s="563">
        <v>0</v>
      </c>
      <c r="G1289" s="564"/>
      <c r="H1289" s="561" t="s">
        <v>654</v>
      </c>
      <c r="I1289" s="565"/>
      <c r="J1289" s="565"/>
      <c r="K1289" s="563">
        <v>0</v>
      </c>
      <c r="L1289" s="566">
        <v>0</v>
      </c>
    </row>
    <row r="1290" spans="1:12" ht="22.5" x14ac:dyDescent="0.2">
      <c r="A1290" s="561" t="s">
        <v>94</v>
      </c>
      <c r="B1290" s="562">
        <v>2021</v>
      </c>
      <c r="C1290" s="561" t="s">
        <v>692</v>
      </c>
      <c r="D1290" s="561" t="s">
        <v>1561</v>
      </c>
      <c r="E1290" s="561" t="s">
        <v>50</v>
      </c>
      <c r="F1290" s="563">
        <v>-22415</v>
      </c>
      <c r="G1290" s="564"/>
      <c r="H1290" s="561" t="s">
        <v>654</v>
      </c>
      <c r="I1290" s="565"/>
      <c r="J1290" s="565"/>
      <c r="K1290" s="563">
        <v>0</v>
      </c>
      <c r="L1290" s="566">
        <v>-22415</v>
      </c>
    </row>
    <row r="1291" spans="1:12" ht="22.5" x14ac:dyDescent="0.2">
      <c r="A1291" s="561" t="s">
        <v>94</v>
      </c>
      <c r="B1291" s="562">
        <v>2021</v>
      </c>
      <c r="C1291" s="561" t="s">
        <v>694</v>
      </c>
      <c r="D1291" s="561" t="s">
        <v>1562</v>
      </c>
      <c r="E1291" s="561" t="s">
        <v>696</v>
      </c>
      <c r="F1291" s="563">
        <v>0</v>
      </c>
      <c r="G1291" s="564"/>
      <c r="H1291" s="561" t="s">
        <v>654</v>
      </c>
      <c r="I1291" s="565"/>
      <c r="J1291" s="565"/>
      <c r="K1291" s="563">
        <v>0</v>
      </c>
      <c r="L1291" s="566">
        <v>0</v>
      </c>
    </row>
    <row r="1292" spans="1:12" ht="22.5" x14ac:dyDescent="0.2">
      <c r="A1292" s="561" t="s">
        <v>94</v>
      </c>
      <c r="B1292" s="562">
        <v>2021</v>
      </c>
      <c r="C1292" s="561" t="s">
        <v>697</v>
      </c>
      <c r="D1292" s="561" t="s">
        <v>1563</v>
      </c>
      <c r="E1292" s="561" t="s">
        <v>6</v>
      </c>
      <c r="F1292" s="563">
        <v>0</v>
      </c>
      <c r="G1292" s="564"/>
      <c r="H1292" s="561" t="s">
        <v>654</v>
      </c>
      <c r="I1292" s="565"/>
      <c r="J1292" s="565"/>
      <c r="K1292" s="563">
        <v>0</v>
      </c>
      <c r="L1292" s="566">
        <v>0</v>
      </c>
    </row>
    <row r="1293" spans="1:12" ht="33.75" x14ac:dyDescent="0.2">
      <c r="A1293" s="561" t="s">
        <v>94</v>
      </c>
      <c r="B1293" s="562">
        <v>2021</v>
      </c>
      <c r="C1293" s="561" t="s">
        <v>699</v>
      </c>
      <c r="D1293" s="561" t="s">
        <v>1564</v>
      </c>
      <c r="E1293" s="561" t="s">
        <v>701</v>
      </c>
      <c r="F1293" s="563">
        <v>0</v>
      </c>
      <c r="G1293" s="564"/>
      <c r="H1293" s="561" t="s">
        <v>654</v>
      </c>
      <c r="I1293" s="565"/>
      <c r="J1293" s="565"/>
      <c r="K1293" s="563">
        <v>0</v>
      </c>
      <c r="L1293" s="566">
        <v>0</v>
      </c>
    </row>
    <row r="1294" spans="1:12" ht="22.5" x14ac:dyDescent="0.2">
      <c r="A1294" s="561" t="s">
        <v>94</v>
      </c>
      <c r="B1294" s="562">
        <v>2021</v>
      </c>
      <c r="C1294" s="561" t="s">
        <v>702</v>
      </c>
      <c r="D1294" s="561" t="s">
        <v>1565</v>
      </c>
      <c r="E1294" s="561" t="s">
        <v>704</v>
      </c>
      <c r="F1294" s="563">
        <v>-8622</v>
      </c>
      <c r="G1294" s="564"/>
      <c r="H1294" s="561" t="s">
        <v>654</v>
      </c>
      <c r="I1294" s="565"/>
      <c r="J1294" s="565"/>
      <c r="K1294" s="563">
        <v>0</v>
      </c>
      <c r="L1294" s="566">
        <v>-8622</v>
      </c>
    </row>
    <row r="1295" spans="1:12" ht="33.75" x14ac:dyDescent="0.2">
      <c r="A1295" s="561" t="s">
        <v>94</v>
      </c>
      <c r="B1295" s="562">
        <v>2021</v>
      </c>
      <c r="C1295" s="561" t="s">
        <v>705</v>
      </c>
      <c r="D1295" s="561" t="s">
        <v>1566</v>
      </c>
      <c r="E1295" s="561" t="s">
        <v>1</v>
      </c>
      <c r="F1295" s="563">
        <v>-22506.57</v>
      </c>
      <c r="G1295" s="561" t="s">
        <v>654</v>
      </c>
      <c r="H1295" s="564"/>
      <c r="I1295" s="563">
        <v>-22400.060546875</v>
      </c>
      <c r="J1295" s="563">
        <v>-106.51000213623</v>
      </c>
      <c r="K1295" s="563">
        <v>-22506.5703125</v>
      </c>
      <c r="L1295" s="566">
        <v>-22506.57</v>
      </c>
    </row>
    <row r="1296" spans="1:12" ht="22.5" x14ac:dyDescent="0.2">
      <c r="A1296" s="561" t="s">
        <v>94</v>
      </c>
      <c r="B1296" s="562">
        <v>2021</v>
      </c>
      <c r="C1296" s="561" t="s">
        <v>705</v>
      </c>
      <c r="D1296" s="561" t="s">
        <v>1566</v>
      </c>
      <c r="E1296" s="561" t="s">
        <v>707</v>
      </c>
      <c r="F1296" s="563">
        <v>0</v>
      </c>
      <c r="G1296" s="564"/>
      <c r="H1296" s="564"/>
      <c r="I1296" s="565"/>
      <c r="J1296" s="565"/>
      <c r="K1296" s="563">
        <v>0</v>
      </c>
      <c r="L1296" s="566">
        <v>0</v>
      </c>
    </row>
    <row r="1297" spans="1:12" ht="22.5" x14ac:dyDescent="0.2">
      <c r="A1297" s="561" t="s">
        <v>94</v>
      </c>
      <c r="B1297" s="562">
        <v>2021</v>
      </c>
      <c r="C1297" s="561" t="s">
        <v>705</v>
      </c>
      <c r="D1297" s="561" t="s">
        <v>1566</v>
      </c>
      <c r="E1297" s="561" t="s">
        <v>708</v>
      </c>
      <c r="F1297" s="563">
        <v>0</v>
      </c>
      <c r="G1297" s="564"/>
      <c r="H1297" s="564"/>
      <c r="I1297" s="565"/>
      <c r="J1297" s="565"/>
      <c r="K1297" s="563">
        <v>0</v>
      </c>
      <c r="L1297" s="566">
        <v>0</v>
      </c>
    </row>
    <row r="1298" spans="1:12" ht="22.5" x14ac:dyDescent="0.2">
      <c r="A1298" s="561" t="s">
        <v>94</v>
      </c>
      <c r="B1298" s="562">
        <v>2021</v>
      </c>
      <c r="C1298" s="561" t="s">
        <v>705</v>
      </c>
      <c r="D1298" s="561" t="s">
        <v>1566</v>
      </c>
      <c r="E1298" s="561" t="s">
        <v>709</v>
      </c>
      <c r="F1298" s="563">
        <v>0</v>
      </c>
      <c r="G1298" s="564"/>
      <c r="H1298" s="564"/>
      <c r="I1298" s="565"/>
      <c r="J1298" s="565"/>
      <c r="K1298" s="563">
        <v>0</v>
      </c>
      <c r="L1298" s="566">
        <v>0</v>
      </c>
    </row>
    <row r="1299" spans="1:12" ht="22.5" x14ac:dyDescent="0.2">
      <c r="A1299" s="561" t="s">
        <v>94</v>
      </c>
      <c r="B1299" s="562">
        <v>2021</v>
      </c>
      <c r="C1299" s="561" t="s">
        <v>705</v>
      </c>
      <c r="D1299" s="561" t="s">
        <v>1566</v>
      </c>
      <c r="E1299" s="561" t="s">
        <v>710</v>
      </c>
      <c r="F1299" s="563">
        <v>0</v>
      </c>
      <c r="G1299" s="564"/>
      <c r="H1299" s="564"/>
      <c r="I1299" s="565"/>
      <c r="J1299" s="565"/>
      <c r="K1299" s="563">
        <v>0</v>
      </c>
      <c r="L1299" s="566">
        <v>0</v>
      </c>
    </row>
    <row r="1300" spans="1:12" ht="15" x14ac:dyDescent="0.2">
      <c r="A1300" s="561" t="s">
        <v>94</v>
      </c>
      <c r="B1300" s="562">
        <v>2021</v>
      </c>
      <c r="C1300" s="561" t="s">
        <v>711</v>
      </c>
      <c r="D1300" s="561" t="s">
        <v>1567</v>
      </c>
      <c r="E1300" s="561" t="s">
        <v>713</v>
      </c>
      <c r="F1300" s="563">
        <v>0</v>
      </c>
      <c r="G1300" s="564"/>
      <c r="H1300" s="561" t="s">
        <v>654</v>
      </c>
      <c r="I1300" s="565"/>
      <c r="J1300" s="565"/>
      <c r="K1300" s="563">
        <v>0</v>
      </c>
      <c r="L1300" s="566">
        <v>0</v>
      </c>
    </row>
    <row r="1301" spans="1:12" ht="33.75" x14ac:dyDescent="0.2">
      <c r="A1301" s="561" t="s">
        <v>94</v>
      </c>
      <c r="B1301" s="562">
        <v>2021</v>
      </c>
      <c r="C1301" s="561" t="s">
        <v>714</v>
      </c>
      <c r="D1301" s="561" t="s">
        <v>1568</v>
      </c>
      <c r="E1301" s="561" t="s">
        <v>2</v>
      </c>
      <c r="F1301" s="563">
        <v>9575.07</v>
      </c>
      <c r="G1301" s="561" t="s">
        <v>654</v>
      </c>
      <c r="H1301" s="564"/>
      <c r="I1301" s="563">
        <v>9196.6904296875</v>
      </c>
      <c r="J1301" s="563">
        <v>378.38000488281301</v>
      </c>
      <c r="K1301" s="563">
        <v>9575.0703125</v>
      </c>
      <c r="L1301" s="566">
        <v>9575.07</v>
      </c>
    </row>
    <row r="1302" spans="1:12" ht="33.75" x14ac:dyDescent="0.2">
      <c r="A1302" s="561" t="s">
        <v>94</v>
      </c>
      <c r="B1302" s="562">
        <v>2021</v>
      </c>
      <c r="C1302" s="561" t="s">
        <v>716</v>
      </c>
      <c r="D1302" s="561" t="s">
        <v>1569</v>
      </c>
      <c r="E1302" s="561" t="s">
        <v>3</v>
      </c>
      <c r="F1302" s="563">
        <v>17432.830000000002</v>
      </c>
      <c r="G1302" s="561" t="s">
        <v>654</v>
      </c>
      <c r="H1302" s="564"/>
      <c r="I1302" s="563">
        <v>16932.349609375</v>
      </c>
      <c r="J1302" s="563">
        <v>500.48001098632801</v>
      </c>
      <c r="K1302" s="563">
        <v>17432.830078125</v>
      </c>
      <c r="L1302" s="566">
        <v>17432.830000000002</v>
      </c>
    </row>
    <row r="1303" spans="1:12" ht="33.75" x14ac:dyDescent="0.2">
      <c r="A1303" s="561" t="s">
        <v>94</v>
      </c>
      <c r="B1303" s="562">
        <v>2021</v>
      </c>
      <c r="C1303" s="561" t="s">
        <v>718</v>
      </c>
      <c r="D1303" s="561" t="s">
        <v>1570</v>
      </c>
      <c r="E1303" s="561" t="s">
        <v>38</v>
      </c>
      <c r="F1303" s="563">
        <v>-321617.87</v>
      </c>
      <c r="G1303" s="561" t="s">
        <v>654</v>
      </c>
      <c r="H1303" s="564"/>
      <c r="I1303" s="563">
        <v>-311465.96875</v>
      </c>
      <c r="J1303" s="563">
        <v>-10151.8896484375</v>
      </c>
      <c r="K1303" s="563">
        <v>-321617.875</v>
      </c>
      <c r="L1303" s="566">
        <v>-321617.87</v>
      </c>
    </row>
    <row r="1304" spans="1:12" ht="22.5" x14ac:dyDescent="0.2">
      <c r="A1304" s="561" t="s">
        <v>94</v>
      </c>
      <c r="B1304" s="562">
        <v>2021</v>
      </c>
      <c r="C1304" s="561" t="s">
        <v>720</v>
      </c>
      <c r="D1304" s="561" t="s">
        <v>1571</v>
      </c>
      <c r="E1304" s="561" t="s">
        <v>66</v>
      </c>
      <c r="F1304" s="563">
        <v>92340.39</v>
      </c>
      <c r="G1304" s="561" t="s">
        <v>654</v>
      </c>
      <c r="H1304" s="564"/>
      <c r="I1304" s="563">
        <v>82984.2265625</v>
      </c>
      <c r="J1304" s="563">
        <v>9356.16015625</v>
      </c>
      <c r="K1304" s="563">
        <v>92340.390625</v>
      </c>
      <c r="L1304" s="566">
        <v>92340.39</v>
      </c>
    </row>
    <row r="1305" spans="1:12" ht="45" x14ac:dyDescent="0.2">
      <c r="A1305" s="561" t="s">
        <v>94</v>
      </c>
      <c r="B1305" s="562">
        <v>2021</v>
      </c>
      <c r="C1305" s="561" t="s">
        <v>722</v>
      </c>
      <c r="D1305" s="561" t="s">
        <v>1572</v>
      </c>
      <c r="E1305" s="561" t="s">
        <v>724</v>
      </c>
      <c r="F1305" s="563">
        <v>27209.78</v>
      </c>
      <c r="G1305" s="564"/>
      <c r="H1305" s="561" t="s">
        <v>654</v>
      </c>
      <c r="I1305" s="565"/>
      <c r="J1305" s="565"/>
      <c r="K1305" s="563">
        <v>0</v>
      </c>
      <c r="L1305" s="566">
        <v>27209.78</v>
      </c>
    </row>
    <row r="1306" spans="1:12" ht="45" x14ac:dyDescent="0.2">
      <c r="A1306" s="561" t="s">
        <v>94</v>
      </c>
      <c r="B1306" s="562">
        <v>2021</v>
      </c>
      <c r="C1306" s="561" t="s">
        <v>725</v>
      </c>
      <c r="D1306" s="561" t="s">
        <v>1573</v>
      </c>
      <c r="E1306" s="561" t="s">
        <v>3024</v>
      </c>
      <c r="F1306" s="563">
        <v>0</v>
      </c>
      <c r="G1306" s="561" t="s">
        <v>654</v>
      </c>
      <c r="H1306" s="564"/>
      <c r="I1306" s="563">
        <v>74736.6484375</v>
      </c>
      <c r="J1306" s="563">
        <v>106574.71875</v>
      </c>
      <c r="K1306" s="563">
        <v>181311.375</v>
      </c>
      <c r="L1306" s="566">
        <v>181311.37</v>
      </c>
    </row>
    <row r="1307" spans="1:12" ht="45" x14ac:dyDescent="0.2">
      <c r="A1307" s="561" t="s">
        <v>94</v>
      </c>
      <c r="B1307" s="562">
        <v>2021</v>
      </c>
      <c r="C1307" s="561" t="s">
        <v>725</v>
      </c>
      <c r="D1307" s="561" t="s">
        <v>1573</v>
      </c>
      <c r="E1307" s="561" t="s">
        <v>3066</v>
      </c>
      <c r="F1307" s="563">
        <v>0</v>
      </c>
      <c r="G1307" s="561" t="s">
        <v>654</v>
      </c>
      <c r="H1307" s="564"/>
      <c r="I1307" s="563">
        <v>102671.3125</v>
      </c>
      <c r="J1307" s="563">
        <v>6684.25</v>
      </c>
      <c r="K1307" s="563">
        <v>109355.5625</v>
      </c>
      <c r="L1307" s="566">
        <v>109355.56</v>
      </c>
    </row>
    <row r="1308" spans="1:12" ht="45" x14ac:dyDescent="0.2">
      <c r="A1308" s="561" t="s">
        <v>94</v>
      </c>
      <c r="B1308" s="562">
        <v>2021</v>
      </c>
      <c r="C1308" s="561" t="s">
        <v>725</v>
      </c>
      <c r="D1308" s="561" t="s">
        <v>1574</v>
      </c>
      <c r="E1308" s="561" t="s">
        <v>728</v>
      </c>
      <c r="F1308" s="563">
        <v>0</v>
      </c>
      <c r="G1308" s="561" t="s">
        <v>654</v>
      </c>
      <c r="H1308" s="564"/>
      <c r="I1308" s="565"/>
      <c r="J1308" s="565"/>
      <c r="K1308" s="563">
        <v>0</v>
      </c>
      <c r="L1308" s="566">
        <v>0</v>
      </c>
    </row>
    <row r="1309" spans="1:12" ht="45" x14ac:dyDescent="0.2">
      <c r="A1309" s="561" t="s">
        <v>94</v>
      </c>
      <c r="B1309" s="562">
        <v>2021</v>
      </c>
      <c r="C1309" s="561" t="s">
        <v>725</v>
      </c>
      <c r="D1309" s="561" t="s">
        <v>1575</v>
      </c>
      <c r="E1309" s="561" t="s">
        <v>55</v>
      </c>
      <c r="F1309" s="563">
        <v>0</v>
      </c>
      <c r="G1309" s="561" t="s">
        <v>654</v>
      </c>
      <c r="H1309" s="564"/>
      <c r="I1309" s="565"/>
      <c r="J1309" s="565"/>
      <c r="K1309" s="563">
        <v>0</v>
      </c>
      <c r="L1309" s="566">
        <v>0</v>
      </c>
    </row>
    <row r="1310" spans="1:12" ht="45" x14ac:dyDescent="0.2">
      <c r="A1310" s="561" t="s">
        <v>94</v>
      </c>
      <c r="B1310" s="562">
        <v>2021</v>
      </c>
      <c r="C1310" s="561" t="s">
        <v>725</v>
      </c>
      <c r="D1310" s="561" t="s">
        <v>1576</v>
      </c>
      <c r="E1310" s="561" t="s">
        <v>56</v>
      </c>
      <c r="F1310" s="563">
        <v>0</v>
      </c>
      <c r="G1310" s="561" t="s">
        <v>654</v>
      </c>
      <c r="H1310" s="564"/>
      <c r="I1310" s="565"/>
      <c r="J1310" s="565"/>
      <c r="K1310" s="563">
        <v>0</v>
      </c>
      <c r="L1310" s="566">
        <v>0</v>
      </c>
    </row>
    <row r="1311" spans="1:12" ht="45" x14ac:dyDescent="0.2">
      <c r="A1311" s="561" t="s">
        <v>94</v>
      </c>
      <c r="B1311" s="562">
        <v>2021</v>
      </c>
      <c r="C1311" s="561" t="s">
        <v>725</v>
      </c>
      <c r="D1311" s="561" t="s">
        <v>1577</v>
      </c>
      <c r="E1311" s="561" t="s">
        <v>732</v>
      </c>
      <c r="F1311" s="563">
        <v>0</v>
      </c>
      <c r="G1311" s="561" t="s">
        <v>654</v>
      </c>
      <c r="H1311" s="564"/>
      <c r="I1311" s="565"/>
      <c r="J1311" s="565"/>
      <c r="K1311" s="563">
        <v>0</v>
      </c>
      <c r="L1311" s="566">
        <v>0</v>
      </c>
    </row>
    <row r="1312" spans="1:12" ht="45" x14ac:dyDescent="0.2">
      <c r="A1312" s="561" t="s">
        <v>94</v>
      </c>
      <c r="B1312" s="562">
        <v>2021</v>
      </c>
      <c r="C1312" s="561" t="s">
        <v>725</v>
      </c>
      <c r="D1312" s="561" t="s">
        <v>1578</v>
      </c>
      <c r="E1312" s="561" t="s">
        <v>734</v>
      </c>
      <c r="F1312" s="563">
        <v>0</v>
      </c>
      <c r="G1312" s="561" t="s">
        <v>654</v>
      </c>
      <c r="H1312" s="564"/>
      <c r="I1312" s="565"/>
      <c r="J1312" s="565"/>
      <c r="K1312" s="563">
        <v>0</v>
      </c>
      <c r="L1312" s="566">
        <v>0</v>
      </c>
    </row>
    <row r="1313" spans="1:12" ht="45" x14ac:dyDescent="0.2">
      <c r="A1313" s="561" t="s">
        <v>94</v>
      </c>
      <c r="B1313" s="562">
        <v>2021</v>
      </c>
      <c r="C1313" s="561" t="s">
        <v>725</v>
      </c>
      <c r="D1313" s="561" t="s">
        <v>1579</v>
      </c>
      <c r="E1313" s="561" t="s">
        <v>142</v>
      </c>
      <c r="F1313" s="563">
        <v>0</v>
      </c>
      <c r="G1313" s="561" t="s">
        <v>654</v>
      </c>
      <c r="H1313" s="564"/>
      <c r="I1313" s="565"/>
      <c r="J1313" s="565"/>
      <c r="K1313" s="563">
        <v>0</v>
      </c>
      <c r="L1313" s="566">
        <v>0</v>
      </c>
    </row>
    <row r="1314" spans="1:12" ht="45" x14ac:dyDescent="0.2">
      <c r="A1314" s="561" t="s">
        <v>94</v>
      </c>
      <c r="B1314" s="562">
        <v>2021</v>
      </c>
      <c r="C1314" s="561" t="s">
        <v>725</v>
      </c>
      <c r="D1314" s="561" t="s">
        <v>1580</v>
      </c>
      <c r="E1314" s="561" t="s">
        <v>143</v>
      </c>
      <c r="F1314" s="563">
        <v>0</v>
      </c>
      <c r="G1314" s="561" t="s">
        <v>654</v>
      </c>
      <c r="H1314" s="564"/>
      <c r="I1314" s="565"/>
      <c r="J1314" s="565"/>
      <c r="K1314" s="563">
        <v>0</v>
      </c>
      <c r="L1314" s="566">
        <v>0</v>
      </c>
    </row>
    <row r="1315" spans="1:12" ht="45" x14ac:dyDescent="0.2">
      <c r="A1315" s="561" t="s">
        <v>94</v>
      </c>
      <c r="B1315" s="562">
        <v>2021</v>
      </c>
      <c r="C1315" s="561" t="s">
        <v>725</v>
      </c>
      <c r="D1315" s="561" t="s">
        <v>1581</v>
      </c>
      <c r="E1315" s="561" t="s">
        <v>182</v>
      </c>
      <c r="F1315" s="563">
        <v>0</v>
      </c>
      <c r="G1315" s="561" t="s">
        <v>654</v>
      </c>
      <c r="H1315" s="564"/>
      <c r="I1315" s="565"/>
      <c r="J1315" s="565"/>
      <c r="K1315" s="563">
        <v>0</v>
      </c>
      <c r="L1315" s="566">
        <v>0</v>
      </c>
    </row>
    <row r="1316" spans="1:12" ht="45" x14ac:dyDescent="0.2">
      <c r="A1316" s="561" t="s">
        <v>94</v>
      </c>
      <c r="B1316" s="562">
        <v>2021</v>
      </c>
      <c r="C1316" s="561" t="s">
        <v>725</v>
      </c>
      <c r="D1316" s="561" t="s">
        <v>1582</v>
      </c>
      <c r="E1316" s="561" t="s">
        <v>394</v>
      </c>
      <c r="F1316" s="563">
        <v>0</v>
      </c>
      <c r="G1316" s="561" t="s">
        <v>654</v>
      </c>
      <c r="H1316" s="564"/>
      <c r="I1316" s="565"/>
      <c r="J1316" s="565"/>
      <c r="K1316" s="563">
        <v>0</v>
      </c>
      <c r="L1316" s="566">
        <v>0</v>
      </c>
    </row>
    <row r="1317" spans="1:12" ht="45" x14ac:dyDescent="0.2">
      <c r="A1317" s="561" t="s">
        <v>94</v>
      </c>
      <c r="B1317" s="562">
        <v>2021</v>
      </c>
      <c r="C1317" s="561" t="s">
        <v>725</v>
      </c>
      <c r="D1317" s="561" t="s">
        <v>1583</v>
      </c>
      <c r="E1317" s="561" t="s">
        <v>425</v>
      </c>
      <c r="F1317" s="563">
        <v>0</v>
      </c>
      <c r="G1317" s="561" t="s">
        <v>654</v>
      </c>
      <c r="H1317" s="564"/>
      <c r="I1317" s="565"/>
      <c r="J1317" s="565"/>
      <c r="K1317" s="563">
        <v>0</v>
      </c>
      <c r="L1317" s="566">
        <v>0</v>
      </c>
    </row>
    <row r="1318" spans="1:12" ht="45" x14ac:dyDescent="0.2">
      <c r="A1318" s="561" t="s">
        <v>94</v>
      </c>
      <c r="B1318" s="562">
        <v>2021</v>
      </c>
      <c r="C1318" s="561" t="s">
        <v>725</v>
      </c>
      <c r="D1318" s="561" t="s">
        <v>3268</v>
      </c>
      <c r="E1318" s="561" t="s">
        <v>443</v>
      </c>
      <c r="F1318" s="563">
        <v>0</v>
      </c>
      <c r="G1318" s="561" t="s">
        <v>654</v>
      </c>
      <c r="H1318" s="564"/>
      <c r="I1318" s="565"/>
      <c r="J1318" s="565"/>
      <c r="K1318" s="563">
        <v>0</v>
      </c>
      <c r="L1318" s="566">
        <v>0</v>
      </c>
    </row>
    <row r="1319" spans="1:12" ht="45" x14ac:dyDescent="0.2">
      <c r="A1319" s="561" t="s">
        <v>94</v>
      </c>
      <c r="B1319" s="562">
        <v>2021</v>
      </c>
      <c r="C1319" s="561" t="s">
        <v>725</v>
      </c>
      <c r="D1319" s="561" t="s">
        <v>1584</v>
      </c>
      <c r="E1319" s="561" t="s">
        <v>741</v>
      </c>
      <c r="F1319" s="563">
        <v>290666.93</v>
      </c>
      <c r="G1319" s="564"/>
      <c r="H1319" s="564"/>
      <c r="I1319" s="565"/>
      <c r="J1319" s="565"/>
      <c r="K1319" s="563">
        <v>0</v>
      </c>
      <c r="L1319" s="566">
        <v>290666.93</v>
      </c>
    </row>
    <row r="1320" spans="1:12" ht="22.5" x14ac:dyDescent="0.2">
      <c r="A1320" s="561" t="s">
        <v>94</v>
      </c>
      <c r="B1320" s="562">
        <v>2021</v>
      </c>
      <c r="C1320" s="561" t="s">
        <v>742</v>
      </c>
      <c r="D1320" s="561" t="s">
        <v>1585</v>
      </c>
      <c r="E1320" s="561" t="s">
        <v>7</v>
      </c>
      <c r="F1320" s="563">
        <v>0</v>
      </c>
      <c r="G1320" s="564"/>
      <c r="H1320" s="561" t="s">
        <v>654</v>
      </c>
      <c r="I1320" s="565"/>
      <c r="J1320" s="565"/>
      <c r="K1320" s="563">
        <v>0</v>
      </c>
      <c r="L1320" s="566">
        <v>0</v>
      </c>
    </row>
    <row r="1321" spans="1:12" ht="22.5" x14ac:dyDescent="0.2">
      <c r="A1321" s="561" t="s">
        <v>95</v>
      </c>
      <c r="B1321" s="562">
        <v>2021</v>
      </c>
      <c r="C1321" s="561" t="s">
        <v>651</v>
      </c>
      <c r="D1321" s="561" t="s">
        <v>1586</v>
      </c>
      <c r="E1321" s="561" t="s">
        <v>653</v>
      </c>
      <c r="F1321" s="563">
        <v>-33310.550000000003</v>
      </c>
      <c r="G1321" s="564"/>
      <c r="H1321" s="561" t="s">
        <v>654</v>
      </c>
      <c r="I1321" s="565"/>
      <c r="J1321" s="565"/>
      <c r="K1321" s="563">
        <v>0</v>
      </c>
      <c r="L1321" s="566">
        <v>-33310.550000000003</v>
      </c>
    </row>
    <row r="1322" spans="1:12" ht="15" x14ac:dyDescent="0.2">
      <c r="A1322" s="561" t="s">
        <v>95</v>
      </c>
      <c r="B1322" s="562">
        <v>2021</v>
      </c>
      <c r="C1322" s="561" t="s">
        <v>655</v>
      </c>
      <c r="D1322" s="561" t="s">
        <v>1587</v>
      </c>
      <c r="E1322" s="561" t="s">
        <v>657</v>
      </c>
      <c r="F1322" s="563">
        <v>-6464.13</v>
      </c>
      <c r="G1322" s="564"/>
      <c r="H1322" s="561" t="s">
        <v>654</v>
      </c>
      <c r="I1322" s="565"/>
      <c r="J1322" s="565"/>
      <c r="K1322" s="563">
        <v>0</v>
      </c>
      <c r="L1322" s="566">
        <v>-6464.13</v>
      </c>
    </row>
    <row r="1323" spans="1:12" ht="56.25" x14ac:dyDescent="0.2">
      <c r="A1323" s="561" t="s">
        <v>95</v>
      </c>
      <c r="B1323" s="562">
        <v>2021</v>
      </c>
      <c r="C1323" s="561" t="s">
        <v>658</v>
      </c>
      <c r="D1323" s="561" t="s">
        <v>1588</v>
      </c>
      <c r="E1323" s="561" t="s">
        <v>447</v>
      </c>
      <c r="F1323" s="563">
        <v>0</v>
      </c>
      <c r="G1323" s="564"/>
      <c r="H1323" s="561" t="s">
        <v>654</v>
      </c>
      <c r="I1323" s="565"/>
      <c r="J1323" s="565"/>
      <c r="K1323" s="563">
        <v>0</v>
      </c>
      <c r="L1323" s="566">
        <v>0</v>
      </c>
    </row>
    <row r="1324" spans="1:12" ht="22.5" x14ac:dyDescent="0.2">
      <c r="A1324" s="561" t="s">
        <v>95</v>
      </c>
      <c r="B1324" s="562">
        <v>2021</v>
      </c>
      <c r="C1324" s="561" t="s">
        <v>660</v>
      </c>
      <c r="D1324" s="561" t="s">
        <v>1589</v>
      </c>
      <c r="E1324" s="561" t="s">
        <v>662</v>
      </c>
      <c r="F1324" s="563">
        <v>0</v>
      </c>
      <c r="G1324" s="564"/>
      <c r="H1324" s="561" t="s">
        <v>654</v>
      </c>
      <c r="I1324" s="565"/>
      <c r="J1324" s="565"/>
      <c r="K1324" s="563">
        <v>0</v>
      </c>
      <c r="L1324" s="566">
        <v>0</v>
      </c>
    </row>
    <row r="1325" spans="1:12" ht="33.75" x14ac:dyDescent="0.2">
      <c r="A1325" s="561" t="s">
        <v>95</v>
      </c>
      <c r="B1325" s="562">
        <v>2021</v>
      </c>
      <c r="C1325" s="561" t="s">
        <v>663</v>
      </c>
      <c r="D1325" s="561" t="s">
        <v>1590</v>
      </c>
      <c r="E1325" s="561" t="s">
        <v>665</v>
      </c>
      <c r="F1325" s="563">
        <v>0</v>
      </c>
      <c r="G1325" s="564"/>
      <c r="H1325" s="561" t="s">
        <v>654</v>
      </c>
      <c r="I1325" s="565"/>
      <c r="J1325" s="565"/>
      <c r="K1325" s="563">
        <v>0</v>
      </c>
      <c r="L1325" s="566">
        <v>0</v>
      </c>
    </row>
    <row r="1326" spans="1:12" ht="33.75" x14ac:dyDescent="0.2">
      <c r="A1326" s="561" t="s">
        <v>95</v>
      </c>
      <c r="B1326" s="562">
        <v>2021</v>
      </c>
      <c r="C1326" s="561" t="s">
        <v>666</v>
      </c>
      <c r="D1326" s="561" t="s">
        <v>1591</v>
      </c>
      <c r="E1326" s="561" t="s">
        <v>668</v>
      </c>
      <c r="F1326" s="563">
        <v>0</v>
      </c>
      <c r="G1326" s="564"/>
      <c r="H1326" s="561" t="s">
        <v>654</v>
      </c>
      <c r="I1326" s="565"/>
      <c r="J1326" s="565"/>
      <c r="K1326" s="563">
        <v>0</v>
      </c>
      <c r="L1326" s="566">
        <v>0</v>
      </c>
    </row>
    <row r="1327" spans="1:12" ht="56.25" x14ac:dyDescent="0.2">
      <c r="A1327" s="561" t="s">
        <v>95</v>
      </c>
      <c r="B1327" s="562">
        <v>2021</v>
      </c>
      <c r="C1327" s="561" t="s">
        <v>669</v>
      </c>
      <c r="D1327" s="561" t="s">
        <v>1592</v>
      </c>
      <c r="E1327" s="561" t="s">
        <v>671</v>
      </c>
      <c r="F1327" s="563">
        <v>0</v>
      </c>
      <c r="G1327" s="564"/>
      <c r="H1327" s="561" t="s">
        <v>654</v>
      </c>
      <c r="I1327" s="565"/>
      <c r="J1327" s="565"/>
      <c r="K1327" s="563">
        <v>0</v>
      </c>
      <c r="L1327" s="566">
        <v>0</v>
      </c>
    </row>
    <row r="1328" spans="1:12" ht="22.5" x14ac:dyDescent="0.2">
      <c r="A1328" s="561" t="s">
        <v>95</v>
      </c>
      <c r="B1328" s="562">
        <v>2021</v>
      </c>
      <c r="C1328" s="561" t="s">
        <v>672</v>
      </c>
      <c r="D1328" s="561" t="s">
        <v>1593</v>
      </c>
      <c r="E1328" s="561" t="s">
        <v>12</v>
      </c>
      <c r="F1328" s="563">
        <v>0</v>
      </c>
      <c r="G1328" s="564"/>
      <c r="H1328" s="561" t="s">
        <v>654</v>
      </c>
      <c r="I1328" s="565"/>
      <c r="J1328" s="565"/>
      <c r="K1328" s="563">
        <v>0</v>
      </c>
      <c r="L1328" s="566">
        <v>0</v>
      </c>
    </row>
    <row r="1329" spans="1:12" ht="22.5" x14ac:dyDescent="0.2">
      <c r="A1329" s="561" t="s">
        <v>95</v>
      </c>
      <c r="B1329" s="562">
        <v>2021</v>
      </c>
      <c r="C1329" s="561" t="s">
        <v>674</v>
      </c>
      <c r="D1329" s="561" t="s">
        <v>1594</v>
      </c>
      <c r="E1329" s="561" t="s">
        <v>13</v>
      </c>
      <c r="F1329" s="563">
        <v>0</v>
      </c>
      <c r="G1329" s="564"/>
      <c r="H1329" s="561" t="s">
        <v>654</v>
      </c>
      <c r="I1329" s="565"/>
      <c r="J1329" s="565"/>
      <c r="K1329" s="563">
        <v>0</v>
      </c>
      <c r="L1329" s="566">
        <v>0</v>
      </c>
    </row>
    <row r="1330" spans="1:12" ht="33.75" x14ac:dyDescent="0.2">
      <c r="A1330" s="561" t="s">
        <v>95</v>
      </c>
      <c r="B1330" s="562">
        <v>2021</v>
      </c>
      <c r="C1330" s="561" t="s">
        <v>676</v>
      </c>
      <c r="D1330" s="561" t="s">
        <v>1595</v>
      </c>
      <c r="E1330" s="561" t="s">
        <v>15</v>
      </c>
      <c r="F1330" s="563">
        <v>0</v>
      </c>
      <c r="G1330" s="564"/>
      <c r="H1330" s="561" t="s">
        <v>654</v>
      </c>
      <c r="I1330" s="565"/>
      <c r="J1330" s="565"/>
      <c r="K1330" s="563">
        <v>0</v>
      </c>
      <c r="L1330" s="566">
        <v>0</v>
      </c>
    </row>
    <row r="1331" spans="1:12" ht="15" x14ac:dyDescent="0.2">
      <c r="A1331" s="561" t="s">
        <v>95</v>
      </c>
      <c r="B1331" s="562">
        <v>2021</v>
      </c>
      <c r="C1331" s="561" t="s">
        <v>678</v>
      </c>
      <c r="D1331" s="561" t="s">
        <v>1596</v>
      </c>
      <c r="E1331" s="561" t="s">
        <v>680</v>
      </c>
      <c r="F1331" s="563">
        <v>12382.16</v>
      </c>
      <c r="G1331" s="564"/>
      <c r="H1331" s="561" t="s">
        <v>654</v>
      </c>
      <c r="I1331" s="565"/>
      <c r="J1331" s="565"/>
      <c r="K1331" s="563">
        <v>0</v>
      </c>
      <c r="L1331" s="566">
        <v>12382.16</v>
      </c>
    </row>
    <row r="1332" spans="1:12" ht="15" x14ac:dyDescent="0.2">
      <c r="A1332" s="561" t="s">
        <v>95</v>
      </c>
      <c r="B1332" s="562">
        <v>2021</v>
      </c>
      <c r="C1332" s="561" t="s">
        <v>681</v>
      </c>
      <c r="D1332" s="561" t="s">
        <v>1597</v>
      </c>
      <c r="E1332" s="561" t="s">
        <v>23</v>
      </c>
      <c r="F1332" s="563">
        <v>21948.62</v>
      </c>
      <c r="G1332" s="561" t="s">
        <v>654</v>
      </c>
      <c r="H1332" s="564"/>
      <c r="I1332" s="563">
        <v>21435.310546875</v>
      </c>
      <c r="J1332" s="563">
        <v>513.30999755859398</v>
      </c>
      <c r="K1332" s="563">
        <v>21948.619140625</v>
      </c>
      <c r="L1332" s="566">
        <v>21948.62</v>
      </c>
    </row>
    <row r="1333" spans="1:12" ht="33.75" x14ac:dyDescent="0.2">
      <c r="A1333" s="561" t="s">
        <v>95</v>
      </c>
      <c r="B1333" s="562">
        <v>2021</v>
      </c>
      <c r="C1333" s="561" t="s">
        <v>683</v>
      </c>
      <c r="D1333" s="561" t="s">
        <v>1598</v>
      </c>
      <c r="E1333" s="561" t="s">
        <v>131</v>
      </c>
      <c r="F1333" s="563">
        <v>-3819.15</v>
      </c>
      <c r="G1333" s="561" t="s">
        <v>654</v>
      </c>
      <c r="H1333" s="564"/>
      <c r="I1333" s="563">
        <v>-3801.28002929688</v>
      </c>
      <c r="J1333" s="563">
        <v>-17.870000839233398</v>
      </c>
      <c r="K1333" s="563">
        <v>-3819.14990234375</v>
      </c>
      <c r="L1333" s="566">
        <v>-3819.15</v>
      </c>
    </row>
    <row r="1334" spans="1:12" ht="33.75" x14ac:dyDescent="0.2">
      <c r="A1334" s="561" t="s">
        <v>95</v>
      </c>
      <c r="B1334" s="562">
        <v>2021</v>
      </c>
      <c r="C1334" s="561" t="s">
        <v>685</v>
      </c>
      <c r="D1334" s="561" t="s">
        <v>1599</v>
      </c>
      <c r="E1334" s="561" t="s">
        <v>687</v>
      </c>
      <c r="F1334" s="563">
        <v>-7666.04</v>
      </c>
      <c r="G1334" s="564"/>
      <c r="H1334" s="561" t="s">
        <v>654</v>
      </c>
      <c r="I1334" s="565"/>
      <c r="J1334" s="565"/>
      <c r="K1334" s="563">
        <v>0</v>
      </c>
      <c r="L1334" s="566">
        <v>-7666.04</v>
      </c>
    </row>
    <row r="1335" spans="1:12" ht="33.75" x14ac:dyDescent="0.2">
      <c r="A1335" s="561" t="s">
        <v>95</v>
      </c>
      <c r="B1335" s="562">
        <v>2021</v>
      </c>
      <c r="C1335" s="561" t="s">
        <v>685</v>
      </c>
      <c r="D1335" s="561" t="s">
        <v>1599</v>
      </c>
      <c r="E1335" s="561" t="s">
        <v>688</v>
      </c>
      <c r="F1335" s="563">
        <v>0</v>
      </c>
      <c r="G1335" s="564"/>
      <c r="H1335" s="561" t="s">
        <v>654</v>
      </c>
      <c r="I1335" s="565"/>
      <c r="J1335" s="565"/>
      <c r="K1335" s="563">
        <v>0</v>
      </c>
      <c r="L1335" s="566">
        <v>0</v>
      </c>
    </row>
    <row r="1336" spans="1:12" ht="22.5" x14ac:dyDescent="0.2">
      <c r="A1336" s="561" t="s">
        <v>95</v>
      </c>
      <c r="B1336" s="562">
        <v>2021</v>
      </c>
      <c r="C1336" s="561" t="s">
        <v>689</v>
      </c>
      <c r="D1336" s="561" t="s">
        <v>1600</v>
      </c>
      <c r="E1336" s="561" t="s">
        <v>691</v>
      </c>
      <c r="F1336" s="563">
        <v>0</v>
      </c>
      <c r="G1336" s="564"/>
      <c r="H1336" s="561" t="s">
        <v>654</v>
      </c>
      <c r="I1336" s="565"/>
      <c r="J1336" s="565"/>
      <c r="K1336" s="563">
        <v>0</v>
      </c>
      <c r="L1336" s="566">
        <v>0</v>
      </c>
    </row>
    <row r="1337" spans="1:12" ht="22.5" x14ac:dyDescent="0.2">
      <c r="A1337" s="561" t="s">
        <v>95</v>
      </c>
      <c r="B1337" s="562">
        <v>2021</v>
      </c>
      <c r="C1337" s="561" t="s">
        <v>692</v>
      </c>
      <c r="D1337" s="561" t="s">
        <v>1601</v>
      </c>
      <c r="E1337" s="561" t="s">
        <v>50</v>
      </c>
      <c r="F1337" s="563">
        <v>-5516.46</v>
      </c>
      <c r="G1337" s="564"/>
      <c r="H1337" s="561" t="s">
        <v>654</v>
      </c>
      <c r="I1337" s="565"/>
      <c r="J1337" s="565"/>
      <c r="K1337" s="563">
        <v>0</v>
      </c>
      <c r="L1337" s="566">
        <v>-5516.46</v>
      </c>
    </row>
    <row r="1338" spans="1:12" ht="22.5" x14ac:dyDescent="0.2">
      <c r="A1338" s="561" t="s">
        <v>95</v>
      </c>
      <c r="B1338" s="562">
        <v>2021</v>
      </c>
      <c r="C1338" s="561" t="s">
        <v>694</v>
      </c>
      <c r="D1338" s="561" t="s">
        <v>1602</v>
      </c>
      <c r="E1338" s="561" t="s">
        <v>696</v>
      </c>
      <c r="F1338" s="563">
        <v>0</v>
      </c>
      <c r="G1338" s="564"/>
      <c r="H1338" s="561" t="s">
        <v>654</v>
      </c>
      <c r="I1338" s="565"/>
      <c r="J1338" s="565"/>
      <c r="K1338" s="563">
        <v>0</v>
      </c>
      <c r="L1338" s="566">
        <v>0</v>
      </c>
    </row>
    <row r="1339" spans="1:12" ht="22.5" x14ac:dyDescent="0.2">
      <c r="A1339" s="561" t="s">
        <v>95</v>
      </c>
      <c r="B1339" s="562">
        <v>2021</v>
      </c>
      <c r="C1339" s="561" t="s">
        <v>697</v>
      </c>
      <c r="D1339" s="561" t="s">
        <v>1603</v>
      </c>
      <c r="E1339" s="561" t="s">
        <v>6</v>
      </c>
      <c r="F1339" s="563">
        <v>0</v>
      </c>
      <c r="G1339" s="564"/>
      <c r="H1339" s="561" t="s">
        <v>654</v>
      </c>
      <c r="I1339" s="565"/>
      <c r="J1339" s="565"/>
      <c r="K1339" s="563">
        <v>0</v>
      </c>
      <c r="L1339" s="566">
        <v>0</v>
      </c>
    </row>
    <row r="1340" spans="1:12" ht="33.75" x14ac:dyDescent="0.2">
      <c r="A1340" s="561" t="s">
        <v>95</v>
      </c>
      <c r="B1340" s="562">
        <v>2021</v>
      </c>
      <c r="C1340" s="561" t="s">
        <v>699</v>
      </c>
      <c r="D1340" s="561" t="s">
        <v>1604</v>
      </c>
      <c r="E1340" s="561" t="s">
        <v>701</v>
      </c>
      <c r="F1340" s="563">
        <v>0</v>
      </c>
      <c r="G1340" s="564"/>
      <c r="H1340" s="561" t="s">
        <v>654</v>
      </c>
      <c r="I1340" s="565"/>
      <c r="J1340" s="565"/>
      <c r="K1340" s="563">
        <v>0</v>
      </c>
      <c r="L1340" s="566">
        <v>0</v>
      </c>
    </row>
    <row r="1341" spans="1:12" ht="22.5" x14ac:dyDescent="0.2">
      <c r="A1341" s="561" t="s">
        <v>95</v>
      </c>
      <c r="B1341" s="562">
        <v>2021</v>
      </c>
      <c r="C1341" s="561" t="s">
        <v>702</v>
      </c>
      <c r="D1341" s="561" t="s">
        <v>1605</v>
      </c>
      <c r="E1341" s="561" t="s">
        <v>704</v>
      </c>
      <c r="F1341" s="563">
        <v>0</v>
      </c>
      <c r="G1341" s="564"/>
      <c r="H1341" s="561" t="s">
        <v>654</v>
      </c>
      <c r="I1341" s="565"/>
      <c r="J1341" s="565"/>
      <c r="K1341" s="563">
        <v>0</v>
      </c>
      <c r="L1341" s="566">
        <v>0</v>
      </c>
    </row>
    <row r="1342" spans="1:12" ht="33.75" x14ac:dyDescent="0.2">
      <c r="A1342" s="561" t="s">
        <v>95</v>
      </c>
      <c r="B1342" s="562">
        <v>2021</v>
      </c>
      <c r="C1342" s="561" t="s">
        <v>705</v>
      </c>
      <c r="D1342" s="561" t="s">
        <v>1606</v>
      </c>
      <c r="E1342" s="561" t="s">
        <v>1</v>
      </c>
      <c r="F1342" s="563">
        <v>-195809.21</v>
      </c>
      <c r="G1342" s="561" t="s">
        <v>654</v>
      </c>
      <c r="H1342" s="564"/>
      <c r="I1342" s="563">
        <v>-194053.171875</v>
      </c>
      <c r="J1342" s="563">
        <v>-1756.0400390625</v>
      </c>
      <c r="K1342" s="563">
        <v>-195809.203125</v>
      </c>
      <c r="L1342" s="566">
        <v>-195809.21</v>
      </c>
    </row>
    <row r="1343" spans="1:12" ht="22.5" x14ac:dyDescent="0.2">
      <c r="A1343" s="561" t="s">
        <v>95</v>
      </c>
      <c r="B1343" s="562">
        <v>2021</v>
      </c>
      <c r="C1343" s="561" t="s">
        <v>705</v>
      </c>
      <c r="D1343" s="561" t="s">
        <v>1606</v>
      </c>
      <c r="E1343" s="561" t="s">
        <v>707</v>
      </c>
      <c r="F1343" s="563">
        <v>-0.08</v>
      </c>
      <c r="G1343" s="564"/>
      <c r="H1343" s="564"/>
      <c r="I1343" s="565"/>
      <c r="J1343" s="565"/>
      <c r="K1343" s="563">
        <v>0</v>
      </c>
      <c r="L1343" s="566">
        <v>-0.08</v>
      </c>
    </row>
    <row r="1344" spans="1:12" ht="22.5" x14ac:dyDescent="0.2">
      <c r="A1344" s="561" t="s">
        <v>95</v>
      </c>
      <c r="B1344" s="562">
        <v>2021</v>
      </c>
      <c r="C1344" s="561" t="s">
        <v>705</v>
      </c>
      <c r="D1344" s="561" t="s">
        <v>1606</v>
      </c>
      <c r="E1344" s="561" t="s">
        <v>708</v>
      </c>
      <c r="F1344" s="563">
        <v>-117.47</v>
      </c>
      <c r="G1344" s="564"/>
      <c r="H1344" s="564"/>
      <c r="I1344" s="565"/>
      <c r="J1344" s="565"/>
      <c r="K1344" s="563">
        <v>0</v>
      </c>
      <c r="L1344" s="566">
        <v>-117.47</v>
      </c>
    </row>
    <row r="1345" spans="1:12" ht="22.5" x14ac:dyDescent="0.2">
      <c r="A1345" s="561" t="s">
        <v>95</v>
      </c>
      <c r="B1345" s="562">
        <v>2021</v>
      </c>
      <c r="C1345" s="561" t="s">
        <v>705</v>
      </c>
      <c r="D1345" s="561" t="s">
        <v>1606</v>
      </c>
      <c r="E1345" s="561" t="s">
        <v>709</v>
      </c>
      <c r="F1345" s="563">
        <v>-2179.66</v>
      </c>
      <c r="G1345" s="564"/>
      <c r="H1345" s="564"/>
      <c r="I1345" s="565"/>
      <c r="J1345" s="565"/>
      <c r="K1345" s="563">
        <v>0</v>
      </c>
      <c r="L1345" s="566">
        <v>-2179.66</v>
      </c>
    </row>
    <row r="1346" spans="1:12" ht="22.5" x14ac:dyDescent="0.2">
      <c r="A1346" s="561" t="s">
        <v>95</v>
      </c>
      <c r="B1346" s="562">
        <v>2021</v>
      </c>
      <c r="C1346" s="561" t="s">
        <v>705</v>
      </c>
      <c r="D1346" s="561" t="s">
        <v>1606</v>
      </c>
      <c r="E1346" s="561" t="s">
        <v>710</v>
      </c>
      <c r="F1346" s="563">
        <v>-55381.03</v>
      </c>
      <c r="G1346" s="564"/>
      <c r="H1346" s="564"/>
      <c r="I1346" s="565"/>
      <c r="J1346" s="565"/>
      <c r="K1346" s="563">
        <v>0</v>
      </c>
      <c r="L1346" s="566">
        <v>-55381.03</v>
      </c>
    </row>
    <row r="1347" spans="1:12" ht="15" x14ac:dyDescent="0.2">
      <c r="A1347" s="561" t="s">
        <v>95</v>
      </c>
      <c r="B1347" s="562">
        <v>2021</v>
      </c>
      <c r="C1347" s="561" t="s">
        <v>711</v>
      </c>
      <c r="D1347" s="561" t="s">
        <v>1607</v>
      </c>
      <c r="E1347" s="561" t="s">
        <v>713</v>
      </c>
      <c r="F1347" s="563">
        <v>0</v>
      </c>
      <c r="G1347" s="564"/>
      <c r="H1347" s="561" t="s">
        <v>654</v>
      </c>
      <c r="I1347" s="565"/>
      <c r="J1347" s="565"/>
      <c r="K1347" s="563">
        <v>0</v>
      </c>
      <c r="L1347" s="566">
        <v>0</v>
      </c>
    </row>
    <row r="1348" spans="1:12" ht="33.75" x14ac:dyDescent="0.2">
      <c r="A1348" s="561" t="s">
        <v>95</v>
      </c>
      <c r="B1348" s="562">
        <v>2021</v>
      </c>
      <c r="C1348" s="561" t="s">
        <v>714</v>
      </c>
      <c r="D1348" s="561" t="s">
        <v>1608</v>
      </c>
      <c r="E1348" s="561" t="s">
        <v>2</v>
      </c>
      <c r="F1348" s="563">
        <v>-7188.36</v>
      </c>
      <c r="G1348" s="561" t="s">
        <v>654</v>
      </c>
      <c r="H1348" s="564"/>
      <c r="I1348" s="563">
        <v>-7217.52001953125</v>
      </c>
      <c r="J1348" s="563">
        <v>29.159999847412099</v>
      </c>
      <c r="K1348" s="563">
        <v>-7188.35986328125</v>
      </c>
      <c r="L1348" s="566">
        <v>-7188.36</v>
      </c>
    </row>
    <row r="1349" spans="1:12" ht="33.75" x14ac:dyDescent="0.2">
      <c r="A1349" s="561" t="s">
        <v>95</v>
      </c>
      <c r="B1349" s="562">
        <v>2021</v>
      </c>
      <c r="C1349" s="561" t="s">
        <v>716</v>
      </c>
      <c r="D1349" s="561" t="s">
        <v>1609</v>
      </c>
      <c r="E1349" s="561" t="s">
        <v>3</v>
      </c>
      <c r="F1349" s="563">
        <v>-31518.34</v>
      </c>
      <c r="G1349" s="561" t="s">
        <v>654</v>
      </c>
      <c r="H1349" s="564"/>
      <c r="I1349" s="563">
        <v>-30854.689453125</v>
      </c>
      <c r="J1349" s="563">
        <v>-663.65002441406295</v>
      </c>
      <c r="K1349" s="563">
        <v>-31518.33984375</v>
      </c>
      <c r="L1349" s="566">
        <v>-31518.34</v>
      </c>
    </row>
    <row r="1350" spans="1:12" ht="33.75" x14ac:dyDescent="0.2">
      <c r="A1350" s="561" t="s">
        <v>95</v>
      </c>
      <c r="B1350" s="562">
        <v>2021</v>
      </c>
      <c r="C1350" s="561" t="s">
        <v>718</v>
      </c>
      <c r="D1350" s="561" t="s">
        <v>1610</v>
      </c>
      <c r="E1350" s="561" t="s">
        <v>38</v>
      </c>
      <c r="F1350" s="563">
        <v>-1229139.4099999999</v>
      </c>
      <c r="G1350" s="561" t="s">
        <v>654</v>
      </c>
      <c r="H1350" s="564"/>
      <c r="I1350" s="563">
        <v>-1240342.75</v>
      </c>
      <c r="J1350" s="563">
        <v>11203.3603515625</v>
      </c>
      <c r="K1350" s="563">
        <v>-1229139.375</v>
      </c>
      <c r="L1350" s="566">
        <v>-1229139.4099999999</v>
      </c>
    </row>
    <row r="1351" spans="1:12" ht="22.5" x14ac:dyDescent="0.2">
      <c r="A1351" s="561" t="s">
        <v>95</v>
      </c>
      <c r="B1351" s="562">
        <v>2021</v>
      </c>
      <c r="C1351" s="561" t="s">
        <v>720</v>
      </c>
      <c r="D1351" s="561" t="s">
        <v>1611</v>
      </c>
      <c r="E1351" s="561" t="s">
        <v>66</v>
      </c>
      <c r="F1351" s="563">
        <v>32124.38</v>
      </c>
      <c r="G1351" s="561" t="s">
        <v>654</v>
      </c>
      <c r="H1351" s="564"/>
      <c r="I1351" s="563">
        <v>80819.3671875</v>
      </c>
      <c r="J1351" s="563">
        <v>-48694.98828125</v>
      </c>
      <c r="K1351" s="563">
        <v>32124.380859375</v>
      </c>
      <c r="L1351" s="566">
        <v>32124.38</v>
      </c>
    </row>
    <row r="1352" spans="1:12" ht="45" x14ac:dyDescent="0.2">
      <c r="A1352" s="561" t="s">
        <v>95</v>
      </c>
      <c r="B1352" s="562">
        <v>2021</v>
      </c>
      <c r="C1352" s="561" t="s">
        <v>722</v>
      </c>
      <c r="D1352" s="561" t="s">
        <v>1612</v>
      </c>
      <c r="E1352" s="561" t="s">
        <v>724</v>
      </c>
      <c r="F1352" s="563">
        <v>0</v>
      </c>
      <c r="G1352" s="564"/>
      <c r="H1352" s="561" t="s">
        <v>654</v>
      </c>
      <c r="I1352" s="565"/>
      <c r="J1352" s="565"/>
      <c r="K1352" s="563">
        <v>0</v>
      </c>
      <c r="L1352" s="566">
        <v>0</v>
      </c>
    </row>
    <row r="1353" spans="1:12" ht="45" x14ac:dyDescent="0.2">
      <c r="A1353" s="561" t="s">
        <v>95</v>
      </c>
      <c r="B1353" s="562">
        <v>2021</v>
      </c>
      <c r="C1353" s="561" t="s">
        <v>725</v>
      </c>
      <c r="D1353" s="561" t="s">
        <v>1613</v>
      </c>
      <c r="E1353" s="561" t="s">
        <v>3024</v>
      </c>
      <c r="F1353" s="563">
        <v>0</v>
      </c>
      <c r="G1353" s="561" t="s">
        <v>654</v>
      </c>
      <c r="H1353" s="564"/>
      <c r="I1353" s="563">
        <v>1336.92004394531</v>
      </c>
      <c r="J1353" s="563">
        <v>-639.29998779296898</v>
      </c>
      <c r="K1353" s="563">
        <v>697.61999511718795</v>
      </c>
      <c r="L1353" s="566">
        <v>697.62</v>
      </c>
    </row>
    <row r="1354" spans="1:12" ht="45" x14ac:dyDescent="0.2">
      <c r="A1354" s="561" t="s">
        <v>95</v>
      </c>
      <c r="B1354" s="562">
        <v>2021</v>
      </c>
      <c r="C1354" s="561" t="s">
        <v>725</v>
      </c>
      <c r="D1354" s="561" t="s">
        <v>1613</v>
      </c>
      <c r="E1354" s="561" t="s">
        <v>3066</v>
      </c>
      <c r="F1354" s="563">
        <v>0</v>
      </c>
      <c r="G1354" s="561" t="s">
        <v>654</v>
      </c>
      <c r="H1354" s="564"/>
      <c r="I1354" s="563">
        <v>-23983.5703125</v>
      </c>
      <c r="J1354" s="563">
        <v>-993.44000244140602</v>
      </c>
      <c r="K1354" s="563">
        <v>-24977.009765625</v>
      </c>
      <c r="L1354" s="566">
        <v>-24977.01</v>
      </c>
    </row>
    <row r="1355" spans="1:12" ht="45" x14ac:dyDescent="0.2">
      <c r="A1355" s="561" t="s">
        <v>95</v>
      </c>
      <c r="B1355" s="562">
        <v>2021</v>
      </c>
      <c r="C1355" s="561" t="s">
        <v>725</v>
      </c>
      <c r="D1355" s="561" t="s">
        <v>1614</v>
      </c>
      <c r="E1355" s="561" t="s">
        <v>728</v>
      </c>
      <c r="F1355" s="563">
        <v>0</v>
      </c>
      <c r="G1355" s="561" t="s">
        <v>654</v>
      </c>
      <c r="H1355" s="564"/>
      <c r="I1355" s="565"/>
      <c r="J1355" s="565"/>
      <c r="K1355" s="563">
        <v>0</v>
      </c>
      <c r="L1355" s="566">
        <v>0</v>
      </c>
    </row>
    <row r="1356" spans="1:12" ht="45" x14ac:dyDescent="0.2">
      <c r="A1356" s="561" t="s">
        <v>95</v>
      </c>
      <c r="B1356" s="562">
        <v>2021</v>
      </c>
      <c r="C1356" s="561" t="s">
        <v>725</v>
      </c>
      <c r="D1356" s="561" t="s">
        <v>1615</v>
      </c>
      <c r="E1356" s="561" t="s">
        <v>55</v>
      </c>
      <c r="F1356" s="563">
        <v>0</v>
      </c>
      <c r="G1356" s="561" t="s">
        <v>654</v>
      </c>
      <c r="H1356" s="564"/>
      <c r="I1356" s="565"/>
      <c r="J1356" s="565"/>
      <c r="K1356" s="563">
        <v>0</v>
      </c>
      <c r="L1356" s="566">
        <v>0</v>
      </c>
    </row>
    <row r="1357" spans="1:12" ht="45" x14ac:dyDescent="0.2">
      <c r="A1357" s="561" t="s">
        <v>95</v>
      </c>
      <c r="B1357" s="562">
        <v>2021</v>
      </c>
      <c r="C1357" s="561" t="s">
        <v>725</v>
      </c>
      <c r="D1357" s="561" t="s">
        <v>1616</v>
      </c>
      <c r="E1357" s="561" t="s">
        <v>56</v>
      </c>
      <c r="F1357" s="563">
        <v>0</v>
      </c>
      <c r="G1357" s="561" t="s">
        <v>654</v>
      </c>
      <c r="H1357" s="564"/>
      <c r="I1357" s="565"/>
      <c r="J1357" s="565"/>
      <c r="K1357" s="563">
        <v>0</v>
      </c>
      <c r="L1357" s="566">
        <v>0</v>
      </c>
    </row>
    <row r="1358" spans="1:12" ht="45" x14ac:dyDescent="0.2">
      <c r="A1358" s="561" t="s">
        <v>95</v>
      </c>
      <c r="B1358" s="562">
        <v>2021</v>
      </c>
      <c r="C1358" s="561" t="s">
        <v>725</v>
      </c>
      <c r="D1358" s="561" t="s">
        <v>1617</v>
      </c>
      <c r="E1358" s="561" t="s">
        <v>732</v>
      </c>
      <c r="F1358" s="563">
        <v>0</v>
      </c>
      <c r="G1358" s="561" t="s">
        <v>654</v>
      </c>
      <c r="H1358" s="564"/>
      <c r="I1358" s="565"/>
      <c r="J1358" s="565"/>
      <c r="K1358" s="563">
        <v>0</v>
      </c>
      <c r="L1358" s="566">
        <v>0</v>
      </c>
    </row>
    <row r="1359" spans="1:12" ht="45" x14ac:dyDescent="0.2">
      <c r="A1359" s="561" t="s">
        <v>95</v>
      </c>
      <c r="B1359" s="562">
        <v>2021</v>
      </c>
      <c r="C1359" s="561" t="s">
        <v>725</v>
      </c>
      <c r="D1359" s="561" t="s">
        <v>1618</v>
      </c>
      <c r="E1359" s="561" t="s">
        <v>734</v>
      </c>
      <c r="F1359" s="563">
        <v>0</v>
      </c>
      <c r="G1359" s="561" t="s">
        <v>654</v>
      </c>
      <c r="H1359" s="564"/>
      <c r="I1359" s="565"/>
      <c r="J1359" s="565"/>
      <c r="K1359" s="563">
        <v>0</v>
      </c>
      <c r="L1359" s="566">
        <v>0</v>
      </c>
    </row>
    <row r="1360" spans="1:12" ht="45" x14ac:dyDescent="0.2">
      <c r="A1360" s="561" t="s">
        <v>95</v>
      </c>
      <c r="B1360" s="562">
        <v>2021</v>
      </c>
      <c r="C1360" s="561" t="s">
        <v>725</v>
      </c>
      <c r="D1360" s="561" t="s">
        <v>1619</v>
      </c>
      <c r="E1360" s="561" t="s">
        <v>142</v>
      </c>
      <c r="F1360" s="563">
        <v>0</v>
      </c>
      <c r="G1360" s="561" t="s">
        <v>654</v>
      </c>
      <c r="H1360" s="564"/>
      <c r="I1360" s="565"/>
      <c r="J1360" s="565"/>
      <c r="K1360" s="563">
        <v>0</v>
      </c>
      <c r="L1360" s="566">
        <v>0</v>
      </c>
    </row>
    <row r="1361" spans="1:12" ht="45" x14ac:dyDescent="0.2">
      <c r="A1361" s="561" t="s">
        <v>95</v>
      </c>
      <c r="B1361" s="562">
        <v>2021</v>
      </c>
      <c r="C1361" s="561" t="s">
        <v>725</v>
      </c>
      <c r="D1361" s="561" t="s">
        <v>1620</v>
      </c>
      <c r="E1361" s="561" t="s">
        <v>143</v>
      </c>
      <c r="F1361" s="563">
        <v>0</v>
      </c>
      <c r="G1361" s="561" t="s">
        <v>654</v>
      </c>
      <c r="H1361" s="564"/>
      <c r="I1361" s="565"/>
      <c r="J1361" s="565"/>
      <c r="K1361" s="563">
        <v>0</v>
      </c>
      <c r="L1361" s="566">
        <v>0</v>
      </c>
    </row>
    <row r="1362" spans="1:12" ht="45" x14ac:dyDescent="0.2">
      <c r="A1362" s="561" t="s">
        <v>95</v>
      </c>
      <c r="B1362" s="562">
        <v>2021</v>
      </c>
      <c r="C1362" s="561" t="s">
        <v>725</v>
      </c>
      <c r="D1362" s="561" t="s">
        <v>1621</v>
      </c>
      <c r="E1362" s="561" t="s">
        <v>182</v>
      </c>
      <c r="F1362" s="563">
        <v>0</v>
      </c>
      <c r="G1362" s="561" t="s">
        <v>654</v>
      </c>
      <c r="H1362" s="564"/>
      <c r="I1362" s="565"/>
      <c r="J1362" s="565"/>
      <c r="K1362" s="563">
        <v>0</v>
      </c>
      <c r="L1362" s="566">
        <v>0</v>
      </c>
    </row>
    <row r="1363" spans="1:12" ht="45" x14ac:dyDescent="0.2">
      <c r="A1363" s="561" t="s">
        <v>95</v>
      </c>
      <c r="B1363" s="562">
        <v>2021</v>
      </c>
      <c r="C1363" s="561" t="s">
        <v>725</v>
      </c>
      <c r="D1363" s="561" t="s">
        <v>1622</v>
      </c>
      <c r="E1363" s="561" t="s">
        <v>394</v>
      </c>
      <c r="F1363" s="563">
        <v>0</v>
      </c>
      <c r="G1363" s="561" t="s">
        <v>654</v>
      </c>
      <c r="H1363" s="564"/>
      <c r="I1363" s="565"/>
      <c r="J1363" s="565"/>
      <c r="K1363" s="563">
        <v>0</v>
      </c>
      <c r="L1363" s="566">
        <v>0</v>
      </c>
    </row>
    <row r="1364" spans="1:12" ht="45" x14ac:dyDescent="0.2">
      <c r="A1364" s="561" t="s">
        <v>95</v>
      </c>
      <c r="B1364" s="562">
        <v>2021</v>
      </c>
      <c r="C1364" s="561" t="s">
        <v>725</v>
      </c>
      <c r="D1364" s="561" t="s">
        <v>1623</v>
      </c>
      <c r="E1364" s="561" t="s">
        <v>425</v>
      </c>
      <c r="F1364" s="563">
        <v>0</v>
      </c>
      <c r="G1364" s="561" t="s">
        <v>654</v>
      </c>
      <c r="H1364" s="564"/>
      <c r="I1364" s="565"/>
      <c r="J1364" s="565"/>
      <c r="K1364" s="563">
        <v>0</v>
      </c>
      <c r="L1364" s="566">
        <v>0</v>
      </c>
    </row>
    <row r="1365" spans="1:12" ht="45" x14ac:dyDescent="0.2">
      <c r="A1365" s="561" t="s">
        <v>95</v>
      </c>
      <c r="B1365" s="562">
        <v>2021</v>
      </c>
      <c r="C1365" s="561" t="s">
        <v>725</v>
      </c>
      <c r="D1365" s="561" t="s">
        <v>3269</v>
      </c>
      <c r="E1365" s="561" t="s">
        <v>443</v>
      </c>
      <c r="F1365" s="563">
        <v>0</v>
      </c>
      <c r="G1365" s="561" t="s">
        <v>654</v>
      </c>
      <c r="H1365" s="564"/>
      <c r="I1365" s="563">
        <v>-71669.421875</v>
      </c>
      <c r="J1365" s="563">
        <v>-6520.66015625</v>
      </c>
      <c r="K1365" s="563">
        <v>-78190.078125</v>
      </c>
      <c r="L1365" s="566">
        <v>-78190.080000000002</v>
      </c>
    </row>
    <row r="1366" spans="1:12" ht="45" x14ac:dyDescent="0.2">
      <c r="A1366" s="561" t="s">
        <v>95</v>
      </c>
      <c r="B1366" s="562">
        <v>2021</v>
      </c>
      <c r="C1366" s="561" t="s">
        <v>725</v>
      </c>
      <c r="D1366" s="561" t="s">
        <v>1624</v>
      </c>
      <c r="E1366" s="561" t="s">
        <v>741</v>
      </c>
      <c r="F1366" s="563">
        <v>-102469.47</v>
      </c>
      <c r="G1366" s="564"/>
      <c r="H1366" s="564"/>
      <c r="I1366" s="565"/>
      <c r="J1366" s="565"/>
      <c r="K1366" s="563">
        <v>0</v>
      </c>
      <c r="L1366" s="566">
        <v>-102469.47</v>
      </c>
    </row>
    <row r="1367" spans="1:12" ht="22.5" x14ac:dyDescent="0.2">
      <c r="A1367" s="561" t="s">
        <v>95</v>
      </c>
      <c r="B1367" s="562">
        <v>2021</v>
      </c>
      <c r="C1367" s="561" t="s">
        <v>742</v>
      </c>
      <c r="D1367" s="561" t="s">
        <v>1625</v>
      </c>
      <c r="E1367" s="561" t="s">
        <v>7</v>
      </c>
      <c r="F1367" s="563">
        <v>0</v>
      </c>
      <c r="G1367" s="564"/>
      <c r="H1367" s="561" t="s">
        <v>654</v>
      </c>
      <c r="I1367" s="565"/>
      <c r="J1367" s="565"/>
      <c r="K1367" s="563">
        <v>0</v>
      </c>
      <c r="L1367" s="566">
        <v>0</v>
      </c>
    </row>
    <row r="1368" spans="1:12" ht="22.5" x14ac:dyDescent="0.2">
      <c r="A1368" s="561" t="s">
        <v>96</v>
      </c>
      <c r="B1368" s="562">
        <v>2021</v>
      </c>
      <c r="C1368" s="561" t="s">
        <v>651</v>
      </c>
      <c r="D1368" s="561" t="s">
        <v>1626</v>
      </c>
      <c r="E1368" s="561" t="s">
        <v>653</v>
      </c>
      <c r="F1368" s="563">
        <v>102060338.09</v>
      </c>
      <c r="G1368" s="564"/>
      <c r="H1368" s="561" t="s">
        <v>654</v>
      </c>
      <c r="I1368" s="565"/>
      <c r="J1368" s="565"/>
      <c r="K1368" s="563">
        <v>0</v>
      </c>
      <c r="L1368" s="566">
        <v>102060338.09</v>
      </c>
    </row>
    <row r="1369" spans="1:12" ht="15" x14ac:dyDescent="0.2">
      <c r="A1369" s="561" t="s">
        <v>96</v>
      </c>
      <c r="B1369" s="562">
        <v>2021</v>
      </c>
      <c r="C1369" s="561" t="s">
        <v>655</v>
      </c>
      <c r="D1369" s="561" t="s">
        <v>1627</v>
      </c>
      <c r="E1369" s="561" t="s">
        <v>657</v>
      </c>
      <c r="F1369" s="563">
        <v>-45722.3</v>
      </c>
      <c r="G1369" s="564"/>
      <c r="H1369" s="561" t="s">
        <v>654</v>
      </c>
      <c r="I1369" s="565"/>
      <c r="J1369" s="565"/>
      <c r="K1369" s="563">
        <v>0</v>
      </c>
      <c r="L1369" s="566">
        <v>-45722.3</v>
      </c>
    </row>
    <row r="1370" spans="1:12" ht="56.25" x14ac:dyDescent="0.2">
      <c r="A1370" s="561" t="s">
        <v>96</v>
      </c>
      <c r="B1370" s="562">
        <v>2021</v>
      </c>
      <c r="C1370" s="561" t="s">
        <v>658</v>
      </c>
      <c r="D1370" s="561" t="s">
        <v>1628</v>
      </c>
      <c r="E1370" s="561" t="s">
        <v>447</v>
      </c>
      <c r="F1370" s="563">
        <v>-1527293.07</v>
      </c>
      <c r="G1370" s="564"/>
      <c r="H1370" s="561" t="s">
        <v>654</v>
      </c>
      <c r="I1370" s="565"/>
      <c r="J1370" s="565"/>
      <c r="K1370" s="563">
        <v>0</v>
      </c>
      <c r="L1370" s="566">
        <v>-1527293.07</v>
      </c>
    </row>
    <row r="1371" spans="1:12" ht="22.5" x14ac:dyDescent="0.2">
      <c r="A1371" s="561" t="s">
        <v>96</v>
      </c>
      <c r="B1371" s="562">
        <v>2021</v>
      </c>
      <c r="C1371" s="561" t="s">
        <v>660</v>
      </c>
      <c r="D1371" s="561" t="s">
        <v>1629</v>
      </c>
      <c r="E1371" s="561" t="s">
        <v>662</v>
      </c>
      <c r="F1371" s="563">
        <v>38490945.740000002</v>
      </c>
      <c r="G1371" s="564"/>
      <c r="H1371" s="561" t="s">
        <v>654</v>
      </c>
      <c r="I1371" s="565"/>
      <c r="J1371" s="565"/>
      <c r="K1371" s="563">
        <v>0</v>
      </c>
      <c r="L1371" s="566">
        <v>38490945.740000002</v>
      </c>
    </row>
    <row r="1372" spans="1:12" ht="33.75" x14ac:dyDescent="0.2">
      <c r="A1372" s="561" t="s">
        <v>96</v>
      </c>
      <c r="B1372" s="562">
        <v>2021</v>
      </c>
      <c r="C1372" s="561" t="s">
        <v>663</v>
      </c>
      <c r="D1372" s="561" t="s">
        <v>1630</v>
      </c>
      <c r="E1372" s="561" t="s">
        <v>665</v>
      </c>
      <c r="F1372" s="563">
        <v>0</v>
      </c>
      <c r="G1372" s="564"/>
      <c r="H1372" s="561" t="s">
        <v>654</v>
      </c>
      <c r="I1372" s="565"/>
      <c r="J1372" s="565"/>
      <c r="K1372" s="563">
        <v>0</v>
      </c>
      <c r="L1372" s="566">
        <v>0</v>
      </c>
    </row>
    <row r="1373" spans="1:12" ht="33.75" x14ac:dyDescent="0.2">
      <c r="A1373" s="561" t="s">
        <v>96</v>
      </c>
      <c r="B1373" s="562">
        <v>2021</v>
      </c>
      <c r="C1373" s="561" t="s">
        <v>666</v>
      </c>
      <c r="D1373" s="561" t="s">
        <v>1631</v>
      </c>
      <c r="E1373" s="561" t="s">
        <v>668</v>
      </c>
      <c r="F1373" s="563">
        <v>0</v>
      </c>
      <c r="G1373" s="564"/>
      <c r="H1373" s="561" t="s">
        <v>654</v>
      </c>
      <c r="I1373" s="565"/>
      <c r="J1373" s="565"/>
      <c r="K1373" s="563">
        <v>0</v>
      </c>
      <c r="L1373" s="566">
        <v>0</v>
      </c>
    </row>
    <row r="1374" spans="1:12" ht="56.25" x14ac:dyDescent="0.2">
      <c r="A1374" s="561" t="s">
        <v>96</v>
      </c>
      <c r="B1374" s="562">
        <v>2021</v>
      </c>
      <c r="C1374" s="561" t="s">
        <v>669</v>
      </c>
      <c r="D1374" s="561" t="s">
        <v>1632</v>
      </c>
      <c r="E1374" s="561" t="s">
        <v>671</v>
      </c>
      <c r="F1374" s="563">
        <v>-22198508.98</v>
      </c>
      <c r="G1374" s="564"/>
      <c r="H1374" s="561" t="s">
        <v>654</v>
      </c>
      <c r="I1374" s="565"/>
      <c r="J1374" s="565"/>
      <c r="K1374" s="563">
        <v>0</v>
      </c>
      <c r="L1374" s="566">
        <v>-22198508.98</v>
      </c>
    </row>
    <row r="1375" spans="1:12" ht="22.5" x14ac:dyDescent="0.2">
      <c r="A1375" s="561" t="s">
        <v>96</v>
      </c>
      <c r="B1375" s="562">
        <v>2021</v>
      </c>
      <c r="C1375" s="561" t="s">
        <v>672</v>
      </c>
      <c r="D1375" s="561" t="s">
        <v>1633</v>
      </c>
      <c r="E1375" s="561" t="s">
        <v>12</v>
      </c>
      <c r="F1375" s="563">
        <v>0</v>
      </c>
      <c r="G1375" s="564"/>
      <c r="H1375" s="561" t="s">
        <v>654</v>
      </c>
      <c r="I1375" s="565"/>
      <c r="J1375" s="565"/>
      <c r="K1375" s="563">
        <v>0</v>
      </c>
      <c r="L1375" s="566">
        <v>0</v>
      </c>
    </row>
    <row r="1376" spans="1:12" ht="22.5" x14ac:dyDescent="0.2">
      <c r="A1376" s="561" t="s">
        <v>96</v>
      </c>
      <c r="B1376" s="562">
        <v>2021</v>
      </c>
      <c r="C1376" s="561" t="s">
        <v>674</v>
      </c>
      <c r="D1376" s="561" t="s">
        <v>1634</v>
      </c>
      <c r="E1376" s="561" t="s">
        <v>753</v>
      </c>
      <c r="F1376" s="563">
        <v>0</v>
      </c>
      <c r="G1376" s="564"/>
      <c r="H1376" s="561" t="s">
        <v>654</v>
      </c>
      <c r="I1376" s="565"/>
      <c r="J1376" s="565"/>
      <c r="K1376" s="563">
        <v>0</v>
      </c>
      <c r="L1376" s="566">
        <v>0</v>
      </c>
    </row>
    <row r="1377" spans="1:12" ht="33.75" x14ac:dyDescent="0.2">
      <c r="A1377" s="561" t="s">
        <v>96</v>
      </c>
      <c r="B1377" s="562">
        <v>2021</v>
      </c>
      <c r="C1377" s="561" t="s">
        <v>676</v>
      </c>
      <c r="D1377" s="561" t="s">
        <v>1635</v>
      </c>
      <c r="E1377" s="561" t="s">
        <v>15</v>
      </c>
      <c r="F1377" s="563">
        <v>389605.08</v>
      </c>
      <c r="G1377" s="564"/>
      <c r="H1377" s="561" t="s">
        <v>654</v>
      </c>
      <c r="I1377" s="565"/>
      <c r="J1377" s="565"/>
      <c r="K1377" s="563">
        <v>0</v>
      </c>
      <c r="L1377" s="566">
        <v>389605.08</v>
      </c>
    </row>
    <row r="1378" spans="1:12" ht="15" x14ac:dyDescent="0.2">
      <c r="A1378" s="561" t="s">
        <v>96</v>
      </c>
      <c r="B1378" s="562">
        <v>2021</v>
      </c>
      <c r="C1378" s="561" t="s">
        <v>678</v>
      </c>
      <c r="D1378" s="561" t="s">
        <v>1636</v>
      </c>
      <c r="E1378" s="561" t="s">
        <v>680</v>
      </c>
      <c r="F1378" s="563">
        <v>1242507.68</v>
      </c>
      <c r="G1378" s="564"/>
      <c r="H1378" s="561" t="s">
        <v>654</v>
      </c>
      <c r="I1378" s="565"/>
      <c r="J1378" s="565"/>
      <c r="K1378" s="563">
        <v>0</v>
      </c>
      <c r="L1378" s="566">
        <v>1242507.68</v>
      </c>
    </row>
    <row r="1379" spans="1:12" ht="15" x14ac:dyDescent="0.2">
      <c r="A1379" s="561" t="s">
        <v>96</v>
      </c>
      <c r="B1379" s="562">
        <v>2021</v>
      </c>
      <c r="C1379" s="561" t="s">
        <v>681</v>
      </c>
      <c r="D1379" s="561" t="s">
        <v>1637</v>
      </c>
      <c r="E1379" s="561" t="s">
        <v>23</v>
      </c>
      <c r="F1379" s="563">
        <v>11142124.08</v>
      </c>
      <c r="G1379" s="561" t="s">
        <v>654</v>
      </c>
      <c r="H1379" s="564"/>
      <c r="I1379" s="563">
        <v>10924413</v>
      </c>
      <c r="J1379" s="563">
        <v>217711.328125</v>
      </c>
      <c r="K1379" s="563">
        <v>11142124</v>
      </c>
      <c r="L1379" s="566">
        <v>11142124.08</v>
      </c>
    </row>
    <row r="1380" spans="1:12" ht="33.75" x14ac:dyDescent="0.2">
      <c r="A1380" s="561" t="s">
        <v>96</v>
      </c>
      <c r="B1380" s="562">
        <v>2021</v>
      </c>
      <c r="C1380" s="561" t="s">
        <v>683</v>
      </c>
      <c r="D1380" s="561" t="s">
        <v>1638</v>
      </c>
      <c r="E1380" s="561" t="s">
        <v>131</v>
      </c>
      <c r="F1380" s="563">
        <v>-2375562.71</v>
      </c>
      <c r="G1380" s="561" t="s">
        <v>654</v>
      </c>
      <c r="H1380" s="564"/>
      <c r="I1380" s="563">
        <v>-2266399</v>
      </c>
      <c r="J1380" s="563">
        <v>-109163.78125</v>
      </c>
      <c r="K1380" s="563">
        <v>-2375562.75</v>
      </c>
      <c r="L1380" s="566">
        <v>-2375562.71</v>
      </c>
    </row>
    <row r="1381" spans="1:12" ht="33.75" x14ac:dyDescent="0.2">
      <c r="A1381" s="561" t="s">
        <v>96</v>
      </c>
      <c r="B1381" s="562">
        <v>2021</v>
      </c>
      <c r="C1381" s="561" t="s">
        <v>685</v>
      </c>
      <c r="D1381" s="561" t="s">
        <v>1639</v>
      </c>
      <c r="E1381" s="561" t="s">
        <v>687</v>
      </c>
      <c r="F1381" s="563">
        <v>-0.01</v>
      </c>
      <c r="G1381" s="564"/>
      <c r="H1381" s="561" t="s">
        <v>654</v>
      </c>
      <c r="I1381" s="565"/>
      <c r="J1381" s="565"/>
      <c r="K1381" s="563">
        <v>0</v>
      </c>
      <c r="L1381" s="566">
        <v>-0.01</v>
      </c>
    </row>
    <row r="1382" spans="1:12" ht="33.75" x14ac:dyDescent="0.2">
      <c r="A1382" s="561" t="s">
        <v>96</v>
      </c>
      <c r="B1382" s="562">
        <v>2021</v>
      </c>
      <c r="C1382" s="561" t="s">
        <v>685</v>
      </c>
      <c r="D1382" s="561" t="s">
        <v>1639</v>
      </c>
      <c r="E1382" s="561" t="s">
        <v>688</v>
      </c>
      <c r="F1382" s="563">
        <v>-28796.07</v>
      </c>
      <c r="G1382" s="564"/>
      <c r="H1382" s="561" t="s">
        <v>654</v>
      </c>
      <c r="I1382" s="565"/>
      <c r="J1382" s="565"/>
      <c r="K1382" s="563">
        <v>0</v>
      </c>
      <c r="L1382" s="566">
        <v>-28796.07</v>
      </c>
    </row>
    <row r="1383" spans="1:12" ht="22.5" x14ac:dyDescent="0.2">
      <c r="A1383" s="561" t="s">
        <v>96</v>
      </c>
      <c r="B1383" s="562">
        <v>2021</v>
      </c>
      <c r="C1383" s="561" t="s">
        <v>689</v>
      </c>
      <c r="D1383" s="561" t="s">
        <v>1640</v>
      </c>
      <c r="E1383" s="561" t="s">
        <v>691</v>
      </c>
      <c r="F1383" s="563">
        <v>0</v>
      </c>
      <c r="G1383" s="564"/>
      <c r="H1383" s="561" t="s">
        <v>654</v>
      </c>
      <c r="I1383" s="565"/>
      <c r="J1383" s="565"/>
      <c r="K1383" s="563">
        <v>0</v>
      </c>
      <c r="L1383" s="566">
        <v>0</v>
      </c>
    </row>
    <row r="1384" spans="1:12" ht="22.5" x14ac:dyDescent="0.2">
      <c r="A1384" s="561" t="s">
        <v>96</v>
      </c>
      <c r="B1384" s="562">
        <v>2021</v>
      </c>
      <c r="C1384" s="561" t="s">
        <v>692</v>
      </c>
      <c r="D1384" s="561" t="s">
        <v>1641</v>
      </c>
      <c r="E1384" s="561" t="s">
        <v>50</v>
      </c>
      <c r="F1384" s="563">
        <v>0</v>
      </c>
      <c r="G1384" s="564"/>
      <c r="H1384" s="561" t="s">
        <v>654</v>
      </c>
      <c r="I1384" s="565"/>
      <c r="J1384" s="565"/>
      <c r="K1384" s="563">
        <v>0</v>
      </c>
      <c r="L1384" s="566">
        <v>0</v>
      </c>
    </row>
    <row r="1385" spans="1:12" ht="22.5" x14ac:dyDescent="0.2">
      <c r="A1385" s="561" t="s">
        <v>96</v>
      </c>
      <c r="B1385" s="562">
        <v>2021</v>
      </c>
      <c r="C1385" s="561" t="s">
        <v>694</v>
      </c>
      <c r="D1385" s="561" t="s">
        <v>1642</v>
      </c>
      <c r="E1385" s="561" t="s">
        <v>696</v>
      </c>
      <c r="F1385" s="563">
        <v>0</v>
      </c>
      <c r="G1385" s="564"/>
      <c r="H1385" s="561" t="s">
        <v>654</v>
      </c>
      <c r="I1385" s="565"/>
      <c r="J1385" s="565"/>
      <c r="K1385" s="563">
        <v>0</v>
      </c>
      <c r="L1385" s="566">
        <v>0</v>
      </c>
    </row>
    <row r="1386" spans="1:12" ht="22.5" x14ac:dyDescent="0.2">
      <c r="A1386" s="561" t="s">
        <v>96</v>
      </c>
      <c r="B1386" s="562">
        <v>2021</v>
      </c>
      <c r="C1386" s="561" t="s">
        <v>697</v>
      </c>
      <c r="D1386" s="561" t="s">
        <v>1643</v>
      </c>
      <c r="E1386" s="561" t="s">
        <v>6</v>
      </c>
      <c r="F1386" s="563">
        <v>0</v>
      </c>
      <c r="G1386" s="564"/>
      <c r="H1386" s="561" t="s">
        <v>654</v>
      </c>
      <c r="I1386" s="565"/>
      <c r="J1386" s="565"/>
      <c r="K1386" s="563">
        <v>0</v>
      </c>
      <c r="L1386" s="566">
        <v>0</v>
      </c>
    </row>
    <row r="1387" spans="1:12" ht="33.75" x14ac:dyDescent="0.2">
      <c r="A1387" s="561" t="s">
        <v>96</v>
      </c>
      <c r="B1387" s="562">
        <v>2021</v>
      </c>
      <c r="C1387" s="561" t="s">
        <v>699</v>
      </c>
      <c r="D1387" s="561" t="s">
        <v>1644</v>
      </c>
      <c r="E1387" s="561" t="s">
        <v>701</v>
      </c>
      <c r="F1387" s="563">
        <v>0</v>
      </c>
      <c r="G1387" s="564"/>
      <c r="H1387" s="561" t="s">
        <v>654</v>
      </c>
      <c r="I1387" s="565"/>
      <c r="J1387" s="565"/>
      <c r="K1387" s="563">
        <v>0</v>
      </c>
      <c r="L1387" s="566">
        <v>0</v>
      </c>
    </row>
    <row r="1388" spans="1:12" ht="22.5" x14ac:dyDescent="0.2">
      <c r="A1388" s="561" t="s">
        <v>96</v>
      </c>
      <c r="B1388" s="562">
        <v>2021</v>
      </c>
      <c r="C1388" s="561" t="s">
        <v>702</v>
      </c>
      <c r="D1388" s="561" t="s">
        <v>1645</v>
      </c>
      <c r="E1388" s="561" t="s">
        <v>704</v>
      </c>
      <c r="F1388" s="563">
        <v>-2119165.7599999998</v>
      </c>
      <c r="G1388" s="564"/>
      <c r="H1388" s="561" t="s">
        <v>654</v>
      </c>
      <c r="I1388" s="565"/>
      <c r="J1388" s="565"/>
      <c r="K1388" s="563">
        <v>0</v>
      </c>
      <c r="L1388" s="566">
        <v>-2119165.7599999998</v>
      </c>
    </row>
    <row r="1389" spans="1:12" ht="33.75" x14ac:dyDescent="0.2">
      <c r="A1389" s="561" t="s">
        <v>96</v>
      </c>
      <c r="B1389" s="562">
        <v>2021</v>
      </c>
      <c r="C1389" s="561" t="s">
        <v>705</v>
      </c>
      <c r="D1389" s="561" t="s">
        <v>1646</v>
      </c>
      <c r="E1389" s="561" t="s">
        <v>1</v>
      </c>
      <c r="F1389" s="563">
        <v>-95390808.719999999</v>
      </c>
      <c r="G1389" s="561" t="s">
        <v>654</v>
      </c>
      <c r="H1389" s="564"/>
      <c r="I1389" s="563">
        <v>-95184592</v>
      </c>
      <c r="J1389" s="563">
        <v>-206218.125</v>
      </c>
      <c r="K1389" s="563">
        <v>-95390808</v>
      </c>
      <c r="L1389" s="566">
        <v>-95390808.719999999</v>
      </c>
    </row>
    <row r="1390" spans="1:12" ht="22.5" x14ac:dyDescent="0.2">
      <c r="A1390" s="561" t="s">
        <v>96</v>
      </c>
      <c r="B1390" s="562">
        <v>2021</v>
      </c>
      <c r="C1390" s="561" t="s">
        <v>705</v>
      </c>
      <c r="D1390" s="561" t="s">
        <v>1646</v>
      </c>
      <c r="E1390" s="561" t="s">
        <v>707</v>
      </c>
      <c r="F1390" s="563">
        <v>0</v>
      </c>
      <c r="G1390" s="564"/>
      <c r="H1390" s="564"/>
      <c r="I1390" s="565"/>
      <c r="J1390" s="565"/>
      <c r="K1390" s="563">
        <v>0</v>
      </c>
      <c r="L1390" s="566">
        <v>0</v>
      </c>
    </row>
    <row r="1391" spans="1:12" ht="22.5" x14ac:dyDescent="0.2">
      <c r="A1391" s="561" t="s">
        <v>96</v>
      </c>
      <c r="B1391" s="562">
        <v>2021</v>
      </c>
      <c r="C1391" s="561" t="s">
        <v>705</v>
      </c>
      <c r="D1391" s="561" t="s">
        <v>1646</v>
      </c>
      <c r="E1391" s="561" t="s">
        <v>708</v>
      </c>
      <c r="F1391" s="563">
        <v>0</v>
      </c>
      <c r="G1391" s="564"/>
      <c r="H1391" s="564"/>
      <c r="I1391" s="565"/>
      <c r="J1391" s="565"/>
      <c r="K1391" s="563">
        <v>0</v>
      </c>
      <c r="L1391" s="566">
        <v>0</v>
      </c>
    </row>
    <row r="1392" spans="1:12" ht="22.5" x14ac:dyDescent="0.2">
      <c r="A1392" s="561" t="s">
        <v>96</v>
      </c>
      <c r="B1392" s="562">
        <v>2021</v>
      </c>
      <c r="C1392" s="561" t="s">
        <v>705</v>
      </c>
      <c r="D1392" s="561" t="s">
        <v>1646</v>
      </c>
      <c r="E1392" s="561" t="s">
        <v>709</v>
      </c>
      <c r="F1392" s="563">
        <v>179613.24</v>
      </c>
      <c r="G1392" s="564"/>
      <c r="H1392" s="564"/>
      <c r="I1392" s="565"/>
      <c r="J1392" s="565"/>
      <c r="K1392" s="563">
        <v>0</v>
      </c>
      <c r="L1392" s="566">
        <v>179613.24</v>
      </c>
    </row>
    <row r="1393" spans="1:12" ht="22.5" x14ac:dyDescent="0.2">
      <c r="A1393" s="561" t="s">
        <v>96</v>
      </c>
      <c r="B1393" s="562">
        <v>2021</v>
      </c>
      <c r="C1393" s="561" t="s">
        <v>705</v>
      </c>
      <c r="D1393" s="561" t="s">
        <v>1646</v>
      </c>
      <c r="E1393" s="561" t="s">
        <v>710</v>
      </c>
      <c r="F1393" s="563">
        <v>-3863262.53</v>
      </c>
      <c r="G1393" s="564"/>
      <c r="H1393" s="564"/>
      <c r="I1393" s="565"/>
      <c r="J1393" s="565"/>
      <c r="K1393" s="563">
        <v>0</v>
      </c>
      <c r="L1393" s="566">
        <v>-3863262.53</v>
      </c>
    </row>
    <row r="1394" spans="1:12" ht="15" x14ac:dyDescent="0.2">
      <c r="A1394" s="561" t="s">
        <v>96</v>
      </c>
      <c r="B1394" s="562">
        <v>2021</v>
      </c>
      <c r="C1394" s="561" t="s">
        <v>711</v>
      </c>
      <c r="D1394" s="561" t="s">
        <v>1647</v>
      </c>
      <c r="E1394" s="561" t="s">
        <v>713</v>
      </c>
      <c r="F1394" s="563">
        <v>0</v>
      </c>
      <c r="G1394" s="564"/>
      <c r="H1394" s="561" t="s">
        <v>654</v>
      </c>
      <c r="I1394" s="565"/>
      <c r="J1394" s="565"/>
      <c r="K1394" s="563">
        <v>0</v>
      </c>
      <c r="L1394" s="566">
        <v>0</v>
      </c>
    </row>
    <row r="1395" spans="1:12" ht="33.75" x14ac:dyDescent="0.2">
      <c r="A1395" s="561" t="s">
        <v>96</v>
      </c>
      <c r="B1395" s="562">
        <v>2021</v>
      </c>
      <c r="C1395" s="561" t="s">
        <v>714</v>
      </c>
      <c r="D1395" s="561" t="s">
        <v>1648</v>
      </c>
      <c r="E1395" s="561" t="s">
        <v>2</v>
      </c>
      <c r="F1395" s="563">
        <v>-65760875.159999996</v>
      </c>
      <c r="G1395" s="561" t="s">
        <v>654</v>
      </c>
      <c r="H1395" s="564"/>
      <c r="I1395" s="563">
        <v>-61067612</v>
      </c>
      <c r="J1395" s="563">
        <v>-4693265</v>
      </c>
      <c r="K1395" s="563">
        <v>-65760876</v>
      </c>
      <c r="L1395" s="566">
        <v>-65760875.159999996</v>
      </c>
    </row>
    <row r="1396" spans="1:12" ht="33.75" x14ac:dyDescent="0.2">
      <c r="A1396" s="561" t="s">
        <v>96</v>
      </c>
      <c r="B1396" s="562">
        <v>2021</v>
      </c>
      <c r="C1396" s="561" t="s">
        <v>716</v>
      </c>
      <c r="D1396" s="561" t="s">
        <v>1649</v>
      </c>
      <c r="E1396" s="561" t="s">
        <v>3</v>
      </c>
      <c r="F1396" s="563">
        <v>91208629.430000007</v>
      </c>
      <c r="G1396" s="561" t="s">
        <v>654</v>
      </c>
      <c r="H1396" s="564"/>
      <c r="I1396" s="563">
        <v>86000192</v>
      </c>
      <c r="J1396" s="563">
        <v>5208439</v>
      </c>
      <c r="K1396" s="563">
        <v>91208632</v>
      </c>
      <c r="L1396" s="566">
        <v>91208629.430000007</v>
      </c>
    </row>
    <row r="1397" spans="1:12" ht="33.75" x14ac:dyDescent="0.2">
      <c r="A1397" s="561" t="s">
        <v>96</v>
      </c>
      <c r="B1397" s="562">
        <v>2021</v>
      </c>
      <c r="C1397" s="561" t="s">
        <v>718</v>
      </c>
      <c r="D1397" s="561" t="s">
        <v>1650</v>
      </c>
      <c r="E1397" s="561" t="s">
        <v>38</v>
      </c>
      <c r="F1397" s="563">
        <v>11361020.15</v>
      </c>
      <c r="G1397" s="561" t="s">
        <v>654</v>
      </c>
      <c r="H1397" s="564"/>
      <c r="I1397" s="563">
        <v>9852971</v>
      </c>
      <c r="J1397" s="563">
        <v>1508048.75</v>
      </c>
      <c r="K1397" s="563">
        <v>11361020</v>
      </c>
      <c r="L1397" s="566">
        <v>11361020.15</v>
      </c>
    </row>
    <row r="1398" spans="1:12" ht="22.5" x14ac:dyDescent="0.2">
      <c r="A1398" s="561" t="s">
        <v>96</v>
      </c>
      <c r="B1398" s="562">
        <v>2021</v>
      </c>
      <c r="C1398" s="561" t="s">
        <v>720</v>
      </c>
      <c r="D1398" s="561" t="s">
        <v>1651</v>
      </c>
      <c r="E1398" s="561" t="s">
        <v>66</v>
      </c>
      <c r="F1398" s="563">
        <v>-44481876.060000002</v>
      </c>
      <c r="G1398" s="561" t="s">
        <v>654</v>
      </c>
      <c r="H1398" s="564"/>
      <c r="I1398" s="563">
        <v>-45910648</v>
      </c>
      <c r="J1398" s="563">
        <v>1428771</v>
      </c>
      <c r="K1398" s="563">
        <v>-44481876</v>
      </c>
      <c r="L1398" s="566">
        <v>-44481876.060000002</v>
      </c>
    </row>
    <row r="1399" spans="1:12" ht="22.5" x14ac:dyDescent="0.2">
      <c r="A1399" s="561" t="s">
        <v>96</v>
      </c>
      <c r="B1399" s="562">
        <v>2021</v>
      </c>
      <c r="C1399" s="561" t="s">
        <v>722</v>
      </c>
      <c r="D1399" s="561" t="s">
        <v>1652</v>
      </c>
      <c r="E1399" s="561" t="s">
        <v>772</v>
      </c>
      <c r="F1399" s="563">
        <v>-48382621.740000002</v>
      </c>
      <c r="G1399" s="564"/>
      <c r="H1399" s="561" t="s">
        <v>654</v>
      </c>
      <c r="I1399" s="565"/>
      <c r="J1399" s="565"/>
      <c r="K1399" s="563">
        <v>0</v>
      </c>
      <c r="L1399" s="566">
        <v>-48382621.740000002</v>
      </c>
    </row>
    <row r="1400" spans="1:12" ht="45" x14ac:dyDescent="0.2">
      <c r="A1400" s="561" t="s">
        <v>96</v>
      </c>
      <c r="B1400" s="562">
        <v>2021</v>
      </c>
      <c r="C1400" s="561" t="s">
        <v>725</v>
      </c>
      <c r="D1400" s="561" t="s">
        <v>1653</v>
      </c>
      <c r="E1400" s="561" t="s">
        <v>3024</v>
      </c>
      <c r="F1400" s="563">
        <v>0</v>
      </c>
      <c r="G1400" s="561" t="s">
        <v>654</v>
      </c>
      <c r="H1400" s="564"/>
      <c r="I1400" s="563">
        <v>9024717</v>
      </c>
      <c r="J1400" s="563">
        <v>-3523712</v>
      </c>
      <c r="K1400" s="563">
        <v>5501005</v>
      </c>
      <c r="L1400" s="566">
        <v>5501004.7699999996</v>
      </c>
    </row>
    <row r="1401" spans="1:12" ht="45" x14ac:dyDescent="0.2">
      <c r="A1401" s="561" t="s">
        <v>96</v>
      </c>
      <c r="B1401" s="562">
        <v>2021</v>
      </c>
      <c r="C1401" s="561" t="s">
        <v>725</v>
      </c>
      <c r="D1401" s="561" t="s">
        <v>1653</v>
      </c>
      <c r="E1401" s="561" t="s">
        <v>3066</v>
      </c>
      <c r="F1401" s="563">
        <v>0</v>
      </c>
      <c r="G1401" s="561" t="s">
        <v>654</v>
      </c>
      <c r="H1401" s="564"/>
      <c r="I1401" s="565"/>
      <c r="J1401" s="565"/>
      <c r="K1401" s="563">
        <v>0</v>
      </c>
      <c r="L1401" s="566">
        <v>0</v>
      </c>
    </row>
    <row r="1402" spans="1:12" ht="45" x14ac:dyDescent="0.2">
      <c r="A1402" s="561" t="s">
        <v>96</v>
      </c>
      <c r="B1402" s="562">
        <v>2021</v>
      </c>
      <c r="C1402" s="561" t="s">
        <v>725</v>
      </c>
      <c r="D1402" s="561" t="s">
        <v>1654</v>
      </c>
      <c r="E1402" s="561" t="s">
        <v>728</v>
      </c>
      <c r="F1402" s="563">
        <v>0</v>
      </c>
      <c r="G1402" s="561" t="s">
        <v>654</v>
      </c>
      <c r="H1402" s="564"/>
      <c r="I1402" s="565"/>
      <c r="J1402" s="565"/>
      <c r="K1402" s="563">
        <v>0</v>
      </c>
      <c r="L1402" s="566">
        <v>0</v>
      </c>
    </row>
    <row r="1403" spans="1:12" ht="45" x14ac:dyDescent="0.2">
      <c r="A1403" s="561" t="s">
        <v>96</v>
      </c>
      <c r="B1403" s="562">
        <v>2021</v>
      </c>
      <c r="C1403" s="561" t="s">
        <v>725</v>
      </c>
      <c r="D1403" s="561" t="s">
        <v>1655</v>
      </c>
      <c r="E1403" s="561" t="s">
        <v>55</v>
      </c>
      <c r="F1403" s="563">
        <v>0</v>
      </c>
      <c r="G1403" s="561" t="s">
        <v>654</v>
      </c>
      <c r="H1403" s="564"/>
      <c r="I1403" s="565"/>
      <c r="J1403" s="565"/>
      <c r="K1403" s="563">
        <v>0</v>
      </c>
      <c r="L1403" s="566">
        <v>0</v>
      </c>
    </row>
    <row r="1404" spans="1:12" ht="45" x14ac:dyDescent="0.2">
      <c r="A1404" s="561" t="s">
        <v>96</v>
      </c>
      <c r="B1404" s="562">
        <v>2021</v>
      </c>
      <c r="C1404" s="561" t="s">
        <v>725</v>
      </c>
      <c r="D1404" s="561" t="s">
        <v>1656</v>
      </c>
      <c r="E1404" s="561" t="s">
        <v>56</v>
      </c>
      <c r="F1404" s="563">
        <v>0</v>
      </c>
      <c r="G1404" s="561" t="s">
        <v>654</v>
      </c>
      <c r="H1404" s="564"/>
      <c r="I1404" s="565"/>
      <c r="J1404" s="565"/>
      <c r="K1404" s="563">
        <v>0</v>
      </c>
      <c r="L1404" s="566">
        <v>0</v>
      </c>
    </row>
    <row r="1405" spans="1:12" ht="45" x14ac:dyDescent="0.2">
      <c r="A1405" s="561" t="s">
        <v>96</v>
      </c>
      <c r="B1405" s="562">
        <v>2021</v>
      </c>
      <c r="C1405" s="561" t="s">
        <v>725</v>
      </c>
      <c r="D1405" s="561" t="s">
        <v>1657</v>
      </c>
      <c r="E1405" s="561" t="s">
        <v>732</v>
      </c>
      <c r="F1405" s="563">
        <v>0</v>
      </c>
      <c r="G1405" s="561" t="s">
        <v>654</v>
      </c>
      <c r="H1405" s="564"/>
      <c r="I1405" s="565"/>
      <c r="J1405" s="565"/>
      <c r="K1405" s="563">
        <v>0</v>
      </c>
      <c r="L1405" s="566">
        <v>0</v>
      </c>
    </row>
    <row r="1406" spans="1:12" ht="45" x14ac:dyDescent="0.2">
      <c r="A1406" s="561" t="s">
        <v>96</v>
      </c>
      <c r="B1406" s="562">
        <v>2021</v>
      </c>
      <c r="C1406" s="561" t="s">
        <v>725</v>
      </c>
      <c r="D1406" s="561" t="s">
        <v>1658</v>
      </c>
      <c r="E1406" s="561" t="s">
        <v>734</v>
      </c>
      <c r="F1406" s="563">
        <v>0</v>
      </c>
      <c r="G1406" s="561" t="s">
        <v>654</v>
      </c>
      <c r="H1406" s="564"/>
      <c r="I1406" s="565"/>
      <c r="J1406" s="565"/>
      <c r="K1406" s="563">
        <v>0</v>
      </c>
      <c r="L1406" s="566">
        <v>0</v>
      </c>
    </row>
    <row r="1407" spans="1:12" ht="45" x14ac:dyDescent="0.2">
      <c r="A1407" s="561" t="s">
        <v>96</v>
      </c>
      <c r="B1407" s="562">
        <v>2021</v>
      </c>
      <c r="C1407" s="561" t="s">
        <v>725</v>
      </c>
      <c r="D1407" s="561" t="s">
        <v>1659</v>
      </c>
      <c r="E1407" s="561" t="s">
        <v>142</v>
      </c>
      <c r="F1407" s="563">
        <v>0</v>
      </c>
      <c r="G1407" s="561" t="s">
        <v>654</v>
      </c>
      <c r="H1407" s="564"/>
      <c r="I1407" s="565"/>
      <c r="J1407" s="565"/>
      <c r="K1407" s="563">
        <v>0</v>
      </c>
      <c r="L1407" s="566">
        <v>0</v>
      </c>
    </row>
    <row r="1408" spans="1:12" ht="45" x14ac:dyDescent="0.2">
      <c r="A1408" s="561" t="s">
        <v>96</v>
      </c>
      <c r="B1408" s="562">
        <v>2021</v>
      </c>
      <c r="C1408" s="561" t="s">
        <v>725</v>
      </c>
      <c r="D1408" s="561" t="s">
        <v>1660</v>
      </c>
      <c r="E1408" s="561" t="s">
        <v>143</v>
      </c>
      <c r="F1408" s="563">
        <v>0</v>
      </c>
      <c r="G1408" s="561" t="s">
        <v>654</v>
      </c>
      <c r="H1408" s="564"/>
      <c r="I1408" s="565"/>
      <c r="J1408" s="565"/>
      <c r="K1408" s="563">
        <v>0</v>
      </c>
      <c r="L1408" s="566">
        <v>0</v>
      </c>
    </row>
    <row r="1409" spans="1:12" ht="45" x14ac:dyDescent="0.2">
      <c r="A1409" s="561" t="s">
        <v>96</v>
      </c>
      <c r="B1409" s="562">
        <v>2021</v>
      </c>
      <c r="C1409" s="561" t="s">
        <v>725</v>
      </c>
      <c r="D1409" s="561" t="s">
        <v>1661</v>
      </c>
      <c r="E1409" s="561" t="s">
        <v>182</v>
      </c>
      <c r="F1409" s="563">
        <v>0</v>
      </c>
      <c r="G1409" s="561" t="s">
        <v>654</v>
      </c>
      <c r="H1409" s="564"/>
      <c r="I1409" s="563">
        <v>-6468176.5</v>
      </c>
      <c r="J1409" s="563">
        <v>-42370.8984375</v>
      </c>
      <c r="K1409" s="563">
        <v>-6510547.5</v>
      </c>
      <c r="L1409" s="566">
        <v>-6510547.2599999998</v>
      </c>
    </row>
    <row r="1410" spans="1:12" ht="45" x14ac:dyDescent="0.2">
      <c r="A1410" s="561" t="s">
        <v>96</v>
      </c>
      <c r="B1410" s="562">
        <v>2021</v>
      </c>
      <c r="C1410" s="561" t="s">
        <v>725</v>
      </c>
      <c r="D1410" s="561" t="s">
        <v>1662</v>
      </c>
      <c r="E1410" s="561" t="s">
        <v>394</v>
      </c>
      <c r="F1410" s="563">
        <v>0</v>
      </c>
      <c r="G1410" s="561" t="s">
        <v>654</v>
      </c>
      <c r="H1410" s="564"/>
      <c r="I1410" s="565"/>
      <c r="J1410" s="565"/>
      <c r="K1410" s="563">
        <v>0</v>
      </c>
      <c r="L1410" s="566">
        <v>0</v>
      </c>
    </row>
    <row r="1411" spans="1:12" ht="45" x14ac:dyDescent="0.2">
      <c r="A1411" s="561" t="s">
        <v>96</v>
      </c>
      <c r="B1411" s="562">
        <v>2021</v>
      </c>
      <c r="C1411" s="561" t="s">
        <v>725</v>
      </c>
      <c r="D1411" s="561" t="s">
        <v>1663</v>
      </c>
      <c r="E1411" s="561" t="s">
        <v>425</v>
      </c>
      <c r="F1411" s="563">
        <v>0</v>
      </c>
      <c r="G1411" s="561" t="s">
        <v>654</v>
      </c>
      <c r="H1411" s="564"/>
      <c r="I1411" s="563">
        <v>-3904.2099609375</v>
      </c>
      <c r="J1411" s="563">
        <v>-172096.703125</v>
      </c>
      <c r="K1411" s="563">
        <v>-176000.921875</v>
      </c>
      <c r="L1411" s="566">
        <v>-176000.92</v>
      </c>
    </row>
    <row r="1412" spans="1:12" ht="45" x14ac:dyDescent="0.2">
      <c r="A1412" s="561" t="s">
        <v>96</v>
      </c>
      <c r="B1412" s="562">
        <v>2021</v>
      </c>
      <c r="C1412" s="561" t="s">
        <v>725</v>
      </c>
      <c r="D1412" s="561" t="s">
        <v>3270</v>
      </c>
      <c r="E1412" s="561" t="s">
        <v>443</v>
      </c>
      <c r="F1412" s="563">
        <v>0</v>
      </c>
      <c r="G1412" s="561" t="s">
        <v>654</v>
      </c>
      <c r="H1412" s="564"/>
      <c r="I1412" s="563">
        <v>-196448.265625</v>
      </c>
      <c r="J1412" s="563">
        <v>117369.7421875</v>
      </c>
      <c r="K1412" s="563">
        <v>-79078.53125</v>
      </c>
      <c r="L1412" s="566">
        <v>-79078.53</v>
      </c>
    </row>
    <row r="1413" spans="1:12" ht="45" x14ac:dyDescent="0.2">
      <c r="A1413" s="561" t="s">
        <v>96</v>
      </c>
      <c r="B1413" s="562">
        <v>2021</v>
      </c>
      <c r="C1413" s="561" t="s">
        <v>725</v>
      </c>
      <c r="D1413" s="561" t="s">
        <v>1664</v>
      </c>
      <c r="E1413" s="561" t="s">
        <v>741</v>
      </c>
      <c r="F1413" s="563">
        <v>-1264621.94</v>
      </c>
      <c r="G1413" s="564"/>
      <c r="H1413" s="564"/>
      <c r="I1413" s="565"/>
      <c r="J1413" s="565"/>
      <c r="K1413" s="563">
        <v>0</v>
      </c>
      <c r="L1413" s="566">
        <v>-1264621.94</v>
      </c>
    </row>
    <row r="1414" spans="1:12" ht="22.5" x14ac:dyDescent="0.2">
      <c r="A1414" s="561" t="s">
        <v>96</v>
      </c>
      <c r="B1414" s="562">
        <v>2021</v>
      </c>
      <c r="C1414" s="561" t="s">
        <v>742</v>
      </c>
      <c r="D1414" s="561" t="s">
        <v>1665</v>
      </c>
      <c r="E1414" s="561" t="s">
        <v>7</v>
      </c>
      <c r="F1414" s="563">
        <v>-26103652.140000001</v>
      </c>
      <c r="G1414" s="564"/>
      <c r="H1414" s="561" t="s">
        <v>654</v>
      </c>
      <c r="I1414" s="565"/>
      <c r="J1414" s="565"/>
      <c r="K1414" s="563">
        <v>0</v>
      </c>
      <c r="L1414" s="566">
        <v>-26103652.140000001</v>
      </c>
    </row>
    <row r="1415" spans="1:12" ht="22.5" x14ac:dyDescent="0.2">
      <c r="A1415" s="561" t="s">
        <v>1666</v>
      </c>
      <c r="B1415" s="562">
        <v>2021</v>
      </c>
      <c r="C1415" s="561" t="s">
        <v>651</v>
      </c>
      <c r="D1415" s="561" t="s">
        <v>1667</v>
      </c>
      <c r="E1415" s="561" t="s">
        <v>653</v>
      </c>
      <c r="F1415" s="563">
        <v>5960740.7300000004</v>
      </c>
      <c r="G1415" s="564"/>
      <c r="H1415" s="561" t="s">
        <v>654</v>
      </c>
      <c r="I1415" s="565"/>
      <c r="J1415" s="565"/>
      <c r="K1415" s="563">
        <v>0</v>
      </c>
      <c r="L1415" s="566">
        <v>5960740.7300000004</v>
      </c>
    </row>
    <row r="1416" spans="1:12" ht="22.5" x14ac:dyDescent="0.2">
      <c r="A1416" s="561" t="s">
        <v>1666</v>
      </c>
      <c r="B1416" s="562">
        <v>2021</v>
      </c>
      <c r="C1416" s="561" t="s">
        <v>655</v>
      </c>
      <c r="D1416" s="561" t="s">
        <v>1668</v>
      </c>
      <c r="E1416" s="561" t="s">
        <v>657</v>
      </c>
      <c r="F1416" s="563">
        <v>0</v>
      </c>
      <c r="G1416" s="564"/>
      <c r="H1416" s="561" t="s">
        <v>654</v>
      </c>
      <c r="I1416" s="565"/>
      <c r="J1416" s="565"/>
      <c r="K1416" s="563">
        <v>0</v>
      </c>
      <c r="L1416" s="566">
        <v>0</v>
      </c>
    </row>
    <row r="1417" spans="1:12" ht="56.25" x14ac:dyDescent="0.2">
      <c r="A1417" s="561" t="s">
        <v>1666</v>
      </c>
      <c r="B1417" s="562">
        <v>2021</v>
      </c>
      <c r="C1417" s="561" t="s">
        <v>658</v>
      </c>
      <c r="D1417" s="561" t="s">
        <v>1669</v>
      </c>
      <c r="E1417" s="561" t="s">
        <v>447</v>
      </c>
      <c r="F1417" s="563">
        <v>0</v>
      </c>
      <c r="G1417" s="564"/>
      <c r="H1417" s="561" t="s">
        <v>654</v>
      </c>
      <c r="I1417" s="565"/>
      <c r="J1417" s="565"/>
      <c r="K1417" s="563">
        <v>0</v>
      </c>
      <c r="L1417" s="566">
        <v>0</v>
      </c>
    </row>
    <row r="1418" spans="1:12" ht="22.5" x14ac:dyDescent="0.2">
      <c r="A1418" s="561" t="s">
        <v>1666</v>
      </c>
      <c r="B1418" s="562">
        <v>2021</v>
      </c>
      <c r="C1418" s="561" t="s">
        <v>660</v>
      </c>
      <c r="D1418" s="561" t="s">
        <v>1670</v>
      </c>
      <c r="E1418" s="561" t="s">
        <v>662</v>
      </c>
      <c r="F1418" s="563">
        <v>43482423</v>
      </c>
      <c r="G1418" s="564"/>
      <c r="H1418" s="561" t="s">
        <v>654</v>
      </c>
      <c r="I1418" s="565"/>
      <c r="J1418" s="565"/>
      <c r="K1418" s="563">
        <v>0</v>
      </c>
      <c r="L1418" s="566">
        <v>43482423</v>
      </c>
    </row>
    <row r="1419" spans="1:12" ht="33.75" x14ac:dyDescent="0.2">
      <c r="A1419" s="561" t="s">
        <v>1666</v>
      </c>
      <c r="B1419" s="562">
        <v>2021</v>
      </c>
      <c r="C1419" s="561" t="s">
        <v>663</v>
      </c>
      <c r="D1419" s="561" t="s">
        <v>1671</v>
      </c>
      <c r="E1419" s="561" t="s">
        <v>665</v>
      </c>
      <c r="F1419" s="563">
        <v>0</v>
      </c>
      <c r="G1419" s="564"/>
      <c r="H1419" s="561" t="s">
        <v>654</v>
      </c>
      <c r="I1419" s="565"/>
      <c r="J1419" s="565"/>
      <c r="K1419" s="563">
        <v>0</v>
      </c>
      <c r="L1419" s="566">
        <v>0</v>
      </c>
    </row>
    <row r="1420" spans="1:12" ht="33.75" x14ac:dyDescent="0.2">
      <c r="A1420" s="561" t="s">
        <v>1666</v>
      </c>
      <c r="B1420" s="562">
        <v>2021</v>
      </c>
      <c r="C1420" s="561" t="s">
        <v>666</v>
      </c>
      <c r="D1420" s="561" t="s">
        <v>1672</v>
      </c>
      <c r="E1420" s="561" t="s">
        <v>668</v>
      </c>
      <c r="F1420" s="563">
        <v>0</v>
      </c>
      <c r="G1420" s="564"/>
      <c r="H1420" s="561" t="s">
        <v>654</v>
      </c>
      <c r="I1420" s="565"/>
      <c r="J1420" s="565"/>
      <c r="K1420" s="563">
        <v>0</v>
      </c>
      <c r="L1420" s="566">
        <v>0</v>
      </c>
    </row>
    <row r="1421" spans="1:12" ht="56.25" x14ac:dyDescent="0.2">
      <c r="A1421" s="561" t="s">
        <v>1666</v>
      </c>
      <c r="B1421" s="562">
        <v>2021</v>
      </c>
      <c r="C1421" s="561" t="s">
        <v>669</v>
      </c>
      <c r="D1421" s="561" t="s">
        <v>1673</v>
      </c>
      <c r="E1421" s="561" t="s">
        <v>671</v>
      </c>
      <c r="F1421" s="563">
        <v>0</v>
      </c>
      <c r="G1421" s="564"/>
      <c r="H1421" s="561" t="s">
        <v>654</v>
      </c>
      <c r="I1421" s="565"/>
      <c r="J1421" s="565"/>
      <c r="K1421" s="563">
        <v>0</v>
      </c>
      <c r="L1421" s="566">
        <v>0</v>
      </c>
    </row>
    <row r="1422" spans="1:12" ht="22.5" x14ac:dyDescent="0.2">
      <c r="A1422" s="561" t="s">
        <v>1666</v>
      </c>
      <c r="B1422" s="562">
        <v>2021</v>
      </c>
      <c r="C1422" s="561" t="s">
        <v>672</v>
      </c>
      <c r="D1422" s="561" t="s">
        <v>1674</v>
      </c>
      <c r="E1422" s="561" t="s">
        <v>12</v>
      </c>
      <c r="F1422" s="563">
        <v>0</v>
      </c>
      <c r="G1422" s="564"/>
      <c r="H1422" s="561" t="s">
        <v>654</v>
      </c>
      <c r="I1422" s="565"/>
      <c r="J1422" s="565"/>
      <c r="K1422" s="563">
        <v>0</v>
      </c>
      <c r="L1422" s="566">
        <v>0</v>
      </c>
    </row>
    <row r="1423" spans="1:12" ht="22.5" x14ac:dyDescent="0.2">
      <c r="A1423" s="561" t="s">
        <v>1666</v>
      </c>
      <c r="B1423" s="562">
        <v>2021</v>
      </c>
      <c r="C1423" s="561" t="s">
        <v>674</v>
      </c>
      <c r="D1423" s="561" t="s">
        <v>1675</v>
      </c>
      <c r="E1423" s="561" t="s">
        <v>753</v>
      </c>
      <c r="F1423" s="563">
        <v>0</v>
      </c>
      <c r="G1423" s="564"/>
      <c r="H1423" s="561" t="s">
        <v>654</v>
      </c>
      <c r="I1423" s="565"/>
      <c r="J1423" s="565"/>
      <c r="K1423" s="563">
        <v>0</v>
      </c>
      <c r="L1423" s="566">
        <v>0</v>
      </c>
    </row>
    <row r="1424" spans="1:12" ht="33.75" x14ac:dyDescent="0.2">
      <c r="A1424" s="561" t="s">
        <v>1666</v>
      </c>
      <c r="B1424" s="562">
        <v>2021</v>
      </c>
      <c r="C1424" s="561" t="s">
        <v>676</v>
      </c>
      <c r="D1424" s="561" t="s">
        <v>1676</v>
      </c>
      <c r="E1424" s="561" t="s">
        <v>15</v>
      </c>
      <c r="F1424" s="563">
        <v>0</v>
      </c>
      <c r="G1424" s="564"/>
      <c r="H1424" s="561" t="s">
        <v>654</v>
      </c>
      <c r="I1424" s="565"/>
      <c r="J1424" s="565"/>
      <c r="K1424" s="563">
        <v>0</v>
      </c>
      <c r="L1424" s="566">
        <v>0</v>
      </c>
    </row>
    <row r="1425" spans="1:12" ht="22.5" x14ac:dyDescent="0.2">
      <c r="A1425" s="561" t="s">
        <v>1666</v>
      </c>
      <c r="B1425" s="562">
        <v>2021</v>
      </c>
      <c r="C1425" s="561" t="s">
        <v>678</v>
      </c>
      <c r="D1425" s="561" t="s">
        <v>1677</v>
      </c>
      <c r="E1425" s="561" t="s">
        <v>680</v>
      </c>
      <c r="F1425" s="563">
        <v>0</v>
      </c>
      <c r="G1425" s="564"/>
      <c r="H1425" s="561" t="s">
        <v>654</v>
      </c>
      <c r="I1425" s="565"/>
      <c r="J1425" s="565"/>
      <c r="K1425" s="563">
        <v>0</v>
      </c>
      <c r="L1425" s="566">
        <v>0</v>
      </c>
    </row>
    <row r="1426" spans="1:12" ht="22.5" x14ac:dyDescent="0.2">
      <c r="A1426" s="561" t="s">
        <v>1666</v>
      </c>
      <c r="B1426" s="562">
        <v>2021</v>
      </c>
      <c r="C1426" s="561" t="s">
        <v>681</v>
      </c>
      <c r="D1426" s="561" t="s">
        <v>1678</v>
      </c>
      <c r="E1426" s="561" t="s">
        <v>23</v>
      </c>
      <c r="F1426" s="563">
        <v>0</v>
      </c>
      <c r="G1426" s="561" t="s">
        <v>654</v>
      </c>
      <c r="H1426" s="564"/>
      <c r="I1426" s="565"/>
      <c r="J1426" s="565"/>
      <c r="K1426" s="563">
        <v>0</v>
      </c>
      <c r="L1426" s="566">
        <v>0</v>
      </c>
    </row>
    <row r="1427" spans="1:12" ht="33.75" x14ac:dyDescent="0.2">
      <c r="A1427" s="561" t="s">
        <v>1666</v>
      </c>
      <c r="B1427" s="562">
        <v>2021</v>
      </c>
      <c r="C1427" s="561" t="s">
        <v>683</v>
      </c>
      <c r="D1427" s="561" t="s">
        <v>1679</v>
      </c>
      <c r="E1427" s="561" t="s">
        <v>131</v>
      </c>
      <c r="F1427" s="563">
        <v>0</v>
      </c>
      <c r="G1427" s="561" t="s">
        <v>654</v>
      </c>
      <c r="H1427" s="564"/>
      <c r="I1427" s="565"/>
      <c r="J1427" s="565"/>
      <c r="K1427" s="563">
        <v>0</v>
      </c>
      <c r="L1427" s="566">
        <v>0</v>
      </c>
    </row>
    <row r="1428" spans="1:12" ht="33.75" x14ac:dyDescent="0.2">
      <c r="A1428" s="561" t="s">
        <v>1666</v>
      </c>
      <c r="B1428" s="562">
        <v>2021</v>
      </c>
      <c r="C1428" s="561" t="s">
        <v>685</v>
      </c>
      <c r="D1428" s="561" t="s">
        <v>1680</v>
      </c>
      <c r="E1428" s="561" t="s">
        <v>687</v>
      </c>
      <c r="F1428" s="563">
        <v>0</v>
      </c>
      <c r="G1428" s="564"/>
      <c r="H1428" s="561" t="s">
        <v>654</v>
      </c>
      <c r="I1428" s="565"/>
      <c r="J1428" s="565"/>
      <c r="K1428" s="563">
        <v>0</v>
      </c>
      <c r="L1428" s="566">
        <v>0</v>
      </c>
    </row>
    <row r="1429" spans="1:12" ht="33.75" x14ac:dyDescent="0.2">
      <c r="A1429" s="561" t="s">
        <v>1666</v>
      </c>
      <c r="B1429" s="562">
        <v>2021</v>
      </c>
      <c r="C1429" s="561" t="s">
        <v>685</v>
      </c>
      <c r="D1429" s="561" t="s">
        <v>1680</v>
      </c>
      <c r="E1429" s="561" t="s">
        <v>688</v>
      </c>
      <c r="F1429" s="563">
        <v>0</v>
      </c>
      <c r="G1429" s="564"/>
      <c r="H1429" s="561" t="s">
        <v>654</v>
      </c>
      <c r="I1429" s="565"/>
      <c r="J1429" s="565"/>
      <c r="K1429" s="563">
        <v>0</v>
      </c>
      <c r="L1429" s="566">
        <v>0</v>
      </c>
    </row>
    <row r="1430" spans="1:12" ht="22.5" x14ac:dyDescent="0.2">
      <c r="A1430" s="561" t="s">
        <v>1666</v>
      </c>
      <c r="B1430" s="562">
        <v>2021</v>
      </c>
      <c r="C1430" s="561" t="s">
        <v>689</v>
      </c>
      <c r="D1430" s="561" t="s">
        <v>1681</v>
      </c>
      <c r="E1430" s="561" t="s">
        <v>691</v>
      </c>
      <c r="F1430" s="563">
        <v>0</v>
      </c>
      <c r="G1430" s="564"/>
      <c r="H1430" s="561" t="s">
        <v>654</v>
      </c>
      <c r="I1430" s="565"/>
      <c r="J1430" s="565"/>
      <c r="K1430" s="563">
        <v>0</v>
      </c>
      <c r="L1430" s="566">
        <v>0</v>
      </c>
    </row>
    <row r="1431" spans="1:12" ht="22.5" x14ac:dyDescent="0.2">
      <c r="A1431" s="561" t="s">
        <v>1666</v>
      </c>
      <c r="B1431" s="562">
        <v>2021</v>
      </c>
      <c r="C1431" s="561" t="s">
        <v>692</v>
      </c>
      <c r="D1431" s="561" t="s">
        <v>1682</v>
      </c>
      <c r="E1431" s="561" t="s">
        <v>50</v>
      </c>
      <c r="F1431" s="563">
        <v>0</v>
      </c>
      <c r="G1431" s="564"/>
      <c r="H1431" s="561" t="s">
        <v>654</v>
      </c>
      <c r="I1431" s="565"/>
      <c r="J1431" s="565"/>
      <c r="K1431" s="563">
        <v>0</v>
      </c>
      <c r="L1431" s="566">
        <v>0</v>
      </c>
    </row>
    <row r="1432" spans="1:12" ht="22.5" x14ac:dyDescent="0.2">
      <c r="A1432" s="561" t="s">
        <v>1666</v>
      </c>
      <c r="B1432" s="562">
        <v>2021</v>
      </c>
      <c r="C1432" s="561" t="s">
        <v>694</v>
      </c>
      <c r="D1432" s="561" t="s">
        <v>1683</v>
      </c>
      <c r="E1432" s="561" t="s">
        <v>696</v>
      </c>
      <c r="F1432" s="563">
        <v>0</v>
      </c>
      <c r="G1432" s="564"/>
      <c r="H1432" s="561" t="s">
        <v>654</v>
      </c>
      <c r="I1432" s="565"/>
      <c r="J1432" s="565"/>
      <c r="K1432" s="563">
        <v>0</v>
      </c>
      <c r="L1432" s="566">
        <v>0</v>
      </c>
    </row>
    <row r="1433" spans="1:12" ht="22.5" x14ac:dyDescent="0.2">
      <c r="A1433" s="561" t="s">
        <v>1666</v>
      </c>
      <c r="B1433" s="562">
        <v>2021</v>
      </c>
      <c r="C1433" s="561" t="s">
        <v>697</v>
      </c>
      <c r="D1433" s="561" t="s">
        <v>1684</v>
      </c>
      <c r="E1433" s="561" t="s">
        <v>6</v>
      </c>
      <c r="F1433" s="563">
        <v>0</v>
      </c>
      <c r="G1433" s="564"/>
      <c r="H1433" s="561" t="s">
        <v>654</v>
      </c>
      <c r="I1433" s="565"/>
      <c r="J1433" s="565"/>
      <c r="K1433" s="563">
        <v>0</v>
      </c>
      <c r="L1433" s="566">
        <v>0</v>
      </c>
    </row>
    <row r="1434" spans="1:12" ht="33.75" x14ac:dyDescent="0.2">
      <c r="A1434" s="561" t="s">
        <v>1666</v>
      </c>
      <c r="B1434" s="562">
        <v>2021</v>
      </c>
      <c r="C1434" s="561" t="s">
        <v>699</v>
      </c>
      <c r="D1434" s="561" t="s">
        <v>1685</v>
      </c>
      <c r="E1434" s="561" t="s">
        <v>701</v>
      </c>
      <c r="F1434" s="563">
        <v>0</v>
      </c>
      <c r="G1434" s="564"/>
      <c r="H1434" s="561" t="s">
        <v>654</v>
      </c>
      <c r="I1434" s="565"/>
      <c r="J1434" s="565"/>
      <c r="K1434" s="563">
        <v>0</v>
      </c>
      <c r="L1434" s="566">
        <v>0</v>
      </c>
    </row>
    <row r="1435" spans="1:12" ht="22.5" x14ac:dyDescent="0.2">
      <c r="A1435" s="561" t="s">
        <v>1666</v>
      </c>
      <c r="B1435" s="562">
        <v>2021</v>
      </c>
      <c r="C1435" s="561" t="s">
        <v>702</v>
      </c>
      <c r="D1435" s="561" t="s">
        <v>1686</v>
      </c>
      <c r="E1435" s="561" t="s">
        <v>704</v>
      </c>
      <c r="F1435" s="563">
        <v>0</v>
      </c>
      <c r="G1435" s="564"/>
      <c r="H1435" s="561" t="s">
        <v>654</v>
      </c>
      <c r="I1435" s="565"/>
      <c r="J1435" s="565"/>
      <c r="K1435" s="563">
        <v>0</v>
      </c>
      <c r="L1435" s="566">
        <v>0</v>
      </c>
    </row>
    <row r="1436" spans="1:12" ht="33.75" x14ac:dyDescent="0.2">
      <c r="A1436" s="561" t="s">
        <v>1666</v>
      </c>
      <c r="B1436" s="562">
        <v>2021</v>
      </c>
      <c r="C1436" s="561" t="s">
        <v>705</v>
      </c>
      <c r="D1436" s="561" t="s">
        <v>1687</v>
      </c>
      <c r="E1436" s="561" t="s">
        <v>1</v>
      </c>
      <c r="F1436" s="563">
        <v>0</v>
      </c>
      <c r="G1436" s="561" t="s">
        <v>654</v>
      </c>
      <c r="H1436" s="564"/>
      <c r="I1436" s="565"/>
      <c r="J1436" s="565"/>
      <c r="K1436" s="563">
        <v>0</v>
      </c>
      <c r="L1436" s="566">
        <v>0</v>
      </c>
    </row>
    <row r="1437" spans="1:12" ht="22.5" x14ac:dyDescent="0.2">
      <c r="A1437" s="561" t="s">
        <v>1666</v>
      </c>
      <c r="B1437" s="562">
        <v>2021</v>
      </c>
      <c r="C1437" s="561" t="s">
        <v>705</v>
      </c>
      <c r="D1437" s="561" t="s">
        <v>1687</v>
      </c>
      <c r="E1437" s="561" t="s">
        <v>707</v>
      </c>
      <c r="F1437" s="563">
        <v>0</v>
      </c>
      <c r="G1437" s="564"/>
      <c r="H1437" s="564"/>
      <c r="I1437" s="565"/>
      <c r="J1437" s="565"/>
      <c r="K1437" s="563">
        <v>0</v>
      </c>
      <c r="L1437" s="566">
        <v>0</v>
      </c>
    </row>
    <row r="1438" spans="1:12" ht="22.5" x14ac:dyDescent="0.2">
      <c r="A1438" s="561" t="s">
        <v>1666</v>
      </c>
      <c r="B1438" s="562">
        <v>2021</v>
      </c>
      <c r="C1438" s="561" t="s">
        <v>705</v>
      </c>
      <c r="D1438" s="561" t="s">
        <v>1687</v>
      </c>
      <c r="E1438" s="561" t="s">
        <v>708</v>
      </c>
      <c r="F1438" s="563">
        <v>0</v>
      </c>
      <c r="G1438" s="564"/>
      <c r="H1438" s="564"/>
      <c r="I1438" s="565"/>
      <c r="J1438" s="565"/>
      <c r="K1438" s="563">
        <v>0</v>
      </c>
      <c r="L1438" s="566">
        <v>0</v>
      </c>
    </row>
    <row r="1439" spans="1:12" ht="22.5" x14ac:dyDescent="0.2">
      <c r="A1439" s="561" t="s">
        <v>1666</v>
      </c>
      <c r="B1439" s="562">
        <v>2021</v>
      </c>
      <c r="C1439" s="561" t="s">
        <v>705</v>
      </c>
      <c r="D1439" s="561" t="s">
        <v>1687</v>
      </c>
      <c r="E1439" s="561" t="s">
        <v>709</v>
      </c>
      <c r="F1439" s="563">
        <v>0</v>
      </c>
      <c r="G1439" s="564"/>
      <c r="H1439" s="564"/>
      <c r="I1439" s="565"/>
      <c r="J1439" s="565"/>
      <c r="K1439" s="563">
        <v>0</v>
      </c>
      <c r="L1439" s="566">
        <v>0</v>
      </c>
    </row>
    <row r="1440" spans="1:12" ht="22.5" x14ac:dyDescent="0.2">
      <c r="A1440" s="561" t="s">
        <v>1666</v>
      </c>
      <c r="B1440" s="562">
        <v>2021</v>
      </c>
      <c r="C1440" s="561" t="s">
        <v>705</v>
      </c>
      <c r="D1440" s="561" t="s">
        <v>1687</v>
      </c>
      <c r="E1440" s="561" t="s">
        <v>710</v>
      </c>
      <c r="F1440" s="563">
        <v>0</v>
      </c>
      <c r="G1440" s="564"/>
      <c r="H1440" s="564"/>
      <c r="I1440" s="565"/>
      <c r="J1440" s="565"/>
      <c r="K1440" s="563">
        <v>0</v>
      </c>
      <c r="L1440" s="566">
        <v>0</v>
      </c>
    </row>
    <row r="1441" spans="1:12" ht="22.5" x14ac:dyDescent="0.2">
      <c r="A1441" s="561" t="s">
        <v>1666</v>
      </c>
      <c r="B1441" s="562">
        <v>2021</v>
      </c>
      <c r="C1441" s="561" t="s">
        <v>711</v>
      </c>
      <c r="D1441" s="561" t="s">
        <v>1688</v>
      </c>
      <c r="E1441" s="561" t="s">
        <v>713</v>
      </c>
      <c r="F1441" s="563">
        <v>0</v>
      </c>
      <c r="G1441" s="564"/>
      <c r="H1441" s="561" t="s">
        <v>654</v>
      </c>
      <c r="I1441" s="565"/>
      <c r="J1441" s="565"/>
      <c r="K1441" s="563">
        <v>0</v>
      </c>
      <c r="L1441" s="566">
        <v>0</v>
      </c>
    </row>
    <row r="1442" spans="1:12" ht="33.75" x14ac:dyDescent="0.2">
      <c r="A1442" s="561" t="s">
        <v>1666</v>
      </c>
      <c r="B1442" s="562">
        <v>2021</v>
      </c>
      <c r="C1442" s="561" t="s">
        <v>714</v>
      </c>
      <c r="D1442" s="561" t="s">
        <v>1689</v>
      </c>
      <c r="E1442" s="561" t="s">
        <v>2</v>
      </c>
      <c r="F1442" s="563">
        <v>0</v>
      </c>
      <c r="G1442" s="561" t="s">
        <v>654</v>
      </c>
      <c r="H1442" s="564"/>
      <c r="I1442" s="565"/>
      <c r="J1442" s="565"/>
      <c r="K1442" s="563">
        <v>0</v>
      </c>
      <c r="L1442" s="566">
        <v>0</v>
      </c>
    </row>
    <row r="1443" spans="1:12" ht="33.75" x14ac:dyDescent="0.2">
      <c r="A1443" s="561" t="s">
        <v>1666</v>
      </c>
      <c r="B1443" s="562">
        <v>2021</v>
      </c>
      <c r="C1443" s="561" t="s">
        <v>716</v>
      </c>
      <c r="D1443" s="561" t="s">
        <v>1690</v>
      </c>
      <c r="E1443" s="561" t="s">
        <v>3</v>
      </c>
      <c r="F1443" s="563">
        <v>0</v>
      </c>
      <c r="G1443" s="561" t="s">
        <v>654</v>
      </c>
      <c r="H1443" s="564"/>
      <c r="I1443" s="565"/>
      <c r="J1443" s="565"/>
      <c r="K1443" s="563">
        <v>0</v>
      </c>
      <c r="L1443" s="566">
        <v>0</v>
      </c>
    </row>
    <row r="1444" spans="1:12" ht="33.75" x14ac:dyDescent="0.2">
      <c r="A1444" s="561" t="s">
        <v>1666</v>
      </c>
      <c r="B1444" s="562">
        <v>2021</v>
      </c>
      <c r="C1444" s="561" t="s">
        <v>718</v>
      </c>
      <c r="D1444" s="561" t="s">
        <v>1691</v>
      </c>
      <c r="E1444" s="561" t="s">
        <v>38</v>
      </c>
      <c r="F1444" s="563">
        <v>0</v>
      </c>
      <c r="G1444" s="561" t="s">
        <v>654</v>
      </c>
      <c r="H1444" s="564"/>
      <c r="I1444" s="565"/>
      <c r="J1444" s="565"/>
      <c r="K1444" s="563">
        <v>0</v>
      </c>
      <c r="L1444" s="566">
        <v>0</v>
      </c>
    </row>
    <row r="1445" spans="1:12" ht="22.5" x14ac:dyDescent="0.2">
      <c r="A1445" s="561" t="s">
        <v>1666</v>
      </c>
      <c r="B1445" s="562">
        <v>2021</v>
      </c>
      <c r="C1445" s="561" t="s">
        <v>720</v>
      </c>
      <c r="D1445" s="561" t="s">
        <v>1692</v>
      </c>
      <c r="E1445" s="561" t="s">
        <v>66</v>
      </c>
      <c r="F1445" s="563">
        <v>0</v>
      </c>
      <c r="G1445" s="561" t="s">
        <v>654</v>
      </c>
      <c r="H1445" s="564"/>
      <c r="I1445" s="565"/>
      <c r="J1445" s="565"/>
      <c r="K1445" s="563">
        <v>0</v>
      </c>
      <c r="L1445" s="566">
        <v>0</v>
      </c>
    </row>
    <row r="1446" spans="1:12" ht="22.5" x14ac:dyDescent="0.2">
      <c r="A1446" s="561" t="s">
        <v>1666</v>
      </c>
      <c r="B1446" s="562">
        <v>2021</v>
      </c>
      <c r="C1446" s="561" t="s">
        <v>722</v>
      </c>
      <c r="D1446" s="561" t="s">
        <v>1693</v>
      </c>
      <c r="E1446" s="561" t="s">
        <v>772</v>
      </c>
      <c r="F1446" s="563">
        <v>0</v>
      </c>
      <c r="G1446" s="564"/>
      <c r="H1446" s="561" t="s">
        <v>654</v>
      </c>
      <c r="I1446" s="565"/>
      <c r="J1446" s="565"/>
      <c r="K1446" s="563">
        <v>0</v>
      </c>
      <c r="L1446" s="566">
        <v>0</v>
      </c>
    </row>
    <row r="1447" spans="1:12" ht="45" x14ac:dyDescent="0.2">
      <c r="A1447" s="561" t="s">
        <v>1666</v>
      </c>
      <c r="B1447" s="562">
        <v>2021</v>
      </c>
      <c r="C1447" s="561" t="s">
        <v>725</v>
      </c>
      <c r="D1447" s="561" t="s">
        <v>1694</v>
      </c>
      <c r="E1447" s="561" t="s">
        <v>3024</v>
      </c>
      <c r="F1447" s="563">
        <v>0</v>
      </c>
      <c r="G1447" s="561" t="s">
        <v>654</v>
      </c>
      <c r="H1447" s="564"/>
      <c r="I1447" s="565"/>
      <c r="J1447" s="565"/>
      <c r="K1447" s="563">
        <v>0</v>
      </c>
      <c r="L1447" s="566">
        <v>0</v>
      </c>
    </row>
    <row r="1448" spans="1:12" ht="45" x14ac:dyDescent="0.2">
      <c r="A1448" s="561" t="s">
        <v>1666</v>
      </c>
      <c r="B1448" s="562">
        <v>2021</v>
      </c>
      <c r="C1448" s="561" t="s">
        <v>725</v>
      </c>
      <c r="D1448" s="561" t="s">
        <v>1694</v>
      </c>
      <c r="E1448" s="561" t="s">
        <v>3066</v>
      </c>
      <c r="F1448" s="563">
        <v>0</v>
      </c>
      <c r="G1448" s="561" t="s">
        <v>654</v>
      </c>
      <c r="H1448" s="564"/>
      <c r="I1448" s="565"/>
      <c r="J1448" s="565"/>
      <c r="K1448" s="563">
        <v>0</v>
      </c>
      <c r="L1448" s="566">
        <v>0</v>
      </c>
    </row>
    <row r="1449" spans="1:12" ht="45" x14ac:dyDescent="0.2">
      <c r="A1449" s="561" t="s">
        <v>1666</v>
      </c>
      <c r="B1449" s="562">
        <v>2021</v>
      </c>
      <c r="C1449" s="561" t="s">
        <v>725</v>
      </c>
      <c r="D1449" s="561" t="s">
        <v>1695</v>
      </c>
      <c r="E1449" s="561" t="s">
        <v>728</v>
      </c>
      <c r="F1449" s="563">
        <v>0</v>
      </c>
      <c r="G1449" s="561" t="s">
        <v>654</v>
      </c>
      <c r="H1449" s="564"/>
      <c r="I1449" s="565"/>
      <c r="J1449" s="565"/>
      <c r="K1449" s="563">
        <v>0</v>
      </c>
      <c r="L1449" s="566">
        <v>0</v>
      </c>
    </row>
    <row r="1450" spans="1:12" ht="45" x14ac:dyDescent="0.2">
      <c r="A1450" s="561" t="s">
        <v>1666</v>
      </c>
      <c r="B1450" s="562">
        <v>2021</v>
      </c>
      <c r="C1450" s="561" t="s">
        <v>725</v>
      </c>
      <c r="D1450" s="561" t="s">
        <v>1696</v>
      </c>
      <c r="E1450" s="561" t="s">
        <v>55</v>
      </c>
      <c r="F1450" s="563">
        <v>0</v>
      </c>
      <c r="G1450" s="561" t="s">
        <v>654</v>
      </c>
      <c r="H1450" s="564"/>
      <c r="I1450" s="565"/>
      <c r="J1450" s="565"/>
      <c r="K1450" s="563">
        <v>0</v>
      </c>
      <c r="L1450" s="566">
        <v>0</v>
      </c>
    </row>
    <row r="1451" spans="1:12" ht="45" x14ac:dyDescent="0.2">
      <c r="A1451" s="561" t="s">
        <v>1666</v>
      </c>
      <c r="B1451" s="562">
        <v>2021</v>
      </c>
      <c r="C1451" s="561" t="s">
        <v>725</v>
      </c>
      <c r="D1451" s="561" t="s">
        <v>1697</v>
      </c>
      <c r="E1451" s="561" t="s">
        <v>56</v>
      </c>
      <c r="F1451" s="563">
        <v>0</v>
      </c>
      <c r="G1451" s="561" t="s">
        <v>654</v>
      </c>
      <c r="H1451" s="564"/>
      <c r="I1451" s="565"/>
      <c r="J1451" s="565"/>
      <c r="K1451" s="563">
        <v>0</v>
      </c>
      <c r="L1451" s="566">
        <v>0</v>
      </c>
    </row>
    <row r="1452" spans="1:12" ht="45" x14ac:dyDescent="0.2">
      <c r="A1452" s="561" t="s">
        <v>1666</v>
      </c>
      <c r="B1452" s="562">
        <v>2021</v>
      </c>
      <c r="C1452" s="561" t="s">
        <v>725</v>
      </c>
      <c r="D1452" s="561" t="s">
        <v>1698</v>
      </c>
      <c r="E1452" s="561" t="s">
        <v>732</v>
      </c>
      <c r="F1452" s="563">
        <v>0</v>
      </c>
      <c r="G1452" s="561" t="s">
        <v>654</v>
      </c>
      <c r="H1452" s="564"/>
      <c r="I1452" s="565"/>
      <c r="J1452" s="565"/>
      <c r="K1452" s="563">
        <v>0</v>
      </c>
      <c r="L1452" s="566">
        <v>0</v>
      </c>
    </row>
    <row r="1453" spans="1:12" ht="45" x14ac:dyDescent="0.2">
      <c r="A1453" s="561" t="s">
        <v>1666</v>
      </c>
      <c r="B1453" s="562">
        <v>2021</v>
      </c>
      <c r="C1453" s="561" t="s">
        <v>725</v>
      </c>
      <c r="D1453" s="561" t="s">
        <v>1699</v>
      </c>
      <c r="E1453" s="561" t="s">
        <v>734</v>
      </c>
      <c r="F1453" s="563">
        <v>0</v>
      </c>
      <c r="G1453" s="561" t="s">
        <v>654</v>
      </c>
      <c r="H1453" s="564"/>
      <c r="I1453" s="565"/>
      <c r="J1453" s="565"/>
      <c r="K1453" s="563">
        <v>0</v>
      </c>
      <c r="L1453" s="566">
        <v>0</v>
      </c>
    </row>
    <row r="1454" spans="1:12" ht="45" x14ac:dyDescent="0.2">
      <c r="A1454" s="561" t="s">
        <v>1666</v>
      </c>
      <c r="B1454" s="562">
        <v>2021</v>
      </c>
      <c r="C1454" s="561" t="s">
        <v>725</v>
      </c>
      <c r="D1454" s="561" t="s">
        <v>1700</v>
      </c>
      <c r="E1454" s="561" t="s">
        <v>142</v>
      </c>
      <c r="F1454" s="563">
        <v>0</v>
      </c>
      <c r="G1454" s="561" t="s">
        <v>654</v>
      </c>
      <c r="H1454" s="564"/>
      <c r="I1454" s="565"/>
      <c r="J1454" s="565"/>
      <c r="K1454" s="563">
        <v>0</v>
      </c>
      <c r="L1454" s="566">
        <v>0</v>
      </c>
    </row>
    <row r="1455" spans="1:12" ht="45" x14ac:dyDescent="0.2">
      <c r="A1455" s="561" t="s">
        <v>1666</v>
      </c>
      <c r="B1455" s="562">
        <v>2021</v>
      </c>
      <c r="C1455" s="561" t="s">
        <v>725</v>
      </c>
      <c r="D1455" s="561" t="s">
        <v>1701</v>
      </c>
      <c r="E1455" s="561" t="s">
        <v>143</v>
      </c>
      <c r="F1455" s="563">
        <v>0</v>
      </c>
      <c r="G1455" s="561" t="s">
        <v>654</v>
      </c>
      <c r="H1455" s="564"/>
      <c r="I1455" s="565"/>
      <c r="J1455" s="565"/>
      <c r="K1455" s="563">
        <v>0</v>
      </c>
      <c r="L1455" s="566">
        <v>0</v>
      </c>
    </row>
    <row r="1456" spans="1:12" ht="45" x14ac:dyDescent="0.2">
      <c r="A1456" s="561" t="s">
        <v>1666</v>
      </c>
      <c r="B1456" s="562">
        <v>2021</v>
      </c>
      <c r="C1456" s="561" t="s">
        <v>725</v>
      </c>
      <c r="D1456" s="561" t="s">
        <v>1702</v>
      </c>
      <c r="E1456" s="561" t="s">
        <v>182</v>
      </c>
      <c r="F1456" s="563">
        <v>0</v>
      </c>
      <c r="G1456" s="561" t="s">
        <v>654</v>
      </c>
      <c r="H1456" s="564"/>
      <c r="I1456" s="565"/>
      <c r="J1456" s="565"/>
      <c r="K1456" s="563">
        <v>0</v>
      </c>
      <c r="L1456" s="566">
        <v>0</v>
      </c>
    </row>
    <row r="1457" spans="1:12" ht="45" x14ac:dyDescent="0.2">
      <c r="A1457" s="561" t="s">
        <v>1666</v>
      </c>
      <c r="B1457" s="562">
        <v>2021</v>
      </c>
      <c r="C1457" s="561" t="s">
        <v>725</v>
      </c>
      <c r="D1457" s="561" t="s">
        <v>1703</v>
      </c>
      <c r="E1457" s="561" t="s">
        <v>394</v>
      </c>
      <c r="F1457" s="563">
        <v>0</v>
      </c>
      <c r="G1457" s="561" t="s">
        <v>654</v>
      </c>
      <c r="H1457" s="564"/>
      <c r="I1457" s="565"/>
      <c r="J1457" s="565"/>
      <c r="K1457" s="563">
        <v>0</v>
      </c>
      <c r="L1457" s="566">
        <v>0</v>
      </c>
    </row>
    <row r="1458" spans="1:12" ht="45" x14ac:dyDescent="0.2">
      <c r="A1458" s="561" t="s">
        <v>1666</v>
      </c>
      <c r="B1458" s="562">
        <v>2021</v>
      </c>
      <c r="C1458" s="561" t="s">
        <v>725</v>
      </c>
      <c r="D1458" s="561" t="s">
        <v>1704</v>
      </c>
      <c r="E1458" s="561" t="s">
        <v>425</v>
      </c>
      <c r="F1458" s="563">
        <v>0</v>
      </c>
      <c r="G1458" s="561" t="s">
        <v>654</v>
      </c>
      <c r="H1458" s="564"/>
      <c r="I1458" s="565"/>
      <c r="J1458" s="565"/>
      <c r="K1458" s="563">
        <v>0</v>
      </c>
      <c r="L1458" s="566">
        <v>0</v>
      </c>
    </row>
    <row r="1459" spans="1:12" ht="45" x14ac:dyDescent="0.2">
      <c r="A1459" s="561" t="s">
        <v>1666</v>
      </c>
      <c r="B1459" s="562">
        <v>2021</v>
      </c>
      <c r="C1459" s="561" t="s">
        <v>725</v>
      </c>
      <c r="D1459" s="561" t="s">
        <v>3271</v>
      </c>
      <c r="E1459" s="561" t="s">
        <v>443</v>
      </c>
      <c r="F1459" s="563">
        <v>0</v>
      </c>
      <c r="G1459" s="561" t="s">
        <v>654</v>
      </c>
      <c r="H1459" s="564"/>
      <c r="I1459" s="565"/>
      <c r="J1459" s="565"/>
      <c r="K1459" s="563">
        <v>0</v>
      </c>
      <c r="L1459" s="566">
        <v>0</v>
      </c>
    </row>
    <row r="1460" spans="1:12" ht="45" x14ac:dyDescent="0.2">
      <c r="A1460" s="561" t="s">
        <v>1666</v>
      </c>
      <c r="B1460" s="562">
        <v>2021</v>
      </c>
      <c r="C1460" s="561" t="s">
        <v>725</v>
      </c>
      <c r="D1460" s="561" t="s">
        <v>1705</v>
      </c>
      <c r="E1460" s="561" t="s">
        <v>741</v>
      </c>
      <c r="F1460" s="563">
        <v>0</v>
      </c>
      <c r="G1460" s="564"/>
      <c r="H1460" s="564"/>
      <c r="I1460" s="565"/>
      <c r="J1460" s="565"/>
      <c r="K1460" s="563">
        <v>0</v>
      </c>
      <c r="L1460" s="566">
        <v>0</v>
      </c>
    </row>
    <row r="1461" spans="1:12" ht="22.5" x14ac:dyDescent="0.2">
      <c r="A1461" s="561" t="s">
        <v>1666</v>
      </c>
      <c r="B1461" s="562">
        <v>2021</v>
      </c>
      <c r="C1461" s="561" t="s">
        <v>742</v>
      </c>
      <c r="D1461" s="561" t="s">
        <v>1706</v>
      </c>
      <c r="E1461" s="561" t="s">
        <v>7</v>
      </c>
      <c r="F1461" s="563">
        <v>0</v>
      </c>
      <c r="G1461" s="564"/>
      <c r="H1461" s="561" t="s">
        <v>654</v>
      </c>
      <c r="I1461" s="565"/>
      <c r="J1461" s="565"/>
      <c r="K1461" s="563">
        <v>0</v>
      </c>
      <c r="L1461" s="566">
        <v>0</v>
      </c>
    </row>
    <row r="1462" spans="1:12" ht="22.5" x14ac:dyDescent="0.2">
      <c r="A1462" s="561" t="s">
        <v>97</v>
      </c>
      <c r="B1462" s="562">
        <v>2021</v>
      </c>
      <c r="C1462" s="561" t="s">
        <v>651</v>
      </c>
      <c r="D1462" s="561" t="s">
        <v>1707</v>
      </c>
      <c r="E1462" s="561" t="s">
        <v>653</v>
      </c>
      <c r="F1462" s="563">
        <v>8761931.9900000002</v>
      </c>
      <c r="G1462" s="564"/>
      <c r="H1462" s="561" t="s">
        <v>654</v>
      </c>
      <c r="I1462" s="565"/>
      <c r="J1462" s="565"/>
      <c r="K1462" s="563">
        <v>0</v>
      </c>
      <c r="L1462" s="566">
        <v>8761931.9900000002</v>
      </c>
    </row>
    <row r="1463" spans="1:12" ht="15" x14ac:dyDescent="0.2">
      <c r="A1463" s="561" t="s">
        <v>97</v>
      </c>
      <c r="B1463" s="562">
        <v>2021</v>
      </c>
      <c r="C1463" s="561" t="s">
        <v>655</v>
      </c>
      <c r="D1463" s="561" t="s">
        <v>1708</v>
      </c>
      <c r="E1463" s="561" t="s">
        <v>657</v>
      </c>
      <c r="F1463" s="563">
        <v>-42738.77</v>
      </c>
      <c r="G1463" s="564"/>
      <c r="H1463" s="561" t="s">
        <v>654</v>
      </c>
      <c r="I1463" s="565"/>
      <c r="J1463" s="565"/>
      <c r="K1463" s="563">
        <v>0</v>
      </c>
      <c r="L1463" s="566">
        <v>-42738.77</v>
      </c>
    </row>
    <row r="1464" spans="1:12" ht="56.25" x14ac:dyDescent="0.2">
      <c r="A1464" s="561" t="s">
        <v>97</v>
      </c>
      <c r="B1464" s="562">
        <v>2021</v>
      </c>
      <c r="C1464" s="561" t="s">
        <v>658</v>
      </c>
      <c r="D1464" s="561" t="s">
        <v>1709</v>
      </c>
      <c r="E1464" s="561" t="s">
        <v>447</v>
      </c>
      <c r="F1464" s="563">
        <v>-11231.12</v>
      </c>
      <c r="G1464" s="564"/>
      <c r="H1464" s="561" t="s">
        <v>654</v>
      </c>
      <c r="I1464" s="565"/>
      <c r="J1464" s="565"/>
      <c r="K1464" s="563">
        <v>0</v>
      </c>
      <c r="L1464" s="566">
        <v>-11231.12</v>
      </c>
    </row>
    <row r="1465" spans="1:12" ht="22.5" x14ac:dyDescent="0.2">
      <c r="A1465" s="561" t="s">
        <v>97</v>
      </c>
      <c r="B1465" s="562">
        <v>2021</v>
      </c>
      <c r="C1465" s="561" t="s">
        <v>660</v>
      </c>
      <c r="D1465" s="561" t="s">
        <v>1710</v>
      </c>
      <c r="E1465" s="561" t="s">
        <v>662</v>
      </c>
      <c r="F1465" s="563">
        <v>0</v>
      </c>
      <c r="G1465" s="564"/>
      <c r="H1465" s="561" t="s">
        <v>654</v>
      </c>
      <c r="I1465" s="565"/>
      <c r="J1465" s="565"/>
      <c r="K1465" s="563">
        <v>0</v>
      </c>
      <c r="L1465" s="566">
        <v>0</v>
      </c>
    </row>
    <row r="1466" spans="1:12" ht="33.75" x14ac:dyDescent="0.2">
      <c r="A1466" s="561" t="s">
        <v>97</v>
      </c>
      <c r="B1466" s="562">
        <v>2021</v>
      </c>
      <c r="C1466" s="561" t="s">
        <v>663</v>
      </c>
      <c r="D1466" s="561" t="s">
        <v>1711</v>
      </c>
      <c r="E1466" s="561" t="s">
        <v>665</v>
      </c>
      <c r="F1466" s="563">
        <v>0</v>
      </c>
      <c r="G1466" s="564"/>
      <c r="H1466" s="561" t="s">
        <v>654</v>
      </c>
      <c r="I1466" s="565"/>
      <c r="J1466" s="565"/>
      <c r="K1466" s="563">
        <v>0</v>
      </c>
      <c r="L1466" s="566">
        <v>0</v>
      </c>
    </row>
    <row r="1467" spans="1:12" ht="33.75" x14ac:dyDescent="0.2">
      <c r="A1467" s="561" t="s">
        <v>97</v>
      </c>
      <c r="B1467" s="562">
        <v>2021</v>
      </c>
      <c r="C1467" s="561" t="s">
        <v>666</v>
      </c>
      <c r="D1467" s="561" t="s">
        <v>1712</v>
      </c>
      <c r="E1467" s="561" t="s">
        <v>668</v>
      </c>
      <c r="F1467" s="563">
        <v>0</v>
      </c>
      <c r="G1467" s="564"/>
      <c r="H1467" s="561" t="s">
        <v>654</v>
      </c>
      <c r="I1467" s="565"/>
      <c r="J1467" s="565"/>
      <c r="K1467" s="563">
        <v>0</v>
      </c>
      <c r="L1467" s="566">
        <v>0</v>
      </c>
    </row>
    <row r="1468" spans="1:12" ht="56.25" x14ac:dyDescent="0.2">
      <c r="A1468" s="561" t="s">
        <v>97</v>
      </c>
      <c r="B1468" s="562">
        <v>2021</v>
      </c>
      <c r="C1468" s="561" t="s">
        <v>669</v>
      </c>
      <c r="D1468" s="561" t="s">
        <v>1713</v>
      </c>
      <c r="E1468" s="561" t="s">
        <v>671</v>
      </c>
      <c r="F1468" s="563">
        <v>0</v>
      </c>
      <c r="G1468" s="564"/>
      <c r="H1468" s="561" t="s">
        <v>654</v>
      </c>
      <c r="I1468" s="565"/>
      <c r="J1468" s="565"/>
      <c r="K1468" s="563">
        <v>0</v>
      </c>
      <c r="L1468" s="566">
        <v>0</v>
      </c>
    </row>
    <row r="1469" spans="1:12" ht="22.5" x14ac:dyDescent="0.2">
      <c r="A1469" s="561" t="s">
        <v>97</v>
      </c>
      <c r="B1469" s="562">
        <v>2021</v>
      </c>
      <c r="C1469" s="561" t="s">
        <v>672</v>
      </c>
      <c r="D1469" s="561" t="s">
        <v>1714</v>
      </c>
      <c r="E1469" s="561" t="s">
        <v>12</v>
      </c>
      <c r="F1469" s="563">
        <v>0</v>
      </c>
      <c r="G1469" s="564"/>
      <c r="H1469" s="561" t="s">
        <v>654</v>
      </c>
      <c r="I1469" s="565"/>
      <c r="J1469" s="565"/>
      <c r="K1469" s="563">
        <v>0</v>
      </c>
      <c r="L1469" s="566">
        <v>0</v>
      </c>
    </row>
    <row r="1470" spans="1:12" ht="22.5" x14ac:dyDescent="0.2">
      <c r="A1470" s="561" t="s">
        <v>97</v>
      </c>
      <c r="B1470" s="562">
        <v>2021</v>
      </c>
      <c r="C1470" s="561" t="s">
        <v>674</v>
      </c>
      <c r="D1470" s="561" t="s">
        <v>1715</v>
      </c>
      <c r="E1470" s="561" t="s">
        <v>13</v>
      </c>
      <c r="F1470" s="563">
        <v>0</v>
      </c>
      <c r="G1470" s="564"/>
      <c r="H1470" s="561" t="s">
        <v>654</v>
      </c>
      <c r="I1470" s="565"/>
      <c r="J1470" s="565"/>
      <c r="K1470" s="563">
        <v>0</v>
      </c>
      <c r="L1470" s="566">
        <v>0</v>
      </c>
    </row>
    <row r="1471" spans="1:12" ht="33.75" x14ac:dyDescent="0.2">
      <c r="A1471" s="561" t="s">
        <v>97</v>
      </c>
      <c r="B1471" s="562">
        <v>2021</v>
      </c>
      <c r="C1471" s="561" t="s">
        <v>676</v>
      </c>
      <c r="D1471" s="561" t="s">
        <v>1716</v>
      </c>
      <c r="E1471" s="561" t="s">
        <v>15</v>
      </c>
      <c r="F1471" s="563">
        <v>0</v>
      </c>
      <c r="G1471" s="564"/>
      <c r="H1471" s="561" t="s">
        <v>654</v>
      </c>
      <c r="I1471" s="565"/>
      <c r="J1471" s="565"/>
      <c r="K1471" s="563">
        <v>0</v>
      </c>
      <c r="L1471" s="566">
        <v>0</v>
      </c>
    </row>
    <row r="1472" spans="1:12" ht="15" x14ac:dyDescent="0.2">
      <c r="A1472" s="561" t="s">
        <v>97</v>
      </c>
      <c r="B1472" s="562">
        <v>2021</v>
      </c>
      <c r="C1472" s="561" t="s">
        <v>678</v>
      </c>
      <c r="D1472" s="561" t="s">
        <v>1717</v>
      </c>
      <c r="E1472" s="561" t="s">
        <v>680</v>
      </c>
      <c r="F1472" s="563">
        <v>340326.75</v>
      </c>
      <c r="G1472" s="564"/>
      <c r="H1472" s="561" t="s">
        <v>654</v>
      </c>
      <c r="I1472" s="565"/>
      <c r="J1472" s="565"/>
      <c r="K1472" s="563">
        <v>0</v>
      </c>
      <c r="L1472" s="566">
        <v>340326.75</v>
      </c>
    </row>
    <row r="1473" spans="1:12" ht="15" x14ac:dyDescent="0.2">
      <c r="A1473" s="561" t="s">
        <v>97</v>
      </c>
      <c r="B1473" s="562">
        <v>2021</v>
      </c>
      <c r="C1473" s="561" t="s">
        <v>681</v>
      </c>
      <c r="D1473" s="561" t="s">
        <v>1718</v>
      </c>
      <c r="E1473" s="561" t="s">
        <v>23</v>
      </c>
      <c r="F1473" s="563">
        <v>-881117.07</v>
      </c>
      <c r="G1473" s="561" t="s">
        <v>654</v>
      </c>
      <c r="H1473" s="564"/>
      <c r="I1473" s="563">
        <v>-872589.625</v>
      </c>
      <c r="J1473" s="563">
        <v>-8527.419921875</v>
      </c>
      <c r="K1473" s="563">
        <v>-881117.0625</v>
      </c>
      <c r="L1473" s="566">
        <v>-881117.07</v>
      </c>
    </row>
    <row r="1474" spans="1:12" ht="33.75" x14ac:dyDescent="0.2">
      <c r="A1474" s="561" t="s">
        <v>97</v>
      </c>
      <c r="B1474" s="562">
        <v>2021</v>
      </c>
      <c r="C1474" s="561" t="s">
        <v>683</v>
      </c>
      <c r="D1474" s="561" t="s">
        <v>1719</v>
      </c>
      <c r="E1474" s="561" t="s">
        <v>131</v>
      </c>
      <c r="F1474" s="563">
        <v>-138008.62</v>
      </c>
      <c r="G1474" s="561" t="s">
        <v>654</v>
      </c>
      <c r="H1474" s="564"/>
      <c r="I1474" s="563">
        <v>-136078.203125</v>
      </c>
      <c r="J1474" s="563">
        <v>-1930.42004394531</v>
      </c>
      <c r="K1474" s="563">
        <v>-138008.625</v>
      </c>
      <c r="L1474" s="566">
        <v>-138008.62</v>
      </c>
    </row>
    <row r="1475" spans="1:12" ht="33.75" x14ac:dyDescent="0.2">
      <c r="A1475" s="561" t="s">
        <v>97</v>
      </c>
      <c r="B1475" s="562">
        <v>2021</v>
      </c>
      <c r="C1475" s="561" t="s">
        <v>685</v>
      </c>
      <c r="D1475" s="561" t="s">
        <v>1720</v>
      </c>
      <c r="E1475" s="561" t="s">
        <v>687</v>
      </c>
      <c r="F1475" s="563">
        <v>0</v>
      </c>
      <c r="G1475" s="564"/>
      <c r="H1475" s="561" t="s">
        <v>654</v>
      </c>
      <c r="I1475" s="565"/>
      <c r="J1475" s="565"/>
      <c r="K1475" s="563">
        <v>0</v>
      </c>
      <c r="L1475" s="566">
        <v>0</v>
      </c>
    </row>
    <row r="1476" spans="1:12" ht="33.75" x14ac:dyDescent="0.2">
      <c r="A1476" s="561" t="s">
        <v>97</v>
      </c>
      <c r="B1476" s="562">
        <v>2021</v>
      </c>
      <c r="C1476" s="561" t="s">
        <v>685</v>
      </c>
      <c r="D1476" s="561" t="s">
        <v>1720</v>
      </c>
      <c r="E1476" s="561" t="s">
        <v>688</v>
      </c>
      <c r="F1476" s="563">
        <v>0</v>
      </c>
      <c r="G1476" s="564"/>
      <c r="H1476" s="561" t="s">
        <v>654</v>
      </c>
      <c r="I1476" s="565"/>
      <c r="J1476" s="565"/>
      <c r="K1476" s="563">
        <v>0</v>
      </c>
      <c r="L1476" s="566">
        <v>0</v>
      </c>
    </row>
    <row r="1477" spans="1:12" ht="22.5" x14ac:dyDescent="0.2">
      <c r="A1477" s="561" t="s">
        <v>97</v>
      </c>
      <c r="B1477" s="562">
        <v>2021</v>
      </c>
      <c r="C1477" s="561" t="s">
        <v>689</v>
      </c>
      <c r="D1477" s="561" t="s">
        <v>1721</v>
      </c>
      <c r="E1477" s="561" t="s">
        <v>691</v>
      </c>
      <c r="F1477" s="563">
        <v>0</v>
      </c>
      <c r="G1477" s="564"/>
      <c r="H1477" s="561" t="s">
        <v>654</v>
      </c>
      <c r="I1477" s="565"/>
      <c r="J1477" s="565"/>
      <c r="K1477" s="563">
        <v>0</v>
      </c>
      <c r="L1477" s="566">
        <v>0</v>
      </c>
    </row>
    <row r="1478" spans="1:12" ht="22.5" x14ac:dyDescent="0.2">
      <c r="A1478" s="561" t="s">
        <v>97</v>
      </c>
      <c r="B1478" s="562">
        <v>2021</v>
      </c>
      <c r="C1478" s="561" t="s">
        <v>692</v>
      </c>
      <c r="D1478" s="561" t="s">
        <v>1722</v>
      </c>
      <c r="E1478" s="561" t="s">
        <v>50</v>
      </c>
      <c r="F1478" s="563">
        <v>3577322.87</v>
      </c>
      <c r="G1478" s="564"/>
      <c r="H1478" s="561" t="s">
        <v>654</v>
      </c>
      <c r="I1478" s="565"/>
      <c r="J1478" s="565"/>
      <c r="K1478" s="563">
        <v>0</v>
      </c>
      <c r="L1478" s="566">
        <v>3577322.87</v>
      </c>
    </row>
    <row r="1479" spans="1:12" ht="22.5" x14ac:dyDescent="0.2">
      <c r="A1479" s="561" t="s">
        <v>97</v>
      </c>
      <c r="B1479" s="562">
        <v>2021</v>
      </c>
      <c r="C1479" s="561" t="s">
        <v>694</v>
      </c>
      <c r="D1479" s="561" t="s">
        <v>1723</v>
      </c>
      <c r="E1479" s="561" t="s">
        <v>696</v>
      </c>
      <c r="F1479" s="563">
        <v>0</v>
      </c>
      <c r="G1479" s="564"/>
      <c r="H1479" s="561" t="s">
        <v>654</v>
      </c>
      <c r="I1479" s="565"/>
      <c r="J1479" s="565"/>
      <c r="K1479" s="563">
        <v>0</v>
      </c>
      <c r="L1479" s="566">
        <v>0</v>
      </c>
    </row>
    <row r="1480" spans="1:12" ht="22.5" x14ac:dyDescent="0.2">
      <c r="A1480" s="561" t="s">
        <v>97</v>
      </c>
      <c r="B1480" s="562">
        <v>2021</v>
      </c>
      <c r="C1480" s="561" t="s">
        <v>697</v>
      </c>
      <c r="D1480" s="561" t="s">
        <v>1724</v>
      </c>
      <c r="E1480" s="561" t="s">
        <v>6</v>
      </c>
      <c r="F1480" s="563">
        <v>0</v>
      </c>
      <c r="G1480" s="564"/>
      <c r="H1480" s="561" t="s">
        <v>654</v>
      </c>
      <c r="I1480" s="565"/>
      <c r="J1480" s="565"/>
      <c r="K1480" s="563">
        <v>0</v>
      </c>
      <c r="L1480" s="566">
        <v>0</v>
      </c>
    </row>
    <row r="1481" spans="1:12" ht="33.75" x14ac:dyDescent="0.2">
      <c r="A1481" s="561" t="s">
        <v>97</v>
      </c>
      <c r="B1481" s="562">
        <v>2021</v>
      </c>
      <c r="C1481" s="561" t="s">
        <v>699</v>
      </c>
      <c r="D1481" s="561" t="s">
        <v>1725</v>
      </c>
      <c r="E1481" s="561" t="s">
        <v>701</v>
      </c>
      <c r="F1481" s="563">
        <v>0</v>
      </c>
      <c r="G1481" s="564"/>
      <c r="H1481" s="561" t="s">
        <v>654</v>
      </c>
      <c r="I1481" s="565"/>
      <c r="J1481" s="565"/>
      <c r="K1481" s="563">
        <v>0</v>
      </c>
      <c r="L1481" s="566">
        <v>0</v>
      </c>
    </row>
    <row r="1482" spans="1:12" ht="22.5" x14ac:dyDescent="0.2">
      <c r="A1482" s="561" t="s">
        <v>97</v>
      </c>
      <c r="B1482" s="562">
        <v>2021</v>
      </c>
      <c r="C1482" s="561" t="s">
        <v>702</v>
      </c>
      <c r="D1482" s="561" t="s">
        <v>1726</v>
      </c>
      <c r="E1482" s="561" t="s">
        <v>704</v>
      </c>
      <c r="F1482" s="563">
        <v>0</v>
      </c>
      <c r="G1482" s="564"/>
      <c r="H1482" s="561" t="s">
        <v>654</v>
      </c>
      <c r="I1482" s="565"/>
      <c r="J1482" s="565"/>
      <c r="K1482" s="563">
        <v>0</v>
      </c>
      <c r="L1482" s="566">
        <v>0</v>
      </c>
    </row>
    <row r="1483" spans="1:12" ht="33.75" x14ac:dyDescent="0.2">
      <c r="A1483" s="561" t="s">
        <v>97</v>
      </c>
      <c r="B1483" s="562">
        <v>2021</v>
      </c>
      <c r="C1483" s="561" t="s">
        <v>705</v>
      </c>
      <c r="D1483" s="561" t="s">
        <v>1727</v>
      </c>
      <c r="E1483" s="561" t="s">
        <v>1</v>
      </c>
      <c r="F1483" s="563">
        <v>-7037738.7000000002</v>
      </c>
      <c r="G1483" s="561" t="s">
        <v>654</v>
      </c>
      <c r="H1483" s="564"/>
      <c r="I1483" s="563">
        <v>-6984862</v>
      </c>
      <c r="J1483" s="563">
        <v>-52876.55859375</v>
      </c>
      <c r="K1483" s="563">
        <v>-7037738.5</v>
      </c>
      <c r="L1483" s="566">
        <v>-7037738.7000000002</v>
      </c>
    </row>
    <row r="1484" spans="1:12" ht="22.5" x14ac:dyDescent="0.2">
      <c r="A1484" s="561" t="s">
        <v>97</v>
      </c>
      <c r="B1484" s="562">
        <v>2021</v>
      </c>
      <c r="C1484" s="561" t="s">
        <v>705</v>
      </c>
      <c r="D1484" s="561" t="s">
        <v>1727</v>
      </c>
      <c r="E1484" s="561" t="s">
        <v>707</v>
      </c>
      <c r="F1484" s="563">
        <v>0</v>
      </c>
      <c r="G1484" s="564"/>
      <c r="H1484" s="564"/>
      <c r="I1484" s="565"/>
      <c r="J1484" s="565"/>
      <c r="K1484" s="563">
        <v>0</v>
      </c>
      <c r="L1484" s="566">
        <v>0</v>
      </c>
    </row>
    <row r="1485" spans="1:12" ht="22.5" x14ac:dyDescent="0.2">
      <c r="A1485" s="561" t="s">
        <v>97</v>
      </c>
      <c r="B1485" s="562">
        <v>2021</v>
      </c>
      <c r="C1485" s="561" t="s">
        <v>705</v>
      </c>
      <c r="D1485" s="561" t="s">
        <v>1727</v>
      </c>
      <c r="E1485" s="561" t="s">
        <v>708</v>
      </c>
      <c r="F1485" s="563">
        <v>0</v>
      </c>
      <c r="G1485" s="564"/>
      <c r="H1485" s="564"/>
      <c r="I1485" s="565"/>
      <c r="J1485" s="565"/>
      <c r="K1485" s="563">
        <v>0</v>
      </c>
      <c r="L1485" s="566">
        <v>0</v>
      </c>
    </row>
    <row r="1486" spans="1:12" ht="22.5" x14ac:dyDescent="0.2">
      <c r="A1486" s="561" t="s">
        <v>97</v>
      </c>
      <c r="B1486" s="562">
        <v>2021</v>
      </c>
      <c r="C1486" s="561" t="s">
        <v>705</v>
      </c>
      <c r="D1486" s="561" t="s">
        <v>1727</v>
      </c>
      <c r="E1486" s="561" t="s">
        <v>709</v>
      </c>
      <c r="F1486" s="563">
        <v>-13242.06</v>
      </c>
      <c r="G1486" s="564"/>
      <c r="H1486" s="564"/>
      <c r="I1486" s="565"/>
      <c r="J1486" s="565"/>
      <c r="K1486" s="563">
        <v>0</v>
      </c>
      <c r="L1486" s="566">
        <v>-13242.06</v>
      </c>
    </row>
    <row r="1487" spans="1:12" ht="22.5" x14ac:dyDescent="0.2">
      <c r="A1487" s="561" t="s">
        <v>97</v>
      </c>
      <c r="B1487" s="562">
        <v>2021</v>
      </c>
      <c r="C1487" s="561" t="s">
        <v>705</v>
      </c>
      <c r="D1487" s="561" t="s">
        <v>1727</v>
      </c>
      <c r="E1487" s="561" t="s">
        <v>710</v>
      </c>
      <c r="F1487" s="563">
        <v>-698191.62</v>
      </c>
      <c r="G1487" s="564"/>
      <c r="H1487" s="564"/>
      <c r="I1487" s="565"/>
      <c r="J1487" s="565"/>
      <c r="K1487" s="563">
        <v>0</v>
      </c>
      <c r="L1487" s="566">
        <v>-698191.62</v>
      </c>
    </row>
    <row r="1488" spans="1:12" ht="15" x14ac:dyDescent="0.2">
      <c r="A1488" s="561" t="s">
        <v>97</v>
      </c>
      <c r="B1488" s="562">
        <v>2021</v>
      </c>
      <c r="C1488" s="561" t="s">
        <v>711</v>
      </c>
      <c r="D1488" s="561" t="s">
        <v>1728</v>
      </c>
      <c r="E1488" s="561" t="s">
        <v>713</v>
      </c>
      <c r="F1488" s="563">
        <v>0</v>
      </c>
      <c r="G1488" s="564"/>
      <c r="H1488" s="561" t="s">
        <v>654</v>
      </c>
      <c r="I1488" s="565"/>
      <c r="J1488" s="565"/>
      <c r="K1488" s="563">
        <v>0</v>
      </c>
      <c r="L1488" s="566">
        <v>0</v>
      </c>
    </row>
    <row r="1489" spans="1:12" ht="33.75" x14ac:dyDescent="0.2">
      <c r="A1489" s="561" t="s">
        <v>97</v>
      </c>
      <c r="B1489" s="562">
        <v>2021</v>
      </c>
      <c r="C1489" s="561" t="s">
        <v>714</v>
      </c>
      <c r="D1489" s="561" t="s">
        <v>1729</v>
      </c>
      <c r="E1489" s="561" t="s">
        <v>2</v>
      </c>
      <c r="F1489" s="563">
        <v>-508535.61</v>
      </c>
      <c r="G1489" s="561" t="s">
        <v>654</v>
      </c>
      <c r="H1489" s="564"/>
      <c r="I1489" s="563">
        <v>-482862.09375</v>
      </c>
      <c r="J1489" s="563">
        <v>-25673.509765625</v>
      </c>
      <c r="K1489" s="563">
        <v>-508535.625</v>
      </c>
      <c r="L1489" s="566">
        <v>-508535.61</v>
      </c>
    </row>
    <row r="1490" spans="1:12" ht="33.75" x14ac:dyDescent="0.2">
      <c r="A1490" s="561" t="s">
        <v>97</v>
      </c>
      <c r="B1490" s="562">
        <v>2021</v>
      </c>
      <c r="C1490" s="561" t="s">
        <v>716</v>
      </c>
      <c r="D1490" s="561" t="s">
        <v>1730</v>
      </c>
      <c r="E1490" s="561" t="s">
        <v>3</v>
      </c>
      <c r="F1490" s="563">
        <v>-8063293.2599999998</v>
      </c>
      <c r="G1490" s="561" t="s">
        <v>654</v>
      </c>
      <c r="H1490" s="564"/>
      <c r="I1490" s="563">
        <v>-7933379</v>
      </c>
      <c r="J1490" s="563">
        <v>-129914.453125</v>
      </c>
      <c r="K1490" s="563">
        <v>-8063293.5</v>
      </c>
      <c r="L1490" s="566">
        <v>-8063293.2599999998</v>
      </c>
    </row>
    <row r="1491" spans="1:12" ht="33.75" x14ac:dyDescent="0.2">
      <c r="A1491" s="561" t="s">
        <v>97</v>
      </c>
      <c r="B1491" s="562">
        <v>2021</v>
      </c>
      <c r="C1491" s="561" t="s">
        <v>718</v>
      </c>
      <c r="D1491" s="561" t="s">
        <v>1731</v>
      </c>
      <c r="E1491" s="561" t="s">
        <v>38</v>
      </c>
      <c r="F1491" s="563">
        <v>1731201.41</v>
      </c>
      <c r="G1491" s="561" t="s">
        <v>654</v>
      </c>
      <c r="H1491" s="564"/>
      <c r="I1491" s="563">
        <v>1714756.875</v>
      </c>
      <c r="J1491" s="563">
        <v>16444.5</v>
      </c>
      <c r="K1491" s="563">
        <v>1731201.375</v>
      </c>
      <c r="L1491" s="566">
        <v>1731201.41</v>
      </c>
    </row>
    <row r="1492" spans="1:12" ht="22.5" x14ac:dyDescent="0.2">
      <c r="A1492" s="561" t="s">
        <v>97</v>
      </c>
      <c r="B1492" s="562">
        <v>2021</v>
      </c>
      <c r="C1492" s="561" t="s">
        <v>720</v>
      </c>
      <c r="D1492" s="561" t="s">
        <v>1732</v>
      </c>
      <c r="E1492" s="561" t="s">
        <v>66</v>
      </c>
      <c r="F1492" s="563">
        <v>8564782.5299999993</v>
      </c>
      <c r="G1492" s="561" t="s">
        <v>654</v>
      </c>
      <c r="H1492" s="564"/>
      <c r="I1492" s="563">
        <v>8272031.5</v>
      </c>
      <c r="J1492" s="563">
        <v>292750.90625</v>
      </c>
      <c r="K1492" s="563">
        <v>8564783</v>
      </c>
      <c r="L1492" s="566">
        <v>8564782.5299999993</v>
      </c>
    </row>
    <row r="1493" spans="1:12" ht="45" x14ac:dyDescent="0.2">
      <c r="A1493" s="561" t="s">
        <v>97</v>
      </c>
      <c r="B1493" s="562">
        <v>2021</v>
      </c>
      <c r="C1493" s="561" t="s">
        <v>722</v>
      </c>
      <c r="D1493" s="561" t="s">
        <v>1733</v>
      </c>
      <c r="E1493" s="561" t="s">
        <v>724</v>
      </c>
      <c r="F1493" s="563">
        <v>-6358695.2400000002</v>
      </c>
      <c r="G1493" s="564"/>
      <c r="H1493" s="561" t="s">
        <v>654</v>
      </c>
      <c r="I1493" s="565"/>
      <c r="J1493" s="565"/>
      <c r="K1493" s="563">
        <v>0</v>
      </c>
      <c r="L1493" s="566">
        <v>-6358695.2400000002</v>
      </c>
    </row>
    <row r="1494" spans="1:12" ht="45" x14ac:dyDescent="0.2">
      <c r="A1494" s="561" t="s">
        <v>97</v>
      </c>
      <c r="B1494" s="562">
        <v>2021</v>
      </c>
      <c r="C1494" s="561" t="s">
        <v>725</v>
      </c>
      <c r="D1494" s="561" t="s">
        <v>1734</v>
      </c>
      <c r="E1494" s="561" t="s">
        <v>3024</v>
      </c>
      <c r="F1494" s="563">
        <v>0</v>
      </c>
      <c r="G1494" s="561" t="s">
        <v>654</v>
      </c>
      <c r="H1494" s="564"/>
      <c r="I1494" s="563">
        <v>145938.5625</v>
      </c>
      <c r="J1494" s="563">
        <v>-126473.0625</v>
      </c>
      <c r="K1494" s="563">
        <v>19465.509765625</v>
      </c>
      <c r="L1494" s="566">
        <v>19465.509999999998</v>
      </c>
    </row>
    <row r="1495" spans="1:12" ht="45" x14ac:dyDescent="0.2">
      <c r="A1495" s="561" t="s">
        <v>97</v>
      </c>
      <c r="B1495" s="562">
        <v>2021</v>
      </c>
      <c r="C1495" s="561" t="s">
        <v>725</v>
      </c>
      <c r="D1495" s="561" t="s">
        <v>1734</v>
      </c>
      <c r="E1495" s="561" t="s">
        <v>3066</v>
      </c>
      <c r="F1495" s="563">
        <v>0</v>
      </c>
      <c r="G1495" s="561" t="s">
        <v>654</v>
      </c>
      <c r="H1495" s="564"/>
      <c r="I1495" s="563">
        <v>-31509.4609375</v>
      </c>
      <c r="J1495" s="563">
        <v>-15711.33984375</v>
      </c>
      <c r="K1495" s="563">
        <v>-47220.80078125</v>
      </c>
      <c r="L1495" s="566">
        <v>-47220.800000000003</v>
      </c>
    </row>
    <row r="1496" spans="1:12" ht="45" x14ac:dyDescent="0.2">
      <c r="A1496" s="561" t="s">
        <v>97</v>
      </c>
      <c r="B1496" s="562">
        <v>2021</v>
      </c>
      <c r="C1496" s="561" t="s">
        <v>725</v>
      </c>
      <c r="D1496" s="561" t="s">
        <v>1735</v>
      </c>
      <c r="E1496" s="561" t="s">
        <v>728</v>
      </c>
      <c r="F1496" s="563">
        <v>0</v>
      </c>
      <c r="G1496" s="561" t="s">
        <v>654</v>
      </c>
      <c r="H1496" s="564"/>
      <c r="I1496" s="565"/>
      <c r="J1496" s="565"/>
      <c r="K1496" s="563">
        <v>0</v>
      </c>
      <c r="L1496" s="566">
        <v>0</v>
      </c>
    </row>
    <row r="1497" spans="1:12" ht="45" x14ac:dyDescent="0.2">
      <c r="A1497" s="561" t="s">
        <v>97</v>
      </c>
      <c r="B1497" s="562">
        <v>2021</v>
      </c>
      <c r="C1497" s="561" t="s">
        <v>725</v>
      </c>
      <c r="D1497" s="561" t="s">
        <v>1736</v>
      </c>
      <c r="E1497" s="561" t="s">
        <v>55</v>
      </c>
      <c r="F1497" s="563">
        <v>0</v>
      </c>
      <c r="G1497" s="561" t="s">
        <v>654</v>
      </c>
      <c r="H1497" s="564"/>
      <c r="I1497" s="565"/>
      <c r="J1497" s="565"/>
      <c r="K1497" s="563">
        <v>0</v>
      </c>
      <c r="L1497" s="566">
        <v>0</v>
      </c>
    </row>
    <row r="1498" spans="1:12" ht="45" x14ac:dyDescent="0.2">
      <c r="A1498" s="561" t="s">
        <v>97</v>
      </c>
      <c r="B1498" s="562">
        <v>2021</v>
      </c>
      <c r="C1498" s="561" t="s">
        <v>725</v>
      </c>
      <c r="D1498" s="561" t="s">
        <v>1737</v>
      </c>
      <c r="E1498" s="561" t="s">
        <v>56</v>
      </c>
      <c r="F1498" s="563">
        <v>0</v>
      </c>
      <c r="G1498" s="561" t="s">
        <v>654</v>
      </c>
      <c r="H1498" s="564"/>
      <c r="I1498" s="565"/>
      <c r="J1498" s="565"/>
      <c r="K1498" s="563">
        <v>0</v>
      </c>
      <c r="L1498" s="566">
        <v>0</v>
      </c>
    </row>
    <row r="1499" spans="1:12" ht="45" x14ac:dyDescent="0.2">
      <c r="A1499" s="561" t="s">
        <v>97</v>
      </c>
      <c r="B1499" s="562">
        <v>2021</v>
      </c>
      <c r="C1499" s="561" t="s">
        <v>725</v>
      </c>
      <c r="D1499" s="561" t="s">
        <v>1738</v>
      </c>
      <c r="E1499" s="561" t="s">
        <v>732</v>
      </c>
      <c r="F1499" s="563">
        <v>0</v>
      </c>
      <c r="G1499" s="561" t="s">
        <v>654</v>
      </c>
      <c r="H1499" s="564"/>
      <c r="I1499" s="565"/>
      <c r="J1499" s="565"/>
      <c r="K1499" s="563">
        <v>0</v>
      </c>
      <c r="L1499" s="566">
        <v>0</v>
      </c>
    </row>
    <row r="1500" spans="1:12" ht="45" x14ac:dyDescent="0.2">
      <c r="A1500" s="561" t="s">
        <v>97</v>
      </c>
      <c r="B1500" s="562">
        <v>2021</v>
      </c>
      <c r="C1500" s="561" t="s">
        <v>725</v>
      </c>
      <c r="D1500" s="561" t="s">
        <v>1739</v>
      </c>
      <c r="E1500" s="561" t="s">
        <v>734</v>
      </c>
      <c r="F1500" s="563">
        <v>0</v>
      </c>
      <c r="G1500" s="561" t="s">
        <v>654</v>
      </c>
      <c r="H1500" s="564"/>
      <c r="I1500" s="565"/>
      <c r="J1500" s="565"/>
      <c r="K1500" s="563">
        <v>0</v>
      </c>
      <c r="L1500" s="566">
        <v>0</v>
      </c>
    </row>
    <row r="1501" spans="1:12" ht="45" x14ac:dyDescent="0.2">
      <c r="A1501" s="561" t="s">
        <v>97</v>
      </c>
      <c r="B1501" s="562">
        <v>2021</v>
      </c>
      <c r="C1501" s="561" t="s">
        <v>725</v>
      </c>
      <c r="D1501" s="561" t="s">
        <v>1740</v>
      </c>
      <c r="E1501" s="561" t="s">
        <v>142</v>
      </c>
      <c r="F1501" s="563">
        <v>0</v>
      </c>
      <c r="G1501" s="561" t="s">
        <v>654</v>
      </c>
      <c r="H1501" s="564"/>
      <c r="I1501" s="565"/>
      <c r="J1501" s="565"/>
      <c r="K1501" s="563">
        <v>0</v>
      </c>
      <c r="L1501" s="566">
        <v>0</v>
      </c>
    </row>
    <row r="1502" spans="1:12" ht="45" x14ac:dyDescent="0.2">
      <c r="A1502" s="561" t="s">
        <v>97</v>
      </c>
      <c r="B1502" s="562">
        <v>2021</v>
      </c>
      <c r="C1502" s="561" t="s">
        <v>725</v>
      </c>
      <c r="D1502" s="561" t="s">
        <v>1741</v>
      </c>
      <c r="E1502" s="561" t="s">
        <v>143</v>
      </c>
      <c r="F1502" s="563">
        <v>0</v>
      </c>
      <c r="G1502" s="561" t="s">
        <v>654</v>
      </c>
      <c r="H1502" s="564"/>
      <c r="I1502" s="565"/>
      <c r="J1502" s="565"/>
      <c r="K1502" s="563">
        <v>0</v>
      </c>
      <c r="L1502" s="566">
        <v>0</v>
      </c>
    </row>
    <row r="1503" spans="1:12" ht="45" x14ac:dyDescent="0.2">
      <c r="A1503" s="561" t="s">
        <v>97</v>
      </c>
      <c r="B1503" s="562">
        <v>2021</v>
      </c>
      <c r="C1503" s="561" t="s">
        <v>725</v>
      </c>
      <c r="D1503" s="561" t="s">
        <v>1742</v>
      </c>
      <c r="E1503" s="561" t="s">
        <v>182</v>
      </c>
      <c r="F1503" s="563">
        <v>0</v>
      </c>
      <c r="G1503" s="561" t="s">
        <v>654</v>
      </c>
      <c r="H1503" s="564"/>
      <c r="I1503" s="565"/>
      <c r="J1503" s="565"/>
      <c r="K1503" s="563">
        <v>0</v>
      </c>
      <c r="L1503" s="566">
        <v>0</v>
      </c>
    </row>
    <row r="1504" spans="1:12" ht="45" x14ac:dyDescent="0.2">
      <c r="A1504" s="561" t="s">
        <v>97</v>
      </c>
      <c r="B1504" s="562">
        <v>2021</v>
      </c>
      <c r="C1504" s="561" t="s">
        <v>725</v>
      </c>
      <c r="D1504" s="561" t="s">
        <v>1743</v>
      </c>
      <c r="E1504" s="561" t="s">
        <v>394</v>
      </c>
      <c r="F1504" s="563">
        <v>0</v>
      </c>
      <c r="G1504" s="561" t="s">
        <v>654</v>
      </c>
      <c r="H1504" s="564"/>
      <c r="I1504" s="563">
        <v>90360.65625</v>
      </c>
      <c r="J1504" s="563">
        <v>-25674.7890625</v>
      </c>
      <c r="K1504" s="563">
        <v>64685.87109375</v>
      </c>
      <c r="L1504" s="566">
        <v>64685.87</v>
      </c>
    </row>
    <row r="1505" spans="1:12" ht="45" x14ac:dyDescent="0.2">
      <c r="A1505" s="561" t="s">
        <v>97</v>
      </c>
      <c r="B1505" s="562">
        <v>2021</v>
      </c>
      <c r="C1505" s="561" t="s">
        <v>725</v>
      </c>
      <c r="D1505" s="561" t="s">
        <v>1744</v>
      </c>
      <c r="E1505" s="561" t="s">
        <v>425</v>
      </c>
      <c r="F1505" s="563">
        <v>0</v>
      </c>
      <c r="G1505" s="561" t="s">
        <v>654</v>
      </c>
      <c r="H1505" s="564"/>
      <c r="I1505" s="563">
        <v>-188145.5625</v>
      </c>
      <c r="J1505" s="563">
        <v>-315439.875</v>
      </c>
      <c r="K1505" s="563">
        <v>-503585.4375</v>
      </c>
      <c r="L1505" s="566">
        <v>-503585.43</v>
      </c>
    </row>
    <row r="1506" spans="1:12" ht="45" x14ac:dyDescent="0.2">
      <c r="A1506" s="561" t="s">
        <v>97</v>
      </c>
      <c r="B1506" s="562">
        <v>2021</v>
      </c>
      <c r="C1506" s="561" t="s">
        <v>725</v>
      </c>
      <c r="D1506" s="561" t="s">
        <v>3272</v>
      </c>
      <c r="E1506" s="561" t="s">
        <v>443</v>
      </c>
      <c r="F1506" s="563">
        <v>0</v>
      </c>
      <c r="G1506" s="561" t="s">
        <v>654</v>
      </c>
      <c r="H1506" s="564"/>
      <c r="I1506" s="563">
        <v>-272638.1875</v>
      </c>
      <c r="J1506" s="563">
        <v>-429142.625</v>
      </c>
      <c r="K1506" s="563">
        <v>-701780.8125</v>
      </c>
      <c r="L1506" s="566">
        <v>-701780.8</v>
      </c>
    </row>
    <row r="1507" spans="1:12" ht="45" x14ac:dyDescent="0.2">
      <c r="A1507" s="561" t="s">
        <v>97</v>
      </c>
      <c r="B1507" s="562">
        <v>2021</v>
      </c>
      <c r="C1507" s="561" t="s">
        <v>725</v>
      </c>
      <c r="D1507" s="561" t="s">
        <v>1745</v>
      </c>
      <c r="E1507" s="561" t="s">
        <v>741</v>
      </c>
      <c r="F1507" s="563">
        <v>-1168435.6499999999</v>
      </c>
      <c r="G1507" s="564"/>
      <c r="H1507" s="564"/>
      <c r="I1507" s="565"/>
      <c r="J1507" s="565"/>
      <c r="K1507" s="563">
        <v>0</v>
      </c>
      <c r="L1507" s="566">
        <v>-1168435.6499999999</v>
      </c>
    </row>
    <row r="1508" spans="1:12" ht="22.5" x14ac:dyDescent="0.2">
      <c r="A1508" s="561" t="s">
        <v>97</v>
      </c>
      <c r="B1508" s="562">
        <v>2021</v>
      </c>
      <c r="C1508" s="561" t="s">
        <v>742</v>
      </c>
      <c r="D1508" s="561" t="s">
        <v>1746</v>
      </c>
      <c r="E1508" s="561" t="s">
        <v>7</v>
      </c>
      <c r="F1508" s="563">
        <v>-473618.88</v>
      </c>
      <c r="G1508" s="564"/>
      <c r="H1508" s="561" t="s">
        <v>654</v>
      </c>
      <c r="I1508" s="565"/>
      <c r="J1508" s="565"/>
      <c r="K1508" s="563">
        <v>0</v>
      </c>
      <c r="L1508" s="566">
        <v>-473618.88</v>
      </c>
    </row>
    <row r="1509" spans="1:12" ht="22.5" x14ac:dyDescent="0.2">
      <c r="A1509" s="561" t="s">
        <v>1747</v>
      </c>
      <c r="B1509" s="562">
        <v>2021</v>
      </c>
      <c r="C1509" s="561" t="s">
        <v>651</v>
      </c>
      <c r="D1509" s="561" t="s">
        <v>1748</v>
      </c>
      <c r="E1509" s="561" t="s">
        <v>653</v>
      </c>
      <c r="F1509" s="563">
        <v>-117347.38</v>
      </c>
      <c r="G1509" s="564"/>
      <c r="H1509" s="561" t="s">
        <v>654</v>
      </c>
      <c r="I1509" s="565"/>
      <c r="J1509" s="565"/>
      <c r="K1509" s="563">
        <v>0</v>
      </c>
      <c r="L1509" s="566">
        <v>-117347.38</v>
      </c>
    </row>
    <row r="1510" spans="1:12" ht="15" x14ac:dyDescent="0.2">
      <c r="A1510" s="561" t="s">
        <v>1747</v>
      </c>
      <c r="B1510" s="562">
        <v>2021</v>
      </c>
      <c r="C1510" s="561" t="s">
        <v>655</v>
      </c>
      <c r="D1510" s="561" t="s">
        <v>1749</v>
      </c>
      <c r="E1510" s="561" t="s">
        <v>657</v>
      </c>
      <c r="F1510" s="563">
        <v>165190.14000000001</v>
      </c>
      <c r="G1510" s="564"/>
      <c r="H1510" s="561" t="s">
        <v>654</v>
      </c>
      <c r="I1510" s="565"/>
      <c r="J1510" s="565"/>
      <c r="K1510" s="563">
        <v>0</v>
      </c>
      <c r="L1510" s="566">
        <v>165190.14000000001</v>
      </c>
    </row>
    <row r="1511" spans="1:12" ht="56.25" x14ac:dyDescent="0.2">
      <c r="A1511" s="561" t="s">
        <v>1747</v>
      </c>
      <c r="B1511" s="562">
        <v>2021</v>
      </c>
      <c r="C1511" s="561" t="s">
        <v>658</v>
      </c>
      <c r="D1511" s="561" t="s">
        <v>1750</v>
      </c>
      <c r="E1511" s="561" t="s">
        <v>447</v>
      </c>
      <c r="F1511" s="563">
        <v>134.52000000000001</v>
      </c>
      <c r="G1511" s="564"/>
      <c r="H1511" s="561" t="s">
        <v>654</v>
      </c>
      <c r="I1511" s="565"/>
      <c r="J1511" s="565"/>
      <c r="K1511" s="563">
        <v>0</v>
      </c>
      <c r="L1511" s="566">
        <v>134.52000000000001</v>
      </c>
    </row>
    <row r="1512" spans="1:12" ht="22.5" x14ac:dyDescent="0.2">
      <c r="A1512" s="561" t="s">
        <v>1747</v>
      </c>
      <c r="B1512" s="562">
        <v>2021</v>
      </c>
      <c r="C1512" s="561" t="s">
        <v>660</v>
      </c>
      <c r="D1512" s="561" t="s">
        <v>1751</v>
      </c>
      <c r="E1512" s="561" t="s">
        <v>662</v>
      </c>
      <c r="F1512" s="563">
        <v>0</v>
      </c>
      <c r="G1512" s="564"/>
      <c r="H1512" s="561" t="s">
        <v>654</v>
      </c>
      <c r="I1512" s="565"/>
      <c r="J1512" s="565"/>
      <c r="K1512" s="563">
        <v>0</v>
      </c>
      <c r="L1512" s="566">
        <v>0</v>
      </c>
    </row>
    <row r="1513" spans="1:12" ht="33.75" x14ac:dyDescent="0.2">
      <c r="A1513" s="561" t="s">
        <v>1747</v>
      </c>
      <c r="B1513" s="562">
        <v>2021</v>
      </c>
      <c r="C1513" s="561" t="s">
        <v>663</v>
      </c>
      <c r="D1513" s="561" t="s">
        <v>1752</v>
      </c>
      <c r="E1513" s="561" t="s">
        <v>665</v>
      </c>
      <c r="F1513" s="563">
        <v>0</v>
      </c>
      <c r="G1513" s="564"/>
      <c r="H1513" s="561" t="s">
        <v>654</v>
      </c>
      <c r="I1513" s="565"/>
      <c r="J1513" s="565"/>
      <c r="K1513" s="563">
        <v>0</v>
      </c>
      <c r="L1513" s="566">
        <v>0</v>
      </c>
    </row>
    <row r="1514" spans="1:12" ht="33.75" x14ac:dyDescent="0.2">
      <c r="A1514" s="561" t="s">
        <v>1747</v>
      </c>
      <c r="B1514" s="562">
        <v>2021</v>
      </c>
      <c r="C1514" s="561" t="s">
        <v>666</v>
      </c>
      <c r="D1514" s="561" t="s">
        <v>1753</v>
      </c>
      <c r="E1514" s="561" t="s">
        <v>668</v>
      </c>
      <c r="F1514" s="563">
        <v>0</v>
      </c>
      <c r="G1514" s="564"/>
      <c r="H1514" s="561" t="s">
        <v>654</v>
      </c>
      <c r="I1514" s="565"/>
      <c r="J1514" s="565"/>
      <c r="K1514" s="563">
        <v>0</v>
      </c>
      <c r="L1514" s="566">
        <v>0</v>
      </c>
    </row>
    <row r="1515" spans="1:12" ht="56.25" x14ac:dyDescent="0.2">
      <c r="A1515" s="561" t="s">
        <v>1747</v>
      </c>
      <c r="B1515" s="562">
        <v>2021</v>
      </c>
      <c r="C1515" s="561" t="s">
        <v>669</v>
      </c>
      <c r="D1515" s="561" t="s">
        <v>1754</v>
      </c>
      <c r="E1515" s="561" t="s">
        <v>671</v>
      </c>
      <c r="F1515" s="563">
        <v>0</v>
      </c>
      <c r="G1515" s="564"/>
      <c r="H1515" s="561" t="s">
        <v>654</v>
      </c>
      <c r="I1515" s="565"/>
      <c r="J1515" s="565"/>
      <c r="K1515" s="563">
        <v>0</v>
      </c>
      <c r="L1515" s="566">
        <v>0</v>
      </c>
    </row>
    <row r="1516" spans="1:12" ht="22.5" x14ac:dyDescent="0.2">
      <c r="A1516" s="561" t="s">
        <v>1747</v>
      </c>
      <c r="B1516" s="562">
        <v>2021</v>
      </c>
      <c r="C1516" s="561" t="s">
        <v>672</v>
      </c>
      <c r="D1516" s="561" t="s">
        <v>1755</v>
      </c>
      <c r="E1516" s="561" t="s">
        <v>12</v>
      </c>
      <c r="F1516" s="563">
        <v>0</v>
      </c>
      <c r="G1516" s="564"/>
      <c r="H1516" s="561" t="s">
        <v>654</v>
      </c>
      <c r="I1516" s="565"/>
      <c r="J1516" s="565"/>
      <c r="K1516" s="563">
        <v>0</v>
      </c>
      <c r="L1516" s="566">
        <v>0</v>
      </c>
    </row>
    <row r="1517" spans="1:12" ht="22.5" x14ac:dyDescent="0.2">
      <c r="A1517" s="561" t="s">
        <v>1747</v>
      </c>
      <c r="B1517" s="562">
        <v>2021</v>
      </c>
      <c r="C1517" s="561" t="s">
        <v>674</v>
      </c>
      <c r="D1517" s="561" t="s">
        <v>1756</v>
      </c>
      <c r="E1517" s="561" t="s">
        <v>13</v>
      </c>
      <c r="F1517" s="563">
        <v>0</v>
      </c>
      <c r="G1517" s="564"/>
      <c r="H1517" s="561" t="s">
        <v>654</v>
      </c>
      <c r="I1517" s="565"/>
      <c r="J1517" s="565"/>
      <c r="K1517" s="563">
        <v>0</v>
      </c>
      <c r="L1517" s="566">
        <v>0</v>
      </c>
    </row>
    <row r="1518" spans="1:12" ht="33.75" x14ac:dyDescent="0.2">
      <c r="A1518" s="561" t="s">
        <v>1747</v>
      </c>
      <c r="B1518" s="562">
        <v>2021</v>
      </c>
      <c r="C1518" s="561" t="s">
        <v>676</v>
      </c>
      <c r="D1518" s="561" t="s">
        <v>1757</v>
      </c>
      <c r="E1518" s="561" t="s">
        <v>15</v>
      </c>
      <c r="F1518" s="563">
        <v>0</v>
      </c>
      <c r="G1518" s="564"/>
      <c r="H1518" s="561" t="s">
        <v>654</v>
      </c>
      <c r="I1518" s="565"/>
      <c r="J1518" s="565"/>
      <c r="K1518" s="563">
        <v>0</v>
      </c>
      <c r="L1518" s="566">
        <v>0</v>
      </c>
    </row>
    <row r="1519" spans="1:12" ht="15" x14ac:dyDescent="0.2">
      <c r="A1519" s="561" t="s">
        <v>1747</v>
      </c>
      <c r="B1519" s="562">
        <v>2021</v>
      </c>
      <c r="C1519" s="561" t="s">
        <v>678</v>
      </c>
      <c r="D1519" s="561" t="s">
        <v>1758</v>
      </c>
      <c r="E1519" s="561" t="s">
        <v>680</v>
      </c>
      <c r="F1519" s="563">
        <v>9254.4500000000007</v>
      </c>
      <c r="G1519" s="564"/>
      <c r="H1519" s="561" t="s">
        <v>654</v>
      </c>
      <c r="I1519" s="565"/>
      <c r="J1519" s="565"/>
      <c r="K1519" s="563">
        <v>0</v>
      </c>
      <c r="L1519" s="566">
        <v>9254.4500000000007</v>
      </c>
    </row>
    <row r="1520" spans="1:12" ht="15" x14ac:dyDescent="0.2">
      <c r="A1520" s="561" t="s">
        <v>1747</v>
      </c>
      <c r="B1520" s="562">
        <v>2021</v>
      </c>
      <c r="C1520" s="561" t="s">
        <v>681</v>
      </c>
      <c r="D1520" s="561" t="s">
        <v>1759</v>
      </c>
      <c r="E1520" s="561" t="s">
        <v>23</v>
      </c>
      <c r="F1520" s="563">
        <v>1280167.28</v>
      </c>
      <c r="G1520" s="561" t="s">
        <v>654</v>
      </c>
      <c r="H1520" s="564"/>
      <c r="I1520" s="563">
        <v>1247593.875</v>
      </c>
      <c r="J1520" s="563">
        <v>32573.419921875</v>
      </c>
      <c r="K1520" s="563">
        <v>1280167.25</v>
      </c>
      <c r="L1520" s="566">
        <v>1280167.28</v>
      </c>
    </row>
    <row r="1521" spans="1:12" ht="33.75" x14ac:dyDescent="0.2">
      <c r="A1521" s="561" t="s">
        <v>1747</v>
      </c>
      <c r="B1521" s="562">
        <v>2021</v>
      </c>
      <c r="C1521" s="561" t="s">
        <v>683</v>
      </c>
      <c r="D1521" s="561" t="s">
        <v>1760</v>
      </c>
      <c r="E1521" s="561" t="s">
        <v>131</v>
      </c>
      <c r="F1521" s="563">
        <v>-14476.31</v>
      </c>
      <c r="G1521" s="561" t="s">
        <v>654</v>
      </c>
      <c r="H1521" s="564"/>
      <c r="I1521" s="563">
        <v>-13928.58984375</v>
      </c>
      <c r="J1521" s="563">
        <v>-547.719970703125</v>
      </c>
      <c r="K1521" s="563">
        <v>-14476.3095703125</v>
      </c>
      <c r="L1521" s="566">
        <v>-14476.31</v>
      </c>
    </row>
    <row r="1522" spans="1:12" ht="33.75" x14ac:dyDescent="0.2">
      <c r="A1522" s="561" t="s">
        <v>1747</v>
      </c>
      <c r="B1522" s="562">
        <v>2021</v>
      </c>
      <c r="C1522" s="561" t="s">
        <v>685</v>
      </c>
      <c r="D1522" s="561" t="s">
        <v>1761</v>
      </c>
      <c r="E1522" s="561" t="s">
        <v>687</v>
      </c>
      <c r="F1522" s="563">
        <v>-49528.7</v>
      </c>
      <c r="G1522" s="564"/>
      <c r="H1522" s="561" t="s">
        <v>654</v>
      </c>
      <c r="I1522" s="565"/>
      <c r="J1522" s="565"/>
      <c r="K1522" s="563">
        <v>0</v>
      </c>
      <c r="L1522" s="566">
        <v>-49528.7</v>
      </c>
    </row>
    <row r="1523" spans="1:12" ht="33.75" x14ac:dyDescent="0.2">
      <c r="A1523" s="561" t="s">
        <v>1747</v>
      </c>
      <c r="B1523" s="562">
        <v>2021</v>
      </c>
      <c r="C1523" s="561" t="s">
        <v>685</v>
      </c>
      <c r="D1523" s="561" t="s">
        <v>1761</v>
      </c>
      <c r="E1523" s="561" t="s">
        <v>688</v>
      </c>
      <c r="F1523" s="563">
        <v>-49528.7</v>
      </c>
      <c r="G1523" s="564"/>
      <c r="H1523" s="561" t="s">
        <v>654</v>
      </c>
      <c r="I1523" s="565"/>
      <c r="J1523" s="565"/>
      <c r="K1523" s="563">
        <v>0</v>
      </c>
      <c r="L1523" s="566">
        <v>-49528.7</v>
      </c>
    </row>
    <row r="1524" spans="1:12" ht="22.5" x14ac:dyDescent="0.2">
      <c r="A1524" s="561" t="s">
        <v>1747</v>
      </c>
      <c r="B1524" s="562">
        <v>2021</v>
      </c>
      <c r="C1524" s="561" t="s">
        <v>689</v>
      </c>
      <c r="D1524" s="561" t="s">
        <v>1762</v>
      </c>
      <c r="E1524" s="561" t="s">
        <v>691</v>
      </c>
      <c r="F1524" s="563">
        <v>0</v>
      </c>
      <c r="G1524" s="564"/>
      <c r="H1524" s="561" t="s">
        <v>654</v>
      </c>
      <c r="I1524" s="565"/>
      <c r="J1524" s="565"/>
      <c r="K1524" s="563">
        <v>0</v>
      </c>
      <c r="L1524" s="566">
        <v>0</v>
      </c>
    </row>
    <row r="1525" spans="1:12" ht="22.5" x14ac:dyDescent="0.2">
      <c r="A1525" s="561" t="s">
        <v>1747</v>
      </c>
      <c r="B1525" s="562">
        <v>2021</v>
      </c>
      <c r="C1525" s="561" t="s">
        <v>692</v>
      </c>
      <c r="D1525" s="561" t="s">
        <v>1763</v>
      </c>
      <c r="E1525" s="561" t="s">
        <v>50</v>
      </c>
      <c r="F1525" s="563">
        <v>0</v>
      </c>
      <c r="G1525" s="564"/>
      <c r="H1525" s="561" t="s">
        <v>654</v>
      </c>
      <c r="I1525" s="565"/>
      <c r="J1525" s="565"/>
      <c r="K1525" s="563">
        <v>0</v>
      </c>
      <c r="L1525" s="566">
        <v>0</v>
      </c>
    </row>
    <row r="1526" spans="1:12" ht="22.5" x14ac:dyDescent="0.2">
      <c r="A1526" s="561" t="s">
        <v>1747</v>
      </c>
      <c r="B1526" s="562">
        <v>2021</v>
      </c>
      <c r="C1526" s="561" t="s">
        <v>694</v>
      </c>
      <c r="D1526" s="561" t="s">
        <v>1764</v>
      </c>
      <c r="E1526" s="561" t="s">
        <v>696</v>
      </c>
      <c r="F1526" s="563">
        <v>0</v>
      </c>
      <c r="G1526" s="564"/>
      <c r="H1526" s="561" t="s">
        <v>654</v>
      </c>
      <c r="I1526" s="565"/>
      <c r="J1526" s="565"/>
      <c r="K1526" s="563">
        <v>0</v>
      </c>
      <c r="L1526" s="566">
        <v>0</v>
      </c>
    </row>
    <row r="1527" spans="1:12" ht="22.5" x14ac:dyDescent="0.2">
      <c r="A1527" s="561" t="s">
        <v>1747</v>
      </c>
      <c r="B1527" s="562">
        <v>2021</v>
      </c>
      <c r="C1527" s="561" t="s">
        <v>697</v>
      </c>
      <c r="D1527" s="561" t="s">
        <v>1765</v>
      </c>
      <c r="E1527" s="561" t="s">
        <v>6</v>
      </c>
      <c r="F1527" s="563">
        <v>0</v>
      </c>
      <c r="G1527" s="564"/>
      <c r="H1527" s="561" t="s">
        <v>654</v>
      </c>
      <c r="I1527" s="565"/>
      <c r="J1527" s="565"/>
      <c r="K1527" s="563">
        <v>0</v>
      </c>
      <c r="L1527" s="566">
        <v>0</v>
      </c>
    </row>
    <row r="1528" spans="1:12" ht="33.75" x14ac:dyDescent="0.2">
      <c r="A1528" s="561" t="s">
        <v>1747</v>
      </c>
      <c r="B1528" s="562">
        <v>2021</v>
      </c>
      <c r="C1528" s="561" t="s">
        <v>699</v>
      </c>
      <c r="D1528" s="561" t="s">
        <v>1766</v>
      </c>
      <c r="E1528" s="561" t="s">
        <v>701</v>
      </c>
      <c r="F1528" s="563">
        <v>0</v>
      </c>
      <c r="G1528" s="564"/>
      <c r="H1528" s="561" t="s">
        <v>654</v>
      </c>
      <c r="I1528" s="565"/>
      <c r="J1528" s="565"/>
      <c r="K1528" s="563">
        <v>0</v>
      </c>
      <c r="L1528" s="566">
        <v>0</v>
      </c>
    </row>
    <row r="1529" spans="1:12" ht="22.5" x14ac:dyDescent="0.2">
      <c r="A1529" s="561" t="s">
        <v>1747</v>
      </c>
      <c r="B1529" s="562">
        <v>2021</v>
      </c>
      <c r="C1529" s="561" t="s">
        <v>702</v>
      </c>
      <c r="D1529" s="561" t="s">
        <v>1767</v>
      </c>
      <c r="E1529" s="561" t="s">
        <v>704</v>
      </c>
      <c r="F1529" s="563">
        <v>0</v>
      </c>
      <c r="G1529" s="564"/>
      <c r="H1529" s="561" t="s">
        <v>654</v>
      </c>
      <c r="I1529" s="565"/>
      <c r="J1529" s="565"/>
      <c r="K1529" s="563">
        <v>0</v>
      </c>
      <c r="L1529" s="566">
        <v>0</v>
      </c>
    </row>
    <row r="1530" spans="1:12" ht="33.75" x14ac:dyDescent="0.2">
      <c r="A1530" s="561" t="s">
        <v>1747</v>
      </c>
      <c r="B1530" s="562">
        <v>2021</v>
      </c>
      <c r="C1530" s="561" t="s">
        <v>705</v>
      </c>
      <c r="D1530" s="561" t="s">
        <v>1768</v>
      </c>
      <c r="E1530" s="561" t="s">
        <v>1</v>
      </c>
      <c r="F1530" s="563">
        <v>-69014.14</v>
      </c>
      <c r="G1530" s="561" t="s">
        <v>654</v>
      </c>
      <c r="H1530" s="564"/>
      <c r="I1530" s="563">
        <v>-56801.3515625</v>
      </c>
      <c r="J1530" s="563">
        <v>-12212.7900390625</v>
      </c>
      <c r="K1530" s="563">
        <v>-69014.140625</v>
      </c>
      <c r="L1530" s="566">
        <v>-69014.14</v>
      </c>
    </row>
    <row r="1531" spans="1:12" ht="22.5" x14ac:dyDescent="0.2">
      <c r="A1531" s="561" t="s">
        <v>1747</v>
      </c>
      <c r="B1531" s="562">
        <v>2021</v>
      </c>
      <c r="C1531" s="561" t="s">
        <v>705</v>
      </c>
      <c r="D1531" s="561" t="s">
        <v>1768</v>
      </c>
      <c r="E1531" s="561" t="s">
        <v>707</v>
      </c>
      <c r="F1531" s="563">
        <v>0</v>
      </c>
      <c r="G1531" s="564"/>
      <c r="H1531" s="564"/>
      <c r="I1531" s="565"/>
      <c r="J1531" s="565"/>
      <c r="K1531" s="563">
        <v>0</v>
      </c>
      <c r="L1531" s="566">
        <v>0</v>
      </c>
    </row>
    <row r="1532" spans="1:12" ht="22.5" x14ac:dyDescent="0.2">
      <c r="A1532" s="561" t="s">
        <v>1747</v>
      </c>
      <c r="B1532" s="562">
        <v>2021</v>
      </c>
      <c r="C1532" s="561" t="s">
        <v>705</v>
      </c>
      <c r="D1532" s="561" t="s">
        <v>1768</v>
      </c>
      <c r="E1532" s="561" t="s">
        <v>708</v>
      </c>
      <c r="F1532" s="563">
        <v>0</v>
      </c>
      <c r="G1532" s="564"/>
      <c r="H1532" s="564"/>
      <c r="I1532" s="565"/>
      <c r="J1532" s="565"/>
      <c r="K1532" s="563">
        <v>0</v>
      </c>
      <c r="L1532" s="566">
        <v>0</v>
      </c>
    </row>
    <row r="1533" spans="1:12" ht="22.5" x14ac:dyDescent="0.2">
      <c r="A1533" s="561" t="s">
        <v>1747</v>
      </c>
      <c r="B1533" s="562">
        <v>2021</v>
      </c>
      <c r="C1533" s="561" t="s">
        <v>705</v>
      </c>
      <c r="D1533" s="561" t="s">
        <v>1768</v>
      </c>
      <c r="E1533" s="561" t="s">
        <v>709</v>
      </c>
      <c r="F1533" s="563">
        <v>3177.52</v>
      </c>
      <c r="G1533" s="564"/>
      <c r="H1533" s="564"/>
      <c r="I1533" s="565"/>
      <c r="J1533" s="565"/>
      <c r="K1533" s="563">
        <v>0</v>
      </c>
      <c r="L1533" s="566">
        <v>3177.52</v>
      </c>
    </row>
    <row r="1534" spans="1:12" ht="22.5" x14ac:dyDescent="0.2">
      <c r="A1534" s="561" t="s">
        <v>1747</v>
      </c>
      <c r="B1534" s="562">
        <v>2021</v>
      </c>
      <c r="C1534" s="561" t="s">
        <v>705</v>
      </c>
      <c r="D1534" s="561" t="s">
        <v>1768</v>
      </c>
      <c r="E1534" s="561" t="s">
        <v>710</v>
      </c>
      <c r="F1534" s="563">
        <v>9889.92</v>
      </c>
      <c r="G1534" s="564"/>
      <c r="H1534" s="564"/>
      <c r="I1534" s="565"/>
      <c r="J1534" s="565"/>
      <c r="K1534" s="563">
        <v>0</v>
      </c>
      <c r="L1534" s="566">
        <v>9889.92</v>
      </c>
    </row>
    <row r="1535" spans="1:12" ht="15" x14ac:dyDescent="0.2">
      <c r="A1535" s="561" t="s">
        <v>1747</v>
      </c>
      <c r="B1535" s="562">
        <v>2021</v>
      </c>
      <c r="C1535" s="561" t="s">
        <v>711</v>
      </c>
      <c r="D1535" s="561" t="s">
        <v>1769</v>
      </c>
      <c r="E1535" s="561" t="s">
        <v>713</v>
      </c>
      <c r="F1535" s="563">
        <v>0</v>
      </c>
      <c r="G1535" s="564"/>
      <c r="H1535" s="561" t="s">
        <v>654</v>
      </c>
      <c r="I1535" s="565"/>
      <c r="J1535" s="565"/>
      <c r="K1535" s="563">
        <v>0</v>
      </c>
      <c r="L1535" s="566">
        <v>0</v>
      </c>
    </row>
    <row r="1536" spans="1:12" ht="33.75" x14ac:dyDescent="0.2">
      <c r="A1536" s="561" t="s">
        <v>1747</v>
      </c>
      <c r="B1536" s="562">
        <v>2021</v>
      </c>
      <c r="C1536" s="561" t="s">
        <v>714</v>
      </c>
      <c r="D1536" s="561" t="s">
        <v>1770</v>
      </c>
      <c r="E1536" s="561" t="s">
        <v>2</v>
      </c>
      <c r="F1536" s="563">
        <v>633090.5</v>
      </c>
      <c r="G1536" s="561" t="s">
        <v>654</v>
      </c>
      <c r="H1536" s="564"/>
      <c r="I1536" s="563">
        <v>608287.875</v>
      </c>
      <c r="J1536" s="563">
        <v>24802.599609375</v>
      </c>
      <c r="K1536" s="563">
        <v>633090.5</v>
      </c>
      <c r="L1536" s="566">
        <v>633090.5</v>
      </c>
    </row>
    <row r="1537" spans="1:12" ht="33.75" x14ac:dyDescent="0.2">
      <c r="A1537" s="561" t="s">
        <v>1747</v>
      </c>
      <c r="B1537" s="562">
        <v>2021</v>
      </c>
      <c r="C1537" s="561" t="s">
        <v>716</v>
      </c>
      <c r="D1537" s="561" t="s">
        <v>1771</v>
      </c>
      <c r="E1537" s="561" t="s">
        <v>3</v>
      </c>
      <c r="F1537" s="563">
        <v>684923.3</v>
      </c>
      <c r="G1537" s="561" t="s">
        <v>654</v>
      </c>
      <c r="H1537" s="564"/>
      <c r="I1537" s="563">
        <v>658684.4375</v>
      </c>
      <c r="J1537" s="563">
        <v>26238.83984375</v>
      </c>
      <c r="K1537" s="563">
        <v>684923.3125</v>
      </c>
      <c r="L1537" s="566">
        <v>684923.3</v>
      </c>
    </row>
    <row r="1538" spans="1:12" ht="33.75" x14ac:dyDescent="0.2">
      <c r="A1538" s="561" t="s">
        <v>1747</v>
      </c>
      <c r="B1538" s="562">
        <v>2021</v>
      </c>
      <c r="C1538" s="561" t="s">
        <v>718</v>
      </c>
      <c r="D1538" s="561" t="s">
        <v>1772</v>
      </c>
      <c r="E1538" s="561" t="s">
        <v>38</v>
      </c>
      <c r="F1538" s="563">
        <v>2554954.36</v>
      </c>
      <c r="G1538" s="561" t="s">
        <v>654</v>
      </c>
      <c r="H1538" s="564"/>
      <c r="I1538" s="563">
        <v>2546147.25</v>
      </c>
      <c r="J1538" s="563">
        <v>8807.2197265625</v>
      </c>
      <c r="K1538" s="563">
        <v>2554954.25</v>
      </c>
      <c r="L1538" s="566">
        <v>2554954.36</v>
      </c>
    </row>
    <row r="1539" spans="1:12" ht="22.5" x14ac:dyDescent="0.2">
      <c r="A1539" s="561" t="s">
        <v>1747</v>
      </c>
      <c r="B1539" s="562">
        <v>2021</v>
      </c>
      <c r="C1539" s="561" t="s">
        <v>720</v>
      </c>
      <c r="D1539" s="561" t="s">
        <v>1773</v>
      </c>
      <c r="E1539" s="561" t="s">
        <v>66</v>
      </c>
      <c r="F1539" s="563">
        <v>-559625.57999999996</v>
      </c>
      <c r="G1539" s="561" t="s">
        <v>654</v>
      </c>
      <c r="H1539" s="564"/>
      <c r="I1539" s="563">
        <v>-583066.5625</v>
      </c>
      <c r="J1539" s="563">
        <v>23440.990234375</v>
      </c>
      <c r="K1539" s="563">
        <v>-559625.5625</v>
      </c>
      <c r="L1539" s="566">
        <v>-559625.57999999996</v>
      </c>
    </row>
    <row r="1540" spans="1:12" ht="45" x14ac:dyDescent="0.2">
      <c r="A1540" s="561" t="s">
        <v>1747</v>
      </c>
      <c r="B1540" s="562">
        <v>2021</v>
      </c>
      <c r="C1540" s="561" t="s">
        <v>722</v>
      </c>
      <c r="D1540" s="561" t="s">
        <v>1774</v>
      </c>
      <c r="E1540" s="561" t="s">
        <v>724</v>
      </c>
      <c r="F1540" s="563">
        <v>-816456.7</v>
      </c>
      <c r="G1540" s="564"/>
      <c r="H1540" s="561" t="s">
        <v>654</v>
      </c>
      <c r="I1540" s="565"/>
      <c r="J1540" s="565"/>
      <c r="K1540" s="563">
        <v>0</v>
      </c>
      <c r="L1540" s="566">
        <v>-816456.7</v>
      </c>
    </row>
    <row r="1541" spans="1:12" ht="45" x14ac:dyDescent="0.2">
      <c r="A1541" s="561" t="s">
        <v>1747</v>
      </c>
      <c r="B1541" s="562">
        <v>2021</v>
      </c>
      <c r="C1541" s="561" t="s">
        <v>725</v>
      </c>
      <c r="D1541" s="561" t="s">
        <v>1775</v>
      </c>
      <c r="E1541" s="561" t="s">
        <v>3024</v>
      </c>
      <c r="F1541" s="563">
        <v>0</v>
      </c>
      <c r="G1541" s="561" t="s">
        <v>654</v>
      </c>
      <c r="H1541" s="564"/>
      <c r="I1541" s="565"/>
      <c r="J1541" s="565"/>
      <c r="K1541" s="563">
        <v>0</v>
      </c>
      <c r="L1541" s="566">
        <v>0</v>
      </c>
    </row>
    <row r="1542" spans="1:12" ht="45" x14ac:dyDescent="0.2">
      <c r="A1542" s="561" t="s">
        <v>1747</v>
      </c>
      <c r="B1542" s="562">
        <v>2021</v>
      </c>
      <c r="C1542" s="561" t="s">
        <v>725</v>
      </c>
      <c r="D1542" s="561" t="s">
        <v>1775</v>
      </c>
      <c r="E1542" s="561" t="s">
        <v>3066</v>
      </c>
      <c r="F1542" s="563">
        <v>0</v>
      </c>
      <c r="G1542" s="561" t="s">
        <v>654</v>
      </c>
      <c r="H1542" s="564"/>
      <c r="I1542" s="565"/>
      <c r="J1542" s="565"/>
      <c r="K1542" s="563">
        <v>0</v>
      </c>
      <c r="L1542" s="566">
        <v>0</v>
      </c>
    </row>
    <row r="1543" spans="1:12" ht="45" x14ac:dyDescent="0.2">
      <c r="A1543" s="561" t="s">
        <v>1747</v>
      </c>
      <c r="B1543" s="562">
        <v>2021</v>
      </c>
      <c r="C1543" s="561" t="s">
        <v>725</v>
      </c>
      <c r="D1543" s="561" t="s">
        <v>1776</v>
      </c>
      <c r="E1543" s="561" t="s">
        <v>728</v>
      </c>
      <c r="F1543" s="563">
        <v>0</v>
      </c>
      <c r="G1543" s="561" t="s">
        <v>654</v>
      </c>
      <c r="H1543" s="564"/>
      <c r="I1543" s="565"/>
      <c r="J1543" s="565"/>
      <c r="K1543" s="563">
        <v>0</v>
      </c>
      <c r="L1543" s="566">
        <v>0</v>
      </c>
    </row>
    <row r="1544" spans="1:12" ht="45" x14ac:dyDescent="0.2">
      <c r="A1544" s="561" t="s">
        <v>1747</v>
      </c>
      <c r="B1544" s="562">
        <v>2021</v>
      </c>
      <c r="C1544" s="561" t="s">
        <v>725</v>
      </c>
      <c r="D1544" s="561" t="s">
        <v>1777</v>
      </c>
      <c r="E1544" s="561" t="s">
        <v>55</v>
      </c>
      <c r="F1544" s="563">
        <v>0</v>
      </c>
      <c r="G1544" s="561" t="s">
        <v>654</v>
      </c>
      <c r="H1544" s="564"/>
      <c r="I1544" s="565"/>
      <c r="J1544" s="565"/>
      <c r="K1544" s="563">
        <v>0</v>
      </c>
      <c r="L1544" s="566">
        <v>0</v>
      </c>
    </row>
    <row r="1545" spans="1:12" ht="45" x14ac:dyDescent="0.2">
      <c r="A1545" s="561" t="s">
        <v>1747</v>
      </c>
      <c r="B1545" s="562">
        <v>2021</v>
      </c>
      <c r="C1545" s="561" t="s">
        <v>725</v>
      </c>
      <c r="D1545" s="561" t="s">
        <v>1778</v>
      </c>
      <c r="E1545" s="561" t="s">
        <v>56</v>
      </c>
      <c r="F1545" s="563">
        <v>0</v>
      </c>
      <c r="G1545" s="561" t="s">
        <v>654</v>
      </c>
      <c r="H1545" s="564"/>
      <c r="I1545" s="565"/>
      <c r="J1545" s="565"/>
      <c r="K1545" s="563">
        <v>0</v>
      </c>
      <c r="L1545" s="566">
        <v>0</v>
      </c>
    </row>
    <row r="1546" spans="1:12" ht="45" x14ac:dyDescent="0.2">
      <c r="A1546" s="561" t="s">
        <v>1747</v>
      </c>
      <c r="B1546" s="562">
        <v>2021</v>
      </c>
      <c r="C1546" s="561" t="s">
        <v>725</v>
      </c>
      <c r="D1546" s="561" t="s">
        <v>1779</v>
      </c>
      <c r="E1546" s="561" t="s">
        <v>732</v>
      </c>
      <c r="F1546" s="563">
        <v>0</v>
      </c>
      <c r="G1546" s="561" t="s">
        <v>654</v>
      </c>
      <c r="H1546" s="564"/>
      <c r="I1546" s="565"/>
      <c r="J1546" s="565"/>
      <c r="K1546" s="563">
        <v>0</v>
      </c>
      <c r="L1546" s="566">
        <v>0</v>
      </c>
    </row>
    <row r="1547" spans="1:12" ht="45" x14ac:dyDescent="0.2">
      <c r="A1547" s="561" t="s">
        <v>1747</v>
      </c>
      <c r="B1547" s="562">
        <v>2021</v>
      </c>
      <c r="C1547" s="561" t="s">
        <v>725</v>
      </c>
      <c r="D1547" s="561" t="s">
        <v>1780</v>
      </c>
      <c r="E1547" s="561" t="s">
        <v>734</v>
      </c>
      <c r="F1547" s="563">
        <v>0</v>
      </c>
      <c r="G1547" s="561" t="s">
        <v>654</v>
      </c>
      <c r="H1547" s="564"/>
      <c r="I1547" s="565"/>
      <c r="J1547" s="565"/>
      <c r="K1547" s="563">
        <v>0</v>
      </c>
      <c r="L1547" s="566">
        <v>0</v>
      </c>
    </row>
    <row r="1548" spans="1:12" ht="45" x14ac:dyDescent="0.2">
      <c r="A1548" s="561" t="s">
        <v>1747</v>
      </c>
      <c r="B1548" s="562">
        <v>2021</v>
      </c>
      <c r="C1548" s="561" t="s">
        <v>725</v>
      </c>
      <c r="D1548" s="561" t="s">
        <v>1781</v>
      </c>
      <c r="E1548" s="561" t="s">
        <v>142</v>
      </c>
      <c r="F1548" s="563">
        <v>0</v>
      </c>
      <c r="G1548" s="561" t="s">
        <v>654</v>
      </c>
      <c r="H1548" s="564"/>
      <c r="I1548" s="565"/>
      <c r="J1548" s="565"/>
      <c r="K1548" s="563">
        <v>0</v>
      </c>
      <c r="L1548" s="566">
        <v>0</v>
      </c>
    </row>
    <row r="1549" spans="1:12" ht="45" x14ac:dyDescent="0.2">
      <c r="A1549" s="561" t="s">
        <v>1747</v>
      </c>
      <c r="B1549" s="562">
        <v>2021</v>
      </c>
      <c r="C1549" s="561" t="s">
        <v>725</v>
      </c>
      <c r="D1549" s="561" t="s">
        <v>1782</v>
      </c>
      <c r="E1549" s="561" t="s">
        <v>143</v>
      </c>
      <c r="F1549" s="563">
        <v>0</v>
      </c>
      <c r="G1549" s="561" t="s">
        <v>654</v>
      </c>
      <c r="H1549" s="564"/>
      <c r="I1549" s="565"/>
      <c r="J1549" s="565"/>
      <c r="K1549" s="563">
        <v>0</v>
      </c>
      <c r="L1549" s="566">
        <v>0</v>
      </c>
    </row>
    <row r="1550" spans="1:12" ht="45" x14ac:dyDescent="0.2">
      <c r="A1550" s="561" t="s">
        <v>1747</v>
      </c>
      <c r="B1550" s="562">
        <v>2021</v>
      </c>
      <c r="C1550" s="561" t="s">
        <v>725</v>
      </c>
      <c r="D1550" s="561" t="s">
        <v>1783</v>
      </c>
      <c r="E1550" s="561" t="s">
        <v>182</v>
      </c>
      <c r="F1550" s="563">
        <v>0</v>
      </c>
      <c r="G1550" s="561" t="s">
        <v>654</v>
      </c>
      <c r="H1550" s="564"/>
      <c r="I1550" s="563">
        <v>-126863.0625</v>
      </c>
      <c r="J1550" s="563">
        <v>20571</v>
      </c>
      <c r="K1550" s="563">
        <v>-106292.0625</v>
      </c>
      <c r="L1550" s="566">
        <v>-106292.06</v>
      </c>
    </row>
    <row r="1551" spans="1:12" ht="45" x14ac:dyDescent="0.2">
      <c r="A1551" s="561" t="s">
        <v>1747</v>
      </c>
      <c r="B1551" s="562">
        <v>2021</v>
      </c>
      <c r="C1551" s="561" t="s">
        <v>725</v>
      </c>
      <c r="D1551" s="561" t="s">
        <v>1784</v>
      </c>
      <c r="E1551" s="561" t="s">
        <v>394</v>
      </c>
      <c r="F1551" s="563">
        <v>0</v>
      </c>
      <c r="G1551" s="561" t="s">
        <v>654</v>
      </c>
      <c r="H1551" s="564"/>
      <c r="I1551" s="563">
        <v>-353673.25</v>
      </c>
      <c r="J1551" s="563">
        <v>-97614</v>
      </c>
      <c r="K1551" s="563">
        <v>-451287.25</v>
      </c>
      <c r="L1551" s="566">
        <v>-451287.26</v>
      </c>
    </row>
    <row r="1552" spans="1:12" ht="45" x14ac:dyDescent="0.2">
      <c r="A1552" s="561" t="s">
        <v>1747</v>
      </c>
      <c r="B1552" s="562">
        <v>2021</v>
      </c>
      <c r="C1552" s="561" t="s">
        <v>725</v>
      </c>
      <c r="D1552" s="561" t="s">
        <v>1785</v>
      </c>
      <c r="E1552" s="561" t="s">
        <v>425</v>
      </c>
      <c r="F1552" s="563">
        <v>0</v>
      </c>
      <c r="G1552" s="561" t="s">
        <v>654</v>
      </c>
      <c r="H1552" s="564"/>
      <c r="I1552" s="563">
        <v>46143.33984375</v>
      </c>
      <c r="J1552" s="563">
        <v>53342.48828125</v>
      </c>
      <c r="K1552" s="563">
        <v>99485.828125</v>
      </c>
      <c r="L1552" s="566">
        <v>99485.83</v>
      </c>
    </row>
    <row r="1553" spans="1:12" ht="45" x14ac:dyDescent="0.2">
      <c r="A1553" s="561" t="s">
        <v>1747</v>
      </c>
      <c r="B1553" s="562">
        <v>2021</v>
      </c>
      <c r="C1553" s="561" t="s">
        <v>725</v>
      </c>
      <c r="D1553" s="561" t="s">
        <v>3273</v>
      </c>
      <c r="E1553" s="561" t="s">
        <v>443</v>
      </c>
      <c r="F1553" s="563">
        <v>0</v>
      </c>
      <c r="G1553" s="561" t="s">
        <v>654</v>
      </c>
      <c r="H1553" s="564"/>
      <c r="I1553" s="563">
        <v>1677552.375</v>
      </c>
      <c r="J1553" s="563">
        <v>165593.265625</v>
      </c>
      <c r="K1553" s="563">
        <v>1843145.625</v>
      </c>
      <c r="L1553" s="566">
        <v>1843145.61</v>
      </c>
    </row>
    <row r="1554" spans="1:12" ht="45" x14ac:dyDescent="0.2">
      <c r="A1554" s="561" t="s">
        <v>1747</v>
      </c>
      <c r="B1554" s="562">
        <v>2021</v>
      </c>
      <c r="C1554" s="561" t="s">
        <v>725</v>
      </c>
      <c r="D1554" s="561" t="s">
        <v>1786</v>
      </c>
      <c r="E1554" s="561" t="s">
        <v>741</v>
      </c>
      <c r="F1554" s="563">
        <v>1385052.12</v>
      </c>
      <c r="G1554" s="564"/>
      <c r="H1554" s="564"/>
      <c r="I1554" s="565"/>
      <c r="J1554" s="565"/>
      <c r="K1554" s="563">
        <v>0</v>
      </c>
      <c r="L1554" s="566">
        <v>1385052.12</v>
      </c>
    </row>
    <row r="1555" spans="1:12" ht="22.5" x14ac:dyDescent="0.2">
      <c r="A1555" s="561" t="s">
        <v>1747</v>
      </c>
      <c r="B1555" s="562">
        <v>2021</v>
      </c>
      <c r="C1555" s="561" t="s">
        <v>742</v>
      </c>
      <c r="D1555" s="561" t="s">
        <v>1787</v>
      </c>
      <c r="E1555" s="561" t="s">
        <v>7</v>
      </c>
      <c r="F1555" s="563">
        <v>0</v>
      </c>
      <c r="G1555" s="564"/>
      <c r="H1555" s="561" t="s">
        <v>654</v>
      </c>
      <c r="I1555" s="565"/>
      <c r="J1555" s="565"/>
      <c r="K1555" s="563">
        <v>0</v>
      </c>
      <c r="L1555" s="566">
        <v>0</v>
      </c>
    </row>
    <row r="1556" spans="1:12" ht="22.5" x14ac:dyDescent="0.2">
      <c r="A1556" s="561" t="s">
        <v>98</v>
      </c>
      <c r="B1556" s="562">
        <v>2021</v>
      </c>
      <c r="C1556" s="561" t="s">
        <v>651</v>
      </c>
      <c r="D1556" s="561" t="s">
        <v>1788</v>
      </c>
      <c r="E1556" s="561" t="s">
        <v>653</v>
      </c>
      <c r="F1556" s="563">
        <v>-188114.79</v>
      </c>
      <c r="G1556" s="564"/>
      <c r="H1556" s="561" t="s">
        <v>654</v>
      </c>
      <c r="I1556" s="565"/>
      <c r="J1556" s="565"/>
      <c r="K1556" s="563">
        <v>0</v>
      </c>
      <c r="L1556" s="566">
        <v>-188114.79</v>
      </c>
    </row>
    <row r="1557" spans="1:12" ht="15" x14ac:dyDescent="0.2">
      <c r="A1557" s="561" t="s">
        <v>98</v>
      </c>
      <c r="B1557" s="562">
        <v>2021</v>
      </c>
      <c r="C1557" s="561" t="s">
        <v>655</v>
      </c>
      <c r="D1557" s="561" t="s">
        <v>1789</v>
      </c>
      <c r="E1557" s="561" t="s">
        <v>657</v>
      </c>
      <c r="F1557" s="563">
        <v>142885.39000000001</v>
      </c>
      <c r="G1557" s="564"/>
      <c r="H1557" s="561" t="s">
        <v>654</v>
      </c>
      <c r="I1557" s="565"/>
      <c r="J1557" s="565"/>
      <c r="K1557" s="563">
        <v>0</v>
      </c>
      <c r="L1557" s="566">
        <v>142885.39000000001</v>
      </c>
    </row>
    <row r="1558" spans="1:12" ht="56.25" x14ac:dyDescent="0.2">
      <c r="A1558" s="561" t="s">
        <v>98</v>
      </c>
      <c r="B1558" s="562">
        <v>2021</v>
      </c>
      <c r="C1558" s="561" t="s">
        <v>658</v>
      </c>
      <c r="D1558" s="561" t="s">
        <v>1790</v>
      </c>
      <c r="E1558" s="561" t="s">
        <v>447</v>
      </c>
      <c r="F1558" s="563">
        <v>0</v>
      </c>
      <c r="G1558" s="564"/>
      <c r="H1558" s="561" t="s">
        <v>654</v>
      </c>
      <c r="I1558" s="565"/>
      <c r="J1558" s="565"/>
      <c r="K1558" s="563">
        <v>0</v>
      </c>
      <c r="L1558" s="566">
        <v>0</v>
      </c>
    </row>
    <row r="1559" spans="1:12" ht="22.5" x14ac:dyDescent="0.2">
      <c r="A1559" s="561" t="s">
        <v>98</v>
      </c>
      <c r="B1559" s="562">
        <v>2021</v>
      </c>
      <c r="C1559" s="561" t="s">
        <v>660</v>
      </c>
      <c r="D1559" s="561" t="s">
        <v>1791</v>
      </c>
      <c r="E1559" s="561" t="s">
        <v>662</v>
      </c>
      <c r="F1559" s="563">
        <v>0</v>
      </c>
      <c r="G1559" s="564"/>
      <c r="H1559" s="561" t="s">
        <v>654</v>
      </c>
      <c r="I1559" s="565"/>
      <c r="J1559" s="565"/>
      <c r="K1559" s="563">
        <v>0</v>
      </c>
      <c r="L1559" s="566">
        <v>0</v>
      </c>
    </row>
    <row r="1560" spans="1:12" ht="33.75" x14ac:dyDescent="0.2">
      <c r="A1560" s="561" t="s">
        <v>98</v>
      </c>
      <c r="B1560" s="562">
        <v>2021</v>
      </c>
      <c r="C1560" s="561" t="s">
        <v>663</v>
      </c>
      <c r="D1560" s="561" t="s">
        <v>1792</v>
      </c>
      <c r="E1560" s="561" t="s">
        <v>665</v>
      </c>
      <c r="F1560" s="563">
        <v>0</v>
      </c>
      <c r="G1560" s="564"/>
      <c r="H1560" s="561" t="s">
        <v>654</v>
      </c>
      <c r="I1560" s="565"/>
      <c r="J1560" s="565"/>
      <c r="K1560" s="563">
        <v>0</v>
      </c>
      <c r="L1560" s="566">
        <v>0</v>
      </c>
    </row>
    <row r="1561" spans="1:12" ht="33.75" x14ac:dyDescent="0.2">
      <c r="A1561" s="561" t="s">
        <v>98</v>
      </c>
      <c r="B1561" s="562">
        <v>2021</v>
      </c>
      <c r="C1561" s="561" t="s">
        <v>666</v>
      </c>
      <c r="D1561" s="561" t="s">
        <v>1793</v>
      </c>
      <c r="E1561" s="561" t="s">
        <v>668</v>
      </c>
      <c r="F1561" s="563">
        <v>0</v>
      </c>
      <c r="G1561" s="564"/>
      <c r="H1561" s="561" t="s">
        <v>654</v>
      </c>
      <c r="I1561" s="565"/>
      <c r="J1561" s="565"/>
      <c r="K1561" s="563">
        <v>0</v>
      </c>
      <c r="L1561" s="566">
        <v>0</v>
      </c>
    </row>
    <row r="1562" spans="1:12" ht="56.25" x14ac:dyDescent="0.2">
      <c r="A1562" s="561" t="s">
        <v>98</v>
      </c>
      <c r="B1562" s="562">
        <v>2021</v>
      </c>
      <c r="C1562" s="561" t="s">
        <v>669</v>
      </c>
      <c r="D1562" s="561" t="s">
        <v>1794</v>
      </c>
      <c r="E1562" s="561" t="s">
        <v>671</v>
      </c>
      <c r="F1562" s="563">
        <v>0</v>
      </c>
      <c r="G1562" s="564"/>
      <c r="H1562" s="561" t="s">
        <v>654</v>
      </c>
      <c r="I1562" s="565"/>
      <c r="J1562" s="565"/>
      <c r="K1562" s="563">
        <v>0</v>
      </c>
      <c r="L1562" s="566">
        <v>0</v>
      </c>
    </row>
    <row r="1563" spans="1:12" ht="22.5" x14ac:dyDescent="0.2">
      <c r="A1563" s="561" t="s">
        <v>98</v>
      </c>
      <c r="B1563" s="562">
        <v>2021</v>
      </c>
      <c r="C1563" s="561" t="s">
        <v>672</v>
      </c>
      <c r="D1563" s="561" t="s">
        <v>1795</v>
      </c>
      <c r="E1563" s="561" t="s">
        <v>12</v>
      </c>
      <c r="F1563" s="563">
        <v>0</v>
      </c>
      <c r="G1563" s="564"/>
      <c r="H1563" s="561" t="s">
        <v>654</v>
      </c>
      <c r="I1563" s="565"/>
      <c r="J1563" s="565"/>
      <c r="K1563" s="563">
        <v>0</v>
      </c>
      <c r="L1563" s="566">
        <v>0</v>
      </c>
    </row>
    <row r="1564" spans="1:12" ht="22.5" x14ac:dyDescent="0.2">
      <c r="A1564" s="561" t="s">
        <v>98</v>
      </c>
      <c r="B1564" s="562">
        <v>2021</v>
      </c>
      <c r="C1564" s="561" t="s">
        <v>674</v>
      </c>
      <c r="D1564" s="561" t="s">
        <v>1796</v>
      </c>
      <c r="E1564" s="561" t="s">
        <v>13</v>
      </c>
      <c r="F1564" s="563">
        <v>0</v>
      </c>
      <c r="G1564" s="564"/>
      <c r="H1564" s="561" t="s">
        <v>654</v>
      </c>
      <c r="I1564" s="565"/>
      <c r="J1564" s="565"/>
      <c r="K1564" s="563">
        <v>0</v>
      </c>
      <c r="L1564" s="566">
        <v>0</v>
      </c>
    </row>
    <row r="1565" spans="1:12" ht="33.75" x14ac:dyDescent="0.2">
      <c r="A1565" s="561" t="s">
        <v>98</v>
      </c>
      <c r="B1565" s="562">
        <v>2021</v>
      </c>
      <c r="C1565" s="561" t="s">
        <v>676</v>
      </c>
      <c r="D1565" s="561" t="s">
        <v>1797</v>
      </c>
      <c r="E1565" s="561" t="s">
        <v>15</v>
      </c>
      <c r="F1565" s="563">
        <v>0</v>
      </c>
      <c r="G1565" s="564"/>
      <c r="H1565" s="561" t="s">
        <v>654</v>
      </c>
      <c r="I1565" s="565"/>
      <c r="J1565" s="565"/>
      <c r="K1565" s="563">
        <v>0</v>
      </c>
      <c r="L1565" s="566">
        <v>0</v>
      </c>
    </row>
    <row r="1566" spans="1:12" ht="15" x14ac:dyDescent="0.2">
      <c r="A1566" s="561" t="s">
        <v>98</v>
      </c>
      <c r="B1566" s="562">
        <v>2021</v>
      </c>
      <c r="C1566" s="561" t="s">
        <v>678</v>
      </c>
      <c r="D1566" s="561" t="s">
        <v>1798</v>
      </c>
      <c r="E1566" s="561" t="s">
        <v>680</v>
      </c>
      <c r="F1566" s="563">
        <v>428806.63</v>
      </c>
      <c r="G1566" s="564"/>
      <c r="H1566" s="561" t="s">
        <v>654</v>
      </c>
      <c r="I1566" s="565"/>
      <c r="J1566" s="565"/>
      <c r="K1566" s="563">
        <v>0</v>
      </c>
      <c r="L1566" s="566">
        <v>428806.63</v>
      </c>
    </row>
    <row r="1567" spans="1:12" ht="15" x14ac:dyDescent="0.2">
      <c r="A1567" s="561" t="s">
        <v>98</v>
      </c>
      <c r="B1567" s="562">
        <v>2021</v>
      </c>
      <c r="C1567" s="561" t="s">
        <v>681</v>
      </c>
      <c r="D1567" s="561" t="s">
        <v>1799</v>
      </c>
      <c r="E1567" s="561" t="s">
        <v>23</v>
      </c>
      <c r="F1567" s="563">
        <v>737947.9</v>
      </c>
      <c r="G1567" s="561" t="s">
        <v>654</v>
      </c>
      <c r="H1567" s="564"/>
      <c r="I1567" s="563">
        <v>727477.9375</v>
      </c>
      <c r="J1567" s="563">
        <v>10469.990234375</v>
      </c>
      <c r="K1567" s="563">
        <v>737947.875</v>
      </c>
      <c r="L1567" s="566">
        <v>737947.9</v>
      </c>
    </row>
    <row r="1568" spans="1:12" ht="33.75" x14ac:dyDescent="0.2">
      <c r="A1568" s="561" t="s">
        <v>98</v>
      </c>
      <c r="B1568" s="562">
        <v>2021</v>
      </c>
      <c r="C1568" s="561" t="s">
        <v>683</v>
      </c>
      <c r="D1568" s="561" t="s">
        <v>1800</v>
      </c>
      <c r="E1568" s="561" t="s">
        <v>131</v>
      </c>
      <c r="F1568" s="563">
        <v>-4008.21</v>
      </c>
      <c r="G1568" s="561" t="s">
        <v>654</v>
      </c>
      <c r="H1568" s="564"/>
      <c r="I1568" s="563">
        <v>-3854.14990234375</v>
      </c>
      <c r="J1568" s="563">
        <v>-154.05999755859401</v>
      </c>
      <c r="K1568" s="563">
        <v>-4008.2099609375</v>
      </c>
      <c r="L1568" s="566">
        <v>-4008.21</v>
      </c>
    </row>
    <row r="1569" spans="1:12" ht="33.75" x14ac:dyDescent="0.2">
      <c r="A1569" s="561" t="s">
        <v>98</v>
      </c>
      <c r="B1569" s="562">
        <v>2021</v>
      </c>
      <c r="C1569" s="561" t="s">
        <v>685</v>
      </c>
      <c r="D1569" s="561" t="s">
        <v>1801</v>
      </c>
      <c r="E1569" s="561" t="s">
        <v>687</v>
      </c>
      <c r="F1569" s="563">
        <v>0</v>
      </c>
      <c r="G1569" s="564"/>
      <c r="H1569" s="561" t="s">
        <v>654</v>
      </c>
      <c r="I1569" s="565"/>
      <c r="J1569" s="565"/>
      <c r="K1569" s="563">
        <v>0</v>
      </c>
      <c r="L1569" s="566">
        <v>0</v>
      </c>
    </row>
    <row r="1570" spans="1:12" ht="33.75" x14ac:dyDescent="0.2">
      <c r="A1570" s="561" t="s">
        <v>98</v>
      </c>
      <c r="B1570" s="562">
        <v>2021</v>
      </c>
      <c r="C1570" s="561" t="s">
        <v>685</v>
      </c>
      <c r="D1570" s="561" t="s">
        <v>1801</v>
      </c>
      <c r="E1570" s="561" t="s">
        <v>688</v>
      </c>
      <c r="F1570" s="563">
        <v>0</v>
      </c>
      <c r="G1570" s="564"/>
      <c r="H1570" s="561" t="s">
        <v>654</v>
      </c>
      <c r="I1570" s="565"/>
      <c r="J1570" s="565"/>
      <c r="K1570" s="563">
        <v>0</v>
      </c>
      <c r="L1570" s="566">
        <v>0</v>
      </c>
    </row>
    <row r="1571" spans="1:12" ht="22.5" x14ac:dyDescent="0.2">
      <c r="A1571" s="561" t="s">
        <v>98</v>
      </c>
      <c r="B1571" s="562">
        <v>2021</v>
      </c>
      <c r="C1571" s="561" t="s">
        <v>689</v>
      </c>
      <c r="D1571" s="561" t="s">
        <v>1802</v>
      </c>
      <c r="E1571" s="561" t="s">
        <v>691</v>
      </c>
      <c r="F1571" s="563">
        <v>0</v>
      </c>
      <c r="G1571" s="564"/>
      <c r="H1571" s="561" t="s">
        <v>654</v>
      </c>
      <c r="I1571" s="565"/>
      <c r="J1571" s="565"/>
      <c r="K1571" s="563">
        <v>0</v>
      </c>
      <c r="L1571" s="566">
        <v>0</v>
      </c>
    </row>
    <row r="1572" spans="1:12" ht="22.5" x14ac:dyDescent="0.2">
      <c r="A1572" s="561" t="s">
        <v>98</v>
      </c>
      <c r="B1572" s="562">
        <v>2021</v>
      </c>
      <c r="C1572" s="561" t="s">
        <v>692</v>
      </c>
      <c r="D1572" s="561" t="s">
        <v>1803</v>
      </c>
      <c r="E1572" s="561" t="s">
        <v>50</v>
      </c>
      <c r="F1572" s="563">
        <v>0</v>
      </c>
      <c r="G1572" s="564"/>
      <c r="H1572" s="561" t="s">
        <v>654</v>
      </c>
      <c r="I1572" s="565"/>
      <c r="J1572" s="565"/>
      <c r="K1572" s="563">
        <v>0</v>
      </c>
      <c r="L1572" s="566">
        <v>0</v>
      </c>
    </row>
    <row r="1573" spans="1:12" ht="22.5" x14ac:dyDescent="0.2">
      <c r="A1573" s="561" t="s">
        <v>98</v>
      </c>
      <c r="B1573" s="562">
        <v>2021</v>
      </c>
      <c r="C1573" s="561" t="s">
        <v>694</v>
      </c>
      <c r="D1573" s="561" t="s">
        <v>1804</v>
      </c>
      <c r="E1573" s="561" t="s">
        <v>696</v>
      </c>
      <c r="F1573" s="563">
        <v>0</v>
      </c>
      <c r="G1573" s="564"/>
      <c r="H1573" s="561" t="s">
        <v>654</v>
      </c>
      <c r="I1573" s="565"/>
      <c r="J1573" s="565"/>
      <c r="K1573" s="563">
        <v>0</v>
      </c>
      <c r="L1573" s="566">
        <v>0</v>
      </c>
    </row>
    <row r="1574" spans="1:12" ht="22.5" x14ac:dyDescent="0.2">
      <c r="A1574" s="561" t="s">
        <v>98</v>
      </c>
      <c r="B1574" s="562">
        <v>2021</v>
      </c>
      <c r="C1574" s="561" t="s">
        <v>697</v>
      </c>
      <c r="D1574" s="561" t="s">
        <v>1805</v>
      </c>
      <c r="E1574" s="561" t="s">
        <v>6</v>
      </c>
      <c r="F1574" s="563">
        <v>0</v>
      </c>
      <c r="G1574" s="564"/>
      <c r="H1574" s="561" t="s">
        <v>654</v>
      </c>
      <c r="I1574" s="565"/>
      <c r="J1574" s="565"/>
      <c r="K1574" s="563">
        <v>0</v>
      </c>
      <c r="L1574" s="566">
        <v>0</v>
      </c>
    </row>
    <row r="1575" spans="1:12" ht="33.75" x14ac:dyDescent="0.2">
      <c r="A1575" s="561" t="s">
        <v>98</v>
      </c>
      <c r="B1575" s="562">
        <v>2021</v>
      </c>
      <c r="C1575" s="561" t="s">
        <v>699</v>
      </c>
      <c r="D1575" s="561" t="s">
        <v>1806</v>
      </c>
      <c r="E1575" s="561" t="s">
        <v>701</v>
      </c>
      <c r="F1575" s="563">
        <v>0</v>
      </c>
      <c r="G1575" s="564"/>
      <c r="H1575" s="561" t="s">
        <v>654</v>
      </c>
      <c r="I1575" s="565"/>
      <c r="J1575" s="565"/>
      <c r="K1575" s="563">
        <v>0</v>
      </c>
      <c r="L1575" s="566">
        <v>0</v>
      </c>
    </row>
    <row r="1576" spans="1:12" ht="22.5" x14ac:dyDescent="0.2">
      <c r="A1576" s="561" t="s">
        <v>98</v>
      </c>
      <c r="B1576" s="562">
        <v>2021</v>
      </c>
      <c r="C1576" s="561" t="s">
        <v>702</v>
      </c>
      <c r="D1576" s="561" t="s">
        <v>1807</v>
      </c>
      <c r="E1576" s="561" t="s">
        <v>704</v>
      </c>
      <c r="F1576" s="563">
        <v>0</v>
      </c>
      <c r="G1576" s="564"/>
      <c r="H1576" s="561" t="s">
        <v>654</v>
      </c>
      <c r="I1576" s="565"/>
      <c r="J1576" s="565"/>
      <c r="K1576" s="563">
        <v>0</v>
      </c>
      <c r="L1576" s="566">
        <v>0</v>
      </c>
    </row>
    <row r="1577" spans="1:12" ht="33.75" x14ac:dyDescent="0.2">
      <c r="A1577" s="561" t="s">
        <v>98</v>
      </c>
      <c r="B1577" s="562">
        <v>2021</v>
      </c>
      <c r="C1577" s="561" t="s">
        <v>705</v>
      </c>
      <c r="D1577" s="561" t="s">
        <v>1808</v>
      </c>
      <c r="E1577" s="561" t="s">
        <v>1</v>
      </c>
      <c r="F1577" s="563">
        <v>-582555.91</v>
      </c>
      <c r="G1577" s="561" t="s">
        <v>654</v>
      </c>
      <c r="H1577" s="564"/>
      <c r="I1577" s="563">
        <v>-578001.5</v>
      </c>
      <c r="J1577" s="563">
        <v>-4554.419921875</v>
      </c>
      <c r="K1577" s="563">
        <v>-582555.9375</v>
      </c>
      <c r="L1577" s="566">
        <v>-582555.91</v>
      </c>
    </row>
    <row r="1578" spans="1:12" ht="22.5" x14ac:dyDescent="0.2">
      <c r="A1578" s="561" t="s">
        <v>98</v>
      </c>
      <c r="B1578" s="562">
        <v>2021</v>
      </c>
      <c r="C1578" s="561" t="s">
        <v>705</v>
      </c>
      <c r="D1578" s="561" t="s">
        <v>1808</v>
      </c>
      <c r="E1578" s="561" t="s">
        <v>707</v>
      </c>
      <c r="F1578" s="563">
        <v>0</v>
      </c>
      <c r="G1578" s="564"/>
      <c r="H1578" s="564"/>
      <c r="I1578" s="565"/>
      <c r="J1578" s="565"/>
      <c r="K1578" s="563">
        <v>0</v>
      </c>
      <c r="L1578" s="566">
        <v>0</v>
      </c>
    </row>
    <row r="1579" spans="1:12" ht="22.5" x14ac:dyDescent="0.2">
      <c r="A1579" s="561" t="s">
        <v>98</v>
      </c>
      <c r="B1579" s="562">
        <v>2021</v>
      </c>
      <c r="C1579" s="561" t="s">
        <v>705</v>
      </c>
      <c r="D1579" s="561" t="s">
        <v>1808</v>
      </c>
      <c r="E1579" s="561" t="s">
        <v>708</v>
      </c>
      <c r="F1579" s="563">
        <v>0</v>
      </c>
      <c r="G1579" s="564"/>
      <c r="H1579" s="564"/>
      <c r="I1579" s="565"/>
      <c r="J1579" s="565"/>
      <c r="K1579" s="563">
        <v>0</v>
      </c>
      <c r="L1579" s="566">
        <v>0</v>
      </c>
    </row>
    <row r="1580" spans="1:12" ht="22.5" x14ac:dyDescent="0.2">
      <c r="A1580" s="561" t="s">
        <v>98</v>
      </c>
      <c r="B1580" s="562">
        <v>2021</v>
      </c>
      <c r="C1580" s="561" t="s">
        <v>705</v>
      </c>
      <c r="D1580" s="561" t="s">
        <v>1808</v>
      </c>
      <c r="E1580" s="561" t="s">
        <v>709</v>
      </c>
      <c r="F1580" s="563">
        <v>-2146.62</v>
      </c>
      <c r="G1580" s="564"/>
      <c r="H1580" s="564"/>
      <c r="I1580" s="565"/>
      <c r="J1580" s="565"/>
      <c r="K1580" s="563">
        <v>0</v>
      </c>
      <c r="L1580" s="566">
        <v>-2146.62</v>
      </c>
    </row>
    <row r="1581" spans="1:12" ht="22.5" x14ac:dyDescent="0.2">
      <c r="A1581" s="561" t="s">
        <v>98</v>
      </c>
      <c r="B1581" s="562">
        <v>2021</v>
      </c>
      <c r="C1581" s="561" t="s">
        <v>705</v>
      </c>
      <c r="D1581" s="561" t="s">
        <v>1808</v>
      </c>
      <c r="E1581" s="561" t="s">
        <v>710</v>
      </c>
      <c r="F1581" s="563">
        <v>-86189.440000000002</v>
      </c>
      <c r="G1581" s="564"/>
      <c r="H1581" s="564"/>
      <c r="I1581" s="565"/>
      <c r="J1581" s="565"/>
      <c r="K1581" s="563">
        <v>0</v>
      </c>
      <c r="L1581" s="566">
        <v>-86189.440000000002</v>
      </c>
    </row>
    <row r="1582" spans="1:12" ht="15" x14ac:dyDescent="0.2">
      <c r="A1582" s="561" t="s">
        <v>98</v>
      </c>
      <c r="B1582" s="562">
        <v>2021</v>
      </c>
      <c r="C1582" s="561" t="s">
        <v>711</v>
      </c>
      <c r="D1582" s="561" t="s">
        <v>1809</v>
      </c>
      <c r="E1582" s="561" t="s">
        <v>713</v>
      </c>
      <c r="F1582" s="563">
        <v>0</v>
      </c>
      <c r="G1582" s="564"/>
      <c r="H1582" s="561" t="s">
        <v>654</v>
      </c>
      <c r="I1582" s="565"/>
      <c r="J1582" s="565"/>
      <c r="K1582" s="563">
        <v>0</v>
      </c>
      <c r="L1582" s="566">
        <v>0</v>
      </c>
    </row>
    <row r="1583" spans="1:12" ht="33.75" x14ac:dyDescent="0.2">
      <c r="A1583" s="561" t="s">
        <v>98</v>
      </c>
      <c r="B1583" s="562">
        <v>2021</v>
      </c>
      <c r="C1583" s="561" t="s">
        <v>714</v>
      </c>
      <c r="D1583" s="561" t="s">
        <v>1810</v>
      </c>
      <c r="E1583" s="561" t="s">
        <v>2</v>
      </c>
      <c r="F1583" s="563">
        <v>182791.35</v>
      </c>
      <c r="G1583" s="561" t="s">
        <v>654</v>
      </c>
      <c r="H1583" s="564"/>
      <c r="I1583" s="563">
        <v>182449.796875</v>
      </c>
      <c r="J1583" s="563">
        <v>341.55999755859398</v>
      </c>
      <c r="K1583" s="563">
        <v>182791.34375</v>
      </c>
      <c r="L1583" s="566">
        <v>182791.35</v>
      </c>
    </row>
    <row r="1584" spans="1:12" ht="33.75" x14ac:dyDescent="0.2">
      <c r="A1584" s="561" t="s">
        <v>98</v>
      </c>
      <c r="B1584" s="562">
        <v>2021</v>
      </c>
      <c r="C1584" s="561" t="s">
        <v>716</v>
      </c>
      <c r="D1584" s="561" t="s">
        <v>1811</v>
      </c>
      <c r="E1584" s="561" t="s">
        <v>3</v>
      </c>
      <c r="F1584" s="563">
        <v>76043.53</v>
      </c>
      <c r="G1584" s="561" t="s">
        <v>654</v>
      </c>
      <c r="H1584" s="564"/>
      <c r="I1584" s="563">
        <v>76500.890625</v>
      </c>
      <c r="J1584" s="563">
        <v>-457.35998535156301</v>
      </c>
      <c r="K1584" s="563">
        <v>76043.53125</v>
      </c>
      <c r="L1584" s="566">
        <v>76043.53</v>
      </c>
    </row>
    <row r="1585" spans="1:12" ht="33.75" x14ac:dyDescent="0.2">
      <c r="A1585" s="561" t="s">
        <v>98</v>
      </c>
      <c r="B1585" s="562">
        <v>2021</v>
      </c>
      <c r="C1585" s="561" t="s">
        <v>718</v>
      </c>
      <c r="D1585" s="561" t="s">
        <v>1812</v>
      </c>
      <c r="E1585" s="561" t="s">
        <v>38</v>
      </c>
      <c r="F1585" s="563">
        <v>54027.77</v>
      </c>
      <c r="G1585" s="561" t="s">
        <v>654</v>
      </c>
      <c r="H1585" s="564"/>
      <c r="I1585" s="563">
        <v>56088.80859375</v>
      </c>
      <c r="J1585" s="563">
        <v>-2061.0400390625</v>
      </c>
      <c r="K1585" s="563">
        <v>54027.76953125</v>
      </c>
      <c r="L1585" s="566">
        <v>54027.77</v>
      </c>
    </row>
    <row r="1586" spans="1:12" ht="22.5" x14ac:dyDescent="0.2">
      <c r="A1586" s="561" t="s">
        <v>98</v>
      </c>
      <c r="B1586" s="562">
        <v>2021</v>
      </c>
      <c r="C1586" s="561" t="s">
        <v>720</v>
      </c>
      <c r="D1586" s="561" t="s">
        <v>1813</v>
      </c>
      <c r="E1586" s="561" t="s">
        <v>66</v>
      </c>
      <c r="F1586" s="563">
        <v>633181.68000000005</v>
      </c>
      <c r="G1586" s="561" t="s">
        <v>654</v>
      </c>
      <c r="H1586" s="564"/>
      <c r="I1586" s="563">
        <v>622240.5625</v>
      </c>
      <c r="J1586" s="563">
        <v>10941.1298828125</v>
      </c>
      <c r="K1586" s="563">
        <v>633181.6875</v>
      </c>
      <c r="L1586" s="566">
        <v>633181.68000000005</v>
      </c>
    </row>
    <row r="1587" spans="1:12" ht="45" x14ac:dyDescent="0.2">
      <c r="A1587" s="561" t="s">
        <v>98</v>
      </c>
      <c r="B1587" s="562">
        <v>2021</v>
      </c>
      <c r="C1587" s="561" t="s">
        <v>722</v>
      </c>
      <c r="D1587" s="561" t="s">
        <v>1814</v>
      </c>
      <c r="E1587" s="561" t="s">
        <v>724</v>
      </c>
      <c r="F1587" s="563">
        <v>-276786.68</v>
      </c>
      <c r="G1587" s="564"/>
      <c r="H1587" s="561" t="s">
        <v>654</v>
      </c>
      <c r="I1587" s="565"/>
      <c r="J1587" s="565"/>
      <c r="K1587" s="563">
        <v>0</v>
      </c>
      <c r="L1587" s="566">
        <v>-276786.68</v>
      </c>
    </row>
    <row r="1588" spans="1:12" ht="45" x14ac:dyDescent="0.2">
      <c r="A1588" s="561" t="s">
        <v>98</v>
      </c>
      <c r="B1588" s="562">
        <v>2021</v>
      </c>
      <c r="C1588" s="561" t="s">
        <v>725</v>
      </c>
      <c r="D1588" s="561" t="s">
        <v>1815</v>
      </c>
      <c r="E1588" s="561" t="s">
        <v>3024</v>
      </c>
      <c r="F1588" s="563">
        <v>0</v>
      </c>
      <c r="G1588" s="561" t="s">
        <v>654</v>
      </c>
      <c r="H1588" s="564"/>
      <c r="I1588" s="563">
        <v>-409261.3125</v>
      </c>
      <c r="J1588" s="563">
        <v>414875.59375</v>
      </c>
      <c r="K1588" s="563">
        <v>5614.27978515625</v>
      </c>
      <c r="L1588" s="566">
        <v>5614.2800000000298</v>
      </c>
    </row>
    <row r="1589" spans="1:12" ht="45" x14ac:dyDescent="0.2">
      <c r="A1589" s="561" t="s">
        <v>98</v>
      </c>
      <c r="B1589" s="562">
        <v>2021</v>
      </c>
      <c r="C1589" s="561" t="s">
        <v>725</v>
      </c>
      <c r="D1589" s="561" t="s">
        <v>1815</v>
      </c>
      <c r="E1589" s="561" t="s">
        <v>3066</v>
      </c>
      <c r="F1589" s="563">
        <v>0</v>
      </c>
      <c r="G1589" s="561" t="s">
        <v>654</v>
      </c>
      <c r="H1589" s="564"/>
      <c r="I1589" s="563">
        <v>65264.171875</v>
      </c>
      <c r="J1589" s="563">
        <v>-5926.580078125</v>
      </c>
      <c r="K1589" s="563">
        <v>59337.58984375</v>
      </c>
      <c r="L1589" s="566">
        <v>59337.59</v>
      </c>
    </row>
    <row r="1590" spans="1:12" ht="45" x14ac:dyDescent="0.2">
      <c r="A1590" s="561" t="s">
        <v>98</v>
      </c>
      <c r="B1590" s="562">
        <v>2021</v>
      </c>
      <c r="C1590" s="561" t="s">
        <v>725</v>
      </c>
      <c r="D1590" s="561" t="s">
        <v>1816</v>
      </c>
      <c r="E1590" s="561" t="s">
        <v>728</v>
      </c>
      <c r="F1590" s="563">
        <v>0</v>
      </c>
      <c r="G1590" s="561" t="s">
        <v>654</v>
      </c>
      <c r="H1590" s="564"/>
      <c r="I1590" s="565"/>
      <c r="J1590" s="565"/>
      <c r="K1590" s="563">
        <v>0</v>
      </c>
      <c r="L1590" s="566">
        <v>0</v>
      </c>
    </row>
    <row r="1591" spans="1:12" ht="45" x14ac:dyDescent="0.2">
      <c r="A1591" s="561" t="s">
        <v>98</v>
      </c>
      <c r="B1591" s="562">
        <v>2021</v>
      </c>
      <c r="C1591" s="561" t="s">
        <v>725</v>
      </c>
      <c r="D1591" s="561" t="s">
        <v>1817</v>
      </c>
      <c r="E1591" s="561" t="s">
        <v>55</v>
      </c>
      <c r="F1591" s="563">
        <v>0</v>
      </c>
      <c r="G1591" s="561" t="s">
        <v>654</v>
      </c>
      <c r="H1591" s="564"/>
      <c r="I1591" s="565"/>
      <c r="J1591" s="565"/>
      <c r="K1591" s="563">
        <v>0</v>
      </c>
      <c r="L1591" s="566">
        <v>0</v>
      </c>
    </row>
    <row r="1592" spans="1:12" ht="45" x14ac:dyDescent="0.2">
      <c r="A1592" s="561" t="s">
        <v>98</v>
      </c>
      <c r="B1592" s="562">
        <v>2021</v>
      </c>
      <c r="C1592" s="561" t="s">
        <v>725</v>
      </c>
      <c r="D1592" s="561" t="s">
        <v>1818</v>
      </c>
      <c r="E1592" s="561" t="s">
        <v>56</v>
      </c>
      <c r="F1592" s="563">
        <v>0</v>
      </c>
      <c r="G1592" s="561" t="s">
        <v>654</v>
      </c>
      <c r="H1592" s="564"/>
      <c r="I1592" s="565"/>
      <c r="J1592" s="565"/>
      <c r="K1592" s="563">
        <v>0</v>
      </c>
      <c r="L1592" s="566">
        <v>0</v>
      </c>
    </row>
    <row r="1593" spans="1:12" ht="45" x14ac:dyDescent="0.2">
      <c r="A1593" s="561" t="s">
        <v>98</v>
      </c>
      <c r="B1593" s="562">
        <v>2021</v>
      </c>
      <c r="C1593" s="561" t="s">
        <v>725</v>
      </c>
      <c r="D1593" s="561" t="s">
        <v>1819</v>
      </c>
      <c r="E1593" s="561" t="s">
        <v>732</v>
      </c>
      <c r="F1593" s="563">
        <v>0</v>
      </c>
      <c r="G1593" s="561" t="s">
        <v>654</v>
      </c>
      <c r="H1593" s="564"/>
      <c r="I1593" s="565"/>
      <c r="J1593" s="565"/>
      <c r="K1593" s="563">
        <v>0</v>
      </c>
      <c r="L1593" s="566">
        <v>0</v>
      </c>
    </row>
    <row r="1594" spans="1:12" ht="45" x14ac:dyDescent="0.2">
      <c r="A1594" s="561" t="s">
        <v>98</v>
      </c>
      <c r="B1594" s="562">
        <v>2021</v>
      </c>
      <c r="C1594" s="561" t="s">
        <v>725</v>
      </c>
      <c r="D1594" s="561" t="s">
        <v>1820</v>
      </c>
      <c r="E1594" s="561" t="s">
        <v>734</v>
      </c>
      <c r="F1594" s="563">
        <v>0</v>
      </c>
      <c r="G1594" s="561" t="s">
        <v>654</v>
      </c>
      <c r="H1594" s="564"/>
      <c r="I1594" s="565"/>
      <c r="J1594" s="565"/>
      <c r="K1594" s="563">
        <v>0</v>
      </c>
      <c r="L1594" s="566">
        <v>0</v>
      </c>
    </row>
    <row r="1595" spans="1:12" ht="45" x14ac:dyDescent="0.2">
      <c r="A1595" s="561" t="s">
        <v>98</v>
      </c>
      <c r="B1595" s="562">
        <v>2021</v>
      </c>
      <c r="C1595" s="561" t="s">
        <v>725</v>
      </c>
      <c r="D1595" s="561" t="s">
        <v>1821</v>
      </c>
      <c r="E1595" s="561" t="s">
        <v>142</v>
      </c>
      <c r="F1595" s="563">
        <v>0</v>
      </c>
      <c r="G1595" s="561" t="s">
        <v>654</v>
      </c>
      <c r="H1595" s="564"/>
      <c r="I1595" s="565"/>
      <c r="J1595" s="565"/>
      <c r="K1595" s="563">
        <v>0</v>
      </c>
      <c r="L1595" s="566">
        <v>0</v>
      </c>
    </row>
    <row r="1596" spans="1:12" ht="45" x14ac:dyDescent="0.2">
      <c r="A1596" s="561" t="s">
        <v>98</v>
      </c>
      <c r="B1596" s="562">
        <v>2021</v>
      </c>
      <c r="C1596" s="561" t="s">
        <v>725</v>
      </c>
      <c r="D1596" s="561" t="s">
        <v>1822</v>
      </c>
      <c r="E1596" s="561" t="s">
        <v>143</v>
      </c>
      <c r="F1596" s="563">
        <v>0</v>
      </c>
      <c r="G1596" s="561" t="s">
        <v>654</v>
      </c>
      <c r="H1596" s="564"/>
      <c r="I1596" s="563">
        <v>-1.0199999809265099</v>
      </c>
      <c r="J1596" s="565"/>
      <c r="K1596" s="563">
        <v>-1.0199999809265099</v>
      </c>
      <c r="L1596" s="566">
        <v>-1.02</v>
      </c>
    </row>
    <row r="1597" spans="1:12" ht="45" x14ac:dyDescent="0.2">
      <c r="A1597" s="561" t="s">
        <v>98</v>
      </c>
      <c r="B1597" s="562">
        <v>2021</v>
      </c>
      <c r="C1597" s="561" t="s">
        <v>725</v>
      </c>
      <c r="D1597" s="561" t="s">
        <v>1823</v>
      </c>
      <c r="E1597" s="561" t="s">
        <v>182</v>
      </c>
      <c r="F1597" s="563">
        <v>0</v>
      </c>
      <c r="G1597" s="561" t="s">
        <v>654</v>
      </c>
      <c r="H1597" s="564"/>
      <c r="I1597" s="563">
        <v>1782</v>
      </c>
      <c r="J1597" s="565"/>
      <c r="K1597" s="563">
        <v>1782</v>
      </c>
      <c r="L1597" s="566">
        <v>1782</v>
      </c>
    </row>
    <row r="1598" spans="1:12" ht="45" x14ac:dyDescent="0.2">
      <c r="A1598" s="561" t="s">
        <v>98</v>
      </c>
      <c r="B1598" s="562">
        <v>2021</v>
      </c>
      <c r="C1598" s="561" t="s">
        <v>725</v>
      </c>
      <c r="D1598" s="561" t="s">
        <v>1824</v>
      </c>
      <c r="E1598" s="561" t="s">
        <v>394</v>
      </c>
      <c r="F1598" s="563">
        <v>0</v>
      </c>
      <c r="G1598" s="561" t="s">
        <v>654</v>
      </c>
      <c r="H1598" s="564"/>
      <c r="I1598" s="563">
        <v>4</v>
      </c>
      <c r="J1598" s="565"/>
      <c r="K1598" s="563">
        <v>4</v>
      </c>
      <c r="L1598" s="566">
        <v>4</v>
      </c>
    </row>
    <row r="1599" spans="1:12" ht="45" x14ac:dyDescent="0.2">
      <c r="A1599" s="561" t="s">
        <v>98</v>
      </c>
      <c r="B1599" s="562">
        <v>2021</v>
      </c>
      <c r="C1599" s="561" t="s">
        <v>725</v>
      </c>
      <c r="D1599" s="561" t="s">
        <v>1825</v>
      </c>
      <c r="E1599" s="561" t="s">
        <v>425</v>
      </c>
      <c r="F1599" s="563">
        <v>0</v>
      </c>
      <c r="G1599" s="561" t="s">
        <v>654</v>
      </c>
      <c r="H1599" s="564"/>
      <c r="I1599" s="563">
        <v>-133861.78125</v>
      </c>
      <c r="J1599" s="563">
        <v>133955.75</v>
      </c>
      <c r="K1599" s="563">
        <v>93.970001220703097</v>
      </c>
      <c r="L1599" s="566">
        <v>93.970000000001207</v>
      </c>
    </row>
    <row r="1600" spans="1:12" ht="45" x14ac:dyDescent="0.2">
      <c r="A1600" s="561" t="s">
        <v>98</v>
      </c>
      <c r="B1600" s="562">
        <v>2021</v>
      </c>
      <c r="C1600" s="561" t="s">
        <v>725</v>
      </c>
      <c r="D1600" s="561" t="s">
        <v>3274</v>
      </c>
      <c r="E1600" s="561" t="s">
        <v>443</v>
      </c>
      <c r="F1600" s="563">
        <v>0</v>
      </c>
      <c r="G1600" s="561" t="s">
        <v>654</v>
      </c>
      <c r="H1600" s="564"/>
      <c r="I1600" s="565"/>
      <c r="J1600" s="565"/>
      <c r="K1600" s="563">
        <v>0</v>
      </c>
      <c r="L1600" s="566">
        <v>0</v>
      </c>
    </row>
    <row r="1601" spans="1:12" ht="45" x14ac:dyDescent="0.2">
      <c r="A1601" s="561" t="s">
        <v>98</v>
      </c>
      <c r="B1601" s="562">
        <v>2021</v>
      </c>
      <c r="C1601" s="561" t="s">
        <v>725</v>
      </c>
      <c r="D1601" s="561" t="s">
        <v>1826</v>
      </c>
      <c r="E1601" s="561" t="s">
        <v>741</v>
      </c>
      <c r="F1601" s="563">
        <v>66830.820000000007</v>
      </c>
      <c r="G1601" s="564"/>
      <c r="H1601" s="564"/>
      <c r="I1601" s="565"/>
      <c r="J1601" s="565"/>
      <c r="K1601" s="563">
        <v>0</v>
      </c>
      <c r="L1601" s="566">
        <v>66830.820000000007</v>
      </c>
    </row>
    <row r="1602" spans="1:12" ht="22.5" x14ac:dyDescent="0.2">
      <c r="A1602" s="561" t="s">
        <v>98</v>
      </c>
      <c r="B1602" s="562">
        <v>2021</v>
      </c>
      <c r="C1602" s="561" t="s">
        <v>742</v>
      </c>
      <c r="D1602" s="561" t="s">
        <v>1827</v>
      </c>
      <c r="E1602" s="561" t="s">
        <v>7</v>
      </c>
      <c r="F1602" s="563">
        <v>-328379.26</v>
      </c>
      <c r="G1602" s="564"/>
      <c r="H1602" s="561" t="s">
        <v>654</v>
      </c>
      <c r="I1602" s="565"/>
      <c r="J1602" s="565"/>
      <c r="K1602" s="563">
        <v>0</v>
      </c>
      <c r="L1602" s="566">
        <v>-328379.26</v>
      </c>
    </row>
    <row r="1603" spans="1:12" ht="22.5" x14ac:dyDescent="0.2">
      <c r="A1603" s="561" t="s">
        <v>99</v>
      </c>
      <c r="B1603" s="562">
        <v>2021</v>
      </c>
      <c r="C1603" s="561" t="s">
        <v>651</v>
      </c>
      <c r="D1603" s="561" t="s">
        <v>1828</v>
      </c>
      <c r="E1603" s="561" t="s">
        <v>653</v>
      </c>
      <c r="F1603" s="563">
        <v>0</v>
      </c>
      <c r="G1603" s="564"/>
      <c r="H1603" s="561" t="s">
        <v>654</v>
      </c>
      <c r="I1603" s="565"/>
      <c r="J1603" s="565"/>
      <c r="K1603" s="563">
        <v>0</v>
      </c>
      <c r="L1603" s="566">
        <v>0</v>
      </c>
    </row>
    <row r="1604" spans="1:12" ht="15" x14ac:dyDescent="0.2">
      <c r="A1604" s="561" t="s">
        <v>99</v>
      </c>
      <c r="B1604" s="562">
        <v>2021</v>
      </c>
      <c r="C1604" s="561" t="s">
        <v>655</v>
      </c>
      <c r="D1604" s="561" t="s">
        <v>1829</v>
      </c>
      <c r="E1604" s="561" t="s">
        <v>657</v>
      </c>
      <c r="F1604" s="563">
        <v>0</v>
      </c>
      <c r="G1604" s="564"/>
      <c r="H1604" s="561" t="s">
        <v>654</v>
      </c>
      <c r="I1604" s="565"/>
      <c r="J1604" s="565"/>
      <c r="K1604" s="563">
        <v>0</v>
      </c>
      <c r="L1604" s="566">
        <v>0</v>
      </c>
    </row>
    <row r="1605" spans="1:12" ht="56.25" x14ac:dyDescent="0.2">
      <c r="A1605" s="561" t="s">
        <v>99</v>
      </c>
      <c r="B1605" s="562">
        <v>2021</v>
      </c>
      <c r="C1605" s="561" t="s">
        <v>658</v>
      </c>
      <c r="D1605" s="561" t="s">
        <v>1830</v>
      </c>
      <c r="E1605" s="561" t="s">
        <v>447</v>
      </c>
      <c r="F1605" s="563">
        <v>-2927.61</v>
      </c>
      <c r="G1605" s="564"/>
      <c r="H1605" s="561" t="s">
        <v>654</v>
      </c>
      <c r="I1605" s="565"/>
      <c r="J1605" s="565"/>
      <c r="K1605" s="563">
        <v>0</v>
      </c>
      <c r="L1605" s="566">
        <v>-2927.61</v>
      </c>
    </row>
    <row r="1606" spans="1:12" ht="22.5" x14ac:dyDescent="0.2">
      <c r="A1606" s="561" t="s">
        <v>99</v>
      </c>
      <c r="B1606" s="562">
        <v>2021</v>
      </c>
      <c r="C1606" s="561" t="s">
        <v>660</v>
      </c>
      <c r="D1606" s="561" t="s">
        <v>1831</v>
      </c>
      <c r="E1606" s="561" t="s">
        <v>662</v>
      </c>
      <c r="F1606" s="563">
        <v>0</v>
      </c>
      <c r="G1606" s="564"/>
      <c r="H1606" s="561" t="s">
        <v>654</v>
      </c>
      <c r="I1606" s="565"/>
      <c r="J1606" s="565"/>
      <c r="K1606" s="563">
        <v>0</v>
      </c>
      <c r="L1606" s="566">
        <v>0</v>
      </c>
    </row>
    <row r="1607" spans="1:12" ht="33.75" x14ac:dyDescent="0.2">
      <c r="A1607" s="561" t="s">
        <v>99</v>
      </c>
      <c r="B1607" s="562">
        <v>2021</v>
      </c>
      <c r="C1607" s="561" t="s">
        <v>663</v>
      </c>
      <c r="D1607" s="561" t="s">
        <v>1832</v>
      </c>
      <c r="E1607" s="561" t="s">
        <v>665</v>
      </c>
      <c r="F1607" s="563">
        <v>0</v>
      </c>
      <c r="G1607" s="564"/>
      <c r="H1607" s="561" t="s">
        <v>654</v>
      </c>
      <c r="I1607" s="565"/>
      <c r="J1607" s="565"/>
      <c r="K1607" s="563">
        <v>0</v>
      </c>
      <c r="L1607" s="566">
        <v>0</v>
      </c>
    </row>
    <row r="1608" spans="1:12" ht="33.75" x14ac:dyDescent="0.2">
      <c r="A1608" s="561" t="s">
        <v>99</v>
      </c>
      <c r="B1608" s="562">
        <v>2021</v>
      </c>
      <c r="C1608" s="561" t="s">
        <v>666</v>
      </c>
      <c r="D1608" s="561" t="s">
        <v>1833</v>
      </c>
      <c r="E1608" s="561" t="s">
        <v>668</v>
      </c>
      <c r="F1608" s="563">
        <v>0</v>
      </c>
      <c r="G1608" s="564"/>
      <c r="H1608" s="561" t="s">
        <v>654</v>
      </c>
      <c r="I1608" s="565"/>
      <c r="J1608" s="565"/>
      <c r="K1608" s="563">
        <v>0</v>
      </c>
      <c r="L1608" s="566">
        <v>0</v>
      </c>
    </row>
    <row r="1609" spans="1:12" ht="56.25" x14ac:dyDescent="0.2">
      <c r="A1609" s="561" t="s">
        <v>99</v>
      </c>
      <c r="B1609" s="562">
        <v>2021</v>
      </c>
      <c r="C1609" s="561" t="s">
        <v>669</v>
      </c>
      <c r="D1609" s="561" t="s">
        <v>1834</v>
      </c>
      <c r="E1609" s="561" t="s">
        <v>671</v>
      </c>
      <c r="F1609" s="563">
        <v>0</v>
      </c>
      <c r="G1609" s="564"/>
      <c r="H1609" s="561" t="s">
        <v>654</v>
      </c>
      <c r="I1609" s="565"/>
      <c r="J1609" s="565"/>
      <c r="K1609" s="563">
        <v>0</v>
      </c>
      <c r="L1609" s="566">
        <v>0</v>
      </c>
    </row>
    <row r="1610" spans="1:12" ht="22.5" x14ac:dyDescent="0.2">
      <c r="A1610" s="561" t="s">
        <v>99</v>
      </c>
      <c r="B1610" s="562">
        <v>2021</v>
      </c>
      <c r="C1610" s="561" t="s">
        <v>672</v>
      </c>
      <c r="D1610" s="561" t="s">
        <v>1835</v>
      </c>
      <c r="E1610" s="561" t="s">
        <v>12</v>
      </c>
      <c r="F1610" s="563">
        <v>0</v>
      </c>
      <c r="G1610" s="564"/>
      <c r="H1610" s="561" t="s">
        <v>654</v>
      </c>
      <c r="I1610" s="565"/>
      <c r="J1610" s="565"/>
      <c r="K1610" s="563">
        <v>0</v>
      </c>
      <c r="L1610" s="566">
        <v>0</v>
      </c>
    </row>
    <row r="1611" spans="1:12" ht="22.5" x14ac:dyDescent="0.2">
      <c r="A1611" s="561" t="s">
        <v>99</v>
      </c>
      <c r="B1611" s="562">
        <v>2021</v>
      </c>
      <c r="C1611" s="561" t="s">
        <v>674</v>
      </c>
      <c r="D1611" s="561" t="s">
        <v>1836</v>
      </c>
      <c r="E1611" s="561" t="s">
        <v>13</v>
      </c>
      <c r="F1611" s="563">
        <v>0</v>
      </c>
      <c r="G1611" s="564"/>
      <c r="H1611" s="561" t="s">
        <v>654</v>
      </c>
      <c r="I1611" s="565"/>
      <c r="J1611" s="565"/>
      <c r="K1611" s="563">
        <v>0</v>
      </c>
      <c r="L1611" s="566">
        <v>0</v>
      </c>
    </row>
    <row r="1612" spans="1:12" ht="33.75" x14ac:dyDescent="0.2">
      <c r="A1612" s="561" t="s">
        <v>99</v>
      </c>
      <c r="B1612" s="562">
        <v>2021</v>
      </c>
      <c r="C1612" s="561" t="s">
        <v>676</v>
      </c>
      <c r="D1612" s="561" t="s">
        <v>1837</v>
      </c>
      <c r="E1612" s="561" t="s">
        <v>15</v>
      </c>
      <c r="F1612" s="563">
        <v>0</v>
      </c>
      <c r="G1612" s="564"/>
      <c r="H1612" s="561" t="s">
        <v>654</v>
      </c>
      <c r="I1612" s="565"/>
      <c r="J1612" s="565"/>
      <c r="K1612" s="563">
        <v>0</v>
      </c>
      <c r="L1612" s="566">
        <v>0</v>
      </c>
    </row>
    <row r="1613" spans="1:12" ht="15" x14ac:dyDescent="0.2">
      <c r="A1613" s="561" t="s">
        <v>99</v>
      </c>
      <c r="B1613" s="562">
        <v>2021</v>
      </c>
      <c r="C1613" s="561" t="s">
        <v>678</v>
      </c>
      <c r="D1613" s="561" t="s">
        <v>1838</v>
      </c>
      <c r="E1613" s="561" t="s">
        <v>680</v>
      </c>
      <c r="F1613" s="563">
        <v>0</v>
      </c>
      <c r="G1613" s="564"/>
      <c r="H1613" s="561" t="s">
        <v>654</v>
      </c>
      <c r="I1613" s="565"/>
      <c r="J1613" s="565"/>
      <c r="K1613" s="563">
        <v>0</v>
      </c>
      <c r="L1613" s="566">
        <v>0</v>
      </c>
    </row>
    <row r="1614" spans="1:12" ht="15" x14ac:dyDescent="0.2">
      <c r="A1614" s="561" t="s">
        <v>99</v>
      </c>
      <c r="B1614" s="562">
        <v>2021</v>
      </c>
      <c r="C1614" s="561" t="s">
        <v>681</v>
      </c>
      <c r="D1614" s="561" t="s">
        <v>1839</v>
      </c>
      <c r="E1614" s="561" t="s">
        <v>23</v>
      </c>
      <c r="F1614" s="563">
        <v>0</v>
      </c>
      <c r="G1614" s="561" t="s">
        <v>654</v>
      </c>
      <c r="H1614" s="564"/>
      <c r="I1614" s="565"/>
      <c r="J1614" s="565"/>
      <c r="K1614" s="563">
        <v>0</v>
      </c>
      <c r="L1614" s="566">
        <v>0</v>
      </c>
    </row>
    <row r="1615" spans="1:12" ht="33.75" x14ac:dyDescent="0.2">
      <c r="A1615" s="561" t="s">
        <v>99</v>
      </c>
      <c r="B1615" s="562">
        <v>2021</v>
      </c>
      <c r="C1615" s="561" t="s">
        <v>683</v>
      </c>
      <c r="D1615" s="561" t="s">
        <v>1840</v>
      </c>
      <c r="E1615" s="561" t="s">
        <v>131</v>
      </c>
      <c r="F1615" s="563">
        <v>-34742.75</v>
      </c>
      <c r="G1615" s="561" t="s">
        <v>654</v>
      </c>
      <c r="H1615" s="564"/>
      <c r="I1615" s="563">
        <v>-34254.37109375</v>
      </c>
      <c r="J1615" s="563">
        <v>-488.38000488281301</v>
      </c>
      <c r="K1615" s="563">
        <v>-34742.75</v>
      </c>
      <c r="L1615" s="566">
        <v>-34742.75</v>
      </c>
    </row>
    <row r="1616" spans="1:12" ht="33.75" x14ac:dyDescent="0.2">
      <c r="A1616" s="561" t="s">
        <v>99</v>
      </c>
      <c r="B1616" s="562">
        <v>2021</v>
      </c>
      <c r="C1616" s="561" t="s">
        <v>685</v>
      </c>
      <c r="D1616" s="561" t="s">
        <v>1841</v>
      </c>
      <c r="E1616" s="561" t="s">
        <v>687</v>
      </c>
      <c r="F1616" s="563">
        <v>0</v>
      </c>
      <c r="G1616" s="564"/>
      <c r="H1616" s="561" t="s">
        <v>654</v>
      </c>
      <c r="I1616" s="565"/>
      <c r="J1616" s="565"/>
      <c r="K1616" s="563">
        <v>0</v>
      </c>
      <c r="L1616" s="566">
        <v>0</v>
      </c>
    </row>
    <row r="1617" spans="1:12" ht="33.75" x14ac:dyDescent="0.2">
      <c r="A1617" s="561" t="s">
        <v>99</v>
      </c>
      <c r="B1617" s="562">
        <v>2021</v>
      </c>
      <c r="C1617" s="561" t="s">
        <v>685</v>
      </c>
      <c r="D1617" s="561" t="s">
        <v>1841</v>
      </c>
      <c r="E1617" s="561" t="s">
        <v>688</v>
      </c>
      <c r="F1617" s="563">
        <v>0</v>
      </c>
      <c r="G1617" s="564"/>
      <c r="H1617" s="561" t="s">
        <v>654</v>
      </c>
      <c r="I1617" s="565"/>
      <c r="J1617" s="565"/>
      <c r="K1617" s="563">
        <v>0</v>
      </c>
      <c r="L1617" s="566">
        <v>0</v>
      </c>
    </row>
    <row r="1618" spans="1:12" ht="22.5" x14ac:dyDescent="0.2">
      <c r="A1618" s="561" t="s">
        <v>99</v>
      </c>
      <c r="B1618" s="562">
        <v>2021</v>
      </c>
      <c r="C1618" s="561" t="s">
        <v>689</v>
      </c>
      <c r="D1618" s="561" t="s">
        <v>1842</v>
      </c>
      <c r="E1618" s="561" t="s">
        <v>691</v>
      </c>
      <c r="F1618" s="563">
        <v>0</v>
      </c>
      <c r="G1618" s="564"/>
      <c r="H1618" s="561" t="s">
        <v>654</v>
      </c>
      <c r="I1618" s="565"/>
      <c r="J1618" s="565"/>
      <c r="K1618" s="563">
        <v>0</v>
      </c>
      <c r="L1618" s="566">
        <v>0</v>
      </c>
    </row>
    <row r="1619" spans="1:12" ht="22.5" x14ac:dyDescent="0.2">
      <c r="A1619" s="561" t="s">
        <v>99</v>
      </c>
      <c r="B1619" s="562">
        <v>2021</v>
      </c>
      <c r="C1619" s="561" t="s">
        <v>692</v>
      </c>
      <c r="D1619" s="561" t="s">
        <v>1843</v>
      </c>
      <c r="E1619" s="561" t="s">
        <v>50</v>
      </c>
      <c r="F1619" s="563">
        <v>1727840.48</v>
      </c>
      <c r="G1619" s="564"/>
      <c r="H1619" s="561" t="s">
        <v>654</v>
      </c>
      <c r="I1619" s="565"/>
      <c r="J1619" s="565"/>
      <c r="K1619" s="563">
        <v>0</v>
      </c>
      <c r="L1619" s="566">
        <v>1727840.48</v>
      </c>
    </row>
    <row r="1620" spans="1:12" ht="22.5" x14ac:dyDescent="0.2">
      <c r="A1620" s="561" t="s">
        <v>99</v>
      </c>
      <c r="B1620" s="562">
        <v>2021</v>
      </c>
      <c r="C1620" s="561" t="s">
        <v>694</v>
      </c>
      <c r="D1620" s="561" t="s">
        <v>1844</v>
      </c>
      <c r="E1620" s="561" t="s">
        <v>696</v>
      </c>
      <c r="F1620" s="563">
        <v>0</v>
      </c>
      <c r="G1620" s="564"/>
      <c r="H1620" s="561" t="s">
        <v>654</v>
      </c>
      <c r="I1620" s="565"/>
      <c r="J1620" s="565"/>
      <c r="K1620" s="563">
        <v>0</v>
      </c>
      <c r="L1620" s="566">
        <v>0</v>
      </c>
    </row>
    <row r="1621" spans="1:12" ht="22.5" x14ac:dyDescent="0.2">
      <c r="A1621" s="561" t="s">
        <v>99</v>
      </c>
      <c r="B1621" s="562">
        <v>2021</v>
      </c>
      <c r="C1621" s="561" t="s">
        <v>697</v>
      </c>
      <c r="D1621" s="561" t="s">
        <v>1845</v>
      </c>
      <c r="E1621" s="561" t="s">
        <v>6</v>
      </c>
      <c r="F1621" s="563">
        <v>0</v>
      </c>
      <c r="G1621" s="564"/>
      <c r="H1621" s="561" t="s">
        <v>654</v>
      </c>
      <c r="I1621" s="565"/>
      <c r="J1621" s="565"/>
      <c r="K1621" s="563">
        <v>0</v>
      </c>
      <c r="L1621" s="566">
        <v>0</v>
      </c>
    </row>
    <row r="1622" spans="1:12" ht="33.75" x14ac:dyDescent="0.2">
      <c r="A1622" s="561" t="s">
        <v>99</v>
      </c>
      <c r="B1622" s="562">
        <v>2021</v>
      </c>
      <c r="C1622" s="561" t="s">
        <v>699</v>
      </c>
      <c r="D1622" s="561" t="s">
        <v>1846</v>
      </c>
      <c r="E1622" s="561" t="s">
        <v>701</v>
      </c>
      <c r="F1622" s="563">
        <v>0</v>
      </c>
      <c r="G1622" s="564"/>
      <c r="H1622" s="561" t="s">
        <v>654</v>
      </c>
      <c r="I1622" s="565"/>
      <c r="J1622" s="565"/>
      <c r="K1622" s="563">
        <v>0</v>
      </c>
      <c r="L1622" s="566">
        <v>0</v>
      </c>
    </row>
    <row r="1623" spans="1:12" ht="22.5" x14ac:dyDescent="0.2">
      <c r="A1623" s="561" t="s">
        <v>99</v>
      </c>
      <c r="B1623" s="562">
        <v>2021</v>
      </c>
      <c r="C1623" s="561" t="s">
        <v>702</v>
      </c>
      <c r="D1623" s="561" t="s">
        <v>1847</v>
      </c>
      <c r="E1623" s="561" t="s">
        <v>704</v>
      </c>
      <c r="F1623" s="563">
        <v>0</v>
      </c>
      <c r="G1623" s="564"/>
      <c r="H1623" s="561" t="s">
        <v>654</v>
      </c>
      <c r="I1623" s="565"/>
      <c r="J1623" s="565"/>
      <c r="K1623" s="563">
        <v>0</v>
      </c>
      <c r="L1623" s="566">
        <v>0</v>
      </c>
    </row>
    <row r="1624" spans="1:12" ht="33.75" x14ac:dyDescent="0.2">
      <c r="A1624" s="561" t="s">
        <v>99</v>
      </c>
      <c r="B1624" s="562">
        <v>2021</v>
      </c>
      <c r="C1624" s="561" t="s">
        <v>705</v>
      </c>
      <c r="D1624" s="561" t="s">
        <v>1848</v>
      </c>
      <c r="E1624" s="561" t="s">
        <v>1</v>
      </c>
      <c r="F1624" s="563">
        <v>-1625219.46</v>
      </c>
      <c r="G1624" s="561" t="s">
        <v>654</v>
      </c>
      <c r="H1624" s="564"/>
      <c r="I1624" s="563">
        <v>-1615861.875</v>
      </c>
      <c r="J1624" s="563">
        <v>-9357.5302734375</v>
      </c>
      <c r="K1624" s="563">
        <v>-1625219.5</v>
      </c>
      <c r="L1624" s="566">
        <v>-1625219.46</v>
      </c>
    </row>
    <row r="1625" spans="1:12" ht="22.5" x14ac:dyDescent="0.2">
      <c r="A1625" s="561" t="s">
        <v>99</v>
      </c>
      <c r="B1625" s="562">
        <v>2021</v>
      </c>
      <c r="C1625" s="561" t="s">
        <v>705</v>
      </c>
      <c r="D1625" s="561" t="s">
        <v>1848</v>
      </c>
      <c r="E1625" s="561" t="s">
        <v>707</v>
      </c>
      <c r="F1625" s="563">
        <v>0</v>
      </c>
      <c r="G1625" s="564"/>
      <c r="H1625" s="564"/>
      <c r="I1625" s="565"/>
      <c r="J1625" s="565"/>
      <c r="K1625" s="563">
        <v>0</v>
      </c>
      <c r="L1625" s="566">
        <v>0</v>
      </c>
    </row>
    <row r="1626" spans="1:12" ht="22.5" x14ac:dyDescent="0.2">
      <c r="A1626" s="561" t="s">
        <v>99</v>
      </c>
      <c r="B1626" s="562">
        <v>2021</v>
      </c>
      <c r="C1626" s="561" t="s">
        <v>705</v>
      </c>
      <c r="D1626" s="561" t="s">
        <v>1848</v>
      </c>
      <c r="E1626" s="561" t="s">
        <v>708</v>
      </c>
      <c r="F1626" s="563">
        <v>0</v>
      </c>
      <c r="G1626" s="564"/>
      <c r="H1626" s="564"/>
      <c r="I1626" s="565"/>
      <c r="J1626" s="565"/>
      <c r="K1626" s="563">
        <v>0</v>
      </c>
      <c r="L1626" s="566">
        <v>0</v>
      </c>
    </row>
    <row r="1627" spans="1:12" ht="22.5" x14ac:dyDescent="0.2">
      <c r="A1627" s="561" t="s">
        <v>99</v>
      </c>
      <c r="B1627" s="562">
        <v>2021</v>
      </c>
      <c r="C1627" s="561" t="s">
        <v>705</v>
      </c>
      <c r="D1627" s="561" t="s">
        <v>1848</v>
      </c>
      <c r="E1627" s="561" t="s">
        <v>709</v>
      </c>
      <c r="F1627" s="563">
        <v>-5789.62</v>
      </c>
      <c r="G1627" s="564"/>
      <c r="H1627" s="564"/>
      <c r="I1627" s="565"/>
      <c r="J1627" s="565"/>
      <c r="K1627" s="563">
        <v>0</v>
      </c>
      <c r="L1627" s="566">
        <v>-5789.62</v>
      </c>
    </row>
    <row r="1628" spans="1:12" ht="22.5" x14ac:dyDescent="0.2">
      <c r="A1628" s="561" t="s">
        <v>99</v>
      </c>
      <c r="B1628" s="562">
        <v>2021</v>
      </c>
      <c r="C1628" s="561" t="s">
        <v>705</v>
      </c>
      <c r="D1628" s="561" t="s">
        <v>1848</v>
      </c>
      <c r="E1628" s="561" t="s">
        <v>710</v>
      </c>
      <c r="F1628" s="563">
        <v>-220828.27</v>
      </c>
      <c r="G1628" s="564"/>
      <c r="H1628" s="564"/>
      <c r="I1628" s="565"/>
      <c r="J1628" s="565"/>
      <c r="K1628" s="563">
        <v>0</v>
      </c>
      <c r="L1628" s="566">
        <v>-220828.27</v>
      </c>
    </row>
    <row r="1629" spans="1:12" ht="15" x14ac:dyDescent="0.2">
      <c r="A1629" s="561" t="s">
        <v>99</v>
      </c>
      <c r="B1629" s="562">
        <v>2021</v>
      </c>
      <c r="C1629" s="561" t="s">
        <v>711</v>
      </c>
      <c r="D1629" s="561" t="s">
        <v>1849</v>
      </c>
      <c r="E1629" s="561" t="s">
        <v>713</v>
      </c>
      <c r="F1629" s="563">
        <v>0</v>
      </c>
      <c r="G1629" s="564"/>
      <c r="H1629" s="561" t="s">
        <v>654</v>
      </c>
      <c r="I1629" s="565"/>
      <c r="J1629" s="565"/>
      <c r="K1629" s="563">
        <v>0</v>
      </c>
      <c r="L1629" s="566">
        <v>0</v>
      </c>
    </row>
    <row r="1630" spans="1:12" ht="33.75" x14ac:dyDescent="0.2">
      <c r="A1630" s="561" t="s">
        <v>99</v>
      </c>
      <c r="B1630" s="562">
        <v>2021</v>
      </c>
      <c r="C1630" s="561" t="s">
        <v>714</v>
      </c>
      <c r="D1630" s="561" t="s">
        <v>1850</v>
      </c>
      <c r="E1630" s="561" t="s">
        <v>2</v>
      </c>
      <c r="F1630" s="563">
        <v>6999469</v>
      </c>
      <c r="G1630" s="561" t="s">
        <v>654</v>
      </c>
      <c r="H1630" s="564"/>
      <c r="I1630" s="563">
        <v>6723555</v>
      </c>
      <c r="J1630" s="563">
        <v>275914.09375</v>
      </c>
      <c r="K1630" s="563">
        <v>6999469</v>
      </c>
      <c r="L1630" s="566">
        <v>6999469</v>
      </c>
    </row>
    <row r="1631" spans="1:12" ht="33.75" x14ac:dyDescent="0.2">
      <c r="A1631" s="561" t="s">
        <v>99</v>
      </c>
      <c r="B1631" s="562">
        <v>2021</v>
      </c>
      <c r="C1631" s="561" t="s">
        <v>716</v>
      </c>
      <c r="D1631" s="561" t="s">
        <v>1851</v>
      </c>
      <c r="E1631" s="561" t="s">
        <v>3</v>
      </c>
      <c r="F1631" s="563">
        <v>-57901.69</v>
      </c>
      <c r="G1631" s="561" t="s">
        <v>654</v>
      </c>
      <c r="H1631" s="564"/>
      <c r="I1631" s="563">
        <v>-54900.6015625</v>
      </c>
      <c r="J1631" s="563">
        <v>-3001.09008789063</v>
      </c>
      <c r="K1631" s="563">
        <v>-57901.69140625</v>
      </c>
      <c r="L1631" s="566">
        <v>-57901.69</v>
      </c>
    </row>
    <row r="1632" spans="1:12" ht="33.75" x14ac:dyDescent="0.2">
      <c r="A1632" s="561" t="s">
        <v>99</v>
      </c>
      <c r="B1632" s="562">
        <v>2021</v>
      </c>
      <c r="C1632" s="561" t="s">
        <v>718</v>
      </c>
      <c r="D1632" s="561" t="s">
        <v>1852</v>
      </c>
      <c r="E1632" s="561" t="s">
        <v>38</v>
      </c>
      <c r="F1632" s="563">
        <v>643291.46</v>
      </c>
      <c r="G1632" s="561" t="s">
        <v>654</v>
      </c>
      <c r="H1632" s="564"/>
      <c r="I1632" s="563">
        <v>702849.75</v>
      </c>
      <c r="J1632" s="563">
        <v>-59558.26171875</v>
      </c>
      <c r="K1632" s="563">
        <v>643291.4375</v>
      </c>
      <c r="L1632" s="566">
        <v>643291.46</v>
      </c>
    </row>
    <row r="1633" spans="1:12" ht="22.5" x14ac:dyDescent="0.2">
      <c r="A1633" s="561" t="s">
        <v>99</v>
      </c>
      <c r="B1633" s="562">
        <v>2021</v>
      </c>
      <c r="C1633" s="561" t="s">
        <v>720</v>
      </c>
      <c r="D1633" s="561" t="s">
        <v>1853</v>
      </c>
      <c r="E1633" s="561" t="s">
        <v>66</v>
      </c>
      <c r="F1633" s="563">
        <v>1073030.78</v>
      </c>
      <c r="G1633" s="561" t="s">
        <v>654</v>
      </c>
      <c r="H1633" s="564"/>
      <c r="I1633" s="563">
        <v>973739.0625</v>
      </c>
      <c r="J1633" s="563">
        <v>99291.7421875</v>
      </c>
      <c r="K1633" s="563">
        <v>1073030.75</v>
      </c>
      <c r="L1633" s="566">
        <v>1073030.78</v>
      </c>
    </row>
    <row r="1634" spans="1:12" ht="45" x14ac:dyDescent="0.2">
      <c r="A1634" s="561" t="s">
        <v>99</v>
      </c>
      <c r="B1634" s="562">
        <v>2021</v>
      </c>
      <c r="C1634" s="561" t="s">
        <v>722</v>
      </c>
      <c r="D1634" s="561" t="s">
        <v>1854</v>
      </c>
      <c r="E1634" s="561" t="s">
        <v>724</v>
      </c>
      <c r="F1634" s="563">
        <v>-554594.29</v>
      </c>
      <c r="G1634" s="564"/>
      <c r="H1634" s="561" t="s">
        <v>654</v>
      </c>
      <c r="I1634" s="565"/>
      <c r="J1634" s="565"/>
      <c r="K1634" s="563">
        <v>0</v>
      </c>
      <c r="L1634" s="566">
        <v>-554594.29</v>
      </c>
    </row>
    <row r="1635" spans="1:12" ht="45" x14ac:dyDescent="0.2">
      <c r="A1635" s="561" t="s">
        <v>99</v>
      </c>
      <c r="B1635" s="562">
        <v>2021</v>
      </c>
      <c r="C1635" s="561" t="s">
        <v>725</v>
      </c>
      <c r="D1635" s="561" t="s">
        <v>1855</v>
      </c>
      <c r="E1635" s="561" t="s">
        <v>3024</v>
      </c>
      <c r="F1635" s="563">
        <v>0</v>
      </c>
      <c r="G1635" s="561" t="s">
        <v>654</v>
      </c>
      <c r="H1635" s="564"/>
      <c r="I1635" s="563">
        <v>78624.8125</v>
      </c>
      <c r="J1635" s="563">
        <v>-31286.400390625</v>
      </c>
      <c r="K1635" s="563">
        <v>47338.41015625</v>
      </c>
      <c r="L1635" s="566">
        <v>47338.41</v>
      </c>
    </row>
    <row r="1636" spans="1:12" ht="45" x14ac:dyDescent="0.2">
      <c r="A1636" s="561" t="s">
        <v>99</v>
      </c>
      <c r="B1636" s="562">
        <v>2021</v>
      </c>
      <c r="C1636" s="561" t="s">
        <v>725</v>
      </c>
      <c r="D1636" s="561" t="s">
        <v>1855</v>
      </c>
      <c r="E1636" s="561" t="s">
        <v>3066</v>
      </c>
      <c r="F1636" s="563">
        <v>0</v>
      </c>
      <c r="G1636" s="561" t="s">
        <v>654</v>
      </c>
      <c r="H1636" s="564"/>
      <c r="I1636" s="563">
        <v>-89584.3515625</v>
      </c>
      <c r="J1636" s="563">
        <v>2106.9599609375</v>
      </c>
      <c r="K1636" s="563">
        <v>-87477.390625</v>
      </c>
      <c r="L1636" s="566">
        <v>-87477.39</v>
      </c>
    </row>
    <row r="1637" spans="1:12" ht="45" x14ac:dyDescent="0.2">
      <c r="A1637" s="561" t="s">
        <v>99</v>
      </c>
      <c r="B1637" s="562">
        <v>2021</v>
      </c>
      <c r="C1637" s="561" t="s">
        <v>725</v>
      </c>
      <c r="D1637" s="561" t="s">
        <v>1856</v>
      </c>
      <c r="E1637" s="561" t="s">
        <v>728</v>
      </c>
      <c r="F1637" s="563">
        <v>0</v>
      </c>
      <c r="G1637" s="561" t="s">
        <v>654</v>
      </c>
      <c r="H1637" s="564"/>
      <c r="I1637" s="565"/>
      <c r="J1637" s="565"/>
      <c r="K1637" s="563">
        <v>0</v>
      </c>
      <c r="L1637" s="566">
        <v>0</v>
      </c>
    </row>
    <row r="1638" spans="1:12" ht="45" x14ac:dyDescent="0.2">
      <c r="A1638" s="561" t="s">
        <v>99</v>
      </c>
      <c r="B1638" s="562">
        <v>2021</v>
      </c>
      <c r="C1638" s="561" t="s">
        <v>725</v>
      </c>
      <c r="D1638" s="561" t="s">
        <v>1857</v>
      </c>
      <c r="E1638" s="561" t="s">
        <v>55</v>
      </c>
      <c r="F1638" s="563">
        <v>0</v>
      </c>
      <c r="G1638" s="561" t="s">
        <v>654</v>
      </c>
      <c r="H1638" s="564"/>
      <c r="I1638" s="565"/>
      <c r="J1638" s="565"/>
      <c r="K1638" s="563">
        <v>0</v>
      </c>
      <c r="L1638" s="566">
        <v>0</v>
      </c>
    </row>
    <row r="1639" spans="1:12" ht="45" x14ac:dyDescent="0.2">
      <c r="A1639" s="561" t="s">
        <v>99</v>
      </c>
      <c r="B1639" s="562">
        <v>2021</v>
      </c>
      <c r="C1639" s="561" t="s">
        <v>725</v>
      </c>
      <c r="D1639" s="561" t="s">
        <v>1858</v>
      </c>
      <c r="E1639" s="561" t="s">
        <v>56</v>
      </c>
      <c r="F1639" s="563">
        <v>0</v>
      </c>
      <c r="G1639" s="561" t="s">
        <v>654</v>
      </c>
      <c r="H1639" s="564"/>
      <c r="I1639" s="565"/>
      <c r="J1639" s="565"/>
      <c r="K1639" s="563">
        <v>0</v>
      </c>
      <c r="L1639" s="566">
        <v>0</v>
      </c>
    </row>
    <row r="1640" spans="1:12" ht="45" x14ac:dyDescent="0.2">
      <c r="A1640" s="561" t="s">
        <v>99</v>
      </c>
      <c r="B1640" s="562">
        <v>2021</v>
      </c>
      <c r="C1640" s="561" t="s">
        <v>725</v>
      </c>
      <c r="D1640" s="561" t="s">
        <v>1859</v>
      </c>
      <c r="E1640" s="561" t="s">
        <v>732</v>
      </c>
      <c r="F1640" s="563">
        <v>0</v>
      </c>
      <c r="G1640" s="561" t="s">
        <v>654</v>
      </c>
      <c r="H1640" s="564"/>
      <c r="I1640" s="565"/>
      <c r="J1640" s="565"/>
      <c r="K1640" s="563">
        <v>0</v>
      </c>
      <c r="L1640" s="566">
        <v>0</v>
      </c>
    </row>
    <row r="1641" spans="1:12" ht="45" x14ac:dyDescent="0.2">
      <c r="A1641" s="561" t="s">
        <v>99</v>
      </c>
      <c r="B1641" s="562">
        <v>2021</v>
      </c>
      <c r="C1641" s="561" t="s">
        <v>725</v>
      </c>
      <c r="D1641" s="561" t="s">
        <v>1860</v>
      </c>
      <c r="E1641" s="561" t="s">
        <v>734</v>
      </c>
      <c r="F1641" s="563">
        <v>0</v>
      </c>
      <c r="G1641" s="561" t="s">
        <v>654</v>
      </c>
      <c r="H1641" s="564"/>
      <c r="I1641" s="565"/>
      <c r="J1641" s="565"/>
      <c r="K1641" s="563">
        <v>0</v>
      </c>
      <c r="L1641" s="566">
        <v>0</v>
      </c>
    </row>
    <row r="1642" spans="1:12" ht="45" x14ac:dyDescent="0.2">
      <c r="A1642" s="561" t="s">
        <v>99</v>
      </c>
      <c r="B1642" s="562">
        <v>2021</v>
      </c>
      <c r="C1642" s="561" t="s">
        <v>725</v>
      </c>
      <c r="D1642" s="561" t="s">
        <v>1861</v>
      </c>
      <c r="E1642" s="561" t="s">
        <v>142</v>
      </c>
      <c r="F1642" s="563">
        <v>0</v>
      </c>
      <c r="G1642" s="561" t="s">
        <v>654</v>
      </c>
      <c r="H1642" s="564"/>
      <c r="I1642" s="565"/>
      <c r="J1642" s="565"/>
      <c r="K1642" s="563">
        <v>0</v>
      </c>
      <c r="L1642" s="566">
        <v>0</v>
      </c>
    </row>
    <row r="1643" spans="1:12" ht="45" x14ac:dyDescent="0.2">
      <c r="A1643" s="561" t="s">
        <v>99</v>
      </c>
      <c r="B1643" s="562">
        <v>2021</v>
      </c>
      <c r="C1643" s="561" t="s">
        <v>725</v>
      </c>
      <c r="D1643" s="561" t="s">
        <v>1862</v>
      </c>
      <c r="E1643" s="561" t="s">
        <v>143</v>
      </c>
      <c r="F1643" s="563">
        <v>0</v>
      </c>
      <c r="G1643" s="561" t="s">
        <v>654</v>
      </c>
      <c r="H1643" s="564"/>
      <c r="I1643" s="565"/>
      <c r="J1643" s="565"/>
      <c r="K1643" s="563">
        <v>0</v>
      </c>
      <c r="L1643" s="566">
        <v>0</v>
      </c>
    </row>
    <row r="1644" spans="1:12" ht="45" x14ac:dyDescent="0.2">
      <c r="A1644" s="561" t="s">
        <v>99</v>
      </c>
      <c r="B1644" s="562">
        <v>2021</v>
      </c>
      <c r="C1644" s="561" t="s">
        <v>725</v>
      </c>
      <c r="D1644" s="561" t="s">
        <v>1863</v>
      </c>
      <c r="E1644" s="561" t="s">
        <v>182</v>
      </c>
      <c r="F1644" s="563">
        <v>0</v>
      </c>
      <c r="G1644" s="561" t="s">
        <v>654</v>
      </c>
      <c r="H1644" s="564"/>
      <c r="I1644" s="565"/>
      <c r="J1644" s="565"/>
      <c r="K1644" s="563">
        <v>0</v>
      </c>
      <c r="L1644" s="566">
        <v>0</v>
      </c>
    </row>
    <row r="1645" spans="1:12" ht="45" x14ac:dyDescent="0.2">
      <c r="A1645" s="561" t="s">
        <v>99</v>
      </c>
      <c r="B1645" s="562">
        <v>2021</v>
      </c>
      <c r="C1645" s="561" t="s">
        <v>725</v>
      </c>
      <c r="D1645" s="561" t="s">
        <v>1864</v>
      </c>
      <c r="E1645" s="561" t="s">
        <v>394</v>
      </c>
      <c r="F1645" s="563">
        <v>0</v>
      </c>
      <c r="G1645" s="561" t="s">
        <v>654</v>
      </c>
      <c r="H1645" s="564"/>
      <c r="I1645" s="565"/>
      <c r="J1645" s="565"/>
      <c r="K1645" s="563">
        <v>0</v>
      </c>
      <c r="L1645" s="566">
        <v>0</v>
      </c>
    </row>
    <row r="1646" spans="1:12" ht="45" x14ac:dyDescent="0.2">
      <c r="A1646" s="561" t="s">
        <v>99</v>
      </c>
      <c r="B1646" s="562">
        <v>2021</v>
      </c>
      <c r="C1646" s="561" t="s">
        <v>725</v>
      </c>
      <c r="D1646" s="561" t="s">
        <v>1865</v>
      </c>
      <c r="E1646" s="561" t="s">
        <v>425</v>
      </c>
      <c r="F1646" s="563">
        <v>0</v>
      </c>
      <c r="G1646" s="561" t="s">
        <v>654</v>
      </c>
      <c r="H1646" s="564"/>
      <c r="I1646" s="565"/>
      <c r="J1646" s="565"/>
      <c r="K1646" s="563">
        <v>0</v>
      </c>
      <c r="L1646" s="566">
        <v>0</v>
      </c>
    </row>
    <row r="1647" spans="1:12" ht="45" x14ac:dyDescent="0.2">
      <c r="A1647" s="561" t="s">
        <v>99</v>
      </c>
      <c r="B1647" s="562">
        <v>2021</v>
      </c>
      <c r="C1647" s="561" t="s">
        <v>725</v>
      </c>
      <c r="D1647" s="561" t="s">
        <v>3275</v>
      </c>
      <c r="E1647" s="561" t="s">
        <v>443</v>
      </c>
      <c r="F1647" s="563">
        <v>0</v>
      </c>
      <c r="G1647" s="561" t="s">
        <v>654</v>
      </c>
      <c r="H1647" s="564"/>
      <c r="I1647" s="563">
        <v>844227.625</v>
      </c>
      <c r="J1647" s="563">
        <v>-31109.970703125</v>
      </c>
      <c r="K1647" s="563">
        <v>813117.625</v>
      </c>
      <c r="L1647" s="566">
        <v>813117.65</v>
      </c>
    </row>
    <row r="1648" spans="1:12" ht="45" x14ac:dyDescent="0.2">
      <c r="A1648" s="561" t="s">
        <v>99</v>
      </c>
      <c r="B1648" s="562">
        <v>2021</v>
      </c>
      <c r="C1648" s="561" t="s">
        <v>725</v>
      </c>
      <c r="D1648" s="561" t="s">
        <v>1866</v>
      </c>
      <c r="E1648" s="561" t="s">
        <v>741</v>
      </c>
      <c r="F1648" s="563">
        <v>772978.67</v>
      </c>
      <c r="G1648" s="564"/>
      <c r="H1648" s="564"/>
      <c r="I1648" s="565"/>
      <c r="J1648" s="565"/>
      <c r="K1648" s="563">
        <v>0</v>
      </c>
      <c r="L1648" s="566">
        <v>772978.67</v>
      </c>
    </row>
    <row r="1649" spans="1:12" ht="22.5" x14ac:dyDescent="0.2">
      <c r="A1649" s="561" t="s">
        <v>99</v>
      </c>
      <c r="B1649" s="562">
        <v>2021</v>
      </c>
      <c r="C1649" s="561" t="s">
        <v>742</v>
      </c>
      <c r="D1649" s="561" t="s">
        <v>1867</v>
      </c>
      <c r="E1649" s="561" t="s">
        <v>7</v>
      </c>
      <c r="F1649" s="563">
        <v>0</v>
      </c>
      <c r="G1649" s="564"/>
      <c r="H1649" s="561" t="s">
        <v>654</v>
      </c>
      <c r="I1649" s="565"/>
      <c r="J1649" s="565"/>
      <c r="K1649" s="563">
        <v>0</v>
      </c>
      <c r="L1649" s="566">
        <v>0</v>
      </c>
    </row>
    <row r="1650" spans="1:12" ht="22.5" x14ac:dyDescent="0.2">
      <c r="A1650" s="561" t="s">
        <v>100</v>
      </c>
      <c r="B1650" s="562">
        <v>2021</v>
      </c>
      <c r="C1650" s="561" t="s">
        <v>651</v>
      </c>
      <c r="D1650" s="561" t="s">
        <v>1868</v>
      </c>
      <c r="E1650" s="561" t="s">
        <v>653</v>
      </c>
      <c r="F1650" s="563">
        <v>-49731.98</v>
      </c>
      <c r="G1650" s="564"/>
      <c r="H1650" s="561" t="s">
        <v>654</v>
      </c>
      <c r="I1650" s="565"/>
      <c r="J1650" s="565"/>
      <c r="K1650" s="563">
        <v>0</v>
      </c>
      <c r="L1650" s="566">
        <v>-49731.98</v>
      </c>
    </row>
    <row r="1651" spans="1:12" ht="15" x14ac:dyDescent="0.2">
      <c r="A1651" s="561" t="s">
        <v>100</v>
      </c>
      <c r="B1651" s="562">
        <v>2021</v>
      </c>
      <c r="C1651" s="561" t="s">
        <v>655</v>
      </c>
      <c r="D1651" s="561" t="s">
        <v>1869</v>
      </c>
      <c r="E1651" s="561" t="s">
        <v>657</v>
      </c>
      <c r="F1651" s="563">
        <v>14127.76</v>
      </c>
      <c r="G1651" s="564"/>
      <c r="H1651" s="561" t="s">
        <v>654</v>
      </c>
      <c r="I1651" s="565"/>
      <c r="J1651" s="565"/>
      <c r="K1651" s="563">
        <v>0</v>
      </c>
      <c r="L1651" s="566">
        <v>14127.76</v>
      </c>
    </row>
    <row r="1652" spans="1:12" ht="56.25" x14ac:dyDescent="0.2">
      <c r="A1652" s="561" t="s">
        <v>100</v>
      </c>
      <c r="B1652" s="562">
        <v>2021</v>
      </c>
      <c r="C1652" s="561" t="s">
        <v>658</v>
      </c>
      <c r="D1652" s="561" t="s">
        <v>1870</v>
      </c>
      <c r="E1652" s="561" t="s">
        <v>447</v>
      </c>
      <c r="F1652" s="563">
        <v>0</v>
      </c>
      <c r="G1652" s="564"/>
      <c r="H1652" s="561" t="s">
        <v>654</v>
      </c>
      <c r="I1652" s="565"/>
      <c r="J1652" s="565"/>
      <c r="K1652" s="563">
        <v>0</v>
      </c>
      <c r="L1652" s="566">
        <v>0</v>
      </c>
    </row>
    <row r="1653" spans="1:12" ht="22.5" x14ac:dyDescent="0.2">
      <c r="A1653" s="561" t="s">
        <v>100</v>
      </c>
      <c r="B1653" s="562">
        <v>2021</v>
      </c>
      <c r="C1653" s="561" t="s">
        <v>660</v>
      </c>
      <c r="D1653" s="561" t="s">
        <v>1871</v>
      </c>
      <c r="E1653" s="561" t="s">
        <v>662</v>
      </c>
      <c r="F1653" s="563">
        <v>0</v>
      </c>
      <c r="G1653" s="564"/>
      <c r="H1653" s="561" t="s">
        <v>654</v>
      </c>
      <c r="I1653" s="565"/>
      <c r="J1653" s="565"/>
      <c r="K1653" s="563">
        <v>0</v>
      </c>
      <c r="L1653" s="566">
        <v>0</v>
      </c>
    </row>
    <row r="1654" spans="1:12" ht="33.75" x14ac:dyDescent="0.2">
      <c r="A1654" s="561" t="s">
        <v>100</v>
      </c>
      <c r="B1654" s="562">
        <v>2021</v>
      </c>
      <c r="C1654" s="561" t="s">
        <v>663</v>
      </c>
      <c r="D1654" s="561" t="s">
        <v>1872</v>
      </c>
      <c r="E1654" s="561" t="s">
        <v>665</v>
      </c>
      <c r="F1654" s="563">
        <v>0</v>
      </c>
      <c r="G1654" s="564"/>
      <c r="H1654" s="561" t="s">
        <v>654</v>
      </c>
      <c r="I1654" s="565"/>
      <c r="J1654" s="565"/>
      <c r="K1654" s="563">
        <v>0</v>
      </c>
      <c r="L1654" s="566">
        <v>0</v>
      </c>
    </row>
    <row r="1655" spans="1:12" ht="33.75" x14ac:dyDescent="0.2">
      <c r="A1655" s="561" t="s">
        <v>100</v>
      </c>
      <c r="B1655" s="562">
        <v>2021</v>
      </c>
      <c r="C1655" s="561" t="s">
        <v>666</v>
      </c>
      <c r="D1655" s="561" t="s">
        <v>1873</v>
      </c>
      <c r="E1655" s="561" t="s">
        <v>668</v>
      </c>
      <c r="F1655" s="563">
        <v>0</v>
      </c>
      <c r="G1655" s="564"/>
      <c r="H1655" s="561" t="s">
        <v>654</v>
      </c>
      <c r="I1655" s="565"/>
      <c r="J1655" s="565"/>
      <c r="K1655" s="563">
        <v>0</v>
      </c>
      <c r="L1655" s="566">
        <v>0</v>
      </c>
    </row>
    <row r="1656" spans="1:12" ht="56.25" x14ac:dyDescent="0.2">
      <c r="A1656" s="561" t="s">
        <v>100</v>
      </c>
      <c r="B1656" s="562">
        <v>2021</v>
      </c>
      <c r="C1656" s="561" t="s">
        <v>669</v>
      </c>
      <c r="D1656" s="561" t="s">
        <v>1874</v>
      </c>
      <c r="E1656" s="561" t="s">
        <v>671</v>
      </c>
      <c r="F1656" s="563">
        <v>0</v>
      </c>
      <c r="G1656" s="564"/>
      <c r="H1656" s="561" t="s">
        <v>654</v>
      </c>
      <c r="I1656" s="565"/>
      <c r="J1656" s="565"/>
      <c r="K1656" s="563">
        <v>0</v>
      </c>
      <c r="L1656" s="566">
        <v>0</v>
      </c>
    </row>
    <row r="1657" spans="1:12" ht="22.5" x14ac:dyDescent="0.2">
      <c r="A1657" s="561" t="s">
        <v>100</v>
      </c>
      <c r="B1657" s="562">
        <v>2021</v>
      </c>
      <c r="C1657" s="561" t="s">
        <v>672</v>
      </c>
      <c r="D1657" s="561" t="s">
        <v>1875</v>
      </c>
      <c r="E1657" s="561" t="s">
        <v>12</v>
      </c>
      <c r="F1657" s="563">
        <v>0</v>
      </c>
      <c r="G1657" s="564"/>
      <c r="H1657" s="561" t="s">
        <v>654</v>
      </c>
      <c r="I1657" s="565"/>
      <c r="J1657" s="565"/>
      <c r="K1657" s="563">
        <v>0</v>
      </c>
      <c r="L1657" s="566">
        <v>0</v>
      </c>
    </row>
    <row r="1658" spans="1:12" ht="22.5" x14ac:dyDescent="0.2">
      <c r="A1658" s="561" t="s">
        <v>100</v>
      </c>
      <c r="B1658" s="562">
        <v>2021</v>
      </c>
      <c r="C1658" s="561" t="s">
        <v>674</v>
      </c>
      <c r="D1658" s="561" t="s">
        <v>1876</v>
      </c>
      <c r="E1658" s="561" t="s">
        <v>13</v>
      </c>
      <c r="F1658" s="563">
        <v>0</v>
      </c>
      <c r="G1658" s="564"/>
      <c r="H1658" s="561" t="s">
        <v>654</v>
      </c>
      <c r="I1658" s="565"/>
      <c r="J1658" s="565"/>
      <c r="K1658" s="563">
        <v>0</v>
      </c>
      <c r="L1658" s="566">
        <v>0</v>
      </c>
    </row>
    <row r="1659" spans="1:12" ht="33.75" x14ac:dyDescent="0.2">
      <c r="A1659" s="561" t="s">
        <v>100</v>
      </c>
      <c r="B1659" s="562">
        <v>2021</v>
      </c>
      <c r="C1659" s="561" t="s">
        <v>676</v>
      </c>
      <c r="D1659" s="561" t="s">
        <v>1877</v>
      </c>
      <c r="E1659" s="561" t="s">
        <v>15</v>
      </c>
      <c r="F1659" s="563">
        <v>0</v>
      </c>
      <c r="G1659" s="564"/>
      <c r="H1659" s="561" t="s">
        <v>654</v>
      </c>
      <c r="I1659" s="565"/>
      <c r="J1659" s="565"/>
      <c r="K1659" s="563">
        <v>0</v>
      </c>
      <c r="L1659" s="566">
        <v>0</v>
      </c>
    </row>
    <row r="1660" spans="1:12" ht="15" x14ac:dyDescent="0.2">
      <c r="A1660" s="561" t="s">
        <v>100</v>
      </c>
      <c r="B1660" s="562">
        <v>2021</v>
      </c>
      <c r="C1660" s="561" t="s">
        <v>678</v>
      </c>
      <c r="D1660" s="561" t="s">
        <v>1878</v>
      </c>
      <c r="E1660" s="561" t="s">
        <v>680</v>
      </c>
      <c r="F1660" s="563">
        <v>20136.34</v>
      </c>
      <c r="G1660" s="564"/>
      <c r="H1660" s="561" t="s">
        <v>654</v>
      </c>
      <c r="I1660" s="565"/>
      <c r="J1660" s="565"/>
      <c r="K1660" s="563">
        <v>0</v>
      </c>
      <c r="L1660" s="566">
        <v>20136.34</v>
      </c>
    </row>
    <row r="1661" spans="1:12" ht="15" x14ac:dyDescent="0.2">
      <c r="A1661" s="561" t="s">
        <v>100</v>
      </c>
      <c r="B1661" s="562">
        <v>2021</v>
      </c>
      <c r="C1661" s="561" t="s">
        <v>681</v>
      </c>
      <c r="D1661" s="561" t="s">
        <v>1879</v>
      </c>
      <c r="E1661" s="561" t="s">
        <v>23</v>
      </c>
      <c r="F1661" s="563">
        <v>2503210.4900000002</v>
      </c>
      <c r="G1661" s="561" t="s">
        <v>654</v>
      </c>
      <c r="H1661" s="564"/>
      <c r="I1661" s="563">
        <v>2423989.25</v>
      </c>
      <c r="J1661" s="563">
        <v>79221.171875</v>
      </c>
      <c r="K1661" s="563">
        <v>2503210.5</v>
      </c>
      <c r="L1661" s="566">
        <v>2503210.4900000002</v>
      </c>
    </row>
    <row r="1662" spans="1:12" ht="33.75" x14ac:dyDescent="0.2">
      <c r="A1662" s="561" t="s">
        <v>100</v>
      </c>
      <c r="B1662" s="562">
        <v>2021</v>
      </c>
      <c r="C1662" s="561" t="s">
        <v>683</v>
      </c>
      <c r="D1662" s="561" t="s">
        <v>1880</v>
      </c>
      <c r="E1662" s="561" t="s">
        <v>131</v>
      </c>
      <c r="F1662" s="563">
        <v>-13046.97</v>
      </c>
      <c r="G1662" s="561" t="s">
        <v>654</v>
      </c>
      <c r="H1662" s="564"/>
      <c r="I1662" s="563">
        <v>-12357.849609375</v>
      </c>
      <c r="J1662" s="563">
        <v>-689.11999511718795</v>
      </c>
      <c r="K1662" s="563">
        <v>-13046.9697265625</v>
      </c>
      <c r="L1662" s="566">
        <v>-13046.97</v>
      </c>
    </row>
    <row r="1663" spans="1:12" ht="33.75" x14ac:dyDescent="0.2">
      <c r="A1663" s="561" t="s">
        <v>100</v>
      </c>
      <c r="B1663" s="562">
        <v>2021</v>
      </c>
      <c r="C1663" s="561" t="s">
        <v>685</v>
      </c>
      <c r="D1663" s="561" t="s">
        <v>1881</v>
      </c>
      <c r="E1663" s="561" t="s">
        <v>687</v>
      </c>
      <c r="F1663" s="563">
        <v>0</v>
      </c>
      <c r="G1663" s="564"/>
      <c r="H1663" s="561" t="s">
        <v>654</v>
      </c>
      <c r="I1663" s="565"/>
      <c r="J1663" s="565"/>
      <c r="K1663" s="563">
        <v>0</v>
      </c>
      <c r="L1663" s="566">
        <v>0</v>
      </c>
    </row>
    <row r="1664" spans="1:12" ht="33.75" x14ac:dyDescent="0.2">
      <c r="A1664" s="561" t="s">
        <v>100</v>
      </c>
      <c r="B1664" s="562">
        <v>2021</v>
      </c>
      <c r="C1664" s="561" t="s">
        <v>685</v>
      </c>
      <c r="D1664" s="561" t="s">
        <v>1881</v>
      </c>
      <c r="E1664" s="561" t="s">
        <v>688</v>
      </c>
      <c r="F1664" s="563">
        <v>0</v>
      </c>
      <c r="G1664" s="564"/>
      <c r="H1664" s="561" t="s">
        <v>654</v>
      </c>
      <c r="I1664" s="565"/>
      <c r="J1664" s="565"/>
      <c r="K1664" s="563">
        <v>0</v>
      </c>
      <c r="L1664" s="566">
        <v>0</v>
      </c>
    </row>
    <row r="1665" spans="1:12" ht="22.5" x14ac:dyDescent="0.2">
      <c r="A1665" s="561" t="s">
        <v>100</v>
      </c>
      <c r="B1665" s="562">
        <v>2021</v>
      </c>
      <c r="C1665" s="561" t="s">
        <v>689</v>
      </c>
      <c r="D1665" s="561" t="s">
        <v>1882</v>
      </c>
      <c r="E1665" s="561" t="s">
        <v>691</v>
      </c>
      <c r="F1665" s="563">
        <v>0</v>
      </c>
      <c r="G1665" s="564"/>
      <c r="H1665" s="561" t="s">
        <v>654</v>
      </c>
      <c r="I1665" s="565"/>
      <c r="J1665" s="565"/>
      <c r="K1665" s="563">
        <v>0</v>
      </c>
      <c r="L1665" s="566">
        <v>0</v>
      </c>
    </row>
    <row r="1666" spans="1:12" ht="22.5" x14ac:dyDescent="0.2">
      <c r="A1666" s="561" t="s">
        <v>100</v>
      </c>
      <c r="B1666" s="562">
        <v>2021</v>
      </c>
      <c r="C1666" s="561" t="s">
        <v>692</v>
      </c>
      <c r="D1666" s="561" t="s">
        <v>1883</v>
      </c>
      <c r="E1666" s="561" t="s">
        <v>50</v>
      </c>
      <c r="F1666" s="563">
        <v>0</v>
      </c>
      <c r="G1666" s="564"/>
      <c r="H1666" s="561" t="s">
        <v>654</v>
      </c>
      <c r="I1666" s="565"/>
      <c r="J1666" s="565"/>
      <c r="K1666" s="563">
        <v>0</v>
      </c>
      <c r="L1666" s="566">
        <v>0</v>
      </c>
    </row>
    <row r="1667" spans="1:12" ht="22.5" x14ac:dyDescent="0.2">
      <c r="A1667" s="561" t="s">
        <v>100</v>
      </c>
      <c r="B1667" s="562">
        <v>2021</v>
      </c>
      <c r="C1667" s="561" t="s">
        <v>694</v>
      </c>
      <c r="D1667" s="561" t="s">
        <v>1884</v>
      </c>
      <c r="E1667" s="561" t="s">
        <v>696</v>
      </c>
      <c r="F1667" s="563">
        <v>0</v>
      </c>
      <c r="G1667" s="564"/>
      <c r="H1667" s="561" t="s">
        <v>654</v>
      </c>
      <c r="I1667" s="565"/>
      <c r="J1667" s="565"/>
      <c r="K1667" s="563">
        <v>0</v>
      </c>
      <c r="L1667" s="566">
        <v>0</v>
      </c>
    </row>
    <row r="1668" spans="1:12" ht="22.5" x14ac:dyDescent="0.2">
      <c r="A1668" s="561" t="s">
        <v>100</v>
      </c>
      <c r="B1668" s="562">
        <v>2021</v>
      </c>
      <c r="C1668" s="561" t="s">
        <v>697</v>
      </c>
      <c r="D1668" s="561" t="s">
        <v>1885</v>
      </c>
      <c r="E1668" s="561" t="s">
        <v>6</v>
      </c>
      <c r="F1668" s="563">
        <v>0</v>
      </c>
      <c r="G1668" s="564"/>
      <c r="H1668" s="561" t="s">
        <v>654</v>
      </c>
      <c r="I1668" s="565"/>
      <c r="J1668" s="565"/>
      <c r="K1668" s="563">
        <v>0</v>
      </c>
      <c r="L1668" s="566">
        <v>0</v>
      </c>
    </row>
    <row r="1669" spans="1:12" ht="33.75" x14ac:dyDescent="0.2">
      <c r="A1669" s="561" t="s">
        <v>100</v>
      </c>
      <c r="B1669" s="562">
        <v>2021</v>
      </c>
      <c r="C1669" s="561" t="s">
        <v>699</v>
      </c>
      <c r="D1669" s="561" t="s">
        <v>1886</v>
      </c>
      <c r="E1669" s="561" t="s">
        <v>701</v>
      </c>
      <c r="F1669" s="563">
        <v>0</v>
      </c>
      <c r="G1669" s="564"/>
      <c r="H1669" s="561" t="s">
        <v>654</v>
      </c>
      <c r="I1669" s="565"/>
      <c r="J1669" s="565"/>
      <c r="K1669" s="563">
        <v>0</v>
      </c>
      <c r="L1669" s="566">
        <v>0</v>
      </c>
    </row>
    <row r="1670" spans="1:12" ht="22.5" x14ac:dyDescent="0.2">
      <c r="A1670" s="561" t="s">
        <v>100</v>
      </c>
      <c r="B1670" s="562">
        <v>2021</v>
      </c>
      <c r="C1670" s="561" t="s">
        <v>702</v>
      </c>
      <c r="D1670" s="561" t="s">
        <v>1887</v>
      </c>
      <c r="E1670" s="561" t="s">
        <v>704</v>
      </c>
      <c r="F1670" s="563">
        <v>0</v>
      </c>
      <c r="G1670" s="564"/>
      <c r="H1670" s="561" t="s">
        <v>654</v>
      </c>
      <c r="I1670" s="565"/>
      <c r="J1670" s="565"/>
      <c r="K1670" s="563">
        <v>0</v>
      </c>
      <c r="L1670" s="566">
        <v>0</v>
      </c>
    </row>
    <row r="1671" spans="1:12" ht="33.75" x14ac:dyDescent="0.2">
      <c r="A1671" s="561" t="s">
        <v>100</v>
      </c>
      <c r="B1671" s="562">
        <v>2021</v>
      </c>
      <c r="C1671" s="561" t="s">
        <v>705</v>
      </c>
      <c r="D1671" s="561" t="s">
        <v>1888</v>
      </c>
      <c r="E1671" s="561" t="s">
        <v>1</v>
      </c>
      <c r="F1671" s="563">
        <v>-854211.54</v>
      </c>
      <c r="G1671" s="561" t="s">
        <v>654</v>
      </c>
      <c r="H1671" s="564"/>
      <c r="I1671" s="563">
        <v>-812930.8125</v>
      </c>
      <c r="J1671" s="563">
        <v>-41280.69921875</v>
      </c>
      <c r="K1671" s="563">
        <v>-854211.5625</v>
      </c>
      <c r="L1671" s="566">
        <v>-854211.54</v>
      </c>
    </row>
    <row r="1672" spans="1:12" ht="22.5" x14ac:dyDescent="0.2">
      <c r="A1672" s="561" t="s">
        <v>100</v>
      </c>
      <c r="B1672" s="562">
        <v>2021</v>
      </c>
      <c r="C1672" s="561" t="s">
        <v>705</v>
      </c>
      <c r="D1672" s="561" t="s">
        <v>1888</v>
      </c>
      <c r="E1672" s="561" t="s">
        <v>707</v>
      </c>
      <c r="F1672" s="563">
        <v>8.36</v>
      </c>
      <c r="G1672" s="564"/>
      <c r="H1672" s="564"/>
      <c r="I1672" s="565"/>
      <c r="J1672" s="565"/>
      <c r="K1672" s="563">
        <v>0</v>
      </c>
      <c r="L1672" s="566">
        <v>8.36</v>
      </c>
    </row>
    <row r="1673" spans="1:12" ht="22.5" x14ac:dyDescent="0.2">
      <c r="A1673" s="561" t="s">
        <v>100</v>
      </c>
      <c r="B1673" s="562">
        <v>2021</v>
      </c>
      <c r="C1673" s="561" t="s">
        <v>705</v>
      </c>
      <c r="D1673" s="561" t="s">
        <v>1888</v>
      </c>
      <c r="E1673" s="561" t="s">
        <v>708</v>
      </c>
      <c r="F1673" s="563">
        <v>0.1</v>
      </c>
      <c r="G1673" s="564"/>
      <c r="H1673" s="564"/>
      <c r="I1673" s="565"/>
      <c r="J1673" s="565"/>
      <c r="K1673" s="563">
        <v>0</v>
      </c>
      <c r="L1673" s="566">
        <v>0.1</v>
      </c>
    </row>
    <row r="1674" spans="1:12" ht="22.5" x14ac:dyDescent="0.2">
      <c r="A1674" s="561" t="s">
        <v>100</v>
      </c>
      <c r="B1674" s="562">
        <v>2021</v>
      </c>
      <c r="C1674" s="561" t="s">
        <v>705</v>
      </c>
      <c r="D1674" s="561" t="s">
        <v>1888</v>
      </c>
      <c r="E1674" s="561" t="s">
        <v>709</v>
      </c>
      <c r="F1674" s="563">
        <v>5832.49</v>
      </c>
      <c r="G1674" s="564"/>
      <c r="H1674" s="564"/>
      <c r="I1674" s="565"/>
      <c r="J1674" s="565"/>
      <c r="K1674" s="563">
        <v>0</v>
      </c>
      <c r="L1674" s="566">
        <v>5832.49</v>
      </c>
    </row>
    <row r="1675" spans="1:12" ht="22.5" x14ac:dyDescent="0.2">
      <c r="A1675" s="561" t="s">
        <v>100</v>
      </c>
      <c r="B1675" s="562">
        <v>2021</v>
      </c>
      <c r="C1675" s="561" t="s">
        <v>705</v>
      </c>
      <c r="D1675" s="561" t="s">
        <v>1888</v>
      </c>
      <c r="E1675" s="561" t="s">
        <v>710</v>
      </c>
      <c r="F1675" s="563">
        <v>53914.29</v>
      </c>
      <c r="G1675" s="564"/>
      <c r="H1675" s="564"/>
      <c r="I1675" s="565"/>
      <c r="J1675" s="565"/>
      <c r="K1675" s="563">
        <v>0</v>
      </c>
      <c r="L1675" s="566">
        <v>53914.29</v>
      </c>
    </row>
    <row r="1676" spans="1:12" ht="15" x14ac:dyDescent="0.2">
      <c r="A1676" s="561" t="s">
        <v>100</v>
      </c>
      <c r="B1676" s="562">
        <v>2021</v>
      </c>
      <c r="C1676" s="561" t="s">
        <v>711</v>
      </c>
      <c r="D1676" s="561" t="s">
        <v>1889</v>
      </c>
      <c r="E1676" s="561" t="s">
        <v>713</v>
      </c>
      <c r="F1676" s="563">
        <v>0</v>
      </c>
      <c r="G1676" s="564"/>
      <c r="H1676" s="561" t="s">
        <v>654</v>
      </c>
      <c r="I1676" s="565"/>
      <c r="J1676" s="565"/>
      <c r="K1676" s="563">
        <v>0</v>
      </c>
      <c r="L1676" s="566">
        <v>0</v>
      </c>
    </row>
    <row r="1677" spans="1:12" ht="33.75" x14ac:dyDescent="0.2">
      <c r="A1677" s="561" t="s">
        <v>100</v>
      </c>
      <c r="B1677" s="562">
        <v>2021</v>
      </c>
      <c r="C1677" s="561" t="s">
        <v>714</v>
      </c>
      <c r="D1677" s="561" t="s">
        <v>1890</v>
      </c>
      <c r="E1677" s="561" t="s">
        <v>2</v>
      </c>
      <c r="F1677" s="563">
        <v>212923.42</v>
      </c>
      <c r="G1677" s="561" t="s">
        <v>654</v>
      </c>
      <c r="H1677" s="564"/>
      <c r="I1677" s="563">
        <v>209079.453125</v>
      </c>
      <c r="J1677" s="563">
        <v>3843.96997070313</v>
      </c>
      <c r="K1677" s="563">
        <v>212923.421875</v>
      </c>
      <c r="L1677" s="566">
        <v>212923.42</v>
      </c>
    </row>
    <row r="1678" spans="1:12" ht="33.75" x14ac:dyDescent="0.2">
      <c r="A1678" s="561" t="s">
        <v>100</v>
      </c>
      <c r="B1678" s="562">
        <v>2021</v>
      </c>
      <c r="C1678" s="561" t="s">
        <v>716</v>
      </c>
      <c r="D1678" s="561" t="s">
        <v>1891</v>
      </c>
      <c r="E1678" s="561" t="s">
        <v>3</v>
      </c>
      <c r="F1678" s="563">
        <v>265216.39</v>
      </c>
      <c r="G1678" s="561" t="s">
        <v>654</v>
      </c>
      <c r="H1678" s="564"/>
      <c r="I1678" s="563">
        <v>256535.015625</v>
      </c>
      <c r="J1678" s="563">
        <v>8681.3798828125</v>
      </c>
      <c r="K1678" s="563">
        <v>265216.375</v>
      </c>
      <c r="L1678" s="566">
        <v>265216.39</v>
      </c>
    </row>
    <row r="1679" spans="1:12" ht="33.75" x14ac:dyDescent="0.2">
      <c r="A1679" s="561" t="s">
        <v>100</v>
      </c>
      <c r="B1679" s="562">
        <v>2021</v>
      </c>
      <c r="C1679" s="561" t="s">
        <v>718</v>
      </c>
      <c r="D1679" s="561" t="s">
        <v>1892</v>
      </c>
      <c r="E1679" s="561" t="s">
        <v>38</v>
      </c>
      <c r="F1679" s="563">
        <v>-87319.75</v>
      </c>
      <c r="G1679" s="561" t="s">
        <v>654</v>
      </c>
      <c r="H1679" s="564"/>
      <c r="I1679" s="563">
        <v>-84188.2734375</v>
      </c>
      <c r="J1679" s="563">
        <v>-3131.47998046875</v>
      </c>
      <c r="K1679" s="563">
        <v>-87319.75</v>
      </c>
      <c r="L1679" s="566">
        <v>-87319.75</v>
      </c>
    </row>
    <row r="1680" spans="1:12" ht="22.5" x14ac:dyDescent="0.2">
      <c r="A1680" s="561" t="s">
        <v>100</v>
      </c>
      <c r="B1680" s="562">
        <v>2021</v>
      </c>
      <c r="C1680" s="561" t="s">
        <v>720</v>
      </c>
      <c r="D1680" s="561" t="s">
        <v>1893</v>
      </c>
      <c r="E1680" s="561" t="s">
        <v>66</v>
      </c>
      <c r="F1680" s="563">
        <v>-1076656.8899999999</v>
      </c>
      <c r="G1680" s="561" t="s">
        <v>654</v>
      </c>
      <c r="H1680" s="564"/>
      <c r="I1680" s="563">
        <v>-1028739.4375</v>
      </c>
      <c r="J1680" s="563">
        <v>-47917.4296875</v>
      </c>
      <c r="K1680" s="563">
        <v>-1076656.875</v>
      </c>
      <c r="L1680" s="566">
        <v>-1076656.8899999999</v>
      </c>
    </row>
    <row r="1681" spans="1:12" ht="45" x14ac:dyDescent="0.2">
      <c r="A1681" s="561" t="s">
        <v>100</v>
      </c>
      <c r="B1681" s="562">
        <v>2021</v>
      </c>
      <c r="C1681" s="561" t="s">
        <v>722</v>
      </c>
      <c r="D1681" s="561" t="s">
        <v>1894</v>
      </c>
      <c r="E1681" s="561" t="s">
        <v>724</v>
      </c>
      <c r="F1681" s="563">
        <v>-68163.520000000004</v>
      </c>
      <c r="G1681" s="564"/>
      <c r="H1681" s="561" t="s">
        <v>654</v>
      </c>
      <c r="I1681" s="565"/>
      <c r="J1681" s="565"/>
      <c r="K1681" s="563">
        <v>0</v>
      </c>
      <c r="L1681" s="566">
        <v>-68163.520000000004</v>
      </c>
    </row>
    <row r="1682" spans="1:12" ht="45" x14ac:dyDescent="0.2">
      <c r="A1682" s="561" t="s">
        <v>100</v>
      </c>
      <c r="B1682" s="562">
        <v>2021</v>
      </c>
      <c r="C1682" s="561" t="s">
        <v>725</v>
      </c>
      <c r="D1682" s="561" t="s">
        <v>1895</v>
      </c>
      <c r="E1682" s="561" t="s">
        <v>3024</v>
      </c>
      <c r="F1682" s="563">
        <v>0</v>
      </c>
      <c r="G1682" s="561" t="s">
        <v>654</v>
      </c>
      <c r="H1682" s="564"/>
      <c r="I1682" s="565"/>
      <c r="J1682" s="565"/>
      <c r="K1682" s="563">
        <v>0</v>
      </c>
      <c r="L1682" s="566">
        <v>0</v>
      </c>
    </row>
    <row r="1683" spans="1:12" ht="45" x14ac:dyDescent="0.2">
      <c r="A1683" s="561" t="s">
        <v>100</v>
      </c>
      <c r="B1683" s="562">
        <v>2021</v>
      </c>
      <c r="C1683" s="561" t="s">
        <v>725</v>
      </c>
      <c r="D1683" s="561" t="s">
        <v>1895</v>
      </c>
      <c r="E1683" s="561" t="s">
        <v>3066</v>
      </c>
      <c r="F1683" s="563">
        <v>0</v>
      </c>
      <c r="G1683" s="561" t="s">
        <v>654</v>
      </c>
      <c r="H1683" s="564"/>
      <c r="I1683" s="565"/>
      <c r="J1683" s="565"/>
      <c r="K1683" s="563">
        <v>0</v>
      </c>
      <c r="L1683" s="566">
        <v>0</v>
      </c>
    </row>
    <row r="1684" spans="1:12" ht="45" x14ac:dyDescent="0.2">
      <c r="A1684" s="561" t="s">
        <v>100</v>
      </c>
      <c r="B1684" s="562">
        <v>2021</v>
      </c>
      <c r="C1684" s="561" t="s">
        <v>725</v>
      </c>
      <c r="D1684" s="561" t="s">
        <v>1896</v>
      </c>
      <c r="E1684" s="561" t="s">
        <v>728</v>
      </c>
      <c r="F1684" s="563">
        <v>0</v>
      </c>
      <c r="G1684" s="561" t="s">
        <v>654</v>
      </c>
      <c r="H1684" s="564"/>
      <c r="I1684" s="565"/>
      <c r="J1684" s="565"/>
      <c r="K1684" s="563">
        <v>0</v>
      </c>
      <c r="L1684" s="566">
        <v>0</v>
      </c>
    </row>
    <row r="1685" spans="1:12" ht="45" x14ac:dyDescent="0.2">
      <c r="A1685" s="561" t="s">
        <v>100</v>
      </c>
      <c r="B1685" s="562">
        <v>2021</v>
      </c>
      <c r="C1685" s="561" t="s">
        <v>725</v>
      </c>
      <c r="D1685" s="561" t="s">
        <v>1897</v>
      </c>
      <c r="E1685" s="561" t="s">
        <v>55</v>
      </c>
      <c r="F1685" s="563">
        <v>0</v>
      </c>
      <c r="G1685" s="561" t="s">
        <v>654</v>
      </c>
      <c r="H1685" s="564"/>
      <c r="I1685" s="565"/>
      <c r="J1685" s="565"/>
      <c r="K1685" s="563">
        <v>0</v>
      </c>
      <c r="L1685" s="566">
        <v>0</v>
      </c>
    </row>
    <row r="1686" spans="1:12" ht="45" x14ac:dyDescent="0.2">
      <c r="A1686" s="561" t="s">
        <v>100</v>
      </c>
      <c r="B1686" s="562">
        <v>2021</v>
      </c>
      <c r="C1686" s="561" t="s">
        <v>725</v>
      </c>
      <c r="D1686" s="561" t="s">
        <v>1898</v>
      </c>
      <c r="E1686" s="561" t="s">
        <v>56</v>
      </c>
      <c r="F1686" s="563">
        <v>0</v>
      </c>
      <c r="G1686" s="561" t="s">
        <v>654</v>
      </c>
      <c r="H1686" s="564"/>
      <c r="I1686" s="565"/>
      <c r="J1686" s="565"/>
      <c r="K1686" s="563">
        <v>0</v>
      </c>
      <c r="L1686" s="566">
        <v>0</v>
      </c>
    </row>
    <row r="1687" spans="1:12" ht="45" x14ac:dyDescent="0.2">
      <c r="A1687" s="561" t="s">
        <v>100</v>
      </c>
      <c r="B1687" s="562">
        <v>2021</v>
      </c>
      <c r="C1687" s="561" t="s">
        <v>725</v>
      </c>
      <c r="D1687" s="561" t="s">
        <v>1899</v>
      </c>
      <c r="E1687" s="561" t="s">
        <v>732</v>
      </c>
      <c r="F1687" s="563">
        <v>0</v>
      </c>
      <c r="G1687" s="561" t="s">
        <v>654</v>
      </c>
      <c r="H1687" s="564"/>
      <c r="I1687" s="565"/>
      <c r="J1687" s="565"/>
      <c r="K1687" s="563">
        <v>0</v>
      </c>
      <c r="L1687" s="566">
        <v>0</v>
      </c>
    </row>
    <row r="1688" spans="1:12" ht="45" x14ac:dyDescent="0.2">
      <c r="A1688" s="561" t="s">
        <v>100</v>
      </c>
      <c r="B1688" s="562">
        <v>2021</v>
      </c>
      <c r="C1688" s="561" t="s">
        <v>725</v>
      </c>
      <c r="D1688" s="561" t="s">
        <v>1900</v>
      </c>
      <c r="E1688" s="561" t="s">
        <v>734</v>
      </c>
      <c r="F1688" s="563">
        <v>0</v>
      </c>
      <c r="G1688" s="561" t="s">
        <v>654</v>
      </c>
      <c r="H1688" s="564"/>
      <c r="I1688" s="563">
        <v>170827.09375</v>
      </c>
      <c r="J1688" s="563">
        <v>-69100.2890625</v>
      </c>
      <c r="K1688" s="563">
        <v>101726.8125</v>
      </c>
      <c r="L1688" s="566">
        <v>101726.81</v>
      </c>
    </row>
    <row r="1689" spans="1:12" ht="45" x14ac:dyDescent="0.2">
      <c r="A1689" s="561" t="s">
        <v>100</v>
      </c>
      <c r="B1689" s="562">
        <v>2021</v>
      </c>
      <c r="C1689" s="561" t="s">
        <v>725</v>
      </c>
      <c r="D1689" s="561" t="s">
        <v>1901</v>
      </c>
      <c r="E1689" s="561" t="s">
        <v>142</v>
      </c>
      <c r="F1689" s="563">
        <v>0</v>
      </c>
      <c r="G1689" s="561" t="s">
        <v>654</v>
      </c>
      <c r="H1689" s="564"/>
      <c r="I1689" s="565"/>
      <c r="J1689" s="565"/>
      <c r="K1689" s="563">
        <v>0</v>
      </c>
      <c r="L1689" s="566">
        <v>0</v>
      </c>
    </row>
    <row r="1690" spans="1:12" ht="45" x14ac:dyDescent="0.2">
      <c r="A1690" s="561" t="s">
        <v>100</v>
      </c>
      <c r="B1690" s="562">
        <v>2021</v>
      </c>
      <c r="C1690" s="561" t="s">
        <v>725</v>
      </c>
      <c r="D1690" s="561" t="s">
        <v>1902</v>
      </c>
      <c r="E1690" s="561" t="s">
        <v>143</v>
      </c>
      <c r="F1690" s="563">
        <v>0</v>
      </c>
      <c r="G1690" s="561" t="s">
        <v>654</v>
      </c>
      <c r="H1690" s="564"/>
      <c r="I1690" s="565"/>
      <c r="J1690" s="565"/>
      <c r="K1690" s="563">
        <v>0</v>
      </c>
      <c r="L1690" s="566">
        <v>0</v>
      </c>
    </row>
    <row r="1691" spans="1:12" ht="45" x14ac:dyDescent="0.2">
      <c r="A1691" s="561" t="s">
        <v>100</v>
      </c>
      <c r="B1691" s="562">
        <v>2021</v>
      </c>
      <c r="C1691" s="561" t="s">
        <v>725</v>
      </c>
      <c r="D1691" s="561" t="s">
        <v>1903</v>
      </c>
      <c r="E1691" s="561" t="s">
        <v>182</v>
      </c>
      <c r="F1691" s="563">
        <v>0</v>
      </c>
      <c r="G1691" s="561" t="s">
        <v>654</v>
      </c>
      <c r="H1691" s="564"/>
      <c r="I1691" s="563">
        <v>-1477802.125</v>
      </c>
      <c r="J1691" s="563">
        <v>1425445.625</v>
      </c>
      <c r="K1691" s="563">
        <v>-52356.51171875</v>
      </c>
      <c r="L1691" s="566">
        <v>-52356.51</v>
      </c>
    </row>
    <row r="1692" spans="1:12" ht="45" x14ac:dyDescent="0.2">
      <c r="A1692" s="561" t="s">
        <v>100</v>
      </c>
      <c r="B1692" s="562">
        <v>2021</v>
      </c>
      <c r="C1692" s="561" t="s">
        <v>725</v>
      </c>
      <c r="D1692" s="561" t="s">
        <v>1904</v>
      </c>
      <c r="E1692" s="561" t="s">
        <v>394</v>
      </c>
      <c r="F1692" s="563">
        <v>0</v>
      </c>
      <c r="G1692" s="561" t="s">
        <v>654</v>
      </c>
      <c r="H1692" s="564"/>
      <c r="I1692" s="563">
        <v>-17456.5390625</v>
      </c>
      <c r="J1692" s="563">
        <v>-63222.94140625</v>
      </c>
      <c r="K1692" s="563">
        <v>-80679.4765625</v>
      </c>
      <c r="L1692" s="566">
        <v>-80679.48</v>
      </c>
    </row>
    <row r="1693" spans="1:12" ht="45" x14ac:dyDescent="0.2">
      <c r="A1693" s="561" t="s">
        <v>100</v>
      </c>
      <c r="B1693" s="562">
        <v>2021</v>
      </c>
      <c r="C1693" s="561" t="s">
        <v>725</v>
      </c>
      <c r="D1693" s="561" t="s">
        <v>1905</v>
      </c>
      <c r="E1693" s="561" t="s">
        <v>425</v>
      </c>
      <c r="F1693" s="563">
        <v>0</v>
      </c>
      <c r="G1693" s="561" t="s">
        <v>654</v>
      </c>
      <c r="H1693" s="564"/>
      <c r="I1693" s="563">
        <v>164266.296875</v>
      </c>
      <c r="J1693" s="563">
        <v>-169736.234375</v>
      </c>
      <c r="K1693" s="563">
        <v>-5469.9501953125</v>
      </c>
      <c r="L1693" s="566">
        <v>-5469.9499999999798</v>
      </c>
    </row>
    <row r="1694" spans="1:12" ht="45" x14ac:dyDescent="0.2">
      <c r="A1694" s="561" t="s">
        <v>100</v>
      </c>
      <c r="B1694" s="562">
        <v>2021</v>
      </c>
      <c r="C1694" s="561" t="s">
        <v>725</v>
      </c>
      <c r="D1694" s="561" t="s">
        <v>3276</v>
      </c>
      <c r="E1694" s="561" t="s">
        <v>443</v>
      </c>
      <c r="F1694" s="563">
        <v>0</v>
      </c>
      <c r="G1694" s="561" t="s">
        <v>654</v>
      </c>
      <c r="H1694" s="564"/>
      <c r="I1694" s="565"/>
      <c r="J1694" s="565"/>
      <c r="K1694" s="563">
        <v>0</v>
      </c>
      <c r="L1694" s="566">
        <v>0</v>
      </c>
    </row>
    <row r="1695" spans="1:12" ht="45" x14ac:dyDescent="0.2">
      <c r="A1695" s="561" t="s">
        <v>100</v>
      </c>
      <c r="B1695" s="562">
        <v>2021</v>
      </c>
      <c r="C1695" s="561" t="s">
        <v>725</v>
      </c>
      <c r="D1695" s="561" t="s">
        <v>1906</v>
      </c>
      <c r="E1695" s="561" t="s">
        <v>741</v>
      </c>
      <c r="F1695" s="563">
        <v>-36779.129999999997</v>
      </c>
      <c r="G1695" s="564"/>
      <c r="H1695" s="564"/>
      <c r="I1695" s="565"/>
      <c r="J1695" s="565"/>
      <c r="K1695" s="563">
        <v>0</v>
      </c>
      <c r="L1695" s="566">
        <v>-36779.129999999997</v>
      </c>
    </row>
    <row r="1696" spans="1:12" ht="22.5" x14ac:dyDescent="0.2">
      <c r="A1696" s="561" t="s">
        <v>100</v>
      </c>
      <c r="B1696" s="562">
        <v>2021</v>
      </c>
      <c r="C1696" s="561" t="s">
        <v>742</v>
      </c>
      <c r="D1696" s="561" t="s">
        <v>1907</v>
      </c>
      <c r="E1696" s="561" t="s">
        <v>7</v>
      </c>
      <c r="F1696" s="563">
        <v>0</v>
      </c>
      <c r="G1696" s="564"/>
      <c r="H1696" s="561" t="s">
        <v>654</v>
      </c>
      <c r="I1696" s="565"/>
      <c r="J1696" s="565"/>
      <c r="K1696" s="563">
        <v>0</v>
      </c>
      <c r="L1696" s="566">
        <v>0</v>
      </c>
    </row>
    <row r="1697" spans="1:12" ht="22.5" x14ac:dyDescent="0.2">
      <c r="A1697" s="561" t="s">
        <v>101</v>
      </c>
      <c r="B1697" s="562">
        <v>2021</v>
      </c>
      <c r="C1697" s="561" t="s">
        <v>651</v>
      </c>
      <c r="D1697" s="561" t="s">
        <v>1908</v>
      </c>
      <c r="E1697" s="561" t="s">
        <v>653</v>
      </c>
      <c r="F1697" s="563">
        <v>457982.41</v>
      </c>
      <c r="G1697" s="564"/>
      <c r="H1697" s="561" t="s">
        <v>654</v>
      </c>
      <c r="I1697" s="565"/>
      <c r="J1697" s="565"/>
      <c r="K1697" s="563">
        <v>0</v>
      </c>
      <c r="L1697" s="566">
        <v>457982.41</v>
      </c>
    </row>
    <row r="1698" spans="1:12" ht="22.5" x14ac:dyDescent="0.2">
      <c r="A1698" s="561" t="s">
        <v>101</v>
      </c>
      <c r="B1698" s="562">
        <v>2021</v>
      </c>
      <c r="C1698" s="561" t="s">
        <v>655</v>
      </c>
      <c r="D1698" s="561" t="s">
        <v>1909</v>
      </c>
      <c r="E1698" s="561" t="s">
        <v>657</v>
      </c>
      <c r="F1698" s="563">
        <v>-1566.27</v>
      </c>
      <c r="G1698" s="564"/>
      <c r="H1698" s="561" t="s">
        <v>654</v>
      </c>
      <c r="I1698" s="565"/>
      <c r="J1698" s="565"/>
      <c r="K1698" s="563">
        <v>0</v>
      </c>
      <c r="L1698" s="566">
        <v>-1566.27</v>
      </c>
    </row>
    <row r="1699" spans="1:12" ht="56.25" x14ac:dyDescent="0.2">
      <c r="A1699" s="561" t="s">
        <v>101</v>
      </c>
      <c r="B1699" s="562">
        <v>2021</v>
      </c>
      <c r="C1699" s="561" t="s">
        <v>658</v>
      </c>
      <c r="D1699" s="561" t="s">
        <v>1910</v>
      </c>
      <c r="E1699" s="561" t="s">
        <v>447</v>
      </c>
      <c r="F1699" s="563">
        <v>0</v>
      </c>
      <c r="G1699" s="564"/>
      <c r="H1699" s="561" t="s">
        <v>654</v>
      </c>
      <c r="I1699" s="565"/>
      <c r="J1699" s="565"/>
      <c r="K1699" s="563">
        <v>0</v>
      </c>
      <c r="L1699" s="566">
        <v>0</v>
      </c>
    </row>
    <row r="1700" spans="1:12" ht="22.5" x14ac:dyDescent="0.2">
      <c r="A1700" s="561" t="s">
        <v>101</v>
      </c>
      <c r="B1700" s="562">
        <v>2021</v>
      </c>
      <c r="C1700" s="561" t="s">
        <v>660</v>
      </c>
      <c r="D1700" s="561" t="s">
        <v>1911</v>
      </c>
      <c r="E1700" s="561" t="s">
        <v>662</v>
      </c>
      <c r="F1700" s="563">
        <v>0</v>
      </c>
      <c r="G1700" s="564"/>
      <c r="H1700" s="561" t="s">
        <v>654</v>
      </c>
      <c r="I1700" s="565"/>
      <c r="J1700" s="565"/>
      <c r="K1700" s="563">
        <v>0</v>
      </c>
      <c r="L1700" s="566">
        <v>0</v>
      </c>
    </row>
    <row r="1701" spans="1:12" ht="33.75" x14ac:dyDescent="0.2">
      <c r="A1701" s="561" t="s">
        <v>101</v>
      </c>
      <c r="B1701" s="562">
        <v>2021</v>
      </c>
      <c r="C1701" s="561" t="s">
        <v>663</v>
      </c>
      <c r="D1701" s="561" t="s">
        <v>1912</v>
      </c>
      <c r="E1701" s="561" t="s">
        <v>665</v>
      </c>
      <c r="F1701" s="563">
        <v>257558.07</v>
      </c>
      <c r="G1701" s="564"/>
      <c r="H1701" s="561" t="s">
        <v>654</v>
      </c>
      <c r="I1701" s="565"/>
      <c r="J1701" s="565"/>
      <c r="K1701" s="563">
        <v>0</v>
      </c>
      <c r="L1701" s="566">
        <v>257558.07</v>
      </c>
    </row>
    <row r="1702" spans="1:12" ht="33.75" x14ac:dyDescent="0.2">
      <c r="A1702" s="561" t="s">
        <v>101</v>
      </c>
      <c r="B1702" s="562">
        <v>2021</v>
      </c>
      <c r="C1702" s="561" t="s">
        <v>666</v>
      </c>
      <c r="D1702" s="561" t="s">
        <v>1913</v>
      </c>
      <c r="E1702" s="561" t="s">
        <v>668</v>
      </c>
      <c r="F1702" s="563">
        <v>0</v>
      </c>
      <c r="G1702" s="564"/>
      <c r="H1702" s="561" t="s">
        <v>654</v>
      </c>
      <c r="I1702" s="565"/>
      <c r="J1702" s="565"/>
      <c r="K1702" s="563">
        <v>0</v>
      </c>
      <c r="L1702" s="566">
        <v>0</v>
      </c>
    </row>
    <row r="1703" spans="1:12" ht="56.25" x14ac:dyDescent="0.2">
      <c r="A1703" s="561" t="s">
        <v>101</v>
      </c>
      <c r="B1703" s="562">
        <v>2021</v>
      </c>
      <c r="C1703" s="561" t="s">
        <v>669</v>
      </c>
      <c r="D1703" s="561" t="s">
        <v>1914</v>
      </c>
      <c r="E1703" s="561" t="s">
        <v>671</v>
      </c>
      <c r="F1703" s="563">
        <v>0</v>
      </c>
      <c r="G1703" s="564"/>
      <c r="H1703" s="561" t="s">
        <v>654</v>
      </c>
      <c r="I1703" s="565"/>
      <c r="J1703" s="565"/>
      <c r="K1703" s="563">
        <v>0</v>
      </c>
      <c r="L1703" s="566">
        <v>0</v>
      </c>
    </row>
    <row r="1704" spans="1:12" ht="22.5" x14ac:dyDescent="0.2">
      <c r="A1704" s="561" t="s">
        <v>101</v>
      </c>
      <c r="B1704" s="562">
        <v>2021</v>
      </c>
      <c r="C1704" s="561" t="s">
        <v>672</v>
      </c>
      <c r="D1704" s="561" t="s">
        <v>1915</v>
      </c>
      <c r="E1704" s="561" t="s">
        <v>12</v>
      </c>
      <c r="F1704" s="563">
        <v>0</v>
      </c>
      <c r="G1704" s="564"/>
      <c r="H1704" s="561" t="s">
        <v>654</v>
      </c>
      <c r="I1704" s="565"/>
      <c r="J1704" s="565"/>
      <c r="K1704" s="563">
        <v>0</v>
      </c>
      <c r="L1704" s="566">
        <v>0</v>
      </c>
    </row>
    <row r="1705" spans="1:12" ht="22.5" x14ac:dyDescent="0.2">
      <c r="A1705" s="561" t="s">
        <v>101</v>
      </c>
      <c r="B1705" s="562">
        <v>2021</v>
      </c>
      <c r="C1705" s="561" t="s">
        <v>674</v>
      </c>
      <c r="D1705" s="561" t="s">
        <v>1916</v>
      </c>
      <c r="E1705" s="561" t="s">
        <v>13</v>
      </c>
      <c r="F1705" s="563">
        <v>0</v>
      </c>
      <c r="G1705" s="564"/>
      <c r="H1705" s="561" t="s">
        <v>654</v>
      </c>
      <c r="I1705" s="565"/>
      <c r="J1705" s="565"/>
      <c r="K1705" s="563">
        <v>0</v>
      </c>
      <c r="L1705" s="566">
        <v>0</v>
      </c>
    </row>
    <row r="1706" spans="1:12" ht="33.75" x14ac:dyDescent="0.2">
      <c r="A1706" s="561" t="s">
        <v>101</v>
      </c>
      <c r="B1706" s="562">
        <v>2021</v>
      </c>
      <c r="C1706" s="561" t="s">
        <v>676</v>
      </c>
      <c r="D1706" s="561" t="s">
        <v>1917</v>
      </c>
      <c r="E1706" s="561" t="s">
        <v>15</v>
      </c>
      <c r="F1706" s="563">
        <v>0</v>
      </c>
      <c r="G1706" s="564"/>
      <c r="H1706" s="561" t="s">
        <v>654</v>
      </c>
      <c r="I1706" s="565"/>
      <c r="J1706" s="565"/>
      <c r="K1706" s="563">
        <v>0</v>
      </c>
      <c r="L1706" s="566">
        <v>0</v>
      </c>
    </row>
    <row r="1707" spans="1:12" ht="22.5" x14ac:dyDescent="0.2">
      <c r="A1707" s="561" t="s">
        <v>101</v>
      </c>
      <c r="B1707" s="562">
        <v>2021</v>
      </c>
      <c r="C1707" s="561" t="s">
        <v>678</v>
      </c>
      <c r="D1707" s="561" t="s">
        <v>1918</v>
      </c>
      <c r="E1707" s="561" t="s">
        <v>680</v>
      </c>
      <c r="F1707" s="563">
        <v>-617.9</v>
      </c>
      <c r="G1707" s="564"/>
      <c r="H1707" s="561" t="s">
        <v>654</v>
      </c>
      <c r="I1707" s="565"/>
      <c r="J1707" s="565"/>
      <c r="K1707" s="563">
        <v>0</v>
      </c>
      <c r="L1707" s="566">
        <v>-617.9</v>
      </c>
    </row>
    <row r="1708" spans="1:12" ht="22.5" x14ac:dyDescent="0.2">
      <c r="A1708" s="561" t="s">
        <v>101</v>
      </c>
      <c r="B1708" s="562">
        <v>2021</v>
      </c>
      <c r="C1708" s="561" t="s">
        <v>681</v>
      </c>
      <c r="D1708" s="561" t="s">
        <v>1919</v>
      </c>
      <c r="E1708" s="561" t="s">
        <v>23</v>
      </c>
      <c r="F1708" s="563">
        <v>34422.76</v>
      </c>
      <c r="G1708" s="561" t="s">
        <v>654</v>
      </c>
      <c r="H1708" s="564"/>
      <c r="I1708" s="563">
        <v>34961.3203125</v>
      </c>
      <c r="J1708" s="563">
        <v>-538.55999755859398</v>
      </c>
      <c r="K1708" s="563">
        <v>34422.76171875</v>
      </c>
      <c r="L1708" s="566">
        <v>34422.76</v>
      </c>
    </row>
    <row r="1709" spans="1:12" ht="33.75" x14ac:dyDescent="0.2">
      <c r="A1709" s="561" t="s">
        <v>101</v>
      </c>
      <c r="B1709" s="562">
        <v>2021</v>
      </c>
      <c r="C1709" s="561" t="s">
        <v>683</v>
      </c>
      <c r="D1709" s="561" t="s">
        <v>1920</v>
      </c>
      <c r="E1709" s="561" t="s">
        <v>131</v>
      </c>
      <c r="F1709" s="563">
        <v>-4710.57</v>
      </c>
      <c r="G1709" s="561" t="s">
        <v>654</v>
      </c>
      <c r="H1709" s="564"/>
      <c r="I1709" s="563">
        <v>-4681.64013671875</v>
      </c>
      <c r="J1709" s="563">
        <v>-28.930000305175799</v>
      </c>
      <c r="K1709" s="563">
        <v>-4710.56982421875</v>
      </c>
      <c r="L1709" s="566">
        <v>-4710.57</v>
      </c>
    </row>
    <row r="1710" spans="1:12" ht="33.75" x14ac:dyDescent="0.2">
      <c r="A1710" s="561" t="s">
        <v>101</v>
      </c>
      <c r="B1710" s="562">
        <v>2021</v>
      </c>
      <c r="C1710" s="561" t="s">
        <v>685</v>
      </c>
      <c r="D1710" s="561" t="s">
        <v>1921</v>
      </c>
      <c r="E1710" s="561" t="s">
        <v>687</v>
      </c>
      <c r="F1710" s="563">
        <v>0</v>
      </c>
      <c r="G1710" s="564"/>
      <c r="H1710" s="561" t="s">
        <v>654</v>
      </c>
      <c r="I1710" s="565"/>
      <c r="J1710" s="565"/>
      <c r="K1710" s="563">
        <v>0</v>
      </c>
      <c r="L1710" s="566">
        <v>0</v>
      </c>
    </row>
    <row r="1711" spans="1:12" ht="33.75" x14ac:dyDescent="0.2">
      <c r="A1711" s="561" t="s">
        <v>101</v>
      </c>
      <c r="B1711" s="562">
        <v>2021</v>
      </c>
      <c r="C1711" s="561" t="s">
        <v>685</v>
      </c>
      <c r="D1711" s="561" t="s">
        <v>1921</v>
      </c>
      <c r="E1711" s="561" t="s">
        <v>688</v>
      </c>
      <c r="F1711" s="563">
        <v>0</v>
      </c>
      <c r="G1711" s="564"/>
      <c r="H1711" s="561" t="s">
        <v>654</v>
      </c>
      <c r="I1711" s="565"/>
      <c r="J1711" s="565"/>
      <c r="K1711" s="563">
        <v>0</v>
      </c>
      <c r="L1711" s="566">
        <v>0</v>
      </c>
    </row>
    <row r="1712" spans="1:12" ht="22.5" x14ac:dyDescent="0.2">
      <c r="A1712" s="561" t="s">
        <v>101</v>
      </c>
      <c r="B1712" s="562">
        <v>2021</v>
      </c>
      <c r="C1712" s="561" t="s">
        <v>689</v>
      </c>
      <c r="D1712" s="561" t="s">
        <v>1922</v>
      </c>
      <c r="E1712" s="561" t="s">
        <v>691</v>
      </c>
      <c r="F1712" s="563">
        <v>0</v>
      </c>
      <c r="G1712" s="564"/>
      <c r="H1712" s="561" t="s">
        <v>654</v>
      </c>
      <c r="I1712" s="565"/>
      <c r="J1712" s="565"/>
      <c r="K1712" s="563">
        <v>0</v>
      </c>
      <c r="L1712" s="566">
        <v>0</v>
      </c>
    </row>
    <row r="1713" spans="1:12" ht="22.5" x14ac:dyDescent="0.2">
      <c r="A1713" s="561" t="s">
        <v>101</v>
      </c>
      <c r="B1713" s="562">
        <v>2021</v>
      </c>
      <c r="C1713" s="561" t="s">
        <v>692</v>
      </c>
      <c r="D1713" s="561" t="s">
        <v>1923</v>
      </c>
      <c r="E1713" s="561" t="s">
        <v>50</v>
      </c>
      <c r="F1713" s="563">
        <v>100668.39</v>
      </c>
      <c r="G1713" s="564"/>
      <c r="H1713" s="561" t="s">
        <v>654</v>
      </c>
      <c r="I1713" s="565"/>
      <c r="J1713" s="565"/>
      <c r="K1713" s="563">
        <v>0</v>
      </c>
      <c r="L1713" s="566">
        <v>100668.39</v>
      </c>
    </row>
    <row r="1714" spans="1:12" ht="22.5" x14ac:dyDescent="0.2">
      <c r="A1714" s="561" t="s">
        <v>101</v>
      </c>
      <c r="B1714" s="562">
        <v>2021</v>
      </c>
      <c r="C1714" s="561" t="s">
        <v>694</v>
      </c>
      <c r="D1714" s="561" t="s">
        <v>1924</v>
      </c>
      <c r="E1714" s="561" t="s">
        <v>696</v>
      </c>
      <c r="F1714" s="563">
        <v>0</v>
      </c>
      <c r="G1714" s="564"/>
      <c r="H1714" s="561" t="s">
        <v>654</v>
      </c>
      <c r="I1714" s="565"/>
      <c r="J1714" s="565"/>
      <c r="K1714" s="563">
        <v>0</v>
      </c>
      <c r="L1714" s="566">
        <v>0</v>
      </c>
    </row>
    <row r="1715" spans="1:12" ht="22.5" x14ac:dyDescent="0.2">
      <c r="A1715" s="561" t="s">
        <v>101</v>
      </c>
      <c r="B1715" s="562">
        <v>2021</v>
      </c>
      <c r="C1715" s="561" t="s">
        <v>697</v>
      </c>
      <c r="D1715" s="561" t="s">
        <v>1925</v>
      </c>
      <c r="E1715" s="561" t="s">
        <v>6</v>
      </c>
      <c r="F1715" s="563">
        <v>0</v>
      </c>
      <c r="G1715" s="564"/>
      <c r="H1715" s="561" t="s">
        <v>654</v>
      </c>
      <c r="I1715" s="565"/>
      <c r="J1715" s="565"/>
      <c r="K1715" s="563">
        <v>0</v>
      </c>
      <c r="L1715" s="566">
        <v>0</v>
      </c>
    </row>
    <row r="1716" spans="1:12" ht="33.75" x14ac:dyDescent="0.2">
      <c r="A1716" s="561" t="s">
        <v>101</v>
      </c>
      <c r="B1716" s="562">
        <v>2021</v>
      </c>
      <c r="C1716" s="561" t="s">
        <v>699</v>
      </c>
      <c r="D1716" s="561" t="s">
        <v>1926</v>
      </c>
      <c r="E1716" s="561" t="s">
        <v>701</v>
      </c>
      <c r="F1716" s="563">
        <v>0</v>
      </c>
      <c r="G1716" s="564"/>
      <c r="H1716" s="561" t="s">
        <v>654</v>
      </c>
      <c r="I1716" s="565"/>
      <c r="J1716" s="565"/>
      <c r="K1716" s="563">
        <v>0</v>
      </c>
      <c r="L1716" s="566">
        <v>0</v>
      </c>
    </row>
    <row r="1717" spans="1:12" ht="22.5" x14ac:dyDescent="0.2">
      <c r="A1717" s="561" t="s">
        <v>101</v>
      </c>
      <c r="B1717" s="562">
        <v>2021</v>
      </c>
      <c r="C1717" s="561" t="s">
        <v>702</v>
      </c>
      <c r="D1717" s="561" t="s">
        <v>1927</v>
      </c>
      <c r="E1717" s="561" t="s">
        <v>704</v>
      </c>
      <c r="F1717" s="563">
        <v>-6843.68</v>
      </c>
      <c r="G1717" s="564"/>
      <c r="H1717" s="561" t="s">
        <v>654</v>
      </c>
      <c r="I1717" s="565"/>
      <c r="J1717" s="565"/>
      <c r="K1717" s="563">
        <v>0</v>
      </c>
      <c r="L1717" s="566">
        <v>-6843.68</v>
      </c>
    </row>
    <row r="1718" spans="1:12" ht="33.75" x14ac:dyDescent="0.2">
      <c r="A1718" s="561" t="s">
        <v>101</v>
      </c>
      <c r="B1718" s="562">
        <v>2021</v>
      </c>
      <c r="C1718" s="561" t="s">
        <v>705</v>
      </c>
      <c r="D1718" s="561" t="s">
        <v>1928</v>
      </c>
      <c r="E1718" s="561" t="s">
        <v>1</v>
      </c>
      <c r="F1718" s="563">
        <v>-392762.15</v>
      </c>
      <c r="G1718" s="561" t="s">
        <v>654</v>
      </c>
      <c r="H1718" s="564"/>
      <c r="I1718" s="563">
        <v>-388952.3125</v>
      </c>
      <c r="J1718" s="563">
        <v>-3809.85009765625</v>
      </c>
      <c r="K1718" s="563">
        <v>-392762.15625</v>
      </c>
      <c r="L1718" s="566">
        <v>-392762.15</v>
      </c>
    </row>
    <row r="1719" spans="1:12" ht="22.5" x14ac:dyDescent="0.2">
      <c r="A1719" s="561" t="s">
        <v>101</v>
      </c>
      <c r="B1719" s="562">
        <v>2021</v>
      </c>
      <c r="C1719" s="561" t="s">
        <v>705</v>
      </c>
      <c r="D1719" s="561" t="s">
        <v>1928</v>
      </c>
      <c r="E1719" s="561" t="s">
        <v>707</v>
      </c>
      <c r="F1719" s="563">
        <v>0</v>
      </c>
      <c r="G1719" s="564"/>
      <c r="H1719" s="564"/>
      <c r="I1719" s="565"/>
      <c r="J1719" s="565"/>
      <c r="K1719" s="563">
        <v>0</v>
      </c>
      <c r="L1719" s="566">
        <v>0</v>
      </c>
    </row>
    <row r="1720" spans="1:12" ht="22.5" x14ac:dyDescent="0.2">
      <c r="A1720" s="561" t="s">
        <v>101</v>
      </c>
      <c r="B1720" s="562">
        <v>2021</v>
      </c>
      <c r="C1720" s="561" t="s">
        <v>705</v>
      </c>
      <c r="D1720" s="561" t="s">
        <v>1928</v>
      </c>
      <c r="E1720" s="561" t="s">
        <v>708</v>
      </c>
      <c r="F1720" s="563">
        <v>0</v>
      </c>
      <c r="G1720" s="564"/>
      <c r="H1720" s="564"/>
      <c r="I1720" s="565"/>
      <c r="J1720" s="565"/>
      <c r="K1720" s="563">
        <v>0</v>
      </c>
      <c r="L1720" s="566">
        <v>0</v>
      </c>
    </row>
    <row r="1721" spans="1:12" ht="22.5" x14ac:dyDescent="0.2">
      <c r="A1721" s="561" t="s">
        <v>101</v>
      </c>
      <c r="B1721" s="562">
        <v>2021</v>
      </c>
      <c r="C1721" s="561" t="s">
        <v>705</v>
      </c>
      <c r="D1721" s="561" t="s">
        <v>1928</v>
      </c>
      <c r="E1721" s="561" t="s">
        <v>709</v>
      </c>
      <c r="F1721" s="563">
        <v>-597.65</v>
      </c>
      <c r="G1721" s="564"/>
      <c r="H1721" s="564"/>
      <c r="I1721" s="565"/>
      <c r="J1721" s="565"/>
      <c r="K1721" s="563">
        <v>0</v>
      </c>
      <c r="L1721" s="566">
        <v>-597.65</v>
      </c>
    </row>
    <row r="1722" spans="1:12" ht="22.5" x14ac:dyDescent="0.2">
      <c r="A1722" s="561" t="s">
        <v>101</v>
      </c>
      <c r="B1722" s="562">
        <v>2021</v>
      </c>
      <c r="C1722" s="561" t="s">
        <v>705</v>
      </c>
      <c r="D1722" s="561" t="s">
        <v>1928</v>
      </c>
      <c r="E1722" s="561" t="s">
        <v>710</v>
      </c>
      <c r="F1722" s="563">
        <v>-15505.29</v>
      </c>
      <c r="G1722" s="564"/>
      <c r="H1722" s="564"/>
      <c r="I1722" s="565"/>
      <c r="J1722" s="565"/>
      <c r="K1722" s="563">
        <v>0</v>
      </c>
      <c r="L1722" s="566">
        <v>-15505.29</v>
      </c>
    </row>
    <row r="1723" spans="1:12" ht="22.5" x14ac:dyDescent="0.2">
      <c r="A1723" s="561" t="s">
        <v>101</v>
      </c>
      <c r="B1723" s="562">
        <v>2021</v>
      </c>
      <c r="C1723" s="561" t="s">
        <v>711</v>
      </c>
      <c r="D1723" s="561" t="s">
        <v>1929</v>
      </c>
      <c r="E1723" s="561" t="s">
        <v>713</v>
      </c>
      <c r="F1723" s="563">
        <v>0</v>
      </c>
      <c r="G1723" s="564"/>
      <c r="H1723" s="561" t="s">
        <v>654</v>
      </c>
      <c r="I1723" s="565"/>
      <c r="J1723" s="565"/>
      <c r="K1723" s="563">
        <v>0</v>
      </c>
      <c r="L1723" s="566">
        <v>0</v>
      </c>
    </row>
    <row r="1724" spans="1:12" ht="33.75" x14ac:dyDescent="0.2">
      <c r="A1724" s="561" t="s">
        <v>101</v>
      </c>
      <c r="B1724" s="562">
        <v>2021</v>
      </c>
      <c r="C1724" s="561" t="s">
        <v>714</v>
      </c>
      <c r="D1724" s="561" t="s">
        <v>1930</v>
      </c>
      <c r="E1724" s="561" t="s">
        <v>2</v>
      </c>
      <c r="F1724" s="563">
        <v>8958.7999999999993</v>
      </c>
      <c r="G1724" s="561" t="s">
        <v>654</v>
      </c>
      <c r="H1724" s="564"/>
      <c r="I1724" s="563">
        <v>9634.0400390625</v>
      </c>
      <c r="J1724" s="563">
        <v>-675.239990234375</v>
      </c>
      <c r="K1724" s="563">
        <v>8958.7998046875</v>
      </c>
      <c r="L1724" s="566">
        <v>8958.7999999999993</v>
      </c>
    </row>
    <row r="1725" spans="1:12" ht="33.75" x14ac:dyDescent="0.2">
      <c r="A1725" s="561" t="s">
        <v>101</v>
      </c>
      <c r="B1725" s="562">
        <v>2021</v>
      </c>
      <c r="C1725" s="561" t="s">
        <v>716</v>
      </c>
      <c r="D1725" s="561" t="s">
        <v>1931</v>
      </c>
      <c r="E1725" s="561" t="s">
        <v>3</v>
      </c>
      <c r="F1725" s="563">
        <v>84824.07</v>
      </c>
      <c r="G1725" s="561" t="s">
        <v>654</v>
      </c>
      <c r="H1725" s="564"/>
      <c r="I1725" s="563">
        <v>84493.34375</v>
      </c>
      <c r="J1725" s="563">
        <v>330.73001098632801</v>
      </c>
      <c r="K1725" s="563">
        <v>84824.0703125</v>
      </c>
      <c r="L1725" s="566">
        <v>84824.07</v>
      </c>
    </row>
    <row r="1726" spans="1:12" ht="33.75" x14ac:dyDescent="0.2">
      <c r="A1726" s="561" t="s">
        <v>101</v>
      </c>
      <c r="B1726" s="562">
        <v>2021</v>
      </c>
      <c r="C1726" s="561" t="s">
        <v>718</v>
      </c>
      <c r="D1726" s="561" t="s">
        <v>1932</v>
      </c>
      <c r="E1726" s="561" t="s">
        <v>38</v>
      </c>
      <c r="F1726" s="563">
        <v>-776647.32</v>
      </c>
      <c r="G1726" s="561" t="s">
        <v>654</v>
      </c>
      <c r="H1726" s="564"/>
      <c r="I1726" s="563">
        <v>-767084.875</v>
      </c>
      <c r="J1726" s="563">
        <v>-9562.4697265625</v>
      </c>
      <c r="K1726" s="563">
        <v>-776647.3125</v>
      </c>
      <c r="L1726" s="566">
        <v>-776647.32</v>
      </c>
    </row>
    <row r="1727" spans="1:12" ht="22.5" x14ac:dyDescent="0.2">
      <c r="A1727" s="561" t="s">
        <v>101</v>
      </c>
      <c r="B1727" s="562">
        <v>2021</v>
      </c>
      <c r="C1727" s="561" t="s">
        <v>720</v>
      </c>
      <c r="D1727" s="561" t="s">
        <v>1933</v>
      </c>
      <c r="E1727" s="561" t="s">
        <v>66</v>
      </c>
      <c r="F1727" s="563">
        <v>110650.21</v>
      </c>
      <c r="G1727" s="561" t="s">
        <v>654</v>
      </c>
      <c r="H1727" s="564"/>
      <c r="I1727" s="563">
        <v>215407.34375</v>
      </c>
      <c r="J1727" s="563">
        <v>-104757.1328125</v>
      </c>
      <c r="K1727" s="563">
        <v>110650.2109375</v>
      </c>
      <c r="L1727" s="566">
        <v>110650.21</v>
      </c>
    </row>
    <row r="1728" spans="1:12" ht="45" x14ac:dyDescent="0.2">
      <c r="A1728" s="561" t="s">
        <v>101</v>
      </c>
      <c r="B1728" s="562">
        <v>2021</v>
      </c>
      <c r="C1728" s="561" t="s">
        <v>722</v>
      </c>
      <c r="D1728" s="561" t="s">
        <v>1934</v>
      </c>
      <c r="E1728" s="561" t="s">
        <v>724</v>
      </c>
      <c r="F1728" s="563">
        <v>-21.32</v>
      </c>
      <c r="G1728" s="564"/>
      <c r="H1728" s="561" t="s">
        <v>654</v>
      </c>
      <c r="I1728" s="565"/>
      <c r="J1728" s="565"/>
      <c r="K1728" s="563">
        <v>0</v>
      </c>
      <c r="L1728" s="566">
        <v>-21.32</v>
      </c>
    </row>
    <row r="1729" spans="1:12" ht="45" x14ac:dyDescent="0.2">
      <c r="A1729" s="561" t="s">
        <v>101</v>
      </c>
      <c r="B1729" s="562">
        <v>2021</v>
      </c>
      <c r="C1729" s="561" t="s">
        <v>725</v>
      </c>
      <c r="D1729" s="561" t="s">
        <v>1935</v>
      </c>
      <c r="E1729" s="561" t="s">
        <v>3024</v>
      </c>
      <c r="F1729" s="563">
        <v>0</v>
      </c>
      <c r="G1729" s="561" t="s">
        <v>654</v>
      </c>
      <c r="H1729" s="564"/>
      <c r="I1729" s="563">
        <v>-614018.5625</v>
      </c>
      <c r="J1729" s="563">
        <v>479493.125</v>
      </c>
      <c r="K1729" s="563">
        <v>-134525.484375</v>
      </c>
      <c r="L1729" s="566">
        <v>-134525.48000000001</v>
      </c>
    </row>
    <row r="1730" spans="1:12" ht="45" x14ac:dyDescent="0.2">
      <c r="A1730" s="561" t="s">
        <v>101</v>
      </c>
      <c r="B1730" s="562">
        <v>2021</v>
      </c>
      <c r="C1730" s="561" t="s">
        <v>725</v>
      </c>
      <c r="D1730" s="561" t="s">
        <v>1935</v>
      </c>
      <c r="E1730" s="561" t="s">
        <v>3066</v>
      </c>
      <c r="F1730" s="563">
        <v>0</v>
      </c>
      <c r="G1730" s="561" t="s">
        <v>654</v>
      </c>
      <c r="H1730" s="564"/>
      <c r="I1730" s="563">
        <v>480073.375</v>
      </c>
      <c r="J1730" s="563">
        <v>121706.2578125</v>
      </c>
      <c r="K1730" s="563">
        <v>601779.625</v>
      </c>
      <c r="L1730" s="566">
        <v>601779.62</v>
      </c>
    </row>
    <row r="1731" spans="1:12" ht="45" x14ac:dyDescent="0.2">
      <c r="A1731" s="561" t="s">
        <v>101</v>
      </c>
      <c r="B1731" s="562">
        <v>2021</v>
      </c>
      <c r="C1731" s="561" t="s">
        <v>725</v>
      </c>
      <c r="D1731" s="561" t="s">
        <v>1936</v>
      </c>
      <c r="E1731" s="561" t="s">
        <v>728</v>
      </c>
      <c r="F1731" s="563">
        <v>0</v>
      </c>
      <c r="G1731" s="561" t="s">
        <v>654</v>
      </c>
      <c r="H1731" s="564"/>
      <c r="I1731" s="565"/>
      <c r="J1731" s="565"/>
      <c r="K1731" s="563">
        <v>0</v>
      </c>
      <c r="L1731" s="566">
        <v>0</v>
      </c>
    </row>
    <row r="1732" spans="1:12" ht="45" x14ac:dyDescent="0.2">
      <c r="A1732" s="561" t="s">
        <v>101</v>
      </c>
      <c r="B1732" s="562">
        <v>2021</v>
      </c>
      <c r="C1732" s="561" t="s">
        <v>725</v>
      </c>
      <c r="D1732" s="561" t="s">
        <v>1937</v>
      </c>
      <c r="E1732" s="561" t="s">
        <v>55</v>
      </c>
      <c r="F1732" s="563">
        <v>0</v>
      </c>
      <c r="G1732" s="561" t="s">
        <v>654</v>
      </c>
      <c r="H1732" s="564"/>
      <c r="I1732" s="565"/>
      <c r="J1732" s="565"/>
      <c r="K1732" s="563">
        <v>0</v>
      </c>
      <c r="L1732" s="566">
        <v>0</v>
      </c>
    </row>
    <row r="1733" spans="1:12" ht="45" x14ac:dyDescent="0.2">
      <c r="A1733" s="561" t="s">
        <v>101</v>
      </c>
      <c r="B1733" s="562">
        <v>2021</v>
      </c>
      <c r="C1733" s="561" t="s">
        <v>725</v>
      </c>
      <c r="D1733" s="561" t="s">
        <v>1938</v>
      </c>
      <c r="E1733" s="561" t="s">
        <v>56</v>
      </c>
      <c r="F1733" s="563">
        <v>0</v>
      </c>
      <c r="G1733" s="561" t="s">
        <v>654</v>
      </c>
      <c r="H1733" s="564"/>
      <c r="I1733" s="565"/>
      <c r="J1733" s="565"/>
      <c r="K1733" s="563">
        <v>0</v>
      </c>
      <c r="L1733" s="566">
        <v>0</v>
      </c>
    </row>
    <row r="1734" spans="1:12" ht="45" x14ac:dyDescent="0.2">
      <c r="A1734" s="561" t="s">
        <v>101</v>
      </c>
      <c r="B1734" s="562">
        <v>2021</v>
      </c>
      <c r="C1734" s="561" t="s">
        <v>725</v>
      </c>
      <c r="D1734" s="561" t="s">
        <v>1939</v>
      </c>
      <c r="E1734" s="561" t="s">
        <v>732</v>
      </c>
      <c r="F1734" s="563">
        <v>0</v>
      </c>
      <c r="G1734" s="561" t="s">
        <v>654</v>
      </c>
      <c r="H1734" s="564"/>
      <c r="I1734" s="565"/>
      <c r="J1734" s="565"/>
      <c r="K1734" s="563">
        <v>0</v>
      </c>
      <c r="L1734" s="566">
        <v>0</v>
      </c>
    </row>
    <row r="1735" spans="1:12" ht="45" x14ac:dyDescent="0.2">
      <c r="A1735" s="561" t="s">
        <v>101</v>
      </c>
      <c r="B1735" s="562">
        <v>2021</v>
      </c>
      <c r="C1735" s="561" t="s">
        <v>725</v>
      </c>
      <c r="D1735" s="561" t="s">
        <v>1940</v>
      </c>
      <c r="E1735" s="561" t="s">
        <v>734</v>
      </c>
      <c r="F1735" s="563">
        <v>0</v>
      </c>
      <c r="G1735" s="561" t="s">
        <v>654</v>
      </c>
      <c r="H1735" s="564"/>
      <c r="I1735" s="565"/>
      <c r="J1735" s="565"/>
      <c r="K1735" s="563">
        <v>0</v>
      </c>
      <c r="L1735" s="566">
        <v>0</v>
      </c>
    </row>
    <row r="1736" spans="1:12" ht="45" x14ac:dyDescent="0.2">
      <c r="A1736" s="561" t="s">
        <v>101</v>
      </c>
      <c r="B1736" s="562">
        <v>2021</v>
      </c>
      <c r="C1736" s="561" t="s">
        <v>725</v>
      </c>
      <c r="D1736" s="561" t="s">
        <v>1941</v>
      </c>
      <c r="E1736" s="561" t="s">
        <v>142</v>
      </c>
      <c r="F1736" s="563">
        <v>0</v>
      </c>
      <c r="G1736" s="561" t="s">
        <v>654</v>
      </c>
      <c r="H1736" s="564"/>
      <c r="I1736" s="565"/>
      <c r="J1736" s="565"/>
      <c r="K1736" s="563">
        <v>0</v>
      </c>
      <c r="L1736" s="566">
        <v>0</v>
      </c>
    </row>
    <row r="1737" spans="1:12" ht="45" x14ac:dyDescent="0.2">
      <c r="A1737" s="561" t="s">
        <v>101</v>
      </c>
      <c r="B1737" s="562">
        <v>2021</v>
      </c>
      <c r="C1737" s="561" t="s">
        <v>725</v>
      </c>
      <c r="D1737" s="561" t="s">
        <v>1942</v>
      </c>
      <c r="E1737" s="561" t="s">
        <v>143</v>
      </c>
      <c r="F1737" s="563">
        <v>0</v>
      </c>
      <c r="G1737" s="561" t="s">
        <v>654</v>
      </c>
      <c r="H1737" s="564"/>
      <c r="I1737" s="565"/>
      <c r="J1737" s="565"/>
      <c r="K1737" s="563">
        <v>0</v>
      </c>
      <c r="L1737" s="566">
        <v>0</v>
      </c>
    </row>
    <row r="1738" spans="1:12" ht="45" x14ac:dyDescent="0.2">
      <c r="A1738" s="561" t="s">
        <v>101</v>
      </c>
      <c r="B1738" s="562">
        <v>2021</v>
      </c>
      <c r="C1738" s="561" t="s">
        <v>725</v>
      </c>
      <c r="D1738" s="561" t="s">
        <v>1943</v>
      </c>
      <c r="E1738" s="561" t="s">
        <v>182</v>
      </c>
      <c r="F1738" s="563">
        <v>0</v>
      </c>
      <c r="G1738" s="561" t="s">
        <v>654</v>
      </c>
      <c r="H1738" s="564"/>
      <c r="I1738" s="565"/>
      <c r="J1738" s="565"/>
      <c r="K1738" s="563">
        <v>0</v>
      </c>
      <c r="L1738" s="566">
        <v>0</v>
      </c>
    </row>
    <row r="1739" spans="1:12" ht="45" x14ac:dyDescent="0.2">
      <c r="A1739" s="561" t="s">
        <v>101</v>
      </c>
      <c r="B1739" s="562">
        <v>2021</v>
      </c>
      <c r="C1739" s="561" t="s">
        <v>725</v>
      </c>
      <c r="D1739" s="561" t="s">
        <v>1944</v>
      </c>
      <c r="E1739" s="561" t="s">
        <v>394</v>
      </c>
      <c r="F1739" s="563">
        <v>0</v>
      </c>
      <c r="G1739" s="561" t="s">
        <v>654</v>
      </c>
      <c r="H1739" s="564"/>
      <c r="I1739" s="565"/>
      <c r="J1739" s="565"/>
      <c r="K1739" s="563">
        <v>0</v>
      </c>
      <c r="L1739" s="566">
        <v>0</v>
      </c>
    </row>
    <row r="1740" spans="1:12" ht="45" x14ac:dyDescent="0.2">
      <c r="A1740" s="561" t="s">
        <v>101</v>
      </c>
      <c r="B1740" s="562">
        <v>2021</v>
      </c>
      <c r="C1740" s="561" t="s">
        <v>725</v>
      </c>
      <c r="D1740" s="561" t="s">
        <v>1945</v>
      </c>
      <c r="E1740" s="561" t="s">
        <v>425</v>
      </c>
      <c r="F1740" s="563">
        <v>0</v>
      </c>
      <c r="G1740" s="561" t="s">
        <v>654</v>
      </c>
      <c r="H1740" s="564"/>
      <c r="I1740" s="565"/>
      <c r="J1740" s="565"/>
      <c r="K1740" s="563">
        <v>0</v>
      </c>
      <c r="L1740" s="566">
        <v>0</v>
      </c>
    </row>
    <row r="1741" spans="1:12" ht="45" x14ac:dyDescent="0.2">
      <c r="A1741" s="561" t="s">
        <v>101</v>
      </c>
      <c r="B1741" s="562">
        <v>2021</v>
      </c>
      <c r="C1741" s="561" t="s">
        <v>725</v>
      </c>
      <c r="D1741" s="561" t="s">
        <v>3277</v>
      </c>
      <c r="E1741" s="561" t="s">
        <v>443</v>
      </c>
      <c r="F1741" s="563">
        <v>0</v>
      </c>
      <c r="G1741" s="561" t="s">
        <v>654</v>
      </c>
      <c r="H1741" s="564"/>
      <c r="I1741" s="563">
        <v>-2545.93994140625</v>
      </c>
      <c r="J1741" s="563">
        <v>11015.48046875</v>
      </c>
      <c r="K1741" s="563">
        <v>8469.5400390625</v>
      </c>
      <c r="L1741" s="566">
        <v>8469.5400000000009</v>
      </c>
    </row>
    <row r="1742" spans="1:12" ht="45" x14ac:dyDescent="0.2">
      <c r="A1742" s="561" t="s">
        <v>101</v>
      </c>
      <c r="B1742" s="562">
        <v>2021</v>
      </c>
      <c r="C1742" s="561" t="s">
        <v>725</v>
      </c>
      <c r="D1742" s="561" t="s">
        <v>1946</v>
      </c>
      <c r="E1742" s="561" t="s">
        <v>741</v>
      </c>
      <c r="F1742" s="563">
        <v>475723.68</v>
      </c>
      <c r="G1742" s="564"/>
      <c r="H1742" s="564"/>
      <c r="I1742" s="565"/>
      <c r="J1742" s="565"/>
      <c r="K1742" s="563">
        <v>0</v>
      </c>
      <c r="L1742" s="566">
        <v>475723.68</v>
      </c>
    </row>
    <row r="1743" spans="1:12" ht="22.5" x14ac:dyDescent="0.2">
      <c r="A1743" s="561" t="s">
        <v>101</v>
      </c>
      <c r="B1743" s="562">
        <v>2021</v>
      </c>
      <c r="C1743" s="561" t="s">
        <v>742</v>
      </c>
      <c r="D1743" s="561" t="s">
        <v>1947</v>
      </c>
      <c r="E1743" s="561" t="s">
        <v>7</v>
      </c>
      <c r="F1743" s="563">
        <v>0</v>
      </c>
      <c r="G1743" s="564"/>
      <c r="H1743" s="561" t="s">
        <v>654</v>
      </c>
      <c r="I1743" s="565"/>
      <c r="J1743" s="565"/>
      <c r="K1743" s="563">
        <v>0</v>
      </c>
      <c r="L1743" s="566">
        <v>0</v>
      </c>
    </row>
    <row r="1744" spans="1:12" ht="22.5" x14ac:dyDescent="0.2">
      <c r="A1744" s="561" t="s">
        <v>102</v>
      </c>
      <c r="B1744" s="562">
        <v>2021</v>
      </c>
      <c r="C1744" s="561" t="s">
        <v>651</v>
      </c>
      <c r="D1744" s="561" t="s">
        <v>1948</v>
      </c>
      <c r="E1744" s="561" t="s">
        <v>653</v>
      </c>
      <c r="F1744" s="563">
        <v>8885541.5199999996</v>
      </c>
      <c r="G1744" s="564"/>
      <c r="H1744" s="561" t="s">
        <v>654</v>
      </c>
      <c r="I1744" s="565"/>
      <c r="J1744" s="565"/>
      <c r="K1744" s="563">
        <v>0</v>
      </c>
      <c r="L1744" s="566">
        <v>8885541.5199999996</v>
      </c>
    </row>
    <row r="1745" spans="1:12" ht="15" x14ac:dyDescent="0.2">
      <c r="A1745" s="561" t="s">
        <v>102</v>
      </c>
      <c r="B1745" s="562">
        <v>2021</v>
      </c>
      <c r="C1745" s="561" t="s">
        <v>655</v>
      </c>
      <c r="D1745" s="561" t="s">
        <v>1949</v>
      </c>
      <c r="E1745" s="561" t="s">
        <v>657</v>
      </c>
      <c r="F1745" s="563">
        <v>311258.21999999997</v>
      </c>
      <c r="G1745" s="564"/>
      <c r="H1745" s="561" t="s">
        <v>654</v>
      </c>
      <c r="I1745" s="565"/>
      <c r="J1745" s="565"/>
      <c r="K1745" s="563">
        <v>0</v>
      </c>
      <c r="L1745" s="566">
        <v>311258.21999999997</v>
      </c>
    </row>
    <row r="1746" spans="1:12" ht="56.25" x14ac:dyDescent="0.2">
      <c r="A1746" s="561" t="s">
        <v>102</v>
      </c>
      <c r="B1746" s="562">
        <v>2021</v>
      </c>
      <c r="C1746" s="561" t="s">
        <v>658</v>
      </c>
      <c r="D1746" s="561" t="s">
        <v>1950</v>
      </c>
      <c r="E1746" s="561" t="s">
        <v>447</v>
      </c>
      <c r="F1746" s="563">
        <v>0</v>
      </c>
      <c r="G1746" s="564"/>
      <c r="H1746" s="561" t="s">
        <v>654</v>
      </c>
      <c r="I1746" s="565"/>
      <c r="J1746" s="565"/>
      <c r="K1746" s="563">
        <v>0</v>
      </c>
      <c r="L1746" s="566">
        <v>0</v>
      </c>
    </row>
    <row r="1747" spans="1:12" ht="22.5" x14ac:dyDescent="0.2">
      <c r="A1747" s="561" t="s">
        <v>102</v>
      </c>
      <c r="B1747" s="562">
        <v>2021</v>
      </c>
      <c r="C1747" s="561" t="s">
        <v>660</v>
      </c>
      <c r="D1747" s="561" t="s">
        <v>1951</v>
      </c>
      <c r="E1747" s="561" t="s">
        <v>662</v>
      </c>
      <c r="F1747" s="563">
        <v>0</v>
      </c>
      <c r="G1747" s="564"/>
      <c r="H1747" s="561" t="s">
        <v>654</v>
      </c>
      <c r="I1747" s="565"/>
      <c r="J1747" s="565"/>
      <c r="K1747" s="563">
        <v>0</v>
      </c>
      <c r="L1747" s="566">
        <v>0</v>
      </c>
    </row>
    <row r="1748" spans="1:12" ht="33.75" x14ac:dyDescent="0.2">
      <c r="A1748" s="561" t="s">
        <v>102</v>
      </c>
      <c r="B1748" s="562">
        <v>2021</v>
      </c>
      <c r="C1748" s="561" t="s">
        <v>663</v>
      </c>
      <c r="D1748" s="561" t="s">
        <v>1952</v>
      </c>
      <c r="E1748" s="561" t="s">
        <v>665</v>
      </c>
      <c r="F1748" s="563">
        <v>0</v>
      </c>
      <c r="G1748" s="564"/>
      <c r="H1748" s="561" t="s">
        <v>654</v>
      </c>
      <c r="I1748" s="565"/>
      <c r="J1748" s="565"/>
      <c r="K1748" s="563">
        <v>0</v>
      </c>
      <c r="L1748" s="566">
        <v>0</v>
      </c>
    </row>
    <row r="1749" spans="1:12" ht="33.75" x14ac:dyDescent="0.2">
      <c r="A1749" s="561" t="s">
        <v>102</v>
      </c>
      <c r="B1749" s="562">
        <v>2021</v>
      </c>
      <c r="C1749" s="561" t="s">
        <v>666</v>
      </c>
      <c r="D1749" s="561" t="s">
        <v>1953</v>
      </c>
      <c r="E1749" s="561" t="s">
        <v>668</v>
      </c>
      <c r="F1749" s="563">
        <v>0</v>
      </c>
      <c r="G1749" s="564"/>
      <c r="H1749" s="561" t="s">
        <v>654</v>
      </c>
      <c r="I1749" s="565"/>
      <c r="J1749" s="565"/>
      <c r="K1749" s="563">
        <v>0</v>
      </c>
      <c r="L1749" s="566">
        <v>0</v>
      </c>
    </row>
    <row r="1750" spans="1:12" ht="56.25" x14ac:dyDescent="0.2">
      <c r="A1750" s="561" t="s">
        <v>102</v>
      </c>
      <c r="B1750" s="562">
        <v>2021</v>
      </c>
      <c r="C1750" s="561" t="s">
        <v>669</v>
      </c>
      <c r="D1750" s="561" t="s">
        <v>1954</v>
      </c>
      <c r="E1750" s="561" t="s">
        <v>671</v>
      </c>
      <c r="F1750" s="563">
        <v>0</v>
      </c>
      <c r="G1750" s="564"/>
      <c r="H1750" s="561" t="s">
        <v>654</v>
      </c>
      <c r="I1750" s="565"/>
      <c r="J1750" s="565"/>
      <c r="K1750" s="563">
        <v>0</v>
      </c>
      <c r="L1750" s="566">
        <v>0</v>
      </c>
    </row>
    <row r="1751" spans="1:12" ht="22.5" x14ac:dyDescent="0.2">
      <c r="A1751" s="561" t="s">
        <v>102</v>
      </c>
      <c r="B1751" s="562">
        <v>2021</v>
      </c>
      <c r="C1751" s="561" t="s">
        <v>672</v>
      </c>
      <c r="D1751" s="561" t="s">
        <v>1955</v>
      </c>
      <c r="E1751" s="561" t="s">
        <v>12</v>
      </c>
      <c r="F1751" s="563">
        <v>0</v>
      </c>
      <c r="G1751" s="564"/>
      <c r="H1751" s="561" t="s">
        <v>654</v>
      </c>
      <c r="I1751" s="565"/>
      <c r="J1751" s="565"/>
      <c r="K1751" s="563">
        <v>0</v>
      </c>
      <c r="L1751" s="566">
        <v>0</v>
      </c>
    </row>
    <row r="1752" spans="1:12" ht="22.5" x14ac:dyDescent="0.2">
      <c r="A1752" s="561" t="s">
        <v>102</v>
      </c>
      <c r="B1752" s="562">
        <v>2021</v>
      </c>
      <c r="C1752" s="561" t="s">
        <v>674</v>
      </c>
      <c r="D1752" s="561" t="s">
        <v>1956</v>
      </c>
      <c r="E1752" s="561" t="s">
        <v>13</v>
      </c>
      <c r="F1752" s="563">
        <v>0</v>
      </c>
      <c r="G1752" s="564"/>
      <c r="H1752" s="561" t="s">
        <v>654</v>
      </c>
      <c r="I1752" s="565"/>
      <c r="J1752" s="565"/>
      <c r="K1752" s="563">
        <v>0</v>
      </c>
      <c r="L1752" s="566">
        <v>0</v>
      </c>
    </row>
    <row r="1753" spans="1:12" ht="33.75" x14ac:dyDescent="0.2">
      <c r="A1753" s="561" t="s">
        <v>102</v>
      </c>
      <c r="B1753" s="562">
        <v>2021</v>
      </c>
      <c r="C1753" s="561" t="s">
        <v>676</v>
      </c>
      <c r="D1753" s="561" t="s">
        <v>1957</v>
      </c>
      <c r="E1753" s="561" t="s">
        <v>15</v>
      </c>
      <c r="F1753" s="563">
        <v>0</v>
      </c>
      <c r="G1753" s="564"/>
      <c r="H1753" s="561" t="s">
        <v>654</v>
      </c>
      <c r="I1753" s="565"/>
      <c r="J1753" s="565"/>
      <c r="K1753" s="563">
        <v>0</v>
      </c>
      <c r="L1753" s="566">
        <v>0</v>
      </c>
    </row>
    <row r="1754" spans="1:12" ht="15" x14ac:dyDescent="0.2">
      <c r="A1754" s="561" t="s">
        <v>102</v>
      </c>
      <c r="B1754" s="562">
        <v>2021</v>
      </c>
      <c r="C1754" s="561" t="s">
        <v>678</v>
      </c>
      <c r="D1754" s="561" t="s">
        <v>1958</v>
      </c>
      <c r="E1754" s="561" t="s">
        <v>680</v>
      </c>
      <c r="F1754" s="563">
        <v>12465.83</v>
      </c>
      <c r="G1754" s="564"/>
      <c r="H1754" s="561" t="s">
        <v>654</v>
      </c>
      <c r="I1754" s="565"/>
      <c r="J1754" s="565"/>
      <c r="K1754" s="563">
        <v>0</v>
      </c>
      <c r="L1754" s="566">
        <v>12465.83</v>
      </c>
    </row>
    <row r="1755" spans="1:12" ht="15" x14ac:dyDescent="0.2">
      <c r="A1755" s="561" t="s">
        <v>102</v>
      </c>
      <c r="B1755" s="562">
        <v>2021</v>
      </c>
      <c r="C1755" s="561" t="s">
        <v>681</v>
      </c>
      <c r="D1755" s="561" t="s">
        <v>1959</v>
      </c>
      <c r="E1755" s="561" t="s">
        <v>23</v>
      </c>
      <c r="F1755" s="563">
        <v>0</v>
      </c>
      <c r="G1755" s="561" t="s">
        <v>654</v>
      </c>
      <c r="H1755" s="564"/>
      <c r="I1755" s="565"/>
      <c r="J1755" s="565"/>
      <c r="K1755" s="563">
        <v>0</v>
      </c>
      <c r="L1755" s="566">
        <v>0</v>
      </c>
    </row>
    <row r="1756" spans="1:12" ht="33.75" x14ac:dyDescent="0.2">
      <c r="A1756" s="561" t="s">
        <v>102</v>
      </c>
      <c r="B1756" s="562">
        <v>2021</v>
      </c>
      <c r="C1756" s="561" t="s">
        <v>683</v>
      </c>
      <c r="D1756" s="561" t="s">
        <v>1960</v>
      </c>
      <c r="E1756" s="561" t="s">
        <v>131</v>
      </c>
      <c r="F1756" s="563">
        <v>-207050.93</v>
      </c>
      <c r="G1756" s="561" t="s">
        <v>654</v>
      </c>
      <c r="H1756" s="564"/>
      <c r="I1756" s="563">
        <v>-198289.84375</v>
      </c>
      <c r="J1756" s="563">
        <v>-8761.080078125</v>
      </c>
      <c r="K1756" s="563">
        <v>-207050.9375</v>
      </c>
      <c r="L1756" s="566">
        <v>-207050.93</v>
      </c>
    </row>
    <row r="1757" spans="1:12" ht="33.75" x14ac:dyDescent="0.2">
      <c r="A1757" s="561" t="s">
        <v>102</v>
      </c>
      <c r="B1757" s="562">
        <v>2021</v>
      </c>
      <c r="C1757" s="561" t="s">
        <v>685</v>
      </c>
      <c r="D1757" s="561" t="s">
        <v>1961</v>
      </c>
      <c r="E1757" s="561" t="s">
        <v>687</v>
      </c>
      <c r="F1757" s="563">
        <v>0</v>
      </c>
      <c r="G1757" s="564"/>
      <c r="H1757" s="561" t="s">
        <v>654</v>
      </c>
      <c r="I1757" s="565"/>
      <c r="J1757" s="565"/>
      <c r="K1757" s="563">
        <v>0</v>
      </c>
      <c r="L1757" s="566">
        <v>0</v>
      </c>
    </row>
    <row r="1758" spans="1:12" ht="33.75" x14ac:dyDescent="0.2">
      <c r="A1758" s="561" t="s">
        <v>102</v>
      </c>
      <c r="B1758" s="562">
        <v>2021</v>
      </c>
      <c r="C1758" s="561" t="s">
        <v>685</v>
      </c>
      <c r="D1758" s="561" t="s">
        <v>1961</v>
      </c>
      <c r="E1758" s="561" t="s">
        <v>688</v>
      </c>
      <c r="F1758" s="563">
        <v>0</v>
      </c>
      <c r="G1758" s="564"/>
      <c r="H1758" s="561" t="s">
        <v>654</v>
      </c>
      <c r="I1758" s="565"/>
      <c r="J1758" s="565"/>
      <c r="K1758" s="563">
        <v>0</v>
      </c>
      <c r="L1758" s="566">
        <v>0</v>
      </c>
    </row>
    <row r="1759" spans="1:12" ht="22.5" x14ac:dyDescent="0.2">
      <c r="A1759" s="561" t="s">
        <v>102</v>
      </c>
      <c r="B1759" s="562">
        <v>2021</v>
      </c>
      <c r="C1759" s="561" t="s">
        <v>689</v>
      </c>
      <c r="D1759" s="561" t="s">
        <v>1962</v>
      </c>
      <c r="E1759" s="561" t="s">
        <v>691</v>
      </c>
      <c r="F1759" s="563">
        <v>0</v>
      </c>
      <c r="G1759" s="564"/>
      <c r="H1759" s="561" t="s">
        <v>654</v>
      </c>
      <c r="I1759" s="565"/>
      <c r="J1759" s="565"/>
      <c r="K1759" s="563">
        <v>0</v>
      </c>
      <c r="L1759" s="566">
        <v>0</v>
      </c>
    </row>
    <row r="1760" spans="1:12" ht="22.5" x14ac:dyDescent="0.2">
      <c r="A1760" s="561" t="s">
        <v>102</v>
      </c>
      <c r="B1760" s="562">
        <v>2021</v>
      </c>
      <c r="C1760" s="561" t="s">
        <v>692</v>
      </c>
      <c r="D1760" s="561" t="s">
        <v>1963</v>
      </c>
      <c r="E1760" s="561" t="s">
        <v>50</v>
      </c>
      <c r="F1760" s="563">
        <v>3118465.58</v>
      </c>
      <c r="G1760" s="564"/>
      <c r="H1760" s="561" t="s">
        <v>654</v>
      </c>
      <c r="I1760" s="565"/>
      <c r="J1760" s="565"/>
      <c r="K1760" s="563">
        <v>0</v>
      </c>
      <c r="L1760" s="566">
        <v>3118465.58</v>
      </c>
    </row>
    <row r="1761" spans="1:12" ht="22.5" x14ac:dyDescent="0.2">
      <c r="A1761" s="561" t="s">
        <v>102</v>
      </c>
      <c r="B1761" s="562">
        <v>2021</v>
      </c>
      <c r="C1761" s="561" t="s">
        <v>694</v>
      </c>
      <c r="D1761" s="561" t="s">
        <v>1964</v>
      </c>
      <c r="E1761" s="561" t="s">
        <v>696</v>
      </c>
      <c r="F1761" s="563">
        <v>0</v>
      </c>
      <c r="G1761" s="564"/>
      <c r="H1761" s="561" t="s">
        <v>654</v>
      </c>
      <c r="I1761" s="565"/>
      <c r="J1761" s="565"/>
      <c r="K1761" s="563">
        <v>0</v>
      </c>
      <c r="L1761" s="566">
        <v>0</v>
      </c>
    </row>
    <row r="1762" spans="1:12" ht="22.5" x14ac:dyDescent="0.2">
      <c r="A1762" s="561" t="s">
        <v>102</v>
      </c>
      <c r="B1762" s="562">
        <v>2021</v>
      </c>
      <c r="C1762" s="561" t="s">
        <v>697</v>
      </c>
      <c r="D1762" s="561" t="s">
        <v>1965</v>
      </c>
      <c r="E1762" s="561" t="s">
        <v>6</v>
      </c>
      <c r="F1762" s="563">
        <v>0</v>
      </c>
      <c r="G1762" s="564"/>
      <c r="H1762" s="561" t="s">
        <v>654</v>
      </c>
      <c r="I1762" s="565"/>
      <c r="J1762" s="565"/>
      <c r="K1762" s="563">
        <v>0</v>
      </c>
      <c r="L1762" s="566">
        <v>0</v>
      </c>
    </row>
    <row r="1763" spans="1:12" ht="33.75" x14ac:dyDescent="0.2">
      <c r="A1763" s="561" t="s">
        <v>102</v>
      </c>
      <c r="B1763" s="562">
        <v>2021</v>
      </c>
      <c r="C1763" s="561" t="s">
        <v>699</v>
      </c>
      <c r="D1763" s="561" t="s">
        <v>1966</v>
      </c>
      <c r="E1763" s="561" t="s">
        <v>701</v>
      </c>
      <c r="F1763" s="563">
        <v>0</v>
      </c>
      <c r="G1763" s="564"/>
      <c r="H1763" s="561" t="s">
        <v>654</v>
      </c>
      <c r="I1763" s="565"/>
      <c r="J1763" s="565"/>
      <c r="K1763" s="563">
        <v>0</v>
      </c>
      <c r="L1763" s="566">
        <v>0</v>
      </c>
    </row>
    <row r="1764" spans="1:12" ht="22.5" x14ac:dyDescent="0.2">
      <c r="A1764" s="561" t="s">
        <v>102</v>
      </c>
      <c r="B1764" s="562">
        <v>2021</v>
      </c>
      <c r="C1764" s="561" t="s">
        <v>702</v>
      </c>
      <c r="D1764" s="561" t="s">
        <v>1967</v>
      </c>
      <c r="E1764" s="561" t="s">
        <v>704</v>
      </c>
      <c r="F1764" s="563">
        <v>0</v>
      </c>
      <c r="G1764" s="564"/>
      <c r="H1764" s="561" t="s">
        <v>654</v>
      </c>
      <c r="I1764" s="565"/>
      <c r="J1764" s="565"/>
      <c r="K1764" s="563">
        <v>0</v>
      </c>
      <c r="L1764" s="566">
        <v>0</v>
      </c>
    </row>
    <row r="1765" spans="1:12" ht="33.75" x14ac:dyDescent="0.2">
      <c r="A1765" s="561" t="s">
        <v>102</v>
      </c>
      <c r="B1765" s="562">
        <v>2021</v>
      </c>
      <c r="C1765" s="561" t="s">
        <v>705</v>
      </c>
      <c r="D1765" s="561" t="s">
        <v>1968</v>
      </c>
      <c r="E1765" s="561" t="s">
        <v>1</v>
      </c>
      <c r="F1765" s="563">
        <v>-6228320.96</v>
      </c>
      <c r="G1765" s="561" t="s">
        <v>654</v>
      </c>
      <c r="H1765" s="564"/>
      <c r="I1765" s="563">
        <v>-6008298.5</v>
      </c>
      <c r="J1765" s="563">
        <v>-220022.546875</v>
      </c>
      <c r="K1765" s="563">
        <v>-6228321</v>
      </c>
      <c r="L1765" s="566">
        <v>-6228320.96</v>
      </c>
    </row>
    <row r="1766" spans="1:12" ht="22.5" x14ac:dyDescent="0.2">
      <c r="A1766" s="561" t="s">
        <v>102</v>
      </c>
      <c r="B1766" s="562">
        <v>2021</v>
      </c>
      <c r="C1766" s="561" t="s">
        <v>705</v>
      </c>
      <c r="D1766" s="561" t="s">
        <v>1968</v>
      </c>
      <c r="E1766" s="561" t="s">
        <v>707</v>
      </c>
      <c r="F1766" s="563">
        <v>-8</v>
      </c>
      <c r="G1766" s="564"/>
      <c r="H1766" s="564"/>
      <c r="I1766" s="565"/>
      <c r="J1766" s="565"/>
      <c r="K1766" s="563">
        <v>0</v>
      </c>
      <c r="L1766" s="566">
        <v>-8</v>
      </c>
    </row>
    <row r="1767" spans="1:12" ht="22.5" x14ac:dyDescent="0.2">
      <c r="A1767" s="561" t="s">
        <v>102</v>
      </c>
      <c r="B1767" s="562">
        <v>2021</v>
      </c>
      <c r="C1767" s="561" t="s">
        <v>705</v>
      </c>
      <c r="D1767" s="561" t="s">
        <v>1968</v>
      </c>
      <c r="E1767" s="561" t="s">
        <v>708</v>
      </c>
      <c r="F1767" s="563">
        <v>274.01</v>
      </c>
      <c r="G1767" s="564"/>
      <c r="H1767" s="564"/>
      <c r="I1767" s="565"/>
      <c r="J1767" s="565"/>
      <c r="K1767" s="563">
        <v>0</v>
      </c>
      <c r="L1767" s="566">
        <v>274.01</v>
      </c>
    </row>
    <row r="1768" spans="1:12" ht="22.5" x14ac:dyDescent="0.2">
      <c r="A1768" s="561" t="s">
        <v>102</v>
      </c>
      <c r="B1768" s="562">
        <v>2021</v>
      </c>
      <c r="C1768" s="561" t="s">
        <v>705</v>
      </c>
      <c r="D1768" s="561" t="s">
        <v>1968</v>
      </c>
      <c r="E1768" s="561" t="s">
        <v>709</v>
      </c>
      <c r="F1768" s="563">
        <v>-10386.52</v>
      </c>
      <c r="G1768" s="564"/>
      <c r="H1768" s="564"/>
      <c r="I1768" s="565"/>
      <c r="J1768" s="565"/>
      <c r="K1768" s="563">
        <v>0</v>
      </c>
      <c r="L1768" s="566">
        <v>-10386.52</v>
      </c>
    </row>
    <row r="1769" spans="1:12" ht="22.5" x14ac:dyDescent="0.2">
      <c r="A1769" s="561" t="s">
        <v>102</v>
      </c>
      <c r="B1769" s="562">
        <v>2021</v>
      </c>
      <c r="C1769" s="561" t="s">
        <v>705</v>
      </c>
      <c r="D1769" s="561" t="s">
        <v>1968</v>
      </c>
      <c r="E1769" s="561" t="s">
        <v>710</v>
      </c>
      <c r="F1769" s="563">
        <v>-367674.06</v>
      </c>
      <c r="G1769" s="564"/>
      <c r="H1769" s="564"/>
      <c r="I1769" s="565"/>
      <c r="J1769" s="565"/>
      <c r="K1769" s="563">
        <v>0</v>
      </c>
      <c r="L1769" s="566">
        <v>-367674.06</v>
      </c>
    </row>
    <row r="1770" spans="1:12" ht="15" x14ac:dyDescent="0.2">
      <c r="A1770" s="561" t="s">
        <v>102</v>
      </c>
      <c r="B1770" s="562">
        <v>2021</v>
      </c>
      <c r="C1770" s="561" t="s">
        <v>711</v>
      </c>
      <c r="D1770" s="561" t="s">
        <v>1969</v>
      </c>
      <c r="E1770" s="561" t="s">
        <v>713</v>
      </c>
      <c r="F1770" s="563">
        <v>0</v>
      </c>
      <c r="G1770" s="564"/>
      <c r="H1770" s="561" t="s">
        <v>654</v>
      </c>
      <c r="I1770" s="565"/>
      <c r="J1770" s="565"/>
      <c r="K1770" s="563">
        <v>0</v>
      </c>
      <c r="L1770" s="566">
        <v>0</v>
      </c>
    </row>
    <row r="1771" spans="1:12" ht="33.75" x14ac:dyDescent="0.2">
      <c r="A1771" s="561" t="s">
        <v>102</v>
      </c>
      <c r="B1771" s="562">
        <v>2021</v>
      </c>
      <c r="C1771" s="561" t="s">
        <v>714</v>
      </c>
      <c r="D1771" s="561" t="s">
        <v>1970</v>
      </c>
      <c r="E1771" s="561" t="s">
        <v>2</v>
      </c>
      <c r="F1771" s="563">
        <v>3633931.26</v>
      </c>
      <c r="G1771" s="561" t="s">
        <v>654</v>
      </c>
      <c r="H1771" s="564"/>
      <c r="I1771" s="563">
        <v>3496347.5</v>
      </c>
      <c r="J1771" s="563">
        <v>137583.84375</v>
      </c>
      <c r="K1771" s="563">
        <v>3633931.25</v>
      </c>
      <c r="L1771" s="566">
        <v>3633931.26</v>
      </c>
    </row>
    <row r="1772" spans="1:12" ht="33.75" x14ac:dyDescent="0.2">
      <c r="A1772" s="561" t="s">
        <v>102</v>
      </c>
      <c r="B1772" s="562">
        <v>2021</v>
      </c>
      <c r="C1772" s="561" t="s">
        <v>716</v>
      </c>
      <c r="D1772" s="561" t="s">
        <v>1971</v>
      </c>
      <c r="E1772" s="561" t="s">
        <v>3</v>
      </c>
      <c r="F1772" s="563">
        <v>206842.53</v>
      </c>
      <c r="G1772" s="561" t="s">
        <v>654</v>
      </c>
      <c r="H1772" s="564"/>
      <c r="I1772" s="563">
        <v>174564.90625</v>
      </c>
      <c r="J1772" s="563">
        <v>32277.619140625</v>
      </c>
      <c r="K1772" s="563">
        <v>206842.53125</v>
      </c>
      <c r="L1772" s="566">
        <v>206842.53</v>
      </c>
    </row>
    <row r="1773" spans="1:12" ht="33.75" x14ac:dyDescent="0.2">
      <c r="A1773" s="561" t="s">
        <v>102</v>
      </c>
      <c r="B1773" s="562">
        <v>2021</v>
      </c>
      <c r="C1773" s="561" t="s">
        <v>718</v>
      </c>
      <c r="D1773" s="561" t="s">
        <v>1972</v>
      </c>
      <c r="E1773" s="561" t="s">
        <v>38</v>
      </c>
      <c r="F1773" s="563">
        <v>2048580.1</v>
      </c>
      <c r="G1773" s="561" t="s">
        <v>654</v>
      </c>
      <c r="H1773" s="564"/>
      <c r="I1773" s="563">
        <v>2076553.25</v>
      </c>
      <c r="J1773" s="563">
        <v>-27973.099609375</v>
      </c>
      <c r="K1773" s="563">
        <v>2048580.125</v>
      </c>
      <c r="L1773" s="566">
        <v>2048580.1</v>
      </c>
    </row>
    <row r="1774" spans="1:12" ht="22.5" x14ac:dyDescent="0.2">
      <c r="A1774" s="561" t="s">
        <v>102</v>
      </c>
      <c r="B1774" s="562">
        <v>2021</v>
      </c>
      <c r="C1774" s="561" t="s">
        <v>720</v>
      </c>
      <c r="D1774" s="561" t="s">
        <v>1973</v>
      </c>
      <c r="E1774" s="561" t="s">
        <v>66</v>
      </c>
      <c r="F1774" s="563">
        <v>6395428.9299999997</v>
      </c>
      <c r="G1774" s="561" t="s">
        <v>654</v>
      </c>
      <c r="H1774" s="564"/>
      <c r="I1774" s="563">
        <v>6059419</v>
      </c>
      <c r="J1774" s="563">
        <v>336010.0625</v>
      </c>
      <c r="K1774" s="563">
        <v>6395429</v>
      </c>
      <c r="L1774" s="566">
        <v>6395428.9299999997</v>
      </c>
    </row>
    <row r="1775" spans="1:12" ht="45" x14ac:dyDescent="0.2">
      <c r="A1775" s="561" t="s">
        <v>102</v>
      </c>
      <c r="B1775" s="562">
        <v>2021</v>
      </c>
      <c r="C1775" s="561" t="s">
        <v>722</v>
      </c>
      <c r="D1775" s="561" t="s">
        <v>1974</v>
      </c>
      <c r="E1775" s="561" t="s">
        <v>724</v>
      </c>
      <c r="F1775" s="563">
        <v>-2905358</v>
      </c>
      <c r="G1775" s="564"/>
      <c r="H1775" s="561" t="s">
        <v>654</v>
      </c>
      <c r="I1775" s="565"/>
      <c r="J1775" s="565"/>
      <c r="K1775" s="563">
        <v>0</v>
      </c>
      <c r="L1775" s="566">
        <v>-2905358</v>
      </c>
    </row>
    <row r="1776" spans="1:12" ht="45" x14ac:dyDescent="0.2">
      <c r="A1776" s="561" t="s">
        <v>102</v>
      </c>
      <c r="B1776" s="562">
        <v>2021</v>
      </c>
      <c r="C1776" s="561" t="s">
        <v>725</v>
      </c>
      <c r="D1776" s="561" t="s">
        <v>1975</v>
      </c>
      <c r="E1776" s="561" t="s">
        <v>3024</v>
      </c>
      <c r="F1776" s="563">
        <v>0</v>
      </c>
      <c r="G1776" s="561" t="s">
        <v>654</v>
      </c>
      <c r="H1776" s="564"/>
      <c r="I1776" s="563">
        <v>173222.921875</v>
      </c>
      <c r="J1776" s="563">
        <v>-70467.84375</v>
      </c>
      <c r="K1776" s="563">
        <v>102755.078125</v>
      </c>
      <c r="L1776" s="566">
        <v>102755.08</v>
      </c>
    </row>
    <row r="1777" spans="1:12" ht="45" x14ac:dyDescent="0.2">
      <c r="A1777" s="561" t="s">
        <v>102</v>
      </c>
      <c r="B1777" s="562">
        <v>2021</v>
      </c>
      <c r="C1777" s="561" t="s">
        <v>725</v>
      </c>
      <c r="D1777" s="561" t="s">
        <v>1975</v>
      </c>
      <c r="E1777" s="561" t="s">
        <v>3066</v>
      </c>
      <c r="F1777" s="563">
        <v>0</v>
      </c>
      <c r="G1777" s="561" t="s">
        <v>654</v>
      </c>
      <c r="H1777" s="564"/>
      <c r="I1777" s="565"/>
      <c r="J1777" s="565"/>
      <c r="K1777" s="563">
        <v>0</v>
      </c>
      <c r="L1777" s="566">
        <v>0</v>
      </c>
    </row>
    <row r="1778" spans="1:12" ht="45" x14ac:dyDescent="0.2">
      <c r="A1778" s="561" t="s">
        <v>102</v>
      </c>
      <c r="B1778" s="562">
        <v>2021</v>
      </c>
      <c r="C1778" s="561" t="s">
        <v>725</v>
      </c>
      <c r="D1778" s="561" t="s">
        <v>1976</v>
      </c>
      <c r="E1778" s="561" t="s">
        <v>728</v>
      </c>
      <c r="F1778" s="563">
        <v>0</v>
      </c>
      <c r="G1778" s="561" t="s">
        <v>654</v>
      </c>
      <c r="H1778" s="564"/>
      <c r="I1778" s="565"/>
      <c r="J1778" s="565"/>
      <c r="K1778" s="563">
        <v>0</v>
      </c>
      <c r="L1778" s="566">
        <v>0</v>
      </c>
    </row>
    <row r="1779" spans="1:12" ht="45" x14ac:dyDescent="0.2">
      <c r="A1779" s="561" t="s">
        <v>102</v>
      </c>
      <c r="B1779" s="562">
        <v>2021</v>
      </c>
      <c r="C1779" s="561" t="s">
        <v>725</v>
      </c>
      <c r="D1779" s="561" t="s">
        <v>1977</v>
      </c>
      <c r="E1779" s="561" t="s">
        <v>55</v>
      </c>
      <c r="F1779" s="563">
        <v>0</v>
      </c>
      <c r="G1779" s="561" t="s">
        <v>654</v>
      </c>
      <c r="H1779" s="564"/>
      <c r="I1779" s="565"/>
      <c r="J1779" s="565"/>
      <c r="K1779" s="563">
        <v>0</v>
      </c>
      <c r="L1779" s="566">
        <v>0</v>
      </c>
    </row>
    <row r="1780" spans="1:12" ht="45" x14ac:dyDescent="0.2">
      <c r="A1780" s="561" t="s">
        <v>102</v>
      </c>
      <c r="B1780" s="562">
        <v>2021</v>
      </c>
      <c r="C1780" s="561" t="s">
        <v>725</v>
      </c>
      <c r="D1780" s="561" t="s">
        <v>1978</v>
      </c>
      <c r="E1780" s="561" t="s">
        <v>56</v>
      </c>
      <c r="F1780" s="563">
        <v>0</v>
      </c>
      <c r="G1780" s="561" t="s">
        <v>654</v>
      </c>
      <c r="H1780" s="564"/>
      <c r="I1780" s="565"/>
      <c r="J1780" s="565"/>
      <c r="K1780" s="563">
        <v>0</v>
      </c>
      <c r="L1780" s="566">
        <v>0</v>
      </c>
    </row>
    <row r="1781" spans="1:12" ht="45" x14ac:dyDescent="0.2">
      <c r="A1781" s="561" t="s">
        <v>102</v>
      </c>
      <c r="B1781" s="562">
        <v>2021</v>
      </c>
      <c r="C1781" s="561" t="s">
        <v>725</v>
      </c>
      <c r="D1781" s="561" t="s">
        <v>1979</v>
      </c>
      <c r="E1781" s="561" t="s">
        <v>732</v>
      </c>
      <c r="F1781" s="563">
        <v>0</v>
      </c>
      <c r="G1781" s="561" t="s">
        <v>654</v>
      </c>
      <c r="H1781" s="564"/>
      <c r="I1781" s="565"/>
      <c r="J1781" s="565"/>
      <c r="K1781" s="563">
        <v>0</v>
      </c>
      <c r="L1781" s="566">
        <v>0</v>
      </c>
    </row>
    <row r="1782" spans="1:12" ht="45" x14ac:dyDescent="0.2">
      <c r="A1782" s="561" t="s">
        <v>102</v>
      </c>
      <c r="B1782" s="562">
        <v>2021</v>
      </c>
      <c r="C1782" s="561" t="s">
        <v>725</v>
      </c>
      <c r="D1782" s="561" t="s">
        <v>1980</v>
      </c>
      <c r="E1782" s="561" t="s">
        <v>734</v>
      </c>
      <c r="F1782" s="563">
        <v>0</v>
      </c>
      <c r="G1782" s="561" t="s">
        <v>654</v>
      </c>
      <c r="H1782" s="564"/>
      <c r="I1782" s="565"/>
      <c r="J1782" s="565"/>
      <c r="K1782" s="563">
        <v>0</v>
      </c>
      <c r="L1782" s="566">
        <v>0</v>
      </c>
    </row>
    <row r="1783" spans="1:12" ht="45" x14ac:dyDescent="0.2">
      <c r="A1783" s="561" t="s">
        <v>102</v>
      </c>
      <c r="B1783" s="562">
        <v>2021</v>
      </c>
      <c r="C1783" s="561" t="s">
        <v>725</v>
      </c>
      <c r="D1783" s="561" t="s">
        <v>1981</v>
      </c>
      <c r="E1783" s="561" t="s">
        <v>142</v>
      </c>
      <c r="F1783" s="563">
        <v>0</v>
      </c>
      <c r="G1783" s="561" t="s">
        <v>654</v>
      </c>
      <c r="H1783" s="564"/>
      <c r="I1783" s="565"/>
      <c r="J1783" s="565"/>
      <c r="K1783" s="563">
        <v>0</v>
      </c>
      <c r="L1783" s="566">
        <v>0</v>
      </c>
    </row>
    <row r="1784" spans="1:12" ht="45" x14ac:dyDescent="0.2">
      <c r="A1784" s="561" t="s">
        <v>102</v>
      </c>
      <c r="B1784" s="562">
        <v>2021</v>
      </c>
      <c r="C1784" s="561" t="s">
        <v>725</v>
      </c>
      <c r="D1784" s="561" t="s">
        <v>1982</v>
      </c>
      <c r="E1784" s="561" t="s">
        <v>143</v>
      </c>
      <c r="F1784" s="563">
        <v>0</v>
      </c>
      <c r="G1784" s="561" t="s">
        <v>654</v>
      </c>
      <c r="H1784" s="564"/>
      <c r="I1784" s="565"/>
      <c r="J1784" s="565"/>
      <c r="K1784" s="563">
        <v>0</v>
      </c>
      <c r="L1784" s="566">
        <v>0</v>
      </c>
    </row>
    <row r="1785" spans="1:12" ht="45" x14ac:dyDescent="0.2">
      <c r="A1785" s="561" t="s">
        <v>102</v>
      </c>
      <c r="B1785" s="562">
        <v>2021</v>
      </c>
      <c r="C1785" s="561" t="s">
        <v>725</v>
      </c>
      <c r="D1785" s="561" t="s">
        <v>1983</v>
      </c>
      <c r="E1785" s="561" t="s">
        <v>182</v>
      </c>
      <c r="F1785" s="563">
        <v>0</v>
      </c>
      <c r="G1785" s="561" t="s">
        <v>654</v>
      </c>
      <c r="H1785" s="564"/>
      <c r="I1785" s="565"/>
      <c r="J1785" s="565"/>
      <c r="K1785" s="563">
        <v>0</v>
      </c>
      <c r="L1785" s="566">
        <v>0</v>
      </c>
    </row>
    <row r="1786" spans="1:12" ht="45" x14ac:dyDescent="0.2">
      <c r="A1786" s="561" t="s">
        <v>102</v>
      </c>
      <c r="B1786" s="562">
        <v>2021</v>
      </c>
      <c r="C1786" s="561" t="s">
        <v>725</v>
      </c>
      <c r="D1786" s="561" t="s">
        <v>1984</v>
      </c>
      <c r="E1786" s="561" t="s">
        <v>394</v>
      </c>
      <c r="F1786" s="563">
        <v>0</v>
      </c>
      <c r="G1786" s="561" t="s">
        <v>654</v>
      </c>
      <c r="H1786" s="564"/>
      <c r="I1786" s="563">
        <v>106064.75</v>
      </c>
      <c r="J1786" s="563">
        <v>-195134.796875</v>
      </c>
      <c r="K1786" s="563">
        <v>-89070.0390625</v>
      </c>
      <c r="L1786" s="566">
        <v>-89070.04</v>
      </c>
    </row>
    <row r="1787" spans="1:12" ht="45" x14ac:dyDescent="0.2">
      <c r="A1787" s="561" t="s">
        <v>102</v>
      </c>
      <c r="B1787" s="562">
        <v>2021</v>
      </c>
      <c r="C1787" s="561" t="s">
        <v>725</v>
      </c>
      <c r="D1787" s="561" t="s">
        <v>1985</v>
      </c>
      <c r="E1787" s="561" t="s">
        <v>425</v>
      </c>
      <c r="F1787" s="563">
        <v>0</v>
      </c>
      <c r="G1787" s="561" t="s">
        <v>654</v>
      </c>
      <c r="H1787" s="564"/>
      <c r="I1787" s="563">
        <v>-131705.625</v>
      </c>
      <c r="J1787" s="563">
        <v>-57657.94140625</v>
      </c>
      <c r="K1787" s="563">
        <v>-189363.5625</v>
      </c>
      <c r="L1787" s="566">
        <v>-189363.57</v>
      </c>
    </row>
    <row r="1788" spans="1:12" ht="45" x14ac:dyDescent="0.2">
      <c r="A1788" s="561" t="s">
        <v>102</v>
      </c>
      <c r="B1788" s="562">
        <v>2021</v>
      </c>
      <c r="C1788" s="561" t="s">
        <v>725</v>
      </c>
      <c r="D1788" s="561" t="s">
        <v>3278</v>
      </c>
      <c r="E1788" s="561" t="s">
        <v>443</v>
      </c>
      <c r="F1788" s="563">
        <v>0</v>
      </c>
      <c r="G1788" s="561" t="s">
        <v>654</v>
      </c>
      <c r="H1788" s="564"/>
      <c r="I1788" s="563">
        <v>-285492.3125</v>
      </c>
      <c r="J1788" s="563">
        <v>11419.5</v>
      </c>
      <c r="K1788" s="563">
        <v>-274072.8125</v>
      </c>
      <c r="L1788" s="566">
        <v>-274072.81</v>
      </c>
    </row>
    <row r="1789" spans="1:12" ht="45" x14ac:dyDescent="0.2">
      <c r="A1789" s="561" t="s">
        <v>102</v>
      </c>
      <c r="B1789" s="562">
        <v>2021</v>
      </c>
      <c r="C1789" s="561" t="s">
        <v>725</v>
      </c>
      <c r="D1789" s="561" t="s">
        <v>1986</v>
      </c>
      <c r="E1789" s="561" t="s">
        <v>741</v>
      </c>
      <c r="F1789" s="563">
        <v>-449751.34</v>
      </c>
      <c r="G1789" s="564"/>
      <c r="H1789" s="564"/>
      <c r="I1789" s="565"/>
      <c r="J1789" s="565"/>
      <c r="K1789" s="563">
        <v>0</v>
      </c>
      <c r="L1789" s="566">
        <v>-449751.34</v>
      </c>
    </row>
    <row r="1790" spans="1:12" ht="22.5" x14ac:dyDescent="0.2">
      <c r="A1790" s="561" t="s">
        <v>102</v>
      </c>
      <c r="B1790" s="562">
        <v>2021</v>
      </c>
      <c r="C1790" s="561" t="s">
        <v>742</v>
      </c>
      <c r="D1790" s="561" t="s">
        <v>1987</v>
      </c>
      <c r="E1790" s="561" t="s">
        <v>7</v>
      </c>
      <c r="F1790" s="563">
        <v>0</v>
      </c>
      <c r="G1790" s="564"/>
      <c r="H1790" s="561" t="s">
        <v>654</v>
      </c>
      <c r="I1790" s="565"/>
      <c r="J1790" s="565"/>
      <c r="K1790" s="563">
        <v>0</v>
      </c>
      <c r="L1790" s="566">
        <v>0</v>
      </c>
    </row>
    <row r="1791" spans="1:12" ht="22.5" x14ac:dyDescent="0.2">
      <c r="A1791" s="561" t="s">
        <v>129</v>
      </c>
      <c r="B1791" s="562">
        <v>2021</v>
      </c>
      <c r="C1791" s="561" t="s">
        <v>651</v>
      </c>
      <c r="D1791" s="561" t="s">
        <v>1988</v>
      </c>
      <c r="E1791" s="561" t="s">
        <v>653</v>
      </c>
      <c r="F1791" s="563">
        <v>4316</v>
      </c>
      <c r="G1791" s="564"/>
      <c r="H1791" s="561" t="s">
        <v>654</v>
      </c>
      <c r="I1791" s="565"/>
      <c r="J1791" s="565"/>
      <c r="K1791" s="563">
        <v>0</v>
      </c>
      <c r="L1791" s="566">
        <v>4316</v>
      </c>
    </row>
    <row r="1792" spans="1:12" ht="22.5" x14ac:dyDescent="0.2">
      <c r="A1792" s="561" t="s">
        <v>129</v>
      </c>
      <c r="B1792" s="562">
        <v>2021</v>
      </c>
      <c r="C1792" s="561" t="s">
        <v>655</v>
      </c>
      <c r="D1792" s="561" t="s">
        <v>1989</v>
      </c>
      <c r="E1792" s="561" t="s">
        <v>657</v>
      </c>
      <c r="F1792" s="563">
        <v>0</v>
      </c>
      <c r="G1792" s="564"/>
      <c r="H1792" s="561" t="s">
        <v>654</v>
      </c>
      <c r="I1792" s="565"/>
      <c r="J1792" s="565"/>
      <c r="K1792" s="563">
        <v>0</v>
      </c>
      <c r="L1792" s="566">
        <v>0</v>
      </c>
    </row>
    <row r="1793" spans="1:12" ht="56.25" x14ac:dyDescent="0.2">
      <c r="A1793" s="561" t="s">
        <v>129</v>
      </c>
      <c r="B1793" s="562">
        <v>2021</v>
      </c>
      <c r="C1793" s="561" t="s">
        <v>658</v>
      </c>
      <c r="D1793" s="561" t="s">
        <v>1990</v>
      </c>
      <c r="E1793" s="561" t="s">
        <v>447</v>
      </c>
      <c r="F1793" s="563">
        <v>0</v>
      </c>
      <c r="G1793" s="564"/>
      <c r="H1793" s="561" t="s">
        <v>654</v>
      </c>
      <c r="I1793" s="565"/>
      <c r="J1793" s="565"/>
      <c r="K1793" s="563">
        <v>0</v>
      </c>
      <c r="L1793" s="566">
        <v>0</v>
      </c>
    </row>
    <row r="1794" spans="1:12" ht="22.5" x14ac:dyDescent="0.2">
      <c r="A1794" s="561" t="s">
        <v>129</v>
      </c>
      <c r="B1794" s="562">
        <v>2021</v>
      </c>
      <c r="C1794" s="561" t="s">
        <v>660</v>
      </c>
      <c r="D1794" s="561" t="s">
        <v>1991</v>
      </c>
      <c r="E1794" s="561" t="s">
        <v>662</v>
      </c>
      <c r="F1794" s="563">
        <v>0</v>
      </c>
      <c r="G1794" s="564"/>
      <c r="H1794" s="561" t="s">
        <v>654</v>
      </c>
      <c r="I1794" s="565"/>
      <c r="J1794" s="565"/>
      <c r="K1794" s="563">
        <v>0</v>
      </c>
      <c r="L1794" s="566">
        <v>0</v>
      </c>
    </row>
    <row r="1795" spans="1:12" ht="33.75" x14ac:dyDescent="0.2">
      <c r="A1795" s="561" t="s">
        <v>129</v>
      </c>
      <c r="B1795" s="562">
        <v>2021</v>
      </c>
      <c r="C1795" s="561" t="s">
        <v>663</v>
      </c>
      <c r="D1795" s="561" t="s">
        <v>1992</v>
      </c>
      <c r="E1795" s="561" t="s">
        <v>665</v>
      </c>
      <c r="F1795" s="563">
        <v>0</v>
      </c>
      <c r="G1795" s="564"/>
      <c r="H1795" s="561" t="s">
        <v>654</v>
      </c>
      <c r="I1795" s="565"/>
      <c r="J1795" s="565"/>
      <c r="K1795" s="563">
        <v>0</v>
      </c>
      <c r="L1795" s="566">
        <v>0</v>
      </c>
    </row>
    <row r="1796" spans="1:12" ht="33.75" x14ac:dyDescent="0.2">
      <c r="A1796" s="561" t="s">
        <v>129</v>
      </c>
      <c r="B1796" s="562">
        <v>2021</v>
      </c>
      <c r="C1796" s="561" t="s">
        <v>666</v>
      </c>
      <c r="D1796" s="561" t="s">
        <v>1993</v>
      </c>
      <c r="E1796" s="561" t="s">
        <v>668</v>
      </c>
      <c r="F1796" s="563">
        <v>0</v>
      </c>
      <c r="G1796" s="564"/>
      <c r="H1796" s="561" t="s">
        <v>654</v>
      </c>
      <c r="I1796" s="565"/>
      <c r="J1796" s="565"/>
      <c r="K1796" s="563">
        <v>0</v>
      </c>
      <c r="L1796" s="566">
        <v>0</v>
      </c>
    </row>
    <row r="1797" spans="1:12" ht="56.25" x14ac:dyDescent="0.2">
      <c r="A1797" s="561" t="s">
        <v>129</v>
      </c>
      <c r="B1797" s="562">
        <v>2021</v>
      </c>
      <c r="C1797" s="561" t="s">
        <v>669</v>
      </c>
      <c r="D1797" s="561" t="s">
        <v>1994</v>
      </c>
      <c r="E1797" s="561" t="s">
        <v>671</v>
      </c>
      <c r="F1797" s="563">
        <v>0</v>
      </c>
      <c r="G1797" s="564"/>
      <c r="H1797" s="561" t="s">
        <v>654</v>
      </c>
      <c r="I1797" s="565"/>
      <c r="J1797" s="565"/>
      <c r="K1797" s="563">
        <v>0</v>
      </c>
      <c r="L1797" s="566">
        <v>0</v>
      </c>
    </row>
    <row r="1798" spans="1:12" ht="22.5" x14ac:dyDescent="0.2">
      <c r="A1798" s="561" t="s">
        <v>129</v>
      </c>
      <c r="B1798" s="562">
        <v>2021</v>
      </c>
      <c r="C1798" s="561" t="s">
        <v>672</v>
      </c>
      <c r="D1798" s="561" t="s">
        <v>1995</v>
      </c>
      <c r="E1798" s="561" t="s">
        <v>12</v>
      </c>
      <c r="F1798" s="563">
        <v>0</v>
      </c>
      <c r="G1798" s="564"/>
      <c r="H1798" s="561" t="s">
        <v>654</v>
      </c>
      <c r="I1798" s="565"/>
      <c r="J1798" s="565"/>
      <c r="K1798" s="563">
        <v>0</v>
      </c>
      <c r="L1798" s="566">
        <v>0</v>
      </c>
    </row>
    <row r="1799" spans="1:12" ht="22.5" x14ac:dyDescent="0.2">
      <c r="A1799" s="561" t="s">
        <v>129</v>
      </c>
      <c r="B1799" s="562">
        <v>2021</v>
      </c>
      <c r="C1799" s="561" t="s">
        <v>674</v>
      </c>
      <c r="D1799" s="561" t="s">
        <v>1996</v>
      </c>
      <c r="E1799" s="561" t="s">
        <v>13</v>
      </c>
      <c r="F1799" s="563">
        <v>0</v>
      </c>
      <c r="G1799" s="564"/>
      <c r="H1799" s="561" t="s">
        <v>654</v>
      </c>
      <c r="I1799" s="565"/>
      <c r="J1799" s="565"/>
      <c r="K1799" s="563">
        <v>0</v>
      </c>
      <c r="L1799" s="566">
        <v>0</v>
      </c>
    </row>
    <row r="1800" spans="1:12" ht="33.75" x14ac:dyDescent="0.2">
      <c r="A1800" s="561" t="s">
        <v>129</v>
      </c>
      <c r="B1800" s="562">
        <v>2021</v>
      </c>
      <c r="C1800" s="561" t="s">
        <v>676</v>
      </c>
      <c r="D1800" s="561" t="s">
        <v>1997</v>
      </c>
      <c r="E1800" s="561" t="s">
        <v>15</v>
      </c>
      <c r="F1800" s="563">
        <v>0</v>
      </c>
      <c r="G1800" s="564"/>
      <c r="H1800" s="561" t="s">
        <v>654</v>
      </c>
      <c r="I1800" s="565"/>
      <c r="J1800" s="565"/>
      <c r="K1800" s="563">
        <v>0</v>
      </c>
      <c r="L1800" s="566">
        <v>0</v>
      </c>
    </row>
    <row r="1801" spans="1:12" ht="22.5" x14ac:dyDescent="0.2">
      <c r="A1801" s="561" t="s">
        <v>129</v>
      </c>
      <c r="B1801" s="562">
        <v>2021</v>
      </c>
      <c r="C1801" s="561" t="s">
        <v>678</v>
      </c>
      <c r="D1801" s="561" t="s">
        <v>1998</v>
      </c>
      <c r="E1801" s="561" t="s">
        <v>680</v>
      </c>
      <c r="F1801" s="563">
        <v>0</v>
      </c>
      <c r="G1801" s="564"/>
      <c r="H1801" s="561" t="s">
        <v>654</v>
      </c>
      <c r="I1801" s="565"/>
      <c r="J1801" s="565"/>
      <c r="K1801" s="563">
        <v>0</v>
      </c>
      <c r="L1801" s="566">
        <v>0</v>
      </c>
    </row>
    <row r="1802" spans="1:12" ht="22.5" x14ac:dyDescent="0.2">
      <c r="A1802" s="561" t="s">
        <v>129</v>
      </c>
      <c r="B1802" s="562">
        <v>2021</v>
      </c>
      <c r="C1802" s="561" t="s">
        <v>681</v>
      </c>
      <c r="D1802" s="561" t="s">
        <v>1999</v>
      </c>
      <c r="E1802" s="561" t="s">
        <v>23</v>
      </c>
      <c r="F1802" s="563">
        <v>800677</v>
      </c>
      <c r="G1802" s="561" t="s">
        <v>654</v>
      </c>
      <c r="H1802" s="564"/>
      <c r="I1802" s="563">
        <v>787017</v>
      </c>
      <c r="J1802" s="563">
        <v>13660</v>
      </c>
      <c r="K1802" s="563">
        <v>800677</v>
      </c>
      <c r="L1802" s="566">
        <v>800677</v>
      </c>
    </row>
    <row r="1803" spans="1:12" ht="33.75" x14ac:dyDescent="0.2">
      <c r="A1803" s="561" t="s">
        <v>129</v>
      </c>
      <c r="B1803" s="562">
        <v>2021</v>
      </c>
      <c r="C1803" s="561" t="s">
        <v>683</v>
      </c>
      <c r="D1803" s="561" t="s">
        <v>2000</v>
      </c>
      <c r="E1803" s="561" t="s">
        <v>131</v>
      </c>
      <c r="F1803" s="563">
        <v>-58134</v>
      </c>
      <c r="G1803" s="561" t="s">
        <v>654</v>
      </c>
      <c r="H1803" s="564"/>
      <c r="I1803" s="563">
        <v>-56279</v>
      </c>
      <c r="J1803" s="563">
        <v>-1855</v>
      </c>
      <c r="K1803" s="563">
        <v>-58134</v>
      </c>
      <c r="L1803" s="566">
        <v>-58134</v>
      </c>
    </row>
    <row r="1804" spans="1:12" ht="33.75" x14ac:dyDescent="0.2">
      <c r="A1804" s="561" t="s">
        <v>129</v>
      </c>
      <c r="B1804" s="562">
        <v>2021</v>
      </c>
      <c r="C1804" s="561" t="s">
        <v>685</v>
      </c>
      <c r="D1804" s="561" t="s">
        <v>2001</v>
      </c>
      <c r="E1804" s="561" t="s">
        <v>687</v>
      </c>
      <c r="F1804" s="563">
        <v>0</v>
      </c>
      <c r="G1804" s="564"/>
      <c r="H1804" s="561" t="s">
        <v>654</v>
      </c>
      <c r="I1804" s="565"/>
      <c r="J1804" s="565"/>
      <c r="K1804" s="563">
        <v>0</v>
      </c>
      <c r="L1804" s="566">
        <v>0</v>
      </c>
    </row>
    <row r="1805" spans="1:12" ht="33.75" x14ac:dyDescent="0.2">
      <c r="A1805" s="561" t="s">
        <v>129</v>
      </c>
      <c r="B1805" s="562">
        <v>2021</v>
      </c>
      <c r="C1805" s="561" t="s">
        <v>685</v>
      </c>
      <c r="D1805" s="561" t="s">
        <v>2001</v>
      </c>
      <c r="E1805" s="561" t="s">
        <v>688</v>
      </c>
      <c r="F1805" s="563">
        <v>0</v>
      </c>
      <c r="G1805" s="564"/>
      <c r="H1805" s="561" t="s">
        <v>654</v>
      </c>
      <c r="I1805" s="565"/>
      <c r="J1805" s="565"/>
      <c r="K1805" s="563">
        <v>0</v>
      </c>
      <c r="L1805" s="566">
        <v>0</v>
      </c>
    </row>
    <row r="1806" spans="1:12" ht="22.5" x14ac:dyDescent="0.2">
      <c r="A1806" s="561" t="s">
        <v>129</v>
      </c>
      <c r="B1806" s="562">
        <v>2021</v>
      </c>
      <c r="C1806" s="561" t="s">
        <v>689</v>
      </c>
      <c r="D1806" s="561" t="s">
        <v>2002</v>
      </c>
      <c r="E1806" s="561" t="s">
        <v>691</v>
      </c>
      <c r="F1806" s="563">
        <v>0</v>
      </c>
      <c r="G1806" s="564"/>
      <c r="H1806" s="561" t="s">
        <v>654</v>
      </c>
      <c r="I1806" s="565"/>
      <c r="J1806" s="565"/>
      <c r="K1806" s="563">
        <v>0</v>
      </c>
      <c r="L1806" s="566">
        <v>0</v>
      </c>
    </row>
    <row r="1807" spans="1:12" ht="22.5" x14ac:dyDescent="0.2">
      <c r="A1807" s="561" t="s">
        <v>129</v>
      </c>
      <c r="B1807" s="562">
        <v>2021</v>
      </c>
      <c r="C1807" s="561" t="s">
        <v>692</v>
      </c>
      <c r="D1807" s="561" t="s">
        <v>2003</v>
      </c>
      <c r="E1807" s="561" t="s">
        <v>50</v>
      </c>
      <c r="F1807" s="563">
        <v>0</v>
      </c>
      <c r="G1807" s="564"/>
      <c r="H1807" s="561" t="s">
        <v>654</v>
      </c>
      <c r="I1807" s="565"/>
      <c r="J1807" s="565"/>
      <c r="K1807" s="563">
        <v>0</v>
      </c>
      <c r="L1807" s="566">
        <v>0</v>
      </c>
    </row>
    <row r="1808" spans="1:12" ht="22.5" x14ac:dyDescent="0.2">
      <c r="A1808" s="561" t="s">
        <v>129</v>
      </c>
      <c r="B1808" s="562">
        <v>2021</v>
      </c>
      <c r="C1808" s="561" t="s">
        <v>694</v>
      </c>
      <c r="D1808" s="561" t="s">
        <v>2004</v>
      </c>
      <c r="E1808" s="561" t="s">
        <v>696</v>
      </c>
      <c r="F1808" s="563">
        <v>0</v>
      </c>
      <c r="G1808" s="564"/>
      <c r="H1808" s="561" t="s">
        <v>654</v>
      </c>
      <c r="I1808" s="565"/>
      <c r="J1808" s="565"/>
      <c r="K1808" s="563">
        <v>0</v>
      </c>
      <c r="L1808" s="566">
        <v>0</v>
      </c>
    </row>
    <row r="1809" spans="1:12" ht="22.5" x14ac:dyDescent="0.2">
      <c r="A1809" s="561" t="s">
        <v>129</v>
      </c>
      <c r="B1809" s="562">
        <v>2021</v>
      </c>
      <c r="C1809" s="561" t="s">
        <v>697</v>
      </c>
      <c r="D1809" s="561" t="s">
        <v>2005</v>
      </c>
      <c r="E1809" s="561" t="s">
        <v>6</v>
      </c>
      <c r="F1809" s="563">
        <v>0</v>
      </c>
      <c r="G1809" s="564"/>
      <c r="H1809" s="561" t="s">
        <v>654</v>
      </c>
      <c r="I1809" s="565"/>
      <c r="J1809" s="565"/>
      <c r="K1809" s="563">
        <v>0</v>
      </c>
      <c r="L1809" s="566">
        <v>0</v>
      </c>
    </row>
    <row r="1810" spans="1:12" ht="33.75" x14ac:dyDescent="0.2">
      <c r="A1810" s="561" t="s">
        <v>129</v>
      </c>
      <c r="B1810" s="562">
        <v>2021</v>
      </c>
      <c r="C1810" s="561" t="s">
        <v>699</v>
      </c>
      <c r="D1810" s="561" t="s">
        <v>2006</v>
      </c>
      <c r="E1810" s="561" t="s">
        <v>701</v>
      </c>
      <c r="F1810" s="563">
        <v>173789</v>
      </c>
      <c r="G1810" s="564"/>
      <c r="H1810" s="561" t="s">
        <v>654</v>
      </c>
      <c r="I1810" s="565"/>
      <c r="J1810" s="565"/>
      <c r="K1810" s="563">
        <v>0</v>
      </c>
      <c r="L1810" s="566">
        <v>173789</v>
      </c>
    </row>
    <row r="1811" spans="1:12" ht="22.5" x14ac:dyDescent="0.2">
      <c r="A1811" s="561" t="s">
        <v>129</v>
      </c>
      <c r="B1811" s="562">
        <v>2021</v>
      </c>
      <c r="C1811" s="561" t="s">
        <v>702</v>
      </c>
      <c r="D1811" s="561" t="s">
        <v>2007</v>
      </c>
      <c r="E1811" s="561" t="s">
        <v>704</v>
      </c>
      <c r="F1811" s="563">
        <v>174417</v>
      </c>
      <c r="G1811" s="564"/>
      <c r="H1811" s="561" t="s">
        <v>654</v>
      </c>
      <c r="I1811" s="565"/>
      <c r="J1811" s="565"/>
      <c r="K1811" s="563">
        <v>0</v>
      </c>
      <c r="L1811" s="566">
        <v>174417</v>
      </c>
    </row>
    <row r="1812" spans="1:12" ht="33.75" x14ac:dyDescent="0.2">
      <c r="A1812" s="561" t="s">
        <v>129</v>
      </c>
      <c r="B1812" s="562">
        <v>2021</v>
      </c>
      <c r="C1812" s="561" t="s">
        <v>705</v>
      </c>
      <c r="D1812" s="561" t="s">
        <v>2008</v>
      </c>
      <c r="E1812" s="561" t="s">
        <v>1</v>
      </c>
      <c r="F1812" s="563">
        <v>-929423</v>
      </c>
      <c r="G1812" s="561" t="s">
        <v>654</v>
      </c>
      <c r="H1812" s="564"/>
      <c r="I1812" s="563">
        <v>-919626</v>
      </c>
      <c r="J1812" s="563">
        <v>-9797</v>
      </c>
      <c r="K1812" s="563">
        <v>-929423</v>
      </c>
      <c r="L1812" s="566">
        <v>-929423</v>
      </c>
    </row>
    <row r="1813" spans="1:12" ht="22.5" x14ac:dyDescent="0.2">
      <c r="A1813" s="561" t="s">
        <v>129</v>
      </c>
      <c r="B1813" s="562">
        <v>2021</v>
      </c>
      <c r="C1813" s="561" t="s">
        <v>705</v>
      </c>
      <c r="D1813" s="561" t="s">
        <v>2008</v>
      </c>
      <c r="E1813" s="561" t="s">
        <v>707</v>
      </c>
      <c r="F1813" s="563">
        <v>0</v>
      </c>
      <c r="G1813" s="564"/>
      <c r="H1813" s="564"/>
      <c r="I1813" s="565"/>
      <c r="J1813" s="565"/>
      <c r="K1813" s="563">
        <v>0</v>
      </c>
      <c r="L1813" s="566">
        <v>0</v>
      </c>
    </row>
    <row r="1814" spans="1:12" ht="22.5" x14ac:dyDescent="0.2">
      <c r="A1814" s="561" t="s">
        <v>129</v>
      </c>
      <c r="B1814" s="562">
        <v>2021</v>
      </c>
      <c r="C1814" s="561" t="s">
        <v>705</v>
      </c>
      <c r="D1814" s="561" t="s">
        <v>2008</v>
      </c>
      <c r="E1814" s="561" t="s">
        <v>708</v>
      </c>
      <c r="F1814" s="563">
        <v>0</v>
      </c>
      <c r="G1814" s="564"/>
      <c r="H1814" s="564"/>
      <c r="I1814" s="565"/>
      <c r="J1814" s="565"/>
      <c r="K1814" s="563">
        <v>0</v>
      </c>
      <c r="L1814" s="566">
        <v>0</v>
      </c>
    </row>
    <row r="1815" spans="1:12" ht="22.5" x14ac:dyDescent="0.2">
      <c r="A1815" s="561" t="s">
        <v>129</v>
      </c>
      <c r="B1815" s="562">
        <v>2021</v>
      </c>
      <c r="C1815" s="561" t="s">
        <v>705</v>
      </c>
      <c r="D1815" s="561" t="s">
        <v>2008</v>
      </c>
      <c r="E1815" s="561" t="s">
        <v>709</v>
      </c>
      <c r="F1815" s="563">
        <v>-138941.89000000001</v>
      </c>
      <c r="G1815" s="564"/>
      <c r="H1815" s="564"/>
      <c r="I1815" s="565"/>
      <c r="J1815" s="565"/>
      <c r="K1815" s="563">
        <v>0</v>
      </c>
      <c r="L1815" s="566">
        <v>-138941.89000000001</v>
      </c>
    </row>
    <row r="1816" spans="1:12" ht="22.5" x14ac:dyDescent="0.2">
      <c r="A1816" s="561" t="s">
        <v>129</v>
      </c>
      <c r="B1816" s="562">
        <v>2021</v>
      </c>
      <c r="C1816" s="561" t="s">
        <v>705</v>
      </c>
      <c r="D1816" s="561" t="s">
        <v>2008</v>
      </c>
      <c r="E1816" s="561" t="s">
        <v>710</v>
      </c>
      <c r="F1816" s="563">
        <v>-6796.23</v>
      </c>
      <c r="G1816" s="564"/>
      <c r="H1816" s="564"/>
      <c r="I1816" s="565"/>
      <c r="J1816" s="565"/>
      <c r="K1816" s="563">
        <v>0</v>
      </c>
      <c r="L1816" s="566">
        <v>-6796.23</v>
      </c>
    </row>
    <row r="1817" spans="1:12" ht="22.5" x14ac:dyDescent="0.2">
      <c r="A1817" s="561" t="s">
        <v>129</v>
      </c>
      <c r="B1817" s="562">
        <v>2021</v>
      </c>
      <c r="C1817" s="561" t="s">
        <v>711</v>
      </c>
      <c r="D1817" s="561" t="s">
        <v>2009</v>
      </c>
      <c r="E1817" s="561" t="s">
        <v>713</v>
      </c>
      <c r="F1817" s="563">
        <v>0</v>
      </c>
      <c r="G1817" s="564"/>
      <c r="H1817" s="561" t="s">
        <v>654</v>
      </c>
      <c r="I1817" s="565"/>
      <c r="J1817" s="565"/>
      <c r="K1817" s="563">
        <v>0</v>
      </c>
      <c r="L1817" s="566">
        <v>0</v>
      </c>
    </row>
    <row r="1818" spans="1:12" ht="33.75" x14ac:dyDescent="0.2">
      <c r="A1818" s="561" t="s">
        <v>129</v>
      </c>
      <c r="B1818" s="562">
        <v>2021</v>
      </c>
      <c r="C1818" s="561" t="s">
        <v>714</v>
      </c>
      <c r="D1818" s="561" t="s">
        <v>2010</v>
      </c>
      <c r="E1818" s="561" t="s">
        <v>2</v>
      </c>
      <c r="F1818" s="563">
        <v>304188</v>
      </c>
      <c r="G1818" s="561" t="s">
        <v>654</v>
      </c>
      <c r="H1818" s="564"/>
      <c r="I1818" s="563">
        <v>302566</v>
      </c>
      <c r="J1818" s="563">
        <v>1622</v>
      </c>
      <c r="K1818" s="563">
        <v>304188</v>
      </c>
      <c r="L1818" s="566">
        <v>304188</v>
      </c>
    </row>
    <row r="1819" spans="1:12" ht="33.75" x14ac:dyDescent="0.2">
      <c r="A1819" s="561" t="s">
        <v>129</v>
      </c>
      <c r="B1819" s="562">
        <v>2021</v>
      </c>
      <c r="C1819" s="561" t="s">
        <v>716</v>
      </c>
      <c r="D1819" s="561" t="s">
        <v>2011</v>
      </c>
      <c r="E1819" s="561" t="s">
        <v>3</v>
      </c>
      <c r="F1819" s="563">
        <v>31757</v>
      </c>
      <c r="G1819" s="561" t="s">
        <v>654</v>
      </c>
      <c r="H1819" s="564"/>
      <c r="I1819" s="563">
        <v>31675</v>
      </c>
      <c r="J1819" s="563">
        <v>82</v>
      </c>
      <c r="K1819" s="563">
        <v>31757</v>
      </c>
      <c r="L1819" s="566">
        <v>31757</v>
      </c>
    </row>
    <row r="1820" spans="1:12" ht="33.75" x14ac:dyDescent="0.2">
      <c r="A1820" s="561" t="s">
        <v>129</v>
      </c>
      <c r="B1820" s="562">
        <v>2021</v>
      </c>
      <c r="C1820" s="561" t="s">
        <v>718</v>
      </c>
      <c r="D1820" s="561" t="s">
        <v>2012</v>
      </c>
      <c r="E1820" s="561" t="s">
        <v>38</v>
      </c>
      <c r="F1820" s="563">
        <v>-2291855</v>
      </c>
      <c r="G1820" s="561" t="s">
        <v>654</v>
      </c>
      <c r="H1820" s="564"/>
      <c r="I1820" s="563">
        <v>-2248000</v>
      </c>
      <c r="J1820" s="563">
        <v>-43855</v>
      </c>
      <c r="K1820" s="563">
        <v>-2291855</v>
      </c>
      <c r="L1820" s="566">
        <v>-2291855</v>
      </c>
    </row>
    <row r="1821" spans="1:12" ht="22.5" x14ac:dyDescent="0.2">
      <c r="A1821" s="561" t="s">
        <v>129</v>
      </c>
      <c r="B1821" s="562">
        <v>2021</v>
      </c>
      <c r="C1821" s="561" t="s">
        <v>720</v>
      </c>
      <c r="D1821" s="561" t="s">
        <v>2013</v>
      </c>
      <c r="E1821" s="561" t="s">
        <v>66</v>
      </c>
      <c r="F1821" s="563">
        <v>885547</v>
      </c>
      <c r="G1821" s="561" t="s">
        <v>654</v>
      </c>
      <c r="H1821" s="564"/>
      <c r="I1821" s="563">
        <v>844983</v>
      </c>
      <c r="J1821" s="563">
        <v>40564</v>
      </c>
      <c r="K1821" s="563">
        <v>885547</v>
      </c>
      <c r="L1821" s="566">
        <v>885547</v>
      </c>
    </row>
    <row r="1822" spans="1:12" ht="45" x14ac:dyDescent="0.2">
      <c r="A1822" s="561" t="s">
        <v>129</v>
      </c>
      <c r="B1822" s="562">
        <v>2021</v>
      </c>
      <c r="C1822" s="561" t="s">
        <v>722</v>
      </c>
      <c r="D1822" s="561" t="s">
        <v>2014</v>
      </c>
      <c r="E1822" s="561" t="s">
        <v>724</v>
      </c>
      <c r="F1822" s="563">
        <v>-577832</v>
      </c>
      <c r="G1822" s="564"/>
      <c r="H1822" s="561" t="s">
        <v>654</v>
      </c>
      <c r="I1822" s="565"/>
      <c r="J1822" s="565"/>
      <c r="K1822" s="563">
        <v>0</v>
      </c>
      <c r="L1822" s="566">
        <v>-577832</v>
      </c>
    </row>
    <row r="1823" spans="1:12" ht="45" x14ac:dyDescent="0.2">
      <c r="A1823" s="561" t="s">
        <v>129</v>
      </c>
      <c r="B1823" s="562">
        <v>2021</v>
      </c>
      <c r="C1823" s="561" t="s">
        <v>725</v>
      </c>
      <c r="D1823" s="561" t="s">
        <v>2015</v>
      </c>
      <c r="E1823" s="561" t="s">
        <v>3024</v>
      </c>
      <c r="F1823" s="563">
        <v>0</v>
      </c>
      <c r="G1823" s="561" t="s">
        <v>654</v>
      </c>
      <c r="H1823" s="564"/>
      <c r="I1823" s="563">
        <v>-110861</v>
      </c>
      <c r="J1823" s="563">
        <v>11879</v>
      </c>
      <c r="K1823" s="563">
        <v>-98982</v>
      </c>
      <c r="L1823" s="566">
        <v>-98982</v>
      </c>
    </row>
    <row r="1824" spans="1:12" ht="45" x14ac:dyDescent="0.2">
      <c r="A1824" s="561" t="s">
        <v>129</v>
      </c>
      <c r="B1824" s="562">
        <v>2021</v>
      </c>
      <c r="C1824" s="561" t="s">
        <v>725</v>
      </c>
      <c r="D1824" s="561" t="s">
        <v>2015</v>
      </c>
      <c r="E1824" s="561" t="s">
        <v>3066</v>
      </c>
      <c r="F1824" s="563">
        <v>0</v>
      </c>
      <c r="G1824" s="561" t="s">
        <v>654</v>
      </c>
      <c r="H1824" s="564"/>
      <c r="I1824" s="565"/>
      <c r="J1824" s="565"/>
      <c r="K1824" s="563">
        <v>0</v>
      </c>
      <c r="L1824" s="566">
        <v>0</v>
      </c>
    </row>
    <row r="1825" spans="1:12" ht="45" x14ac:dyDescent="0.2">
      <c r="A1825" s="561" t="s">
        <v>129</v>
      </c>
      <c r="B1825" s="562">
        <v>2021</v>
      </c>
      <c r="C1825" s="561" t="s">
        <v>725</v>
      </c>
      <c r="D1825" s="561" t="s">
        <v>2016</v>
      </c>
      <c r="E1825" s="561" t="s">
        <v>728</v>
      </c>
      <c r="F1825" s="563">
        <v>0</v>
      </c>
      <c r="G1825" s="561" t="s">
        <v>654</v>
      </c>
      <c r="H1825" s="564"/>
      <c r="I1825" s="565"/>
      <c r="J1825" s="565"/>
      <c r="K1825" s="563">
        <v>0</v>
      </c>
      <c r="L1825" s="566">
        <v>0</v>
      </c>
    </row>
    <row r="1826" spans="1:12" ht="45" x14ac:dyDescent="0.2">
      <c r="A1826" s="561" t="s">
        <v>129</v>
      </c>
      <c r="B1826" s="562">
        <v>2021</v>
      </c>
      <c r="C1826" s="561" t="s">
        <v>725</v>
      </c>
      <c r="D1826" s="561" t="s">
        <v>2017</v>
      </c>
      <c r="E1826" s="561" t="s">
        <v>55</v>
      </c>
      <c r="F1826" s="563">
        <v>0</v>
      </c>
      <c r="G1826" s="561" t="s">
        <v>654</v>
      </c>
      <c r="H1826" s="564"/>
      <c r="I1826" s="565"/>
      <c r="J1826" s="565"/>
      <c r="K1826" s="563">
        <v>0</v>
      </c>
      <c r="L1826" s="566">
        <v>0</v>
      </c>
    </row>
    <row r="1827" spans="1:12" ht="45" x14ac:dyDescent="0.2">
      <c r="A1827" s="561" t="s">
        <v>129</v>
      </c>
      <c r="B1827" s="562">
        <v>2021</v>
      </c>
      <c r="C1827" s="561" t="s">
        <v>725</v>
      </c>
      <c r="D1827" s="561" t="s">
        <v>2018</v>
      </c>
      <c r="E1827" s="561" t="s">
        <v>56</v>
      </c>
      <c r="F1827" s="563">
        <v>0</v>
      </c>
      <c r="G1827" s="561" t="s">
        <v>654</v>
      </c>
      <c r="H1827" s="564"/>
      <c r="I1827" s="565"/>
      <c r="J1827" s="565"/>
      <c r="K1827" s="563">
        <v>0</v>
      </c>
      <c r="L1827" s="566">
        <v>0</v>
      </c>
    </row>
    <row r="1828" spans="1:12" ht="45" x14ac:dyDescent="0.2">
      <c r="A1828" s="561" t="s">
        <v>129</v>
      </c>
      <c r="B1828" s="562">
        <v>2021</v>
      </c>
      <c r="C1828" s="561" t="s">
        <v>725</v>
      </c>
      <c r="D1828" s="561" t="s">
        <v>2019</v>
      </c>
      <c r="E1828" s="561" t="s">
        <v>732</v>
      </c>
      <c r="F1828" s="563">
        <v>0</v>
      </c>
      <c r="G1828" s="561" t="s">
        <v>654</v>
      </c>
      <c r="H1828" s="564"/>
      <c r="I1828" s="565"/>
      <c r="J1828" s="565"/>
      <c r="K1828" s="563">
        <v>0</v>
      </c>
      <c r="L1828" s="566">
        <v>0</v>
      </c>
    </row>
    <row r="1829" spans="1:12" ht="45" x14ac:dyDescent="0.2">
      <c r="A1829" s="561" t="s">
        <v>129</v>
      </c>
      <c r="B1829" s="562">
        <v>2021</v>
      </c>
      <c r="C1829" s="561" t="s">
        <v>725</v>
      </c>
      <c r="D1829" s="561" t="s">
        <v>2020</v>
      </c>
      <c r="E1829" s="561" t="s">
        <v>734</v>
      </c>
      <c r="F1829" s="563">
        <v>0</v>
      </c>
      <c r="G1829" s="561" t="s">
        <v>654</v>
      </c>
      <c r="H1829" s="564"/>
      <c r="I1829" s="565"/>
      <c r="J1829" s="565"/>
      <c r="K1829" s="563">
        <v>0</v>
      </c>
      <c r="L1829" s="566">
        <v>0</v>
      </c>
    </row>
    <row r="1830" spans="1:12" ht="45" x14ac:dyDescent="0.2">
      <c r="A1830" s="561" t="s">
        <v>129</v>
      </c>
      <c r="B1830" s="562">
        <v>2021</v>
      </c>
      <c r="C1830" s="561" t="s">
        <v>725</v>
      </c>
      <c r="D1830" s="561" t="s">
        <v>2021</v>
      </c>
      <c r="E1830" s="561" t="s">
        <v>142</v>
      </c>
      <c r="F1830" s="563">
        <v>0</v>
      </c>
      <c r="G1830" s="561" t="s">
        <v>654</v>
      </c>
      <c r="H1830" s="564"/>
      <c r="I1830" s="565"/>
      <c r="J1830" s="565"/>
      <c r="K1830" s="563">
        <v>0</v>
      </c>
      <c r="L1830" s="566">
        <v>0</v>
      </c>
    </row>
    <row r="1831" spans="1:12" ht="45" x14ac:dyDescent="0.2">
      <c r="A1831" s="561" t="s">
        <v>129</v>
      </c>
      <c r="B1831" s="562">
        <v>2021</v>
      </c>
      <c r="C1831" s="561" t="s">
        <v>725</v>
      </c>
      <c r="D1831" s="561" t="s">
        <v>2022</v>
      </c>
      <c r="E1831" s="561" t="s">
        <v>143</v>
      </c>
      <c r="F1831" s="563">
        <v>0</v>
      </c>
      <c r="G1831" s="561" t="s">
        <v>654</v>
      </c>
      <c r="H1831" s="564"/>
      <c r="I1831" s="563">
        <v>0</v>
      </c>
      <c r="J1831" s="563">
        <v>0</v>
      </c>
      <c r="K1831" s="563">
        <v>0</v>
      </c>
      <c r="L1831" s="566">
        <v>0</v>
      </c>
    </row>
    <row r="1832" spans="1:12" ht="45" x14ac:dyDescent="0.2">
      <c r="A1832" s="561" t="s">
        <v>129</v>
      </c>
      <c r="B1832" s="562">
        <v>2021</v>
      </c>
      <c r="C1832" s="561" t="s">
        <v>725</v>
      </c>
      <c r="D1832" s="561" t="s">
        <v>2023</v>
      </c>
      <c r="E1832" s="561" t="s">
        <v>182</v>
      </c>
      <c r="F1832" s="563">
        <v>0</v>
      </c>
      <c r="G1832" s="561" t="s">
        <v>654</v>
      </c>
      <c r="H1832" s="564"/>
      <c r="I1832" s="563">
        <v>0</v>
      </c>
      <c r="J1832" s="565"/>
      <c r="K1832" s="563">
        <v>0</v>
      </c>
      <c r="L1832" s="566">
        <v>0</v>
      </c>
    </row>
    <row r="1833" spans="1:12" ht="45" x14ac:dyDescent="0.2">
      <c r="A1833" s="561" t="s">
        <v>129</v>
      </c>
      <c r="B1833" s="562">
        <v>2021</v>
      </c>
      <c r="C1833" s="561" t="s">
        <v>725</v>
      </c>
      <c r="D1833" s="561" t="s">
        <v>2024</v>
      </c>
      <c r="E1833" s="561" t="s">
        <v>394</v>
      </c>
      <c r="F1833" s="563">
        <v>0</v>
      </c>
      <c r="G1833" s="561" t="s">
        <v>654</v>
      </c>
      <c r="H1833" s="564"/>
      <c r="I1833" s="563">
        <v>2628</v>
      </c>
      <c r="J1833" s="563">
        <v>-1583</v>
      </c>
      <c r="K1833" s="563">
        <v>1045</v>
      </c>
      <c r="L1833" s="566">
        <v>1045</v>
      </c>
    </row>
    <row r="1834" spans="1:12" ht="45" x14ac:dyDescent="0.2">
      <c r="A1834" s="561" t="s">
        <v>129</v>
      </c>
      <c r="B1834" s="562">
        <v>2021</v>
      </c>
      <c r="C1834" s="561" t="s">
        <v>725</v>
      </c>
      <c r="D1834" s="561" t="s">
        <v>2025</v>
      </c>
      <c r="E1834" s="561" t="s">
        <v>425</v>
      </c>
      <c r="F1834" s="563">
        <v>0</v>
      </c>
      <c r="G1834" s="561" t="s">
        <v>654</v>
      </c>
      <c r="H1834" s="564"/>
      <c r="I1834" s="563">
        <v>86116</v>
      </c>
      <c r="J1834" s="563">
        <v>-52520</v>
      </c>
      <c r="K1834" s="563">
        <v>33596</v>
      </c>
      <c r="L1834" s="566">
        <v>33596</v>
      </c>
    </row>
    <row r="1835" spans="1:12" ht="45" x14ac:dyDescent="0.2">
      <c r="A1835" s="561" t="s">
        <v>129</v>
      </c>
      <c r="B1835" s="562">
        <v>2021</v>
      </c>
      <c r="C1835" s="561" t="s">
        <v>725</v>
      </c>
      <c r="D1835" s="561" t="s">
        <v>3279</v>
      </c>
      <c r="E1835" s="561" t="s">
        <v>443</v>
      </c>
      <c r="F1835" s="563">
        <v>0</v>
      </c>
      <c r="G1835" s="561" t="s">
        <v>654</v>
      </c>
      <c r="H1835" s="564"/>
      <c r="I1835" s="565"/>
      <c r="J1835" s="565"/>
      <c r="K1835" s="563">
        <v>0</v>
      </c>
      <c r="L1835" s="566">
        <v>0</v>
      </c>
    </row>
    <row r="1836" spans="1:12" ht="45" x14ac:dyDescent="0.2">
      <c r="A1836" s="561" t="s">
        <v>129</v>
      </c>
      <c r="B1836" s="562">
        <v>2021</v>
      </c>
      <c r="C1836" s="561" t="s">
        <v>725</v>
      </c>
      <c r="D1836" s="561" t="s">
        <v>2026</v>
      </c>
      <c r="E1836" s="561" t="s">
        <v>741</v>
      </c>
      <c r="F1836" s="563">
        <v>-64341</v>
      </c>
      <c r="G1836" s="564"/>
      <c r="H1836" s="564"/>
      <c r="I1836" s="565"/>
      <c r="J1836" s="565"/>
      <c r="K1836" s="563">
        <v>0</v>
      </c>
      <c r="L1836" s="566">
        <v>-64341</v>
      </c>
    </row>
    <row r="1837" spans="1:12" ht="22.5" x14ac:dyDescent="0.2">
      <c r="A1837" s="561" t="s">
        <v>129</v>
      </c>
      <c r="B1837" s="562">
        <v>2021</v>
      </c>
      <c r="C1837" s="561" t="s">
        <v>742</v>
      </c>
      <c r="D1837" s="561" t="s">
        <v>2027</v>
      </c>
      <c r="E1837" s="561" t="s">
        <v>7</v>
      </c>
      <c r="F1837" s="563">
        <v>0</v>
      </c>
      <c r="G1837" s="564"/>
      <c r="H1837" s="561" t="s">
        <v>654</v>
      </c>
      <c r="I1837" s="565"/>
      <c r="J1837" s="565"/>
      <c r="K1837" s="563">
        <v>0</v>
      </c>
      <c r="L1837" s="566">
        <v>0</v>
      </c>
    </row>
    <row r="1838" spans="1:12" ht="22.5" x14ac:dyDescent="0.2">
      <c r="A1838" s="561" t="s">
        <v>2028</v>
      </c>
      <c r="B1838" s="562">
        <v>2021</v>
      </c>
      <c r="C1838" s="561" t="s">
        <v>651</v>
      </c>
      <c r="D1838" s="561" t="s">
        <v>2029</v>
      </c>
      <c r="E1838" s="561" t="s">
        <v>653</v>
      </c>
      <c r="F1838" s="563">
        <v>-250131.17</v>
      </c>
      <c r="G1838" s="564"/>
      <c r="H1838" s="561" t="s">
        <v>654</v>
      </c>
      <c r="I1838" s="565"/>
      <c r="J1838" s="565"/>
      <c r="K1838" s="563">
        <v>0</v>
      </c>
      <c r="L1838" s="566">
        <v>-250131.17</v>
      </c>
    </row>
    <row r="1839" spans="1:12" ht="22.5" x14ac:dyDescent="0.2">
      <c r="A1839" s="561" t="s">
        <v>2028</v>
      </c>
      <c r="B1839" s="562">
        <v>2021</v>
      </c>
      <c r="C1839" s="561" t="s">
        <v>655</v>
      </c>
      <c r="D1839" s="561" t="s">
        <v>2030</v>
      </c>
      <c r="E1839" s="561" t="s">
        <v>657</v>
      </c>
      <c r="F1839" s="563">
        <v>105529.1</v>
      </c>
      <c r="G1839" s="564"/>
      <c r="H1839" s="561" t="s">
        <v>654</v>
      </c>
      <c r="I1839" s="565"/>
      <c r="J1839" s="565"/>
      <c r="K1839" s="563">
        <v>0</v>
      </c>
      <c r="L1839" s="566">
        <v>105529.1</v>
      </c>
    </row>
    <row r="1840" spans="1:12" ht="56.25" x14ac:dyDescent="0.2">
      <c r="A1840" s="561" t="s">
        <v>2028</v>
      </c>
      <c r="B1840" s="562">
        <v>2021</v>
      </c>
      <c r="C1840" s="561" t="s">
        <v>658</v>
      </c>
      <c r="D1840" s="561" t="s">
        <v>2031</v>
      </c>
      <c r="E1840" s="561" t="s">
        <v>447</v>
      </c>
      <c r="F1840" s="563">
        <v>0</v>
      </c>
      <c r="G1840" s="564"/>
      <c r="H1840" s="561" t="s">
        <v>654</v>
      </c>
      <c r="I1840" s="565"/>
      <c r="J1840" s="565"/>
      <c r="K1840" s="563">
        <v>0</v>
      </c>
      <c r="L1840" s="566">
        <v>0</v>
      </c>
    </row>
    <row r="1841" spans="1:12" ht="22.5" x14ac:dyDescent="0.2">
      <c r="A1841" s="561" t="s">
        <v>2028</v>
      </c>
      <c r="B1841" s="562">
        <v>2021</v>
      </c>
      <c r="C1841" s="561" t="s">
        <v>660</v>
      </c>
      <c r="D1841" s="561" t="s">
        <v>2032</v>
      </c>
      <c r="E1841" s="561" t="s">
        <v>662</v>
      </c>
      <c r="F1841" s="563">
        <v>0</v>
      </c>
      <c r="G1841" s="564"/>
      <c r="H1841" s="561" t="s">
        <v>654</v>
      </c>
      <c r="I1841" s="565"/>
      <c r="J1841" s="565"/>
      <c r="K1841" s="563">
        <v>0</v>
      </c>
      <c r="L1841" s="566">
        <v>0</v>
      </c>
    </row>
    <row r="1842" spans="1:12" ht="33.75" x14ac:dyDescent="0.2">
      <c r="A1842" s="561" t="s">
        <v>2028</v>
      </c>
      <c r="B1842" s="562">
        <v>2021</v>
      </c>
      <c r="C1842" s="561" t="s">
        <v>663</v>
      </c>
      <c r="D1842" s="561" t="s">
        <v>2033</v>
      </c>
      <c r="E1842" s="561" t="s">
        <v>665</v>
      </c>
      <c r="F1842" s="563">
        <v>0</v>
      </c>
      <c r="G1842" s="564"/>
      <c r="H1842" s="561" t="s">
        <v>654</v>
      </c>
      <c r="I1842" s="565"/>
      <c r="J1842" s="565"/>
      <c r="K1842" s="563">
        <v>0</v>
      </c>
      <c r="L1842" s="566">
        <v>0</v>
      </c>
    </row>
    <row r="1843" spans="1:12" ht="33.75" x14ac:dyDescent="0.2">
      <c r="A1843" s="561" t="s">
        <v>2028</v>
      </c>
      <c r="B1843" s="562">
        <v>2021</v>
      </c>
      <c r="C1843" s="561" t="s">
        <v>666</v>
      </c>
      <c r="D1843" s="561" t="s">
        <v>2034</v>
      </c>
      <c r="E1843" s="561" t="s">
        <v>668</v>
      </c>
      <c r="F1843" s="563">
        <v>0</v>
      </c>
      <c r="G1843" s="564"/>
      <c r="H1843" s="561" t="s">
        <v>654</v>
      </c>
      <c r="I1843" s="565"/>
      <c r="J1843" s="565"/>
      <c r="K1843" s="563">
        <v>0</v>
      </c>
      <c r="L1843" s="566">
        <v>0</v>
      </c>
    </row>
    <row r="1844" spans="1:12" ht="56.25" x14ac:dyDescent="0.2">
      <c r="A1844" s="561" t="s">
        <v>2028</v>
      </c>
      <c r="B1844" s="562">
        <v>2021</v>
      </c>
      <c r="C1844" s="561" t="s">
        <v>669</v>
      </c>
      <c r="D1844" s="561" t="s">
        <v>2035</v>
      </c>
      <c r="E1844" s="561" t="s">
        <v>671</v>
      </c>
      <c r="F1844" s="563">
        <v>0</v>
      </c>
      <c r="G1844" s="564"/>
      <c r="H1844" s="561" t="s">
        <v>654</v>
      </c>
      <c r="I1844" s="565"/>
      <c r="J1844" s="565"/>
      <c r="K1844" s="563">
        <v>0</v>
      </c>
      <c r="L1844" s="566">
        <v>0</v>
      </c>
    </row>
    <row r="1845" spans="1:12" ht="22.5" x14ac:dyDescent="0.2">
      <c r="A1845" s="561" t="s">
        <v>2028</v>
      </c>
      <c r="B1845" s="562">
        <v>2021</v>
      </c>
      <c r="C1845" s="561" t="s">
        <v>672</v>
      </c>
      <c r="D1845" s="561" t="s">
        <v>2036</v>
      </c>
      <c r="E1845" s="561" t="s">
        <v>12</v>
      </c>
      <c r="F1845" s="563">
        <v>0</v>
      </c>
      <c r="G1845" s="564"/>
      <c r="H1845" s="561" t="s">
        <v>654</v>
      </c>
      <c r="I1845" s="565"/>
      <c r="J1845" s="565"/>
      <c r="K1845" s="563">
        <v>0</v>
      </c>
      <c r="L1845" s="566">
        <v>0</v>
      </c>
    </row>
    <row r="1846" spans="1:12" ht="22.5" x14ac:dyDescent="0.2">
      <c r="A1846" s="561" t="s">
        <v>2028</v>
      </c>
      <c r="B1846" s="562">
        <v>2021</v>
      </c>
      <c r="C1846" s="561" t="s">
        <v>674</v>
      </c>
      <c r="D1846" s="561" t="s">
        <v>2037</v>
      </c>
      <c r="E1846" s="561" t="s">
        <v>13</v>
      </c>
      <c r="F1846" s="563">
        <v>0</v>
      </c>
      <c r="G1846" s="564"/>
      <c r="H1846" s="561" t="s">
        <v>654</v>
      </c>
      <c r="I1846" s="565"/>
      <c r="J1846" s="565"/>
      <c r="K1846" s="563">
        <v>0</v>
      </c>
      <c r="L1846" s="566">
        <v>0</v>
      </c>
    </row>
    <row r="1847" spans="1:12" ht="33.75" x14ac:dyDescent="0.2">
      <c r="A1847" s="561" t="s">
        <v>2028</v>
      </c>
      <c r="B1847" s="562">
        <v>2021</v>
      </c>
      <c r="C1847" s="561" t="s">
        <v>676</v>
      </c>
      <c r="D1847" s="561" t="s">
        <v>2038</v>
      </c>
      <c r="E1847" s="561" t="s">
        <v>15</v>
      </c>
      <c r="F1847" s="563">
        <v>0</v>
      </c>
      <c r="G1847" s="564"/>
      <c r="H1847" s="561" t="s">
        <v>654</v>
      </c>
      <c r="I1847" s="565"/>
      <c r="J1847" s="565"/>
      <c r="K1847" s="563">
        <v>0</v>
      </c>
      <c r="L1847" s="566">
        <v>0</v>
      </c>
    </row>
    <row r="1848" spans="1:12" ht="22.5" x14ac:dyDescent="0.2">
      <c r="A1848" s="561" t="s">
        <v>2028</v>
      </c>
      <c r="B1848" s="562">
        <v>2021</v>
      </c>
      <c r="C1848" s="561" t="s">
        <v>678</v>
      </c>
      <c r="D1848" s="561" t="s">
        <v>2039</v>
      </c>
      <c r="E1848" s="561" t="s">
        <v>680</v>
      </c>
      <c r="F1848" s="563">
        <v>55135.03</v>
      </c>
      <c r="G1848" s="564"/>
      <c r="H1848" s="561" t="s">
        <v>654</v>
      </c>
      <c r="I1848" s="565"/>
      <c r="J1848" s="565"/>
      <c r="K1848" s="563">
        <v>0</v>
      </c>
      <c r="L1848" s="566">
        <v>55135.03</v>
      </c>
    </row>
    <row r="1849" spans="1:12" ht="22.5" x14ac:dyDescent="0.2">
      <c r="A1849" s="561" t="s">
        <v>2028</v>
      </c>
      <c r="B1849" s="562">
        <v>2021</v>
      </c>
      <c r="C1849" s="561" t="s">
        <v>681</v>
      </c>
      <c r="D1849" s="561" t="s">
        <v>2040</v>
      </c>
      <c r="E1849" s="561" t="s">
        <v>23</v>
      </c>
      <c r="F1849" s="563">
        <v>1605913.79</v>
      </c>
      <c r="G1849" s="561" t="s">
        <v>654</v>
      </c>
      <c r="H1849" s="564"/>
      <c r="I1849" s="563">
        <v>1572860.625</v>
      </c>
      <c r="J1849" s="563">
        <v>33053.2109375</v>
      </c>
      <c r="K1849" s="563">
        <v>1605913.75</v>
      </c>
      <c r="L1849" s="566">
        <v>1605913.79</v>
      </c>
    </row>
    <row r="1850" spans="1:12" ht="33.75" x14ac:dyDescent="0.2">
      <c r="A1850" s="561" t="s">
        <v>2028</v>
      </c>
      <c r="B1850" s="562">
        <v>2021</v>
      </c>
      <c r="C1850" s="561" t="s">
        <v>683</v>
      </c>
      <c r="D1850" s="561" t="s">
        <v>2041</v>
      </c>
      <c r="E1850" s="561" t="s">
        <v>131</v>
      </c>
      <c r="F1850" s="563">
        <v>-93879.61</v>
      </c>
      <c r="G1850" s="561" t="s">
        <v>654</v>
      </c>
      <c r="H1850" s="564"/>
      <c r="I1850" s="563">
        <v>-89673.828125</v>
      </c>
      <c r="J1850" s="563">
        <v>-4205.77978515625</v>
      </c>
      <c r="K1850" s="563">
        <v>-93879.609375</v>
      </c>
      <c r="L1850" s="566">
        <v>-93879.61</v>
      </c>
    </row>
    <row r="1851" spans="1:12" ht="33.75" x14ac:dyDescent="0.2">
      <c r="A1851" s="561" t="s">
        <v>2028</v>
      </c>
      <c r="B1851" s="562">
        <v>2021</v>
      </c>
      <c r="C1851" s="561" t="s">
        <v>685</v>
      </c>
      <c r="D1851" s="561" t="s">
        <v>2042</v>
      </c>
      <c r="E1851" s="561" t="s">
        <v>687</v>
      </c>
      <c r="F1851" s="563">
        <v>2024.6</v>
      </c>
      <c r="G1851" s="564"/>
      <c r="H1851" s="561" t="s">
        <v>654</v>
      </c>
      <c r="I1851" s="565"/>
      <c r="J1851" s="565"/>
      <c r="K1851" s="563">
        <v>0</v>
      </c>
      <c r="L1851" s="566">
        <v>2024.6</v>
      </c>
    </row>
    <row r="1852" spans="1:12" ht="33.75" x14ac:dyDescent="0.2">
      <c r="A1852" s="561" t="s">
        <v>2028</v>
      </c>
      <c r="B1852" s="562">
        <v>2021</v>
      </c>
      <c r="C1852" s="561" t="s">
        <v>685</v>
      </c>
      <c r="D1852" s="561" t="s">
        <v>2042</v>
      </c>
      <c r="E1852" s="561" t="s">
        <v>688</v>
      </c>
      <c r="F1852" s="563">
        <v>2024.6</v>
      </c>
      <c r="G1852" s="564"/>
      <c r="H1852" s="561" t="s">
        <v>654</v>
      </c>
      <c r="I1852" s="565"/>
      <c r="J1852" s="565"/>
      <c r="K1852" s="563">
        <v>0</v>
      </c>
      <c r="L1852" s="566">
        <v>2024.6</v>
      </c>
    </row>
    <row r="1853" spans="1:12" ht="22.5" x14ac:dyDescent="0.2">
      <c r="A1853" s="561" t="s">
        <v>2028</v>
      </c>
      <c r="B1853" s="562">
        <v>2021</v>
      </c>
      <c r="C1853" s="561" t="s">
        <v>689</v>
      </c>
      <c r="D1853" s="561" t="s">
        <v>2043</v>
      </c>
      <c r="E1853" s="561" t="s">
        <v>691</v>
      </c>
      <c r="F1853" s="563">
        <v>161833.42000000001</v>
      </c>
      <c r="G1853" s="564"/>
      <c r="H1853" s="561" t="s">
        <v>654</v>
      </c>
      <c r="I1853" s="565"/>
      <c r="J1853" s="565"/>
      <c r="K1853" s="563">
        <v>0</v>
      </c>
      <c r="L1853" s="566">
        <v>161833.42000000001</v>
      </c>
    </row>
    <row r="1854" spans="1:12" ht="22.5" x14ac:dyDescent="0.2">
      <c r="A1854" s="561" t="s">
        <v>2028</v>
      </c>
      <c r="B1854" s="562">
        <v>2021</v>
      </c>
      <c r="C1854" s="561" t="s">
        <v>692</v>
      </c>
      <c r="D1854" s="561" t="s">
        <v>2044</v>
      </c>
      <c r="E1854" s="561" t="s">
        <v>50</v>
      </c>
      <c r="F1854" s="563">
        <v>1072199.42</v>
      </c>
      <c r="G1854" s="564"/>
      <c r="H1854" s="561" t="s">
        <v>654</v>
      </c>
      <c r="I1854" s="565"/>
      <c r="J1854" s="565"/>
      <c r="K1854" s="563">
        <v>0</v>
      </c>
      <c r="L1854" s="566">
        <v>1072199.42</v>
      </c>
    </row>
    <row r="1855" spans="1:12" ht="22.5" x14ac:dyDescent="0.2">
      <c r="A1855" s="561" t="s">
        <v>2028</v>
      </c>
      <c r="B1855" s="562">
        <v>2021</v>
      </c>
      <c r="C1855" s="561" t="s">
        <v>694</v>
      </c>
      <c r="D1855" s="561" t="s">
        <v>2045</v>
      </c>
      <c r="E1855" s="561" t="s">
        <v>696</v>
      </c>
      <c r="F1855" s="563">
        <v>0</v>
      </c>
      <c r="G1855" s="564"/>
      <c r="H1855" s="561" t="s">
        <v>654</v>
      </c>
      <c r="I1855" s="565"/>
      <c r="J1855" s="565"/>
      <c r="K1855" s="563">
        <v>0</v>
      </c>
      <c r="L1855" s="566">
        <v>0</v>
      </c>
    </row>
    <row r="1856" spans="1:12" ht="22.5" x14ac:dyDescent="0.2">
      <c r="A1856" s="561" t="s">
        <v>2028</v>
      </c>
      <c r="B1856" s="562">
        <v>2021</v>
      </c>
      <c r="C1856" s="561" t="s">
        <v>697</v>
      </c>
      <c r="D1856" s="561" t="s">
        <v>2046</v>
      </c>
      <c r="E1856" s="561" t="s">
        <v>6</v>
      </c>
      <c r="F1856" s="563">
        <v>0</v>
      </c>
      <c r="G1856" s="564"/>
      <c r="H1856" s="561" t="s">
        <v>654</v>
      </c>
      <c r="I1856" s="565"/>
      <c r="J1856" s="565"/>
      <c r="K1856" s="563">
        <v>0</v>
      </c>
      <c r="L1856" s="566">
        <v>0</v>
      </c>
    </row>
    <row r="1857" spans="1:12" ht="33.75" x14ac:dyDescent="0.2">
      <c r="A1857" s="561" t="s">
        <v>2028</v>
      </c>
      <c r="B1857" s="562">
        <v>2021</v>
      </c>
      <c r="C1857" s="561" t="s">
        <v>699</v>
      </c>
      <c r="D1857" s="561" t="s">
        <v>2047</v>
      </c>
      <c r="E1857" s="561" t="s">
        <v>701</v>
      </c>
      <c r="F1857" s="563">
        <v>0</v>
      </c>
      <c r="G1857" s="564"/>
      <c r="H1857" s="561" t="s">
        <v>654</v>
      </c>
      <c r="I1857" s="565"/>
      <c r="J1857" s="565"/>
      <c r="K1857" s="563">
        <v>0</v>
      </c>
      <c r="L1857" s="566">
        <v>0</v>
      </c>
    </row>
    <row r="1858" spans="1:12" ht="22.5" x14ac:dyDescent="0.2">
      <c r="A1858" s="561" t="s">
        <v>2028</v>
      </c>
      <c r="B1858" s="562">
        <v>2021</v>
      </c>
      <c r="C1858" s="561" t="s">
        <v>702</v>
      </c>
      <c r="D1858" s="561" t="s">
        <v>2048</v>
      </c>
      <c r="E1858" s="561" t="s">
        <v>704</v>
      </c>
      <c r="F1858" s="563">
        <v>-2111965.94</v>
      </c>
      <c r="G1858" s="564"/>
      <c r="H1858" s="561" t="s">
        <v>654</v>
      </c>
      <c r="I1858" s="565"/>
      <c r="J1858" s="565"/>
      <c r="K1858" s="563">
        <v>0</v>
      </c>
      <c r="L1858" s="566">
        <v>-2111965.94</v>
      </c>
    </row>
    <row r="1859" spans="1:12" ht="33.75" x14ac:dyDescent="0.2">
      <c r="A1859" s="561" t="s">
        <v>2028</v>
      </c>
      <c r="B1859" s="562">
        <v>2021</v>
      </c>
      <c r="C1859" s="561" t="s">
        <v>705</v>
      </c>
      <c r="D1859" s="561" t="s">
        <v>2049</v>
      </c>
      <c r="E1859" s="561" t="s">
        <v>1</v>
      </c>
      <c r="F1859" s="563">
        <v>-740372.57</v>
      </c>
      <c r="G1859" s="561" t="s">
        <v>654</v>
      </c>
      <c r="H1859" s="564"/>
      <c r="I1859" s="563">
        <v>-713915.875</v>
      </c>
      <c r="J1859" s="563">
        <v>-26456.720703125</v>
      </c>
      <c r="K1859" s="563">
        <v>-740372.5625</v>
      </c>
      <c r="L1859" s="566">
        <v>-740372.57</v>
      </c>
    </row>
    <row r="1860" spans="1:12" ht="22.5" x14ac:dyDescent="0.2">
      <c r="A1860" s="561" t="s">
        <v>2028</v>
      </c>
      <c r="B1860" s="562">
        <v>2021</v>
      </c>
      <c r="C1860" s="561" t="s">
        <v>705</v>
      </c>
      <c r="D1860" s="561" t="s">
        <v>2049</v>
      </c>
      <c r="E1860" s="561" t="s">
        <v>707</v>
      </c>
      <c r="F1860" s="563">
        <v>0</v>
      </c>
      <c r="G1860" s="564"/>
      <c r="H1860" s="564"/>
      <c r="I1860" s="565"/>
      <c r="J1860" s="565"/>
      <c r="K1860" s="563">
        <v>0</v>
      </c>
      <c r="L1860" s="566">
        <v>0</v>
      </c>
    </row>
    <row r="1861" spans="1:12" ht="22.5" x14ac:dyDescent="0.2">
      <c r="A1861" s="561" t="s">
        <v>2028</v>
      </c>
      <c r="B1861" s="562">
        <v>2021</v>
      </c>
      <c r="C1861" s="561" t="s">
        <v>705</v>
      </c>
      <c r="D1861" s="561" t="s">
        <v>2049</v>
      </c>
      <c r="E1861" s="561" t="s">
        <v>708</v>
      </c>
      <c r="F1861" s="563">
        <v>-10001.69</v>
      </c>
      <c r="G1861" s="564"/>
      <c r="H1861" s="564"/>
      <c r="I1861" s="565"/>
      <c r="J1861" s="565"/>
      <c r="K1861" s="563">
        <v>0</v>
      </c>
      <c r="L1861" s="566">
        <v>-10001.69</v>
      </c>
    </row>
    <row r="1862" spans="1:12" ht="22.5" x14ac:dyDescent="0.2">
      <c r="A1862" s="561" t="s">
        <v>2028</v>
      </c>
      <c r="B1862" s="562">
        <v>2021</v>
      </c>
      <c r="C1862" s="561" t="s">
        <v>705</v>
      </c>
      <c r="D1862" s="561" t="s">
        <v>2049</v>
      </c>
      <c r="E1862" s="561" t="s">
        <v>709</v>
      </c>
      <c r="F1862" s="563">
        <v>-456.04</v>
      </c>
      <c r="G1862" s="564"/>
      <c r="H1862" s="564"/>
      <c r="I1862" s="565"/>
      <c r="J1862" s="565"/>
      <c r="K1862" s="563">
        <v>0</v>
      </c>
      <c r="L1862" s="566">
        <v>-456.04</v>
      </c>
    </row>
    <row r="1863" spans="1:12" ht="22.5" x14ac:dyDescent="0.2">
      <c r="A1863" s="561" t="s">
        <v>2028</v>
      </c>
      <c r="B1863" s="562">
        <v>2021</v>
      </c>
      <c r="C1863" s="561" t="s">
        <v>705</v>
      </c>
      <c r="D1863" s="561" t="s">
        <v>2049</v>
      </c>
      <c r="E1863" s="561" t="s">
        <v>710</v>
      </c>
      <c r="F1863" s="563">
        <v>-56169.86</v>
      </c>
      <c r="G1863" s="564"/>
      <c r="H1863" s="564"/>
      <c r="I1863" s="565"/>
      <c r="J1863" s="565"/>
      <c r="K1863" s="563">
        <v>0</v>
      </c>
      <c r="L1863" s="566">
        <v>-56169.86</v>
      </c>
    </row>
    <row r="1864" spans="1:12" ht="22.5" x14ac:dyDescent="0.2">
      <c r="A1864" s="561" t="s">
        <v>2028</v>
      </c>
      <c r="B1864" s="562">
        <v>2021</v>
      </c>
      <c r="C1864" s="561" t="s">
        <v>711</v>
      </c>
      <c r="D1864" s="561" t="s">
        <v>2050</v>
      </c>
      <c r="E1864" s="561" t="s">
        <v>713</v>
      </c>
      <c r="F1864" s="563">
        <v>71855.360000000001</v>
      </c>
      <c r="G1864" s="564"/>
      <c r="H1864" s="561" t="s">
        <v>654</v>
      </c>
      <c r="I1864" s="565"/>
      <c r="J1864" s="565"/>
      <c r="K1864" s="563">
        <v>0</v>
      </c>
      <c r="L1864" s="566">
        <v>71855.360000000001</v>
      </c>
    </row>
    <row r="1865" spans="1:12" ht="33.75" x14ac:dyDescent="0.2">
      <c r="A1865" s="561" t="s">
        <v>2028</v>
      </c>
      <c r="B1865" s="562">
        <v>2021</v>
      </c>
      <c r="C1865" s="561" t="s">
        <v>714</v>
      </c>
      <c r="D1865" s="561" t="s">
        <v>2051</v>
      </c>
      <c r="E1865" s="561" t="s">
        <v>2</v>
      </c>
      <c r="F1865" s="563">
        <v>-291647.86</v>
      </c>
      <c r="G1865" s="561" t="s">
        <v>654</v>
      </c>
      <c r="H1865" s="564"/>
      <c r="I1865" s="563">
        <v>-297703.03125</v>
      </c>
      <c r="J1865" s="563">
        <v>6055.16015625</v>
      </c>
      <c r="K1865" s="563">
        <v>-291647.875</v>
      </c>
      <c r="L1865" s="566">
        <v>-291647.86</v>
      </c>
    </row>
    <row r="1866" spans="1:12" ht="33.75" x14ac:dyDescent="0.2">
      <c r="A1866" s="561" t="s">
        <v>2028</v>
      </c>
      <c r="B1866" s="562">
        <v>2021</v>
      </c>
      <c r="C1866" s="561" t="s">
        <v>716</v>
      </c>
      <c r="D1866" s="561" t="s">
        <v>2052</v>
      </c>
      <c r="E1866" s="561" t="s">
        <v>3</v>
      </c>
      <c r="F1866" s="563">
        <v>146911.66</v>
      </c>
      <c r="G1866" s="561" t="s">
        <v>654</v>
      </c>
      <c r="H1866" s="564"/>
      <c r="I1866" s="563">
        <v>135765.0625</v>
      </c>
      <c r="J1866" s="563">
        <v>11146.58984375</v>
      </c>
      <c r="K1866" s="563">
        <v>146911.65625</v>
      </c>
      <c r="L1866" s="566">
        <v>146911.66</v>
      </c>
    </row>
    <row r="1867" spans="1:12" ht="33.75" x14ac:dyDescent="0.2">
      <c r="A1867" s="561" t="s">
        <v>2028</v>
      </c>
      <c r="B1867" s="562">
        <v>2021</v>
      </c>
      <c r="C1867" s="561" t="s">
        <v>718</v>
      </c>
      <c r="D1867" s="561" t="s">
        <v>2053</v>
      </c>
      <c r="E1867" s="561" t="s">
        <v>38</v>
      </c>
      <c r="F1867" s="563">
        <v>931276.84</v>
      </c>
      <c r="G1867" s="561" t="s">
        <v>654</v>
      </c>
      <c r="H1867" s="564"/>
      <c r="I1867" s="563">
        <v>833813.0625</v>
      </c>
      <c r="J1867" s="563">
        <v>97463.75</v>
      </c>
      <c r="K1867" s="563">
        <v>931276.8125</v>
      </c>
      <c r="L1867" s="566">
        <v>931276.84</v>
      </c>
    </row>
    <row r="1868" spans="1:12" ht="22.5" x14ac:dyDescent="0.2">
      <c r="A1868" s="561" t="s">
        <v>2028</v>
      </c>
      <c r="B1868" s="562">
        <v>2021</v>
      </c>
      <c r="C1868" s="561" t="s">
        <v>720</v>
      </c>
      <c r="D1868" s="561" t="s">
        <v>2054</v>
      </c>
      <c r="E1868" s="561" t="s">
        <v>66</v>
      </c>
      <c r="F1868" s="563">
        <v>-369712.78</v>
      </c>
      <c r="G1868" s="561" t="s">
        <v>654</v>
      </c>
      <c r="H1868" s="564"/>
      <c r="I1868" s="563">
        <v>-428427.65625</v>
      </c>
      <c r="J1868" s="563">
        <v>58714.87109375</v>
      </c>
      <c r="K1868" s="563">
        <v>-369712.78125</v>
      </c>
      <c r="L1868" s="566">
        <v>-369712.78</v>
      </c>
    </row>
    <row r="1869" spans="1:12" ht="45" x14ac:dyDescent="0.2">
      <c r="A1869" s="561" t="s">
        <v>2028</v>
      </c>
      <c r="B1869" s="562">
        <v>2021</v>
      </c>
      <c r="C1869" s="561" t="s">
        <v>722</v>
      </c>
      <c r="D1869" s="561" t="s">
        <v>2055</v>
      </c>
      <c r="E1869" s="561" t="s">
        <v>724</v>
      </c>
      <c r="F1869" s="563">
        <v>-144377.57999999999</v>
      </c>
      <c r="G1869" s="564"/>
      <c r="H1869" s="561" t="s">
        <v>654</v>
      </c>
      <c r="I1869" s="565"/>
      <c r="J1869" s="565"/>
      <c r="K1869" s="563">
        <v>0</v>
      </c>
      <c r="L1869" s="566">
        <v>-144377.57999999999</v>
      </c>
    </row>
    <row r="1870" spans="1:12" ht="45" x14ac:dyDescent="0.2">
      <c r="A1870" s="561" t="s">
        <v>2028</v>
      </c>
      <c r="B1870" s="562">
        <v>2021</v>
      </c>
      <c r="C1870" s="561" t="s">
        <v>725</v>
      </c>
      <c r="D1870" s="561" t="s">
        <v>2056</v>
      </c>
      <c r="E1870" s="561" t="s">
        <v>3024</v>
      </c>
      <c r="F1870" s="563">
        <v>0</v>
      </c>
      <c r="G1870" s="561" t="s">
        <v>654</v>
      </c>
      <c r="H1870" s="564"/>
      <c r="I1870" s="563">
        <v>21356.330078125</v>
      </c>
      <c r="J1870" s="563">
        <v>62031.87109375</v>
      </c>
      <c r="K1870" s="563">
        <v>83388.203125</v>
      </c>
      <c r="L1870" s="566">
        <v>83388.2</v>
      </c>
    </row>
    <row r="1871" spans="1:12" ht="45" x14ac:dyDescent="0.2">
      <c r="A1871" s="561" t="s">
        <v>2028</v>
      </c>
      <c r="B1871" s="562">
        <v>2021</v>
      </c>
      <c r="C1871" s="561" t="s">
        <v>725</v>
      </c>
      <c r="D1871" s="561" t="s">
        <v>2056</v>
      </c>
      <c r="E1871" s="561" t="s">
        <v>3066</v>
      </c>
      <c r="F1871" s="563">
        <v>0</v>
      </c>
      <c r="G1871" s="561" t="s">
        <v>654</v>
      </c>
      <c r="H1871" s="564"/>
      <c r="I1871" s="563">
        <v>177654.75</v>
      </c>
      <c r="J1871" s="563">
        <v>18247.33984375</v>
      </c>
      <c r="K1871" s="563">
        <v>195902.09375</v>
      </c>
      <c r="L1871" s="566">
        <v>195902.09</v>
      </c>
    </row>
    <row r="1872" spans="1:12" ht="45" x14ac:dyDescent="0.2">
      <c r="A1872" s="561" t="s">
        <v>2028</v>
      </c>
      <c r="B1872" s="562">
        <v>2021</v>
      </c>
      <c r="C1872" s="561" t="s">
        <v>725</v>
      </c>
      <c r="D1872" s="561" t="s">
        <v>2057</v>
      </c>
      <c r="E1872" s="561" t="s">
        <v>728</v>
      </c>
      <c r="F1872" s="563">
        <v>0</v>
      </c>
      <c r="G1872" s="561" t="s">
        <v>654</v>
      </c>
      <c r="H1872" s="564"/>
      <c r="I1872" s="565"/>
      <c r="J1872" s="565"/>
      <c r="K1872" s="563">
        <v>0</v>
      </c>
      <c r="L1872" s="566">
        <v>0</v>
      </c>
    </row>
    <row r="1873" spans="1:12" ht="45" x14ac:dyDescent="0.2">
      <c r="A1873" s="561" t="s">
        <v>2028</v>
      </c>
      <c r="B1873" s="562">
        <v>2021</v>
      </c>
      <c r="C1873" s="561" t="s">
        <v>725</v>
      </c>
      <c r="D1873" s="561" t="s">
        <v>2058</v>
      </c>
      <c r="E1873" s="561" t="s">
        <v>55</v>
      </c>
      <c r="F1873" s="563">
        <v>0</v>
      </c>
      <c r="G1873" s="561" t="s">
        <v>654</v>
      </c>
      <c r="H1873" s="564"/>
      <c r="I1873" s="565"/>
      <c r="J1873" s="565"/>
      <c r="K1873" s="563">
        <v>0</v>
      </c>
      <c r="L1873" s="566">
        <v>0</v>
      </c>
    </row>
    <row r="1874" spans="1:12" ht="45" x14ac:dyDescent="0.2">
      <c r="A1874" s="561" t="s">
        <v>2028</v>
      </c>
      <c r="B1874" s="562">
        <v>2021</v>
      </c>
      <c r="C1874" s="561" t="s">
        <v>725</v>
      </c>
      <c r="D1874" s="561" t="s">
        <v>2059</v>
      </c>
      <c r="E1874" s="561" t="s">
        <v>56</v>
      </c>
      <c r="F1874" s="563">
        <v>0</v>
      </c>
      <c r="G1874" s="561" t="s">
        <v>654</v>
      </c>
      <c r="H1874" s="564"/>
      <c r="I1874" s="565"/>
      <c r="J1874" s="565"/>
      <c r="K1874" s="563">
        <v>0</v>
      </c>
      <c r="L1874" s="566">
        <v>0</v>
      </c>
    </row>
    <row r="1875" spans="1:12" ht="45" x14ac:dyDescent="0.2">
      <c r="A1875" s="561" t="s">
        <v>2028</v>
      </c>
      <c r="B1875" s="562">
        <v>2021</v>
      </c>
      <c r="C1875" s="561" t="s">
        <v>725</v>
      </c>
      <c r="D1875" s="561" t="s">
        <v>2060</v>
      </c>
      <c r="E1875" s="561" t="s">
        <v>732</v>
      </c>
      <c r="F1875" s="563">
        <v>0</v>
      </c>
      <c r="G1875" s="561" t="s">
        <v>654</v>
      </c>
      <c r="H1875" s="564"/>
      <c r="I1875" s="563">
        <v>-330820</v>
      </c>
      <c r="J1875" s="563">
        <v>-40894.87890625</v>
      </c>
      <c r="K1875" s="563">
        <v>-371714.875</v>
      </c>
      <c r="L1875" s="566">
        <v>-371714.88</v>
      </c>
    </row>
    <row r="1876" spans="1:12" ht="45" x14ac:dyDescent="0.2">
      <c r="A1876" s="561" t="s">
        <v>2028</v>
      </c>
      <c r="B1876" s="562">
        <v>2021</v>
      </c>
      <c r="C1876" s="561" t="s">
        <v>725</v>
      </c>
      <c r="D1876" s="561" t="s">
        <v>2061</v>
      </c>
      <c r="E1876" s="561" t="s">
        <v>734</v>
      </c>
      <c r="F1876" s="563">
        <v>0</v>
      </c>
      <c r="G1876" s="561" t="s">
        <v>654</v>
      </c>
      <c r="H1876" s="564"/>
      <c r="I1876" s="565"/>
      <c r="J1876" s="565"/>
      <c r="K1876" s="563">
        <v>0</v>
      </c>
      <c r="L1876" s="566">
        <v>0</v>
      </c>
    </row>
    <row r="1877" spans="1:12" ht="45" x14ac:dyDescent="0.2">
      <c r="A1877" s="561" t="s">
        <v>2028</v>
      </c>
      <c r="B1877" s="562">
        <v>2021</v>
      </c>
      <c r="C1877" s="561" t="s">
        <v>725</v>
      </c>
      <c r="D1877" s="561" t="s">
        <v>2062</v>
      </c>
      <c r="E1877" s="561" t="s">
        <v>142</v>
      </c>
      <c r="F1877" s="563">
        <v>0</v>
      </c>
      <c r="G1877" s="561" t="s">
        <v>654</v>
      </c>
      <c r="H1877" s="564"/>
      <c r="I1877" s="563">
        <v>183519.6875</v>
      </c>
      <c r="J1877" s="563">
        <v>-245316.484375</v>
      </c>
      <c r="K1877" s="563">
        <v>-61796.7890625</v>
      </c>
      <c r="L1877" s="566">
        <v>-61796.79</v>
      </c>
    </row>
    <row r="1878" spans="1:12" ht="45" x14ac:dyDescent="0.2">
      <c r="A1878" s="561" t="s">
        <v>2028</v>
      </c>
      <c r="B1878" s="562">
        <v>2021</v>
      </c>
      <c r="C1878" s="561" t="s">
        <v>725</v>
      </c>
      <c r="D1878" s="561" t="s">
        <v>2063</v>
      </c>
      <c r="E1878" s="561" t="s">
        <v>143</v>
      </c>
      <c r="F1878" s="563">
        <v>0</v>
      </c>
      <c r="G1878" s="561" t="s">
        <v>654</v>
      </c>
      <c r="H1878" s="564"/>
      <c r="I1878" s="563">
        <v>-101432.578125</v>
      </c>
      <c r="J1878" s="563">
        <v>38145.41015625</v>
      </c>
      <c r="K1878" s="563">
        <v>-63287.171875</v>
      </c>
      <c r="L1878" s="566">
        <v>-63287.17</v>
      </c>
    </row>
    <row r="1879" spans="1:12" ht="45" x14ac:dyDescent="0.2">
      <c r="A1879" s="561" t="s">
        <v>2028</v>
      </c>
      <c r="B1879" s="562">
        <v>2021</v>
      </c>
      <c r="C1879" s="561" t="s">
        <v>725</v>
      </c>
      <c r="D1879" s="561" t="s">
        <v>2064</v>
      </c>
      <c r="E1879" s="561" t="s">
        <v>182</v>
      </c>
      <c r="F1879" s="563">
        <v>0</v>
      </c>
      <c r="G1879" s="561" t="s">
        <v>654</v>
      </c>
      <c r="H1879" s="564"/>
      <c r="I1879" s="563">
        <v>30992.55078125</v>
      </c>
      <c r="J1879" s="563">
        <v>1463.23999023438</v>
      </c>
      <c r="K1879" s="563">
        <v>32455.7890625</v>
      </c>
      <c r="L1879" s="566">
        <v>32455.79</v>
      </c>
    </row>
    <row r="1880" spans="1:12" ht="45" x14ac:dyDescent="0.2">
      <c r="A1880" s="561" t="s">
        <v>2028</v>
      </c>
      <c r="B1880" s="562">
        <v>2021</v>
      </c>
      <c r="C1880" s="561" t="s">
        <v>725</v>
      </c>
      <c r="D1880" s="561" t="s">
        <v>2065</v>
      </c>
      <c r="E1880" s="561" t="s">
        <v>394</v>
      </c>
      <c r="F1880" s="563">
        <v>0</v>
      </c>
      <c r="G1880" s="561" t="s">
        <v>654</v>
      </c>
      <c r="H1880" s="564"/>
      <c r="I1880" s="565"/>
      <c r="J1880" s="565"/>
      <c r="K1880" s="563">
        <v>0</v>
      </c>
      <c r="L1880" s="566">
        <v>0</v>
      </c>
    </row>
    <row r="1881" spans="1:12" ht="45" x14ac:dyDescent="0.2">
      <c r="A1881" s="561" t="s">
        <v>2028</v>
      </c>
      <c r="B1881" s="562">
        <v>2021</v>
      </c>
      <c r="C1881" s="561" t="s">
        <v>725</v>
      </c>
      <c r="D1881" s="561" t="s">
        <v>2066</v>
      </c>
      <c r="E1881" s="561" t="s">
        <v>425</v>
      </c>
      <c r="F1881" s="563">
        <v>0</v>
      </c>
      <c r="G1881" s="561" t="s">
        <v>654</v>
      </c>
      <c r="H1881" s="564"/>
      <c r="I1881" s="563">
        <v>27502.970703125</v>
      </c>
      <c r="J1881" s="563">
        <v>-11541.73046875</v>
      </c>
      <c r="K1881" s="563">
        <v>15961.240234375</v>
      </c>
      <c r="L1881" s="566">
        <v>15961.24</v>
      </c>
    </row>
    <row r="1882" spans="1:12" ht="45" x14ac:dyDescent="0.2">
      <c r="A1882" s="561" t="s">
        <v>2028</v>
      </c>
      <c r="B1882" s="562">
        <v>2021</v>
      </c>
      <c r="C1882" s="561" t="s">
        <v>725</v>
      </c>
      <c r="D1882" s="561" t="s">
        <v>3280</v>
      </c>
      <c r="E1882" s="561" t="s">
        <v>443</v>
      </c>
      <c r="F1882" s="563">
        <v>0</v>
      </c>
      <c r="G1882" s="561" t="s">
        <v>654</v>
      </c>
      <c r="H1882" s="564"/>
      <c r="I1882" s="563">
        <v>-441925.3125</v>
      </c>
      <c r="J1882" s="563">
        <v>408522.53125</v>
      </c>
      <c r="K1882" s="563">
        <v>-33402.7890625</v>
      </c>
      <c r="L1882" s="566">
        <v>-33402.79</v>
      </c>
    </row>
    <row r="1883" spans="1:12" ht="45" x14ac:dyDescent="0.2">
      <c r="A1883" s="561" t="s">
        <v>2028</v>
      </c>
      <c r="B1883" s="562">
        <v>2021</v>
      </c>
      <c r="C1883" s="561" t="s">
        <v>725</v>
      </c>
      <c r="D1883" s="561" t="s">
        <v>2067</v>
      </c>
      <c r="E1883" s="561" t="s">
        <v>741</v>
      </c>
      <c r="F1883" s="563">
        <v>-202494.31</v>
      </c>
      <c r="G1883" s="564"/>
      <c r="H1883" s="564"/>
      <c r="I1883" s="565"/>
      <c r="J1883" s="565"/>
      <c r="K1883" s="563">
        <v>0</v>
      </c>
      <c r="L1883" s="566">
        <v>-202494.31</v>
      </c>
    </row>
    <row r="1884" spans="1:12" ht="22.5" x14ac:dyDescent="0.2">
      <c r="A1884" s="561" t="s">
        <v>2028</v>
      </c>
      <c r="B1884" s="562">
        <v>2021</v>
      </c>
      <c r="C1884" s="561" t="s">
        <v>742</v>
      </c>
      <c r="D1884" s="561" t="s">
        <v>2068</v>
      </c>
      <c r="E1884" s="561" t="s">
        <v>7</v>
      </c>
      <c r="F1884" s="563">
        <v>-17670.82</v>
      </c>
      <c r="G1884" s="564"/>
      <c r="H1884" s="561" t="s">
        <v>654</v>
      </c>
      <c r="I1884" s="565"/>
      <c r="J1884" s="565"/>
      <c r="K1884" s="563">
        <v>0</v>
      </c>
      <c r="L1884" s="566">
        <v>-17670.82</v>
      </c>
    </row>
    <row r="1885" spans="1:12" ht="22.5" x14ac:dyDescent="0.2">
      <c r="A1885" s="561" t="s">
        <v>103</v>
      </c>
      <c r="B1885" s="562">
        <v>2021</v>
      </c>
      <c r="C1885" s="561" t="s">
        <v>651</v>
      </c>
      <c r="D1885" s="561" t="s">
        <v>2069</v>
      </c>
      <c r="E1885" s="561" t="s">
        <v>653</v>
      </c>
      <c r="F1885" s="563">
        <v>-825652.13</v>
      </c>
      <c r="G1885" s="564"/>
      <c r="H1885" s="561" t="s">
        <v>654</v>
      </c>
      <c r="I1885" s="565"/>
      <c r="J1885" s="565"/>
      <c r="K1885" s="563">
        <v>0</v>
      </c>
      <c r="L1885" s="566">
        <v>-825652.13</v>
      </c>
    </row>
    <row r="1886" spans="1:12" ht="22.5" x14ac:dyDescent="0.2">
      <c r="A1886" s="561" t="s">
        <v>103</v>
      </c>
      <c r="B1886" s="562">
        <v>2021</v>
      </c>
      <c r="C1886" s="561" t="s">
        <v>655</v>
      </c>
      <c r="D1886" s="561" t="s">
        <v>2070</v>
      </c>
      <c r="E1886" s="561" t="s">
        <v>657</v>
      </c>
      <c r="F1886" s="563">
        <v>126676</v>
      </c>
      <c r="G1886" s="564"/>
      <c r="H1886" s="561" t="s">
        <v>654</v>
      </c>
      <c r="I1886" s="565"/>
      <c r="J1886" s="565"/>
      <c r="K1886" s="563">
        <v>0</v>
      </c>
      <c r="L1886" s="566">
        <v>126676</v>
      </c>
    </row>
    <row r="1887" spans="1:12" ht="56.25" x14ac:dyDescent="0.2">
      <c r="A1887" s="561" t="s">
        <v>103</v>
      </c>
      <c r="B1887" s="562">
        <v>2021</v>
      </c>
      <c r="C1887" s="561" t="s">
        <v>658</v>
      </c>
      <c r="D1887" s="561" t="s">
        <v>2071</v>
      </c>
      <c r="E1887" s="561" t="s">
        <v>447</v>
      </c>
      <c r="F1887" s="563">
        <v>-74.599999999999994</v>
      </c>
      <c r="G1887" s="564"/>
      <c r="H1887" s="561" t="s">
        <v>654</v>
      </c>
      <c r="I1887" s="565"/>
      <c r="J1887" s="565"/>
      <c r="K1887" s="563">
        <v>0</v>
      </c>
      <c r="L1887" s="566">
        <v>-74.599999999999994</v>
      </c>
    </row>
    <row r="1888" spans="1:12" ht="22.5" x14ac:dyDescent="0.2">
      <c r="A1888" s="561" t="s">
        <v>103</v>
      </c>
      <c r="B1888" s="562">
        <v>2021</v>
      </c>
      <c r="C1888" s="561" t="s">
        <v>660</v>
      </c>
      <c r="D1888" s="561" t="s">
        <v>2072</v>
      </c>
      <c r="E1888" s="561" t="s">
        <v>662</v>
      </c>
      <c r="F1888" s="563">
        <v>0</v>
      </c>
      <c r="G1888" s="564"/>
      <c r="H1888" s="561" t="s">
        <v>654</v>
      </c>
      <c r="I1888" s="565"/>
      <c r="J1888" s="565"/>
      <c r="K1888" s="563">
        <v>0</v>
      </c>
      <c r="L1888" s="566">
        <v>0</v>
      </c>
    </row>
    <row r="1889" spans="1:12" ht="33.75" x14ac:dyDescent="0.2">
      <c r="A1889" s="561" t="s">
        <v>103</v>
      </c>
      <c r="B1889" s="562">
        <v>2021</v>
      </c>
      <c r="C1889" s="561" t="s">
        <v>663</v>
      </c>
      <c r="D1889" s="561" t="s">
        <v>2073</v>
      </c>
      <c r="E1889" s="561" t="s">
        <v>665</v>
      </c>
      <c r="F1889" s="563">
        <v>0</v>
      </c>
      <c r="G1889" s="564"/>
      <c r="H1889" s="561" t="s">
        <v>654</v>
      </c>
      <c r="I1889" s="565"/>
      <c r="J1889" s="565"/>
      <c r="K1889" s="563">
        <v>0</v>
      </c>
      <c r="L1889" s="566">
        <v>0</v>
      </c>
    </row>
    <row r="1890" spans="1:12" ht="33.75" x14ac:dyDescent="0.2">
      <c r="A1890" s="561" t="s">
        <v>103</v>
      </c>
      <c r="B1890" s="562">
        <v>2021</v>
      </c>
      <c r="C1890" s="561" t="s">
        <v>666</v>
      </c>
      <c r="D1890" s="561" t="s">
        <v>2074</v>
      </c>
      <c r="E1890" s="561" t="s">
        <v>668</v>
      </c>
      <c r="F1890" s="563">
        <v>0</v>
      </c>
      <c r="G1890" s="564"/>
      <c r="H1890" s="561" t="s">
        <v>654</v>
      </c>
      <c r="I1890" s="565"/>
      <c r="J1890" s="565"/>
      <c r="K1890" s="563">
        <v>0</v>
      </c>
      <c r="L1890" s="566">
        <v>0</v>
      </c>
    </row>
    <row r="1891" spans="1:12" ht="56.25" x14ac:dyDescent="0.2">
      <c r="A1891" s="561" t="s">
        <v>103</v>
      </c>
      <c r="B1891" s="562">
        <v>2021</v>
      </c>
      <c r="C1891" s="561" t="s">
        <v>669</v>
      </c>
      <c r="D1891" s="561" t="s">
        <v>2075</v>
      </c>
      <c r="E1891" s="561" t="s">
        <v>671</v>
      </c>
      <c r="F1891" s="563">
        <v>0</v>
      </c>
      <c r="G1891" s="564"/>
      <c r="H1891" s="561" t="s">
        <v>654</v>
      </c>
      <c r="I1891" s="565"/>
      <c r="J1891" s="565"/>
      <c r="K1891" s="563">
        <v>0</v>
      </c>
      <c r="L1891" s="566">
        <v>0</v>
      </c>
    </row>
    <row r="1892" spans="1:12" ht="22.5" x14ac:dyDescent="0.2">
      <c r="A1892" s="561" t="s">
        <v>103</v>
      </c>
      <c r="B1892" s="562">
        <v>2021</v>
      </c>
      <c r="C1892" s="561" t="s">
        <v>672</v>
      </c>
      <c r="D1892" s="561" t="s">
        <v>2076</v>
      </c>
      <c r="E1892" s="561" t="s">
        <v>12</v>
      </c>
      <c r="F1892" s="563">
        <v>0</v>
      </c>
      <c r="G1892" s="564"/>
      <c r="H1892" s="561" t="s">
        <v>654</v>
      </c>
      <c r="I1892" s="565"/>
      <c r="J1892" s="565"/>
      <c r="K1892" s="563">
        <v>0</v>
      </c>
      <c r="L1892" s="566">
        <v>0</v>
      </c>
    </row>
    <row r="1893" spans="1:12" ht="22.5" x14ac:dyDescent="0.2">
      <c r="A1893" s="561" t="s">
        <v>103</v>
      </c>
      <c r="B1893" s="562">
        <v>2021</v>
      </c>
      <c r="C1893" s="561" t="s">
        <v>674</v>
      </c>
      <c r="D1893" s="561" t="s">
        <v>2077</v>
      </c>
      <c r="E1893" s="561" t="s">
        <v>13</v>
      </c>
      <c r="F1893" s="563">
        <v>0</v>
      </c>
      <c r="G1893" s="564"/>
      <c r="H1893" s="561" t="s">
        <v>654</v>
      </c>
      <c r="I1893" s="565"/>
      <c r="J1893" s="565"/>
      <c r="K1893" s="563">
        <v>0</v>
      </c>
      <c r="L1893" s="566">
        <v>0</v>
      </c>
    </row>
    <row r="1894" spans="1:12" ht="33.75" x14ac:dyDescent="0.2">
      <c r="A1894" s="561" t="s">
        <v>103</v>
      </c>
      <c r="B1894" s="562">
        <v>2021</v>
      </c>
      <c r="C1894" s="561" t="s">
        <v>676</v>
      </c>
      <c r="D1894" s="561" t="s">
        <v>2078</v>
      </c>
      <c r="E1894" s="561" t="s">
        <v>15</v>
      </c>
      <c r="F1894" s="563">
        <v>0</v>
      </c>
      <c r="G1894" s="564"/>
      <c r="H1894" s="561" t="s">
        <v>654</v>
      </c>
      <c r="I1894" s="565"/>
      <c r="J1894" s="565"/>
      <c r="K1894" s="563">
        <v>0</v>
      </c>
      <c r="L1894" s="566">
        <v>0</v>
      </c>
    </row>
    <row r="1895" spans="1:12" ht="22.5" x14ac:dyDescent="0.2">
      <c r="A1895" s="561" t="s">
        <v>103</v>
      </c>
      <c r="B1895" s="562">
        <v>2021</v>
      </c>
      <c r="C1895" s="561" t="s">
        <v>678</v>
      </c>
      <c r="D1895" s="561" t="s">
        <v>2079</v>
      </c>
      <c r="E1895" s="561" t="s">
        <v>680</v>
      </c>
      <c r="F1895" s="563">
        <v>433650</v>
      </c>
      <c r="G1895" s="564"/>
      <c r="H1895" s="561" t="s">
        <v>654</v>
      </c>
      <c r="I1895" s="565"/>
      <c r="J1895" s="565"/>
      <c r="K1895" s="563">
        <v>0</v>
      </c>
      <c r="L1895" s="566">
        <v>433650</v>
      </c>
    </row>
    <row r="1896" spans="1:12" ht="22.5" x14ac:dyDescent="0.2">
      <c r="A1896" s="561" t="s">
        <v>103</v>
      </c>
      <c r="B1896" s="562">
        <v>2021</v>
      </c>
      <c r="C1896" s="561" t="s">
        <v>681</v>
      </c>
      <c r="D1896" s="561" t="s">
        <v>2080</v>
      </c>
      <c r="E1896" s="561" t="s">
        <v>23</v>
      </c>
      <c r="F1896" s="563">
        <v>2587747.33</v>
      </c>
      <c r="G1896" s="561" t="s">
        <v>654</v>
      </c>
      <c r="H1896" s="564"/>
      <c r="I1896" s="563">
        <v>2547200.75</v>
      </c>
      <c r="J1896" s="563">
        <v>40546.53125</v>
      </c>
      <c r="K1896" s="563">
        <v>2587747.25</v>
      </c>
      <c r="L1896" s="566">
        <v>2587747.33</v>
      </c>
    </row>
    <row r="1897" spans="1:12" ht="33.75" x14ac:dyDescent="0.2">
      <c r="A1897" s="561" t="s">
        <v>103</v>
      </c>
      <c r="B1897" s="562">
        <v>2021</v>
      </c>
      <c r="C1897" s="561" t="s">
        <v>683</v>
      </c>
      <c r="D1897" s="561" t="s">
        <v>2081</v>
      </c>
      <c r="E1897" s="561" t="s">
        <v>131</v>
      </c>
      <c r="F1897" s="563">
        <v>-13684.13</v>
      </c>
      <c r="G1897" s="561" t="s">
        <v>654</v>
      </c>
      <c r="H1897" s="564"/>
      <c r="I1897" s="563">
        <v>-13339.3896484375</v>
      </c>
      <c r="J1897" s="563">
        <v>-344.739990234375</v>
      </c>
      <c r="K1897" s="563">
        <v>-13684.1298828125</v>
      </c>
      <c r="L1897" s="566">
        <v>-13684.13</v>
      </c>
    </row>
    <row r="1898" spans="1:12" ht="33.75" x14ac:dyDescent="0.2">
      <c r="A1898" s="561" t="s">
        <v>103</v>
      </c>
      <c r="B1898" s="562">
        <v>2021</v>
      </c>
      <c r="C1898" s="561" t="s">
        <v>685</v>
      </c>
      <c r="D1898" s="561" t="s">
        <v>2082</v>
      </c>
      <c r="E1898" s="561" t="s">
        <v>687</v>
      </c>
      <c r="F1898" s="563">
        <v>-24682.86</v>
      </c>
      <c r="G1898" s="564"/>
      <c r="H1898" s="561" t="s">
        <v>654</v>
      </c>
      <c r="I1898" s="565"/>
      <c r="J1898" s="565"/>
      <c r="K1898" s="563">
        <v>0</v>
      </c>
      <c r="L1898" s="566">
        <v>-24682.86</v>
      </c>
    </row>
    <row r="1899" spans="1:12" ht="33.75" x14ac:dyDescent="0.2">
      <c r="A1899" s="561" t="s">
        <v>103</v>
      </c>
      <c r="B1899" s="562">
        <v>2021</v>
      </c>
      <c r="C1899" s="561" t="s">
        <v>685</v>
      </c>
      <c r="D1899" s="561" t="s">
        <v>2082</v>
      </c>
      <c r="E1899" s="561" t="s">
        <v>688</v>
      </c>
      <c r="F1899" s="563">
        <v>-24682.86</v>
      </c>
      <c r="G1899" s="564"/>
      <c r="H1899" s="561" t="s">
        <v>654</v>
      </c>
      <c r="I1899" s="565"/>
      <c r="J1899" s="565"/>
      <c r="K1899" s="563">
        <v>0</v>
      </c>
      <c r="L1899" s="566">
        <v>-24682.86</v>
      </c>
    </row>
    <row r="1900" spans="1:12" ht="22.5" x14ac:dyDescent="0.2">
      <c r="A1900" s="561" t="s">
        <v>103</v>
      </c>
      <c r="B1900" s="562">
        <v>2021</v>
      </c>
      <c r="C1900" s="561" t="s">
        <v>689</v>
      </c>
      <c r="D1900" s="561" t="s">
        <v>2083</v>
      </c>
      <c r="E1900" s="561" t="s">
        <v>691</v>
      </c>
      <c r="F1900" s="563">
        <v>300013</v>
      </c>
      <c r="G1900" s="564"/>
      <c r="H1900" s="561" t="s">
        <v>654</v>
      </c>
      <c r="I1900" s="565"/>
      <c r="J1900" s="565"/>
      <c r="K1900" s="563">
        <v>0</v>
      </c>
      <c r="L1900" s="566">
        <v>300013</v>
      </c>
    </row>
    <row r="1901" spans="1:12" ht="22.5" x14ac:dyDescent="0.2">
      <c r="A1901" s="561" t="s">
        <v>103</v>
      </c>
      <c r="B1901" s="562">
        <v>2021</v>
      </c>
      <c r="C1901" s="561" t="s">
        <v>692</v>
      </c>
      <c r="D1901" s="561" t="s">
        <v>2084</v>
      </c>
      <c r="E1901" s="561" t="s">
        <v>50</v>
      </c>
      <c r="F1901" s="563">
        <v>829370.63</v>
      </c>
      <c r="G1901" s="564"/>
      <c r="H1901" s="561" t="s">
        <v>654</v>
      </c>
      <c r="I1901" s="565"/>
      <c r="J1901" s="565"/>
      <c r="K1901" s="563">
        <v>0</v>
      </c>
      <c r="L1901" s="566">
        <v>829370.63</v>
      </c>
    </row>
    <row r="1902" spans="1:12" ht="22.5" x14ac:dyDescent="0.2">
      <c r="A1902" s="561" t="s">
        <v>103</v>
      </c>
      <c r="B1902" s="562">
        <v>2021</v>
      </c>
      <c r="C1902" s="561" t="s">
        <v>694</v>
      </c>
      <c r="D1902" s="561" t="s">
        <v>2085</v>
      </c>
      <c r="E1902" s="561" t="s">
        <v>696</v>
      </c>
      <c r="F1902" s="563">
        <v>0</v>
      </c>
      <c r="G1902" s="564"/>
      <c r="H1902" s="561" t="s">
        <v>654</v>
      </c>
      <c r="I1902" s="565"/>
      <c r="J1902" s="565"/>
      <c r="K1902" s="563">
        <v>0</v>
      </c>
      <c r="L1902" s="566">
        <v>0</v>
      </c>
    </row>
    <row r="1903" spans="1:12" ht="22.5" x14ac:dyDescent="0.2">
      <c r="A1903" s="561" t="s">
        <v>103</v>
      </c>
      <c r="B1903" s="562">
        <v>2021</v>
      </c>
      <c r="C1903" s="561" t="s">
        <v>697</v>
      </c>
      <c r="D1903" s="561" t="s">
        <v>2086</v>
      </c>
      <c r="E1903" s="561" t="s">
        <v>6</v>
      </c>
      <c r="F1903" s="563">
        <v>0</v>
      </c>
      <c r="G1903" s="564"/>
      <c r="H1903" s="561" t="s">
        <v>654</v>
      </c>
      <c r="I1903" s="565"/>
      <c r="J1903" s="565"/>
      <c r="K1903" s="563">
        <v>0</v>
      </c>
      <c r="L1903" s="566">
        <v>0</v>
      </c>
    </row>
    <row r="1904" spans="1:12" ht="33.75" x14ac:dyDescent="0.2">
      <c r="A1904" s="561" t="s">
        <v>103</v>
      </c>
      <c r="B1904" s="562">
        <v>2021</v>
      </c>
      <c r="C1904" s="561" t="s">
        <v>699</v>
      </c>
      <c r="D1904" s="561" t="s">
        <v>2087</v>
      </c>
      <c r="E1904" s="561" t="s">
        <v>701</v>
      </c>
      <c r="F1904" s="563">
        <v>0</v>
      </c>
      <c r="G1904" s="564"/>
      <c r="H1904" s="561" t="s">
        <v>654</v>
      </c>
      <c r="I1904" s="565"/>
      <c r="J1904" s="565"/>
      <c r="K1904" s="563">
        <v>0</v>
      </c>
      <c r="L1904" s="566">
        <v>0</v>
      </c>
    </row>
    <row r="1905" spans="1:12" ht="22.5" x14ac:dyDescent="0.2">
      <c r="A1905" s="561" t="s">
        <v>103</v>
      </c>
      <c r="B1905" s="562">
        <v>2021</v>
      </c>
      <c r="C1905" s="561" t="s">
        <v>702</v>
      </c>
      <c r="D1905" s="561" t="s">
        <v>2088</v>
      </c>
      <c r="E1905" s="561" t="s">
        <v>704</v>
      </c>
      <c r="F1905" s="563">
        <v>-160882.10999999999</v>
      </c>
      <c r="G1905" s="564"/>
      <c r="H1905" s="561" t="s">
        <v>654</v>
      </c>
      <c r="I1905" s="565"/>
      <c r="J1905" s="565"/>
      <c r="K1905" s="563">
        <v>0</v>
      </c>
      <c r="L1905" s="566">
        <v>-160882.10999999999</v>
      </c>
    </row>
    <row r="1906" spans="1:12" ht="33.75" x14ac:dyDescent="0.2">
      <c r="A1906" s="561" t="s">
        <v>103</v>
      </c>
      <c r="B1906" s="562">
        <v>2021</v>
      </c>
      <c r="C1906" s="561" t="s">
        <v>705</v>
      </c>
      <c r="D1906" s="561" t="s">
        <v>2089</v>
      </c>
      <c r="E1906" s="561" t="s">
        <v>1</v>
      </c>
      <c r="F1906" s="563">
        <v>-1215497.6599999999</v>
      </c>
      <c r="G1906" s="561" t="s">
        <v>654</v>
      </c>
      <c r="H1906" s="564"/>
      <c r="I1906" s="563">
        <v>-1192805.625</v>
      </c>
      <c r="J1906" s="563">
        <v>-22692.060546875</v>
      </c>
      <c r="K1906" s="563">
        <v>-1215497.625</v>
      </c>
      <c r="L1906" s="566">
        <v>-1215497.6599999999</v>
      </c>
    </row>
    <row r="1907" spans="1:12" ht="22.5" x14ac:dyDescent="0.2">
      <c r="A1907" s="561" t="s">
        <v>103</v>
      </c>
      <c r="B1907" s="562">
        <v>2021</v>
      </c>
      <c r="C1907" s="561" t="s">
        <v>705</v>
      </c>
      <c r="D1907" s="561" t="s">
        <v>2089</v>
      </c>
      <c r="E1907" s="561" t="s">
        <v>707</v>
      </c>
      <c r="F1907" s="563">
        <v>0</v>
      </c>
      <c r="G1907" s="564"/>
      <c r="H1907" s="564"/>
      <c r="I1907" s="565"/>
      <c r="J1907" s="565"/>
      <c r="K1907" s="563">
        <v>0</v>
      </c>
      <c r="L1907" s="566">
        <v>0</v>
      </c>
    </row>
    <row r="1908" spans="1:12" ht="22.5" x14ac:dyDescent="0.2">
      <c r="A1908" s="561" t="s">
        <v>103</v>
      </c>
      <c r="B1908" s="562">
        <v>2021</v>
      </c>
      <c r="C1908" s="561" t="s">
        <v>705</v>
      </c>
      <c r="D1908" s="561" t="s">
        <v>2089</v>
      </c>
      <c r="E1908" s="561" t="s">
        <v>708</v>
      </c>
      <c r="F1908" s="563">
        <v>0</v>
      </c>
      <c r="G1908" s="564"/>
      <c r="H1908" s="564"/>
      <c r="I1908" s="565"/>
      <c r="J1908" s="565"/>
      <c r="K1908" s="563">
        <v>0</v>
      </c>
      <c r="L1908" s="566">
        <v>0</v>
      </c>
    </row>
    <row r="1909" spans="1:12" ht="22.5" x14ac:dyDescent="0.2">
      <c r="A1909" s="561" t="s">
        <v>103</v>
      </c>
      <c r="B1909" s="562">
        <v>2021</v>
      </c>
      <c r="C1909" s="561" t="s">
        <v>705</v>
      </c>
      <c r="D1909" s="561" t="s">
        <v>2089</v>
      </c>
      <c r="E1909" s="561" t="s">
        <v>709</v>
      </c>
      <c r="F1909" s="563">
        <v>-2612.6999999999998</v>
      </c>
      <c r="G1909" s="564"/>
      <c r="H1909" s="564"/>
      <c r="I1909" s="565"/>
      <c r="J1909" s="565"/>
      <c r="K1909" s="563">
        <v>0</v>
      </c>
      <c r="L1909" s="566">
        <v>-2612.6999999999998</v>
      </c>
    </row>
    <row r="1910" spans="1:12" ht="22.5" x14ac:dyDescent="0.2">
      <c r="A1910" s="561" t="s">
        <v>103</v>
      </c>
      <c r="B1910" s="562">
        <v>2021</v>
      </c>
      <c r="C1910" s="561" t="s">
        <v>705</v>
      </c>
      <c r="D1910" s="561" t="s">
        <v>2089</v>
      </c>
      <c r="E1910" s="561" t="s">
        <v>710</v>
      </c>
      <c r="F1910" s="563">
        <v>-126825.42</v>
      </c>
      <c r="G1910" s="564"/>
      <c r="H1910" s="564"/>
      <c r="I1910" s="565"/>
      <c r="J1910" s="565"/>
      <c r="K1910" s="563">
        <v>0</v>
      </c>
      <c r="L1910" s="566">
        <v>-126825.42</v>
      </c>
    </row>
    <row r="1911" spans="1:12" ht="22.5" x14ac:dyDescent="0.2">
      <c r="A1911" s="561" t="s">
        <v>103</v>
      </c>
      <c r="B1911" s="562">
        <v>2021</v>
      </c>
      <c r="C1911" s="561" t="s">
        <v>711</v>
      </c>
      <c r="D1911" s="561" t="s">
        <v>2090</v>
      </c>
      <c r="E1911" s="561" t="s">
        <v>713</v>
      </c>
      <c r="F1911" s="563">
        <v>0</v>
      </c>
      <c r="G1911" s="564"/>
      <c r="H1911" s="561" t="s">
        <v>654</v>
      </c>
      <c r="I1911" s="565"/>
      <c r="J1911" s="565"/>
      <c r="K1911" s="563">
        <v>0</v>
      </c>
      <c r="L1911" s="566">
        <v>0</v>
      </c>
    </row>
    <row r="1912" spans="1:12" ht="33.75" x14ac:dyDescent="0.2">
      <c r="A1912" s="561" t="s">
        <v>103</v>
      </c>
      <c r="B1912" s="562">
        <v>2021</v>
      </c>
      <c r="C1912" s="561" t="s">
        <v>714</v>
      </c>
      <c r="D1912" s="561" t="s">
        <v>2091</v>
      </c>
      <c r="E1912" s="561" t="s">
        <v>2</v>
      </c>
      <c r="F1912" s="563">
        <v>639369.59</v>
      </c>
      <c r="G1912" s="561" t="s">
        <v>654</v>
      </c>
      <c r="H1912" s="564"/>
      <c r="I1912" s="563">
        <v>636063.5625</v>
      </c>
      <c r="J1912" s="563">
        <v>3306</v>
      </c>
      <c r="K1912" s="563">
        <v>639369.5625</v>
      </c>
      <c r="L1912" s="566">
        <v>639369.59</v>
      </c>
    </row>
    <row r="1913" spans="1:12" ht="33.75" x14ac:dyDescent="0.2">
      <c r="A1913" s="561" t="s">
        <v>103</v>
      </c>
      <c r="B1913" s="562">
        <v>2021</v>
      </c>
      <c r="C1913" s="561" t="s">
        <v>716</v>
      </c>
      <c r="D1913" s="561" t="s">
        <v>2092</v>
      </c>
      <c r="E1913" s="561" t="s">
        <v>3</v>
      </c>
      <c r="F1913" s="563">
        <v>-239369.25</v>
      </c>
      <c r="G1913" s="561" t="s">
        <v>654</v>
      </c>
      <c r="H1913" s="564"/>
      <c r="I1913" s="563">
        <v>-233044.296875</v>
      </c>
      <c r="J1913" s="563">
        <v>-6324.9501953125</v>
      </c>
      <c r="K1913" s="563">
        <v>-239369.25</v>
      </c>
      <c r="L1913" s="566">
        <v>-239369.25</v>
      </c>
    </row>
    <row r="1914" spans="1:12" ht="33.75" x14ac:dyDescent="0.2">
      <c r="A1914" s="561" t="s">
        <v>103</v>
      </c>
      <c r="B1914" s="562">
        <v>2021</v>
      </c>
      <c r="C1914" s="561" t="s">
        <v>718</v>
      </c>
      <c r="D1914" s="561" t="s">
        <v>2093</v>
      </c>
      <c r="E1914" s="561" t="s">
        <v>38</v>
      </c>
      <c r="F1914" s="563">
        <v>-1519091.09</v>
      </c>
      <c r="G1914" s="561" t="s">
        <v>654</v>
      </c>
      <c r="H1914" s="564"/>
      <c r="I1914" s="563">
        <v>-1541816.25</v>
      </c>
      <c r="J1914" s="563">
        <v>22725.19921875</v>
      </c>
      <c r="K1914" s="563">
        <v>-1519091.125</v>
      </c>
      <c r="L1914" s="566">
        <v>-1519091.09</v>
      </c>
    </row>
    <row r="1915" spans="1:12" ht="22.5" x14ac:dyDescent="0.2">
      <c r="A1915" s="561" t="s">
        <v>103</v>
      </c>
      <c r="B1915" s="562">
        <v>2021</v>
      </c>
      <c r="C1915" s="561" t="s">
        <v>720</v>
      </c>
      <c r="D1915" s="561" t="s">
        <v>2094</v>
      </c>
      <c r="E1915" s="561" t="s">
        <v>66</v>
      </c>
      <c r="F1915" s="563">
        <v>-698209.07</v>
      </c>
      <c r="G1915" s="561" t="s">
        <v>654</v>
      </c>
      <c r="H1915" s="564"/>
      <c r="I1915" s="563">
        <v>-680817</v>
      </c>
      <c r="J1915" s="563">
        <v>-17392.0703125</v>
      </c>
      <c r="K1915" s="563">
        <v>-698209.0625</v>
      </c>
      <c r="L1915" s="566">
        <v>-698209.07</v>
      </c>
    </row>
    <row r="1916" spans="1:12" ht="45" x14ac:dyDescent="0.2">
      <c r="A1916" s="561" t="s">
        <v>103</v>
      </c>
      <c r="B1916" s="562">
        <v>2021</v>
      </c>
      <c r="C1916" s="561" t="s">
        <v>722</v>
      </c>
      <c r="D1916" s="561" t="s">
        <v>2095</v>
      </c>
      <c r="E1916" s="561" t="s">
        <v>724</v>
      </c>
      <c r="F1916" s="563">
        <v>-677434</v>
      </c>
      <c r="G1916" s="564"/>
      <c r="H1916" s="561" t="s">
        <v>654</v>
      </c>
      <c r="I1916" s="565"/>
      <c r="J1916" s="565"/>
      <c r="K1916" s="563">
        <v>0</v>
      </c>
      <c r="L1916" s="566">
        <v>-677434</v>
      </c>
    </row>
    <row r="1917" spans="1:12" ht="45" x14ac:dyDescent="0.2">
      <c r="A1917" s="561" t="s">
        <v>103</v>
      </c>
      <c r="B1917" s="562">
        <v>2021</v>
      </c>
      <c r="C1917" s="561" t="s">
        <v>725</v>
      </c>
      <c r="D1917" s="561" t="s">
        <v>2096</v>
      </c>
      <c r="E1917" s="561" t="s">
        <v>3024</v>
      </c>
      <c r="F1917" s="563">
        <v>0</v>
      </c>
      <c r="G1917" s="561" t="s">
        <v>654</v>
      </c>
      <c r="H1917" s="564"/>
      <c r="I1917" s="563">
        <v>55757.4296875</v>
      </c>
      <c r="J1917" s="563">
        <v>124.18000030517599</v>
      </c>
      <c r="K1917" s="563">
        <v>55881.609375</v>
      </c>
      <c r="L1917" s="566">
        <v>55881.61</v>
      </c>
    </row>
    <row r="1918" spans="1:12" ht="45" x14ac:dyDescent="0.2">
      <c r="A1918" s="561" t="s">
        <v>103</v>
      </c>
      <c r="B1918" s="562">
        <v>2021</v>
      </c>
      <c r="C1918" s="561" t="s">
        <v>725</v>
      </c>
      <c r="D1918" s="561" t="s">
        <v>2096</v>
      </c>
      <c r="E1918" s="561" t="s">
        <v>3066</v>
      </c>
      <c r="F1918" s="563">
        <v>0</v>
      </c>
      <c r="G1918" s="561" t="s">
        <v>654</v>
      </c>
      <c r="H1918" s="564"/>
      <c r="I1918" s="563">
        <v>1364374.125</v>
      </c>
      <c r="J1918" s="563">
        <v>92832.859375</v>
      </c>
      <c r="K1918" s="563">
        <v>1457207</v>
      </c>
      <c r="L1918" s="566">
        <v>1457207.01</v>
      </c>
    </row>
    <row r="1919" spans="1:12" ht="45" x14ac:dyDescent="0.2">
      <c r="A1919" s="561" t="s">
        <v>103</v>
      </c>
      <c r="B1919" s="562">
        <v>2021</v>
      </c>
      <c r="C1919" s="561" t="s">
        <v>725</v>
      </c>
      <c r="D1919" s="561" t="s">
        <v>2097</v>
      </c>
      <c r="E1919" s="561" t="s">
        <v>728</v>
      </c>
      <c r="F1919" s="563">
        <v>0</v>
      </c>
      <c r="G1919" s="561" t="s">
        <v>654</v>
      </c>
      <c r="H1919" s="564"/>
      <c r="I1919" s="565"/>
      <c r="J1919" s="565"/>
      <c r="K1919" s="563">
        <v>0</v>
      </c>
      <c r="L1919" s="566">
        <v>0</v>
      </c>
    </row>
    <row r="1920" spans="1:12" ht="45" x14ac:dyDescent="0.2">
      <c r="A1920" s="561" t="s">
        <v>103</v>
      </c>
      <c r="B1920" s="562">
        <v>2021</v>
      </c>
      <c r="C1920" s="561" t="s">
        <v>725</v>
      </c>
      <c r="D1920" s="561" t="s">
        <v>2098</v>
      </c>
      <c r="E1920" s="561" t="s">
        <v>55</v>
      </c>
      <c r="F1920" s="563">
        <v>0</v>
      </c>
      <c r="G1920" s="561" t="s">
        <v>654</v>
      </c>
      <c r="H1920" s="564"/>
      <c r="I1920" s="565"/>
      <c r="J1920" s="565"/>
      <c r="K1920" s="563">
        <v>0</v>
      </c>
      <c r="L1920" s="566">
        <v>0</v>
      </c>
    </row>
    <row r="1921" spans="1:12" ht="45" x14ac:dyDescent="0.2">
      <c r="A1921" s="561" t="s">
        <v>103</v>
      </c>
      <c r="B1921" s="562">
        <v>2021</v>
      </c>
      <c r="C1921" s="561" t="s">
        <v>725</v>
      </c>
      <c r="D1921" s="561" t="s">
        <v>2099</v>
      </c>
      <c r="E1921" s="561" t="s">
        <v>56</v>
      </c>
      <c r="F1921" s="563">
        <v>0</v>
      </c>
      <c r="G1921" s="561" t="s">
        <v>654</v>
      </c>
      <c r="H1921" s="564"/>
      <c r="I1921" s="565"/>
      <c r="J1921" s="565"/>
      <c r="K1921" s="563">
        <v>0</v>
      </c>
      <c r="L1921" s="566">
        <v>0</v>
      </c>
    </row>
    <row r="1922" spans="1:12" ht="45" x14ac:dyDescent="0.2">
      <c r="A1922" s="561" t="s">
        <v>103</v>
      </c>
      <c r="B1922" s="562">
        <v>2021</v>
      </c>
      <c r="C1922" s="561" t="s">
        <v>725</v>
      </c>
      <c r="D1922" s="561" t="s">
        <v>2100</v>
      </c>
      <c r="E1922" s="561" t="s">
        <v>732</v>
      </c>
      <c r="F1922" s="563">
        <v>0</v>
      </c>
      <c r="G1922" s="561" t="s">
        <v>654</v>
      </c>
      <c r="H1922" s="564"/>
      <c r="I1922" s="565"/>
      <c r="J1922" s="565"/>
      <c r="K1922" s="563">
        <v>0</v>
      </c>
      <c r="L1922" s="566">
        <v>0</v>
      </c>
    </row>
    <row r="1923" spans="1:12" ht="45" x14ac:dyDescent="0.2">
      <c r="A1923" s="561" t="s">
        <v>103</v>
      </c>
      <c r="B1923" s="562">
        <v>2021</v>
      </c>
      <c r="C1923" s="561" t="s">
        <v>725</v>
      </c>
      <c r="D1923" s="561" t="s">
        <v>2101</v>
      </c>
      <c r="E1923" s="561" t="s">
        <v>734</v>
      </c>
      <c r="F1923" s="563">
        <v>0</v>
      </c>
      <c r="G1923" s="561" t="s">
        <v>654</v>
      </c>
      <c r="H1923" s="564"/>
      <c r="I1923" s="565"/>
      <c r="J1923" s="565"/>
      <c r="K1923" s="563">
        <v>0</v>
      </c>
      <c r="L1923" s="566">
        <v>0</v>
      </c>
    </row>
    <row r="1924" spans="1:12" ht="45" x14ac:dyDescent="0.2">
      <c r="A1924" s="561" t="s">
        <v>103</v>
      </c>
      <c r="B1924" s="562">
        <v>2021</v>
      </c>
      <c r="C1924" s="561" t="s">
        <v>725</v>
      </c>
      <c r="D1924" s="561" t="s">
        <v>2102</v>
      </c>
      <c r="E1924" s="561" t="s">
        <v>142</v>
      </c>
      <c r="F1924" s="563">
        <v>0</v>
      </c>
      <c r="G1924" s="561" t="s">
        <v>654</v>
      </c>
      <c r="H1924" s="564"/>
      <c r="I1924" s="565"/>
      <c r="J1924" s="565"/>
      <c r="K1924" s="563">
        <v>0</v>
      </c>
      <c r="L1924" s="566">
        <v>0</v>
      </c>
    </row>
    <row r="1925" spans="1:12" ht="45" x14ac:dyDescent="0.2">
      <c r="A1925" s="561" t="s">
        <v>103</v>
      </c>
      <c r="B1925" s="562">
        <v>2021</v>
      </c>
      <c r="C1925" s="561" t="s">
        <v>725</v>
      </c>
      <c r="D1925" s="561" t="s">
        <v>2103</v>
      </c>
      <c r="E1925" s="561" t="s">
        <v>143</v>
      </c>
      <c r="F1925" s="563">
        <v>0</v>
      </c>
      <c r="G1925" s="561" t="s">
        <v>654</v>
      </c>
      <c r="H1925" s="564"/>
      <c r="I1925" s="565"/>
      <c r="J1925" s="565"/>
      <c r="K1925" s="563">
        <v>0</v>
      </c>
      <c r="L1925" s="566">
        <v>0</v>
      </c>
    </row>
    <row r="1926" spans="1:12" ht="45" x14ac:dyDescent="0.2">
      <c r="A1926" s="561" t="s">
        <v>103</v>
      </c>
      <c r="B1926" s="562">
        <v>2021</v>
      </c>
      <c r="C1926" s="561" t="s">
        <v>725</v>
      </c>
      <c r="D1926" s="561" t="s">
        <v>2104</v>
      </c>
      <c r="E1926" s="561" t="s">
        <v>182</v>
      </c>
      <c r="F1926" s="563">
        <v>0</v>
      </c>
      <c r="G1926" s="561" t="s">
        <v>654</v>
      </c>
      <c r="H1926" s="564"/>
      <c r="I1926" s="565"/>
      <c r="J1926" s="565"/>
      <c r="K1926" s="563">
        <v>0</v>
      </c>
      <c r="L1926" s="566">
        <v>0</v>
      </c>
    </row>
    <row r="1927" spans="1:12" ht="45" x14ac:dyDescent="0.2">
      <c r="A1927" s="561" t="s">
        <v>103</v>
      </c>
      <c r="B1927" s="562">
        <v>2021</v>
      </c>
      <c r="C1927" s="561" t="s">
        <v>725</v>
      </c>
      <c r="D1927" s="561" t="s">
        <v>2105</v>
      </c>
      <c r="E1927" s="561" t="s">
        <v>394</v>
      </c>
      <c r="F1927" s="563">
        <v>0</v>
      </c>
      <c r="G1927" s="561" t="s">
        <v>654</v>
      </c>
      <c r="H1927" s="564"/>
      <c r="I1927" s="565"/>
      <c r="J1927" s="565"/>
      <c r="K1927" s="563">
        <v>0</v>
      </c>
      <c r="L1927" s="566">
        <v>0</v>
      </c>
    </row>
    <row r="1928" spans="1:12" ht="45" x14ac:dyDescent="0.2">
      <c r="A1928" s="561" t="s">
        <v>103</v>
      </c>
      <c r="B1928" s="562">
        <v>2021</v>
      </c>
      <c r="C1928" s="561" t="s">
        <v>725</v>
      </c>
      <c r="D1928" s="561" t="s">
        <v>2106</v>
      </c>
      <c r="E1928" s="561" t="s">
        <v>425</v>
      </c>
      <c r="F1928" s="563">
        <v>0</v>
      </c>
      <c r="G1928" s="561" t="s">
        <v>654</v>
      </c>
      <c r="H1928" s="564"/>
      <c r="I1928" s="565"/>
      <c r="J1928" s="565"/>
      <c r="K1928" s="563">
        <v>0</v>
      </c>
      <c r="L1928" s="566">
        <v>0</v>
      </c>
    </row>
    <row r="1929" spans="1:12" ht="45" x14ac:dyDescent="0.2">
      <c r="A1929" s="561" t="s">
        <v>103</v>
      </c>
      <c r="B1929" s="562">
        <v>2021</v>
      </c>
      <c r="C1929" s="561" t="s">
        <v>725</v>
      </c>
      <c r="D1929" s="561" t="s">
        <v>3281</v>
      </c>
      <c r="E1929" s="561" t="s">
        <v>443</v>
      </c>
      <c r="F1929" s="563">
        <v>0</v>
      </c>
      <c r="G1929" s="561" t="s">
        <v>654</v>
      </c>
      <c r="H1929" s="564"/>
      <c r="I1929" s="563">
        <v>-1164276.125</v>
      </c>
      <c r="J1929" s="563">
        <v>1030656.0625</v>
      </c>
      <c r="K1929" s="563">
        <v>-133620.03125</v>
      </c>
      <c r="L1929" s="566">
        <v>-133620.03</v>
      </c>
    </row>
    <row r="1930" spans="1:12" ht="45" x14ac:dyDescent="0.2">
      <c r="A1930" s="561" t="s">
        <v>103</v>
      </c>
      <c r="B1930" s="562">
        <v>2021</v>
      </c>
      <c r="C1930" s="561" t="s">
        <v>725</v>
      </c>
      <c r="D1930" s="561" t="s">
        <v>2107</v>
      </c>
      <c r="E1930" s="561" t="s">
        <v>741</v>
      </c>
      <c r="F1930" s="563">
        <v>1379468.59</v>
      </c>
      <c r="G1930" s="564"/>
      <c r="H1930" s="564"/>
      <c r="I1930" s="565"/>
      <c r="J1930" s="565"/>
      <c r="K1930" s="563">
        <v>0</v>
      </c>
      <c r="L1930" s="566">
        <v>1379468.59</v>
      </c>
    </row>
    <row r="1931" spans="1:12" ht="22.5" x14ac:dyDescent="0.2">
      <c r="A1931" s="561" t="s">
        <v>103</v>
      </c>
      <c r="B1931" s="562">
        <v>2021</v>
      </c>
      <c r="C1931" s="561" t="s">
        <v>742</v>
      </c>
      <c r="D1931" s="561" t="s">
        <v>2108</v>
      </c>
      <c r="E1931" s="561" t="s">
        <v>7</v>
      </c>
      <c r="F1931" s="563">
        <v>-912935.11</v>
      </c>
      <c r="G1931" s="564"/>
      <c r="H1931" s="561" t="s">
        <v>654</v>
      </c>
      <c r="I1931" s="565"/>
      <c r="J1931" s="565"/>
      <c r="K1931" s="563">
        <v>0</v>
      </c>
      <c r="L1931" s="566">
        <v>-912935.11</v>
      </c>
    </row>
    <row r="1932" spans="1:12" ht="22.5" x14ac:dyDescent="0.2">
      <c r="A1932" s="561" t="s">
        <v>104</v>
      </c>
      <c r="B1932" s="562">
        <v>2021</v>
      </c>
      <c r="C1932" s="561" t="s">
        <v>651</v>
      </c>
      <c r="D1932" s="561" t="s">
        <v>2109</v>
      </c>
      <c r="E1932" s="561" t="s">
        <v>653</v>
      </c>
      <c r="F1932" s="563">
        <v>-91389.29</v>
      </c>
      <c r="G1932" s="564"/>
      <c r="H1932" s="561" t="s">
        <v>654</v>
      </c>
      <c r="I1932" s="565"/>
      <c r="J1932" s="565"/>
      <c r="K1932" s="563">
        <v>0</v>
      </c>
      <c r="L1932" s="566">
        <v>-91389.29</v>
      </c>
    </row>
    <row r="1933" spans="1:12" ht="22.5" x14ac:dyDescent="0.2">
      <c r="A1933" s="561" t="s">
        <v>104</v>
      </c>
      <c r="B1933" s="562">
        <v>2021</v>
      </c>
      <c r="C1933" s="561" t="s">
        <v>655</v>
      </c>
      <c r="D1933" s="561" t="s">
        <v>2110</v>
      </c>
      <c r="E1933" s="561" t="s">
        <v>657</v>
      </c>
      <c r="F1933" s="563">
        <v>8984.4500000000007</v>
      </c>
      <c r="G1933" s="564"/>
      <c r="H1933" s="561" t="s">
        <v>654</v>
      </c>
      <c r="I1933" s="565"/>
      <c r="J1933" s="565"/>
      <c r="K1933" s="563">
        <v>0</v>
      </c>
      <c r="L1933" s="566">
        <v>8984.4500000000007</v>
      </c>
    </row>
    <row r="1934" spans="1:12" ht="56.25" x14ac:dyDescent="0.2">
      <c r="A1934" s="561" t="s">
        <v>104</v>
      </c>
      <c r="B1934" s="562">
        <v>2021</v>
      </c>
      <c r="C1934" s="561" t="s">
        <v>658</v>
      </c>
      <c r="D1934" s="561" t="s">
        <v>2111</v>
      </c>
      <c r="E1934" s="561" t="s">
        <v>447</v>
      </c>
      <c r="F1934" s="563">
        <v>-1659.47</v>
      </c>
      <c r="G1934" s="564"/>
      <c r="H1934" s="561" t="s">
        <v>654</v>
      </c>
      <c r="I1934" s="565"/>
      <c r="J1934" s="565"/>
      <c r="K1934" s="563">
        <v>0</v>
      </c>
      <c r="L1934" s="566">
        <v>-1659.47</v>
      </c>
    </row>
    <row r="1935" spans="1:12" ht="22.5" x14ac:dyDescent="0.2">
      <c r="A1935" s="561" t="s">
        <v>104</v>
      </c>
      <c r="B1935" s="562">
        <v>2021</v>
      </c>
      <c r="C1935" s="561" t="s">
        <v>660</v>
      </c>
      <c r="D1935" s="561" t="s">
        <v>2112</v>
      </c>
      <c r="E1935" s="561" t="s">
        <v>662</v>
      </c>
      <c r="F1935" s="563">
        <v>0</v>
      </c>
      <c r="G1935" s="564"/>
      <c r="H1935" s="561" t="s">
        <v>654</v>
      </c>
      <c r="I1935" s="565"/>
      <c r="J1935" s="565"/>
      <c r="K1935" s="563">
        <v>0</v>
      </c>
      <c r="L1935" s="566">
        <v>0</v>
      </c>
    </row>
    <row r="1936" spans="1:12" ht="33.75" x14ac:dyDescent="0.2">
      <c r="A1936" s="561" t="s">
        <v>104</v>
      </c>
      <c r="B1936" s="562">
        <v>2021</v>
      </c>
      <c r="C1936" s="561" t="s">
        <v>663</v>
      </c>
      <c r="D1936" s="561" t="s">
        <v>2113</v>
      </c>
      <c r="E1936" s="561" t="s">
        <v>665</v>
      </c>
      <c r="F1936" s="563">
        <v>0</v>
      </c>
      <c r="G1936" s="564"/>
      <c r="H1936" s="561" t="s">
        <v>654</v>
      </c>
      <c r="I1936" s="565"/>
      <c r="J1936" s="565"/>
      <c r="K1936" s="563">
        <v>0</v>
      </c>
      <c r="L1936" s="566">
        <v>0</v>
      </c>
    </row>
    <row r="1937" spans="1:12" ht="33.75" x14ac:dyDescent="0.2">
      <c r="A1937" s="561" t="s">
        <v>104</v>
      </c>
      <c r="B1937" s="562">
        <v>2021</v>
      </c>
      <c r="C1937" s="561" t="s">
        <v>666</v>
      </c>
      <c r="D1937" s="561" t="s">
        <v>2114</v>
      </c>
      <c r="E1937" s="561" t="s">
        <v>668</v>
      </c>
      <c r="F1937" s="563">
        <v>0</v>
      </c>
      <c r="G1937" s="564"/>
      <c r="H1937" s="561" t="s">
        <v>654</v>
      </c>
      <c r="I1937" s="565"/>
      <c r="J1937" s="565"/>
      <c r="K1937" s="563">
        <v>0</v>
      </c>
      <c r="L1937" s="566">
        <v>0</v>
      </c>
    </row>
    <row r="1938" spans="1:12" ht="56.25" x14ac:dyDescent="0.2">
      <c r="A1938" s="561" t="s">
        <v>104</v>
      </c>
      <c r="B1938" s="562">
        <v>2021</v>
      </c>
      <c r="C1938" s="561" t="s">
        <v>669</v>
      </c>
      <c r="D1938" s="561" t="s">
        <v>2115</v>
      </c>
      <c r="E1938" s="561" t="s">
        <v>671</v>
      </c>
      <c r="F1938" s="563">
        <v>0</v>
      </c>
      <c r="G1938" s="564"/>
      <c r="H1938" s="561" t="s">
        <v>654</v>
      </c>
      <c r="I1938" s="565"/>
      <c r="J1938" s="565"/>
      <c r="K1938" s="563">
        <v>0</v>
      </c>
      <c r="L1938" s="566">
        <v>0</v>
      </c>
    </row>
    <row r="1939" spans="1:12" ht="22.5" x14ac:dyDescent="0.2">
      <c r="A1939" s="561" t="s">
        <v>104</v>
      </c>
      <c r="B1939" s="562">
        <v>2021</v>
      </c>
      <c r="C1939" s="561" t="s">
        <v>672</v>
      </c>
      <c r="D1939" s="561" t="s">
        <v>2116</v>
      </c>
      <c r="E1939" s="561" t="s">
        <v>12</v>
      </c>
      <c r="F1939" s="563">
        <v>0</v>
      </c>
      <c r="G1939" s="564"/>
      <c r="H1939" s="561" t="s">
        <v>654</v>
      </c>
      <c r="I1939" s="565"/>
      <c r="J1939" s="565"/>
      <c r="K1939" s="563">
        <v>0</v>
      </c>
      <c r="L1939" s="566">
        <v>0</v>
      </c>
    </row>
    <row r="1940" spans="1:12" ht="22.5" x14ac:dyDescent="0.2">
      <c r="A1940" s="561" t="s">
        <v>104</v>
      </c>
      <c r="B1940" s="562">
        <v>2021</v>
      </c>
      <c r="C1940" s="561" t="s">
        <v>674</v>
      </c>
      <c r="D1940" s="561" t="s">
        <v>2117</v>
      </c>
      <c r="E1940" s="561" t="s">
        <v>13</v>
      </c>
      <c r="F1940" s="563">
        <v>0</v>
      </c>
      <c r="G1940" s="564"/>
      <c r="H1940" s="561" t="s">
        <v>654</v>
      </c>
      <c r="I1940" s="565"/>
      <c r="J1940" s="565"/>
      <c r="K1940" s="563">
        <v>0</v>
      </c>
      <c r="L1940" s="566">
        <v>0</v>
      </c>
    </row>
    <row r="1941" spans="1:12" ht="33.75" x14ac:dyDescent="0.2">
      <c r="A1941" s="561" t="s">
        <v>104</v>
      </c>
      <c r="B1941" s="562">
        <v>2021</v>
      </c>
      <c r="C1941" s="561" t="s">
        <v>676</v>
      </c>
      <c r="D1941" s="561" t="s">
        <v>2118</v>
      </c>
      <c r="E1941" s="561" t="s">
        <v>15</v>
      </c>
      <c r="F1941" s="563">
        <v>0</v>
      </c>
      <c r="G1941" s="564"/>
      <c r="H1941" s="561" t="s">
        <v>654</v>
      </c>
      <c r="I1941" s="565"/>
      <c r="J1941" s="565"/>
      <c r="K1941" s="563">
        <v>0</v>
      </c>
      <c r="L1941" s="566">
        <v>0</v>
      </c>
    </row>
    <row r="1942" spans="1:12" ht="22.5" x14ac:dyDescent="0.2">
      <c r="A1942" s="561" t="s">
        <v>104</v>
      </c>
      <c r="B1942" s="562">
        <v>2021</v>
      </c>
      <c r="C1942" s="561" t="s">
        <v>678</v>
      </c>
      <c r="D1942" s="561" t="s">
        <v>2119</v>
      </c>
      <c r="E1942" s="561" t="s">
        <v>680</v>
      </c>
      <c r="F1942" s="563">
        <v>10040.08</v>
      </c>
      <c r="G1942" s="564"/>
      <c r="H1942" s="561" t="s">
        <v>654</v>
      </c>
      <c r="I1942" s="565"/>
      <c r="J1942" s="565"/>
      <c r="K1942" s="563">
        <v>0</v>
      </c>
      <c r="L1942" s="566">
        <v>10040.08</v>
      </c>
    </row>
    <row r="1943" spans="1:12" ht="22.5" x14ac:dyDescent="0.2">
      <c r="A1943" s="561" t="s">
        <v>104</v>
      </c>
      <c r="B1943" s="562">
        <v>2021</v>
      </c>
      <c r="C1943" s="561" t="s">
        <v>681</v>
      </c>
      <c r="D1943" s="561" t="s">
        <v>2120</v>
      </c>
      <c r="E1943" s="561" t="s">
        <v>23</v>
      </c>
      <c r="F1943" s="563">
        <v>0</v>
      </c>
      <c r="G1943" s="561" t="s">
        <v>654</v>
      </c>
      <c r="H1943" s="564"/>
      <c r="I1943" s="565"/>
      <c r="J1943" s="565"/>
      <c r="K1943" s="563">
        <v>0</v>
      </c>
      <c r="L1943" s="566">
        <v>0</v>
      </c>
    </row>
    <row r="1944" spans="1:12" ht="33.75" x14ac:dyDescent="0.2">
      <c r="A1944" s="561" t="s">
        <v>104</v>
      </c>
      <c r="B1944" s="562">
        <v>2021</v>
      </c>
      <c r="C1944" s="561" t="s">
        <v>683</v>
      </c>
      <c r="D1944" s="561" t="s">
        <v>2121</v>
      </c>
      <c r="E1944" s="561" t="s">
        <v>131</v>
      </c>
      <c r="F1944" s="563">
        <v>-4496.99</v>
      </c>
      <c r="G1944" s="561" t="s">
        <v>654</v>
      </c>
      <c r="H1944" s="564"/>
      <c r="I1944" s="563">
        <v>-4380.2900390625</v>
      </c>
      <c r="J1944" s="563">
        <v>-116.699996948242</v>
      </c>
      <c r="K1944" s="563">
        <v>-4496.990234375</v>
      </c>
      <c r="L1944" s="566">
        <v>-4496.99</v>
      </c>
    </row>
    <row r="1945" spans="1:12" ht="33.75" x14ac:dyDescent="0.2">
      <c r="A1945" s="561" t="s">
        <v>104</v>
      </c>
      <c r="B1945" s="562">
        <v>2021</v>
      </c>
      <c r="C1945" s="561" t="s">
        <v>685</v>
      </c>
      <c r="D1945" s="561" t="s">
        <v>2122</v>
      </c>
      <c r="E1945" s="561" t="s">
        <v>687</v>
      </c>
      <c r="F1945" s="563">
        <v>0</v>
      </c>
      <c r="G1945" s="564"/>
      <c r="H1945" s="561" t="s">
        <v>654</v>
      </c>
      <c r="I1945" s="565"/>
      <c r="J1945" s="565"/>
      <c r="K1945" s="563">
        <v>0</v>
      </c>
      <c r="L1945" s="566">
        <v>0</v>
      </c>
    </row>
    <row r="1946" spans="1:12" ht="33.75" x14ac:dyDescent="0.2">
      <c r="A1946" s="561" t="s">
        <v>104</v>
      </c>
      <c r="B1946" s="562">
        <v>2021</v>
      </c>
      <c r="C1946" s="561" t="s">
        <v>685</v>
      </c>
      <c r="D1946" s="561" t="s">
        <v>2122</v>
      </c>
      <c r="E1946" s="561" t="s">
        <v>688</v>
      </c>
      <c r="F1946" s="563">
        <v>0</v>
      </c>
      <c r="G1946" s="564"/>
      <c r="H1946" s="561" t="s">
        <v>654</v>
      </c>
      <c r="I1946" s="565"/>
      <c r="J1946" s="565"/>
      <c r="K1946" s="563">
        <v>0</v>
      </c>
      <c r="L1946" s="566">
        <v>0</v>
      </c>
    </row>
    <row r="1947" spans="1:12" ht="22.5" x14ac:dyDescent="0.2">
      <c r="A1947" s="561" t="s">
        <v>104</v>
      </c>
      <c r="B1947" s="562">
        <v>2021</v>
      </c>
      <c r="C1947" s="561" t="s">
        <v>689</v>
      </c>
      <c r="D1947" s="561" t="s">
        <v>2123</v>
      </c>
      <c r="E1947" s="561" t="s">
        <v>691</v>
      </c>
      <c r="F1947" s="563">
        <v>0</v>
      </c>
      <c r="G1947" s="564"/>
      <c r="H1947" s="561" t="s">
        <v>654</v>
      </c>
      <c r="I1947" s="565"/>
      <c r="J1947" s="565"/>
      <c r="K1947" s="563">
        <v>0</v>
      </c>
      <c r="L1947" s="566">
        <v>0</v>
      </c>
    </row>
    <row r="1948" spans="1:12" ht="22.5" x14ac:dyDescent="0.2">
      <c r="A1948" s="561" t="s">
        <v>104</v>
      </c>
      <c r="B1948" s="562">
        <v>2021</v>
      </c>
      <c r="C1948" s="561" t="s">
        <v>692</v>
      </c>
      <c r="D1948" s="561" t="s">
        <v>2124</v>
      </c>
      <c r="E1948" s="561" t="s">
        <v>50</v>
      </c>
      <c r="F1948" s="563">
        <v>0</v>
      </c>
      <c r="G1948" s="564"/>
      <c r="H1948" s="561" t="s">
        <v>654</v>
      </c>
      <c r="I1948" s="565"/>
      <c r="J1948" s="565"/>
      <c r="K1948" s="563">
        <v>0</v>
      </c>
      <c r="L1948" s="566">
        <v>0</v>
      </c>
    </row>
    <row r="1949" spans="1:12" ht="22.5" x14ac:dyDescent="0.2">
      <c r="A1949" s="561" t="s">
        <v>104</v>
      </c>
      <c r="B1949" s="562">
        <v>2021</v>
      </c>
      <c r="C1949" s="561" t="s">
        <v>694</v>
      </c>
      <c r="D1949" s="561" t="s">
        <v>2125</v>
      </c>
      <c r="E1949" s="561" t="s">
        <v>696</v>
      </c>
      <c r="F1949" s="563">
        <v>0</v>
      </c>
      <c r="G1949" s="564"/>
      <c r="H1949" s="561" t="s">
        <v>654</v>
      </c>
      <c r="I1949" s="565"/>
      <c r="J1949" s="565"/>
      <c r="K1949" s="563">
        <v>0</v>
      </c>
      <c r="L1949" s="566">
        <v>0</v>
      </c>
    </row>
    <row r="1950" spans="1:12" ht="22.5" x14ac:dyDescent="0.2">
      <c r="A1950" s="561" t="s">
        <v>104</v>
      </c>
      <c r="B1950" s="562">
        <v>2021</v>
      </c>
      <c r="C1950" s="561" t="s">
        <v>697</v>
      </c>
      <c r="D1950" s="561" t="s">
        <v>2126</v>
      </c>
      <c r="E1950" s="561" t="s">
        <v>6</v>
      </c>
      <c r="F1950" s="563">
        <v>0</v>
      </c>
      <c r="G1950" s="564"/>
      <c r="H1950" s="561" t="s">
        <v>654</v>
      </c>
      <c r="I1950" s="565"/>
      <c r="J1950" s="565"/>
      <c r="K1950" s="563">
        <v>0</v>
      </c>
      <c r="L1950" s="566">
        <v>0</v>
      </c>
    </row>
    <row r="1951" spans="1:12" ht="33.75" x14ac:dyDescent="0.2">
      <c r="A1951" s="561" t="s">
        <v>104</v>
      </c>
      <c r="B1951" s="562">
        <v>2021</v>
      </c>
      <c r="C1951" s="561" t="s">
        <v>699</v>
      </c>
      <c r="D1951" s="561" t="s">
        <v>2127</v>
      </c>
      <c r="E1951" s="561" t="s">
        <v>701</v>
      </c>
      <c r="F1951" s="563">
        <v>0</v>
      </c>
      <c r="G1951" s="564"/>
      <c r="H1951" s="561" t="s">
        <v>654</v>
      </c>
      <c r="I1951" s="565"/>
      <c r="J1951" s="565"/>
      <c r="K1951" s="563">
        <v>0</v>
      </c>
      <c r="L1951" s="566">
        <v>0</v>
      </c>
    </row>
    <row r="1952" spans="1:12" ht="22.5" x14ac:dyDescent="0.2">
      <c r="A1952" s="561" t="s">
        <v>104</v>
      </c>
      <c r="B1952" s="562">
        <v>2021</v>
      </c>
      <c r="C1952" s="561" t="s">
        <v>702</v>
      </c>
      <c r="D1952" s="561" t="s">
        <v>2128</v>
      </c>
      <c r="E1952" s="561" t="s">
        <v>704</v>
      </c>
      <c r="F1952" s="563">
        <v>116220.15</v>
      </c>
      <c r="G1952" s="564"/>
      <c r="H1952" s="561" t="s">
        <v>654</v>
      </c>
      <c r="I1952" s="565"/>
      <c r="J1952" s="565"/>
      <c r="K1952" s="563">
        <v>0</v>
      </c>
      <c r="L1952" s="566">
        <v>116220.15</v>
      </c>
    </row>
    <row r="1953" spans="1:12" ht="33.75" x14ac:dyDescent="0.2">
      <c r="A1953" s="561" t="s">
        <v>104</v>
      </c>
      <c r="B1953" s="562">
        <v>2021</v>
      </c>
      <c r="C1953" s="561" t="s">
        <v>705</v>
      </c>
      <c r="D1953" s="561" t="s">
        <v>2129</v>
      </c>
      <c r="E1953" s="561" t="s">
        <v>1</v>
      </c>
      <c r="F1953" s="563">
        <v>-239636.62</v>
      </c>
      <c r="G1953" s="561" t="s">
        <v>654</v>
      </c>
      <c r="H1953" s="564"/>
      <c r="I1953" s="563">
        <v>-235893.046875</v>
      </c>
      <c r="J1953" s="563">
        <v>-3743.580078125</v>
      </c>
      <c r="K1953" s="563">
        <v>-239636.625</v>
      </c>
      <c r="L1953" s="566">
        <v>-239636.62</v>
      </c>
    </row>
    <row r="1954" spans="1:12" ht="22.5" x14ac:dyDescent="0.2">
      <c r="A1954" s="561" t="s">
        <v>104</v>
      </c>
      <c r="B1954" s="562">
        <v>2021</v>
      </c>
      <c r="C1954" s="561" t="s">
        <v>705</v>
      </c>
      <c r="D1954" s="561" t="s">
        <v>2129</v>
      </c>
      <c r="E1954" s="561" t="s">
        <v>707</v>
      </c>
      <c r="F1954" s="563">
        <v>0</v>
      </c>
      <c r="G1954" s="564"/>
      <c r="H1954" s="564"/>
      <c r="I1954" s="565"/>
      <c r="J1954" s="565"/>
      <c r="K1954" s="563">
        <v>0</v>
      </c>
      <c r="L1954" s="566">
        <v>0</v>
      </c>
    </row>
    <row r="1955" spans="1:12" ht="22.5" x14ac:dyDescent="0.2">
      <c r="A1955" s="561" t="s">
        <v>104</v>
      </c>
      <c r="B1955" s="562">
        <v>2021</v>
      </c>
      <c r="C1955" s="561" t="s">
        <v>705</v>
      </c>
      <c r="D1955" s="561" t="s">
        <v>2129</v>
      </c>
      <c r="E1955" s="561" t="s">
        <v>708</v>
      </c>
      <c r="F1955" s="563">
        <v>0</v>
      </c>
      <c r="G1955" s="564"/>
      <c r="H1955" s="564"/>
      <c r="I1955" s="565"/>
      <c r="J1955" s="565"/>
      <c r="K1955" s="563">
        <v>0</v>
      </c>
      <c r="L1955" s="566">
        <v>0</v>
      </c>
    </row>
    <row r="1956" spans="1:12" ht="22.5" x14ac:dyDescent="0.2">
      <c r="A1956" s="561" t="s">
        <v>104</v>
      </c>
      <c r="B1956" s="562">
        <v>2021</v>
      </c>
      <c r="C1956" s="561" t="s">
        <v>705</v>
      </c>
      <c r="D1956" s="561" t="s">
        <v>2129</v>
      </c>
      <c r="E1956" s="561" t="s">
        <v>709</v>
      </c>
      <c r="F1956" s="563">
        <v>-637.30999999999995</v>
      </c>
      <c r="G1956" s="564"/>
      <c r="H1956" s="564"/>
      <c r="I1956" s="565"/>
      <c r="J1956" s="565"/>
      <c r="K1956" s="563">
        <v>0</v>
      </c>
      <c r="L1956" s="566">
        <v>-637.30999999999995</v>
      </c>
    </row>
    <row r="1957" spans="1:12" ht="22.5" x14ac:dyDescent="0.2">
      <c r="A1957" s="561" t="s">
        <v>104</v>
      </c>
      <c r="B1957" s="562">
        <v>2021</v>
      </c>
      <c r="C1957" s="561" t="s">
        <v>705</v>
      </c>
      <c r="D1957" s="561" t="s">
        <v>2129</v>
      </c>
      <c r="E1957" s="561" t="s">
        <v>710</v>
      </c>
      <c r="F1957" s="563">
        <v>-28818.65</v>
      </c>
      <c r="G1957" s="564"/>
      <c r="H1957" s="564"/>
      <c r="I1957" s="565"/>
      <c r="J1957" s="565"/>
      <c r="K1957" s="563">
        <v>0</v>
      </c>
      <c r="L1957" s="566">
        <v>-28818.65</v>
      </c>
    </row>
    <row r="1958" spans="1:12" ht="22.5" x14ac:dyDescent="0.2">
      <c r="A1958" s="561" t="s">
        <v>104</v>
      </c>
      <c r="B1958" s="562">
        <v>2021</v>
      </c>
      <c r="C1958" s="561" t="s">
        <v>711</v>
      </c>
      <c r="D1958" s="561" t="s">
        <v>2130</v>
      </c>
      <c r="E1958" s="561" t="s">
        <v>713</v>
      </c>
      <c r="F1958" s="563">
        <v>0</v>
      </c>
      <c r="G1958" s="564"/>
      <c r="H1958" s="561" t="s">
        <v>654</v>
      </c>
      <c r="I1958" s="565"/>
      <c r="J1958" s="565"/>
      <c r="K1958" s="563">
        <v>0</v>
      </c>
      <c r="L1958" s="566">
        <v>0</v>
      </c>
    </row>
    <row r="1959" spans="1:12" ht="33.75" x14ac:dyDescent="0.2">
      <c r="A1959" s="561" t="s">
        <v>104</v>
      </c>
      <c r="B1959" s="562">
        <v>2021</v>
      </c>
      <c r="C1959" s="561" t="s">
        <v>714</v>
      </c>
      <c r="D1959" s="561" t="s">
        <v>2131</v>
      </c>
      <c r="E1959" s="561" t="s">
        <v>2</v>
      </c>
      <c r="F1959" s="563">
        <v>-156715.56</v>
      </c>
      <c r="G1959" s="561" t="s">
        <v>654</v>
      </c>
      <c r="H1959" s="564"/>
      <c r="I1959" s="563">
        <v>-155204.453125</v>
      </c>
      <c r="J1959" s="563">
        <v>-1511.09997558594</v>
      </c>
      <c r="K1959" s="563">
        <v>-156715.5625</v>
      </c>
      <c r="L1959" s="566">
        <v>-156715.56</v>
      </c>
    </row>
    <row r="1960" spans="1:12" ht="33.75" x14ac:dyDescent="0.2">
      <c r="A1960" s="561" t="s">
        <v>104</v>
      </c>
      <c r="B1960" s="562">
        <v>2021</v>
      </c>
      <c r="C1960" s="561" t="s">
        <v>716</v>
      </c>
      <c r="D1960" s="561" t="s">
        <v>2132</v>
      </c>
      <c r="E1960" s="561" t="s">
        <v>3</v>
      </c>
      <c r="F1960" s="563">
        <v>-149595.38</v>
      </c>
      <c r="G1960" s="561" t="s">
        <v>654</v>
      </c>
      <c r="H1960" s="564"/>
      <c r="I1960" s="563">
        <v>-147908.34375</v>
      </c>
      <c r="J1960" s="563">
        <v>-1687.0400390625</v>
      </c>
      <c r="K1960" s="563">
        <v>-149595.375</v>
      </c>
      <c r="L1960" s="566">
        <v>-149595.38</v>
      </c>
    </row>
    <row r="1961" spans="1:12" ht="33.75" x14ac:dyDescent="0.2">
      <c r="A1961" s="561" t="s">
        <v>104</v>
      </c>
      <c r="B1961" s="562">
        <v>2021</v>
      </c>
      <c r="C1961" s="561" t="s">
        <v>718</v>
      </c>
      <c r="D1961" s="561" t="s">
        <v>2133</v>
      </c>
      <c r="E1961" s="561" t="s">
        <v>38</v>
      </c>
      <c r="F1961" s="563">
        <v>-19677.22</v>
      </c>
      <c r="G1961" s="561" t="s">
        <v>654</v>
      </c>
      <c r="H1961" s="564"/>
      <c r="I1961" s="563">
        <v>-21799.130859375</v>
      </c>
      <c r="J1961" s="563">
        <v>2121.90991210938</v>
      </c>
      <c r="K1961" s="563">
        <v>-19677.220703125</v>
      </c>
      <c r="L1961" s="566">
        <v>-19677.22</v>
      </c>
    </row>
    <row r="1962" spans="1:12" ht="22.5" x14ac:dyDescent="0.2">
      <c r="A1962" s="561" t="s">
        <v>104</v>
      </c>
      <c r="B1962" s="562">
        <v>2021</v>
      </c>
      <c r="C1962" s="561" t="s">
        <v>720</v>
      </c>
      <c r="D1962" s="561" t="s">
        <v>2134</v>
      </c>
      <c r="E1962" s="561" t="s">
        <v>66</v>
      </c>
      <c r="F1962" s="563">
        <v>-42446.39</v>
      </c>
      <c r="G1962" s="561" t="s">
        <v>654</v>
      </c>
      <c r="H1962" s="564"/>
      <c r="I1962" s="563">
        <v>-41660.28125</v>
      </c>
      <c r="J1962" s="563">
        <v>-786.10998535156295</v>
      </c>
      <c r="K1962" s="563">
        <v>-42446.390625</v>
      </c>
      <c r="L1962" s="566">
        <v>-42446.39</v>
      </c>
    </row>
    <row r="1963" spans="1:12" ht="45" x14ac:dyDescent="0.2">
      <c r="A1963" s="561" t="s">
        <v>104</v>
      </c>
      <c r="B1963" s="562">
        <v>2021</v>
      </c>
      <c r="C1963" s="561" t="s">
        <v>722</v>
      </c>
      <c r="D1963" s="561" t="s">
        <v>2135</v>
      </c>
      <c r="E1963" s="561" t="s">
        <v>724</v>
      </c>
      <c r="F1963" s="563">
        <v>0</v>
      </c>
      <c r="G1963" s="564"/>
      <c r="H1963" s="561" t="s">
        <v>654</v>
      </c>
      <c r="I1963" s="565"/>
      <c r="J1963" s="565"/>
      <c r="K1963" s="563">
        <v>0</v>
      </c>
      <c r="L1963" s="566">
        <v>0</v>
      </c>
    </row>
    <row r="1964" spans="1:12" ht="45" x14ac:dyDescent="0.2">
      <c r="A1964" s="561" t="s">
        <v>104</v>
      </c>
      <c r="B1964" s="562">
        <v>2021</v>
      </c>
      <c r="C1964" s="561" t="s">
        <v>725</v>
      </c>
      <c r="D1964" s="561" t="s">
        <v>2136</v>
      </c>
      <c r="E1964" s="561" t="s">
        <v>3024</v>
      </c>
      <c r="F1964" s="563">
        <v>0</v>
      </c>
      <c r="G1964" s="561" t="s">
        <v>654</v>
      </c>
      <c r="H1964" s="564"/>
      <c r="I1964" s="563">
        <v>69759.546875</v>
      </c>
      <c r="J1964" s="563">
        <v>23575.80078125</v>
      </c>
      <c r="K1964" s="563">
        <v>93335.3515625</v>
      </c>
      <c r="L1964" s="566">
        <v>93335.35</v>
      </c>
    </row>
    <row r="1965" spans="1:12" ht="45" x14ac:dyDescent="0.2">
      <c r="A1965" s="561" t="s">
        <v>104</v>
      </c>
      <c r="B1965" s="562">
        <v>2021</v>
      </c>
      <c r="C1965" s="561" t="s">
        <v>725</v>
      </c>
      <c r="D1965" s="561" t="s">
        <v>2136</v>
      </c>
      <c r="E1965" s="561" t="s">
        <v>3066</v>
      </c>
      <c r="F1965" s="563">
        <v>0</v>
      </c>
      <c r="G1965" s="561" t="s">
        <v>654</v>
      </c>
      <c r="H1965" s="564"/>
      <c r="I1965" s="563">
        <v>23895.119140625</v>
      </c>
      <c r="J1965" s="563">
        <v>16129.900390625</v>
      </c>
      <c r="K1965" s="563">
        <v>40025.01953125</v>
      </c>
      <c r="L1965" s="566">
        <v>40025.019999999997</v>
      </c>
    </row>
    <row r="1966" spans="1:12" ht="45" x14ac:dyDescent="0.2">
      <c r="A1966" s="561" t="s">
        <v>104</v>
      </c>
      <c r="B1966" s="562">
        <v>2021</v>
      </c>
      <c r="C1966" s="561" t="s">
        <v>725</v>
      </c>
      <c r="D1966" s="561" t="s">
        <v>2137</v>
      </c>
      <c r="E1966" s="561" t="s">
        <v>728</v>
      </c>
      <c r="F1966" s="563">
        <v>0</v>
      </c>
      <c r="G1966" s="561" t="s">
        <v>654</v>
      </c>
      <c r="H1966" s="564"/>
      <c r="I1966" s="565"/>
      <c r="J1966" s="565"/>
      <c r="K1966" s="563">
        <v>0</v>
      </c>
      <c r="L1966" s="566">
        <v>0</v>
      </c>
    </row>
    <row r="1967" spans="1:12" ht="45" x14ac:dyDescent="0.2">
      <c r="A1967" s="561" t="s">
        <v>104</v>
      </c>
      <c r="B1967" s="562">
        <v>2021</v>
      </c>
      <c r="C1967" s="561" t="s">
        <v>725</v>
      </c>
      <c r="D1967" s="561" t="s">
        <v>2138</v>
      </c>
      <c r="E1967" s="561" t="s">
        <v>55</v>
      </c>
      <c r="F1967" s="563">
        <v>0</v>
      </c>
      <c r="G1967" s="561" t="s">
        <v>654</v>
      </c>
      <c r="H1967" s="564"/>
      <c r="I1967" s="565"/>
      <c r="J1967" s="565"/>
      <c r="K1967" s="563">
        <v>0</v>
      </c>
      <c r="L1967" s="566">
        <v>0</v>
      </c>
    </row>
    <row r="1968" spans="1:12" ht="45" x14ac:dyDescent="0.2">
      <c r="A1968" s="561" t="s">
        <v>104</v>
      </c>
      <c r="B1968" s="562">
        <v>2021</v>
      </c>
      <c r="C1968" s="561" t="s">
        <v>725</v>
      </c>
      <c r="D1968" s="561" t="s">
        <v>2139</v>
      </c>
      <c r="E1968" s="561" t="s">
        <v>56</v>
      </c>
      <c r="F1968" s="563">
        <v>0</v>
      </c>
      <c r="G1968" s="561" t="s">
        <v>654</v>
      </c>
      <c r="H1968" s="564"/>
      <c r="I1968" s="565"/>
      <c r="J1968" s="565"/>
      <c r="K1968" s="563">
        <v>0</v>
      </c>
      <c r="L1968" s="566">
        <v>0</v>
      </c>
    </row>
    <row r="1969" spans="1:12" ht="45" x14ac:dyDescent="0.2">
      <c r="A1969" s="561" t="s">
        <v>104</v>
      </c>
      <c r="B1969" s="562">
        <v>2021</v>
      </c>
      <c r="C1969" s="561" t="s">
        <v>725</v>
      </c>
      <c r="D1969" s="561" t="s">
        <v>2140</v>
      </c>
      <c r="E1969" s="561" t="s">
        <v>732</v>
      </c>
      <c r="F1969" s="563">
        <v>0</v>
      </c>
      <c r="G1969" s="561" t="s">
        <v>654</v>
      </c>
      <c r="H1969" s="564"/>
      <c r="I1969" s="565"/>
      <c r="J1969" s="565"/>
      <c r="K1969" s="563">
        <v>0</v>
      </c>
      <c r="L1969" s="566">
        <v>0</v>
      </c>
    </row>
    <row r="1970" spans="1:12" ht="45" x14ac:dyDescent="0.2">
      <c r="A1970" s="561" t="s">
        <v>104</v>
      </c>
      <c r="B1970" s="562">
        <v>2021</v>
      </c>
      <c r="C1970" s="561" t="s">
        <v>725</v>
      </c>
      <c r="D1970" s="561" t="s">
        <v>2141</v>
      </c>
      <c r="E1970" s="561" t="s">
        <v>734</v>
      </c>
      <c r="F1970" s="563">
        <v>0</v>
      </c>
      <c r="G1970" s="561" t="s">
        <v>654</v>
      </c>
      <c r="H1970" s="564"/>
      <c r="I1970" s="565"/>
      <c r="J1970" s="565"/>
      <c r="K1970" s="563">
        <v>0</v>
      </c>
      <c r="L1970" s="566">
        <v>0</v>
      </c>
    </row>
    <row r="1971" spans="1:12" ht="45" x14ac:dyDescent="0.2">
      <c r="A1971" s="561" t="s">
        <v>104</v>
      </c>
      <c r="B1971" s="562">
        <v>2021</v>
      </c>
      <c r="C1971" s="561" t="s">
        <v>725</v>
      </c>
      <c r="D1971" s="561" t="s">
        <v>2142</v>
      </c>
      <c r="E1971" s="561" t="s">
        <v>142</v>
      </c>
      <c r="F1971" s="563">
        <v>0</v>
      </c>
      <c r="G1971" s="561" t="s">
        <v>654</v>
      </c>
      <c r="H1971" s="564"/>
      <c r="I1971" s="565"/>
      <c r="J1971" s="565"/>
      <c r="K1971" s="563">
        <v>0</v>
      </c>
      <c r="L1971" s="566">
        <v>0</v>
      </c>
    </row>
    <row r="1972" spans="1:12" ht="45" x14ac:dyDescent="0.2">
      <c r="A1972" s="561" t="s">
        <v>104</v>
      </c>
      <c r="B1972" s="562">
        <v>2021</v>
      </c>
      <c r="C1972" s="561" t="s">
        <v>725</v>
      </c>
      <c r="D1972" s="561" t="s">
        <v>2143</v>
      </c>
      <c r="E1972" s="561" t="s">
        <v>143</v>
      </c>
      <c r="F1972" s="563">
        <v>0</v>
      </c>
      <c r="G1972" s="561" t="s">
        <v>654</v>
      </c>
      <c r="H1972" s="564"/>
      <c r="I1972" s="565"/>
      <c r="J1972" s="565"/>
      <c r="K1972" s="563">
        <v>0</v>
      </c>
      <c r="L1972" s="566">
        <v>0</v>
      </c>
    </row>
    <row r="1973" spans="1:12" ht="45" x14ac:dyDescent="0.2">
      <c r="A1973" s="561" t="s">
        <v>104</v>
      </c>
      <c r="B1973" s="562">
        <v>2021</v>
      </c>
      <c r="C1973" s="561" t="s">
        <v>725</v>
      </c>
      <c r="D1973" s="561" t="s">
        <v>2144</v>
      </c>
      <c r="E1973" s="561" t="s">
        <v>182</v>
      </c>
      <c r="F1973" s="563">
        <v>0</v>
      </c>
      <c r="G1973" s="561" t="s">
        <v>654</v>
      </c>
      <c r="H1973" s="564"/>
      <c r="I1973" s="565"/>
      <c r="J1973" s="565"/>
      <c r="K1973" s="563">
        <v>0</v>
      </c>
      <c r="L1973" s="566">
        <v>0</v>
      </c>
    </row>
    <row r="1974" spans="1:12" ht="45" x14ac:dyDescent="0.2">
      <c r="A1974" s="561" t="s">
        <v>104</v>
      </c>
      <c r="B1974" s="562">
        <v>2021</v>
      </c>
      <c r="C1974" s="561" t="s">
        <v>725</v>
      </c>
      <c r="D1974" s="561" t="s">
        <v>2145</v>
      </c>
      <c r="E1974" s="561" t="s">
        <v>394</v>
      </c>
      <c r="F1974" s="563">
        <v>0</v>
      </c>
      <c r="G1974" s="561" t="s">
        <v>654</v>
      </c>
      <c r="H1974" s="564"/>
      <c r="I1974" s="565"/>
      <c r="J1974" s="563">
        <v>-6326.0498046875</v>
      </c>
      <c r="K1974" s="563">
        <v>-6326.0498046875</v>
      </c>
      <c r="L1974" s="566">
        <v>-6326.05</v>
      </c>
    </row>
    <row r="1975" spans="1:12" ht="45" x14ac:dyDescent="0.2">
      <c r="A1975" s="561" t="s">
        <v>104</v>
      </c>
      <c r="B1975" s="562">
        <v>2021</v>
      </c>
      <c r="C1975" s="561" t="s">
        <v>725</v>
      </c>
      <c r="D1975" s="561" t="s">
        <v>2146</v>
      </c>
      <c r="E1975" s="561" t="s">
        <v>425</v>
      </c>
      <c r="F1975" s="563">
        <v>0</v>
      </c>
      <c r="G1975" s="561" t="s">
        <v>654</v>
      </c>
      <c r="H1975" s="564"/>
      <c r="I1975" s="563">
        <v>1655.51000976563</v>
      </c>
      <c r="J1975" s="563">
        <v>59.959999084472699</v>
      </c>
      <c r="K1975" s="563">
        <v>1715.46997070313</v>
      </c>
      <c r="L1975" s="566">
        <v>1715.47</v>
      </c>
    </row>
    <row r="1976" spans="1:12" ht="45" x14ac:dyDescent="0.2">
      <c r="A1976" s="561" t="s">
        <v>104</v>
      </c>
      <c r="B1976" s="562">
        <v>2021</v>
      </c>
      <c r="C1976" s="561" t="s">
        <v>725</v>
      </c>
      <c r="D1976" s="561" t="s">
        <v>3282</v>
      </c>
      <c r="E1976" s="561" t="s">
        <v>443</v>
      </c>
      <c r="F1976" s="563">
        <v>0</v>
      </c>
      <c r="G1976" s="561" t="s">
        <v>654</v>
      </c>
      <c r="H1976" s="564"/>
      <c r="I1976" s="563">
        <v>41897.30078125</v>
      </c>
      <c r="J1976" s="563">
        <v>14312.8203125</v>
      </c>
      <c r="K1976" s="563">
        <v>56210.12109375</v>
      </c>
      <c r="L1976" s="566">
        <v>56210.12</v>
      </c>
    </row>
    <row r="1977" spans="1:12" ht="45" x14ac:dyDescent="0.2">
      <c r="A1977" s="561" t="s">
        <v>104</v>
      </c>
      <c r="B1977" s="562">
        <v>2021</v>
      </c>
      <c r="C1977" s="561" t="s">
        <v>725</v>
      </c>
      <c r="D1977" s="561" t="s">
        <v>2147</v>
      </c>
      <c r="E1977" s="561" t="s">
        <v>741</v>
      </c>
      <c r="F1977" s="563">
        <v>184959.91</v>
      </c>
      <c r="G1977" s="564"/>
      <c r="H1977" s="564"/>
      <c r="I1977" s="565"/>
      <c r="J1977" s="565"/>
      <c r="K1977" s="563">
        <v>0</v>
      </c>
      <c r="L1977" s="566">
        <v>184959.91</v>
      </c>
    </row>
    <row r="1978" spans="1:12" ht="22.5" x14ac:dyDescent="0.2">
      <c r="A1978" s="561" t="s">
        <v>104</v>
      </c>
      <c r="B1978" s="562">
        <v>2021</v>
      </c>
      <c r="C1978" s="561" t="s">
        <v>742</v>
      </c>
      <c r="D1978" s="561" t="s">
        <v>2148</v>
      </c>
      <c r="E1978" s="561" t="s">
        <v>7</v>
      </c>
      <c r="F1978" s="563">
        <v>-128367.73</v>
      </c>
      <c r="G1978" s="564"/>
      <c r="H1978" s="561" t="s">
        <v>654</v>
      </c>
      <c r="I1978" s="565"/>
      <c r="J1978" s="565"/>
      <c r="K1978" s="563">
        <v>0</v>
      </c>
      <c r="L1978" s="566">
        <v>-128367.73</v>
      </c>
    </row>
    <row r="1979" spans="1:12" ht="22.5" x14ac:dyDescent="0.2">
      <c r="A1979" s="561" t="s">
        <v>105</v>
      </c>
      <c r="B1979" s="562">
        <v>2021</v>
      </c>
      <c r="C1979" s="561" t="s">
        <v>651</v>
      </c>
      <c r="D1979" s="561" t="s">
        <v>2149</v>
      </c>
      <c r="E1979" s="561" t="s">
        <v>653</v>
      </c>
      <c r="F1979" s="563">
        <v>-340029.42</v>
      </c>
      <c r="G1979" s="564"/>
      <c r="H1979" s="561" t="s">
        <v>654</v>
      </c>
      <c r="I1979" s="565"/>
      <c r="J1979" s="565"/>
      <c r="K1979" s="563">
        <v>0</v>
      </c>
      <c r="L1979" s="566">
        <v>-340029.42</v>
      </c>
    </row>
    <row r="1980" spans="1:12" ht="22.5" x14ac:dyDescent="0.2">
      <c r="A1980" s="561" t="s">
        <v>105</v>
      </c>
      <c r="B1980" s="562">
        <v>2021</v>
      </c>
      <c r="C1980" s="561" t="s">
        <v>655</v>
      </c>
      <c r="D1980" s="561" t="s">
        <v>2150</v>
      </c>
      <c r="E1980" s="561" t="s">
        <v>657</v>
      </c>
      <c r="F1980" s="563">
        <v>-225386.18</v>
      </c>
      <c r="G1980" s="564"/>
      <c r="H1980" s="561" t="s">
        <v>654</v>
      </c>
      <c r="I1980" s="565"/>
      <c r="J1980" s="565"/>
      <c r="K1980" s="563">
        <v>0</v>
      </c>
      <c r="L1980" s="566">
        <v>-225386.18</v>
      </c>
    </row>
    <row r="1981" spans="1:12" ht="56.25" x14ac:dyDescent="0.2">
      <c r="A1981" s="561" t="s">
        <v>105</v>
      </c>
      <c r="B1981" s="562">
        <v>2021</v>
      </c>
      <c r="C1981" s="561" t="s">
        <v>658</v>
      </c>
      <c r="D1981" s="561" t="s">
        <v>2151</v>
      </c>
      <c r="E1981" s="561" t="s">
        <v>447</v>
      </c>
      <c r="F1981" s="563">
        <v>0</v>
      </c>
      <c r="G1981" s="564"/>
      <c r="H1981" s="561" t="s">
        <v>654</v>
      </c>
      <c r="I1981" s="565"/>
      <c r="J1981" s="565"/>
      <c r="K1981" s="563">
        <v>0</v>
      </c>
      <c r="L1981" s="566">
        <v>0</v>
      </c>
    </row>
    <row r="1982" spans="1:12" ht="22.5" x14ac:dyDescent="0.2">
      <c r="A1982" s="561" t="s">
        <v>105</v>
      </c>
      <c r="B1982" s="562">
        <v>2021</v>
      </c>
      <c r="C1982" s="561" t="s">
        <v>660</v>
      </c>
      <c r="D1982" s="561" t="s">
        <v>2152</v>
      </c>
      <c r="E1982" s="561" t="s">
        <v>662</v>
      </c>
      <c r="F1982" s="563">
        <v>0</v>
      </c>
      <c r="G1982" s="564"/>
      <c r="H1982" s="561" t="s">
        <v>654</v>
      </c>
      <c r="I1982" s="565"/>
      <c r="J1982" s="565"/>
      <c r="K1982" s="563">
        <v>0</v>
      </c>
      <c r="L1982" s="566">
        <v>0</v>
      </c>
    </row>
    <row r="1983" spans="1:12" ht="33.75" x14ac:dyDescent="0.2">
      <c r="A1983" s="561" t="s">
        <v>105</v>
      </c>
      <c r="B1983" s="562">
        <v>2021</v>
      </c>
      <c r="C1983" s="561" t="s">
        <v>663</v>
      </c>
      <c r="D1983" s="561" t="s">
        <v>2153</v>
      </c>
      <c r="E1983" s="561" t="s">
        <v>665</v>
      </c>
      <c r="F1983" s="563">
        <v>0</v>
      </c>
      <c r="G1983" s="564"/>
      <c r="H1983" s="561" t="s">
        <v>654</v>
      </c>
      <c r="I1983" s="565"/>
      <c r="J1983" s="565"/>
      <c r="K1983" s="563">
        <v>0</v>
      </c>
      <c r="L1983" s="566">
        <v>0</v>
      </c>
    </row>
    <row r="1984" spans="1:12" ht="33.75" x14ac:dyDescent="0.2">
      <c r="A1984" s="561" t="s">
        <v>105</v>
      </c>
      <c r="B1984" s="562">
        <v>2021</v>
      </c>
      <c r="C1984" s="561" t="s">
        <v>666</v>
      </c>
      <c r="D1984" s="561" t="s">
        <v>2154</v>
      </c>
      <c r="E1984" s="561" t="s">
        <v>668</v>
      </c>
      <c r="F1984" s="563">
        <v>0</v>
      </c>
      <c r="G1984" s="564"/>
      <c r="H1984" s="561" t="s">
        <v>654</v>
      </c>
      <c r="I1984" s="565"/>
      <c r="J1984" s="565"/>
      <c r="K1984" s="563">
        <v>0</v>
      </c>
      <c r="L1984" s="566">
        <v>0</v>
      </c>
    </row>
    <row r="1985" spans="1:12" ht="56.25" x14ac:dyDescent="0.2">
      <c r="A1985" s="561" t="s">
        <v>105</v>
      </c>
      <c r="B1985" s="562">
        <v>2021</v>
      </c>
      <c r="C1985" s="561" t="s">
        <v>669</v>
      </c>
      <c r="D1985" s="561" t="s">
        <v>2155</v>
      </c>
      <c r="E1985" s="561" t="s">
        <v>671</v>
      </c>
      <c r="F1985" s="563">
        <v>0</v>
      </c>
      <c r="G1985" s="564"/>
      <c r="H1985" s="561" t="s">
        <v>654</v>
      </c>
      <c r="I1985" s="565"/>
      <c r="J1985" s="565"/>
      <c r="K1985" s="563">
        <v>0</v>
      </c>
      <c r="L1985" s="566">
        <v>0</v>
      </c>
    </row>
    <row r="1986" spans="1:12" ht="22.5" x14ac:dyDescent="0.2">
      <c r="A1986" s="561" t="s">
        <v>105</v>
      </c>
      <c r="B1986" s="562">
        <v>2021</v>
      </c>
      <c r="C1986" s="561" t="s">
        <v>672</v>
      </c>
      <c r="D1986" s="561" t="s">
        <v>2156</v>
      </c>
      <c r="E1986" s="561" t="s">
        <v>12</v>
      </c>
      <c r="F1986" s="563">
        <v>0</v>
      </c>
      <c r="G1986" s="564"/>
      <c r="H1986" s="561" t="s">
        <v>654</v>
      </c>
      <c r="I1986" s="565"/>
      <c r="J1986" s="565"/>
      <c r="K1986" s="563">
        <v>0</v>
      </c>
      <c r="L1986" s="566">
        <v>0</v>
      </c>
    </row>
    <row r="1987" spans="1:12" ht="22.5" x14ac:dyDescent="0.2">
      <c r="A1987" s="561" t="s">
        <v>105</v>
      </c>
      <c r="B1987" s="562">
        <v>2021</v>
      </c>
      <c r="C1987" s="561" t="s">
        <v>674</v>
      </c>
      <c r="D1987" s="561" t="s">
        <v>2157</v>
      </c>
      <c r="E1987" s="561" t="s">
        <v>13</v>
      </c>
      <c r="F1987" s="563">
        <v>0</v>
      </c>
      <c r="G1987" s="564"/>
      <c r="H1987" s="561" t="s">
        <v>654</v>
      </c>
      <c r="I1987" s="565"/>
      <c r="J1987" s="565"/>
      <c r="K1987" s="563">
        <v>0</v>
      </c>
      <c r="L1987" s="566">
        <v>0</v>
      </c>
    </row>
    <row r="1988" spans="1:12" ht="33.75" x14ac:dyDescent="0.2">
      <c r="A1988" s="561" t="s">
        <v>105</v>
      </c>
      <c r="B1988" s="562">
        <v>2021</v>
      </c>
      <c r="C1988" s="561" t="s">
        <v>676</v>
      </c>
      <c r="D1988" s="561" t="s">
        <v>2158</v>
      </c>
      <c r="E1988" s="561" t="s">
        <v>15</v>
      </c>
      <c r="F1988" s="563">
        <v>0</v>
      </c>
      <c r="G1988" s="564"/>
      <c r="H1988" s="561" t="s">
        <v>654</v>
      </c>
      <c r="I1988" s="565"/>
      <c r="J1988" s="565"/>
      <c r="K1988" s="563">
        <v>0</v>
      </c>
      <c r="L1988" s="566">
        <v>0</v>
      </c>
    </row>
    <row r="1989" spans="1:12" ht="22.5" x14ac:dyDescent="0.2">
      <c r="A1989" s="561" t="s">
        <v>105</v>
      </c>
      <c r="B1989" s="562">
        <v>2021</v>
      </c>
      <c r="C1989" s="561" t="s">
        <v>678</v>
      </c>
      <c r="D1989" s="561" t="s">
        <v>2159</v>
      </c>
      <c r="E1989" s="561" t="s">
        <v>680</v>
      </c>
      <c r="F1989" s="563">
        <v>46226.89</v>
      </c>
      <c r="G1989" s="564"/>
      <c r="H1989" s="561" t="s">
        <v>654</v>
      </c>
      <c r="I1989" s="565"/>
      <c r="J1989" s="565"/>
      <c r="K1989" s="563">
        <v>0</v>
      </c>
      <c r="L1989" s="566">
        <v>46226.89</v>
      </c>
    </row>
    <row r="1990" spans="1:12" ht="22.5" x14ac:dyDescent="0.2">
      <c r="A1990" s="561" t="s">
        <v>105</v>
      </c>
      <c r="B1990" s="562">
        <v>2021</v>
      </c>
      <c r="C1990" s="561" t="s">
        <v>681</v>
      </c>
      <c r="D1990" s="561" t="s">
        <v>2160</v>
      </c>
      <c r="E1990" s="561" t="s">
        <v>23</v>
      </c>
      <c r="F1990" s="563">
        <v>145945.12</v>
      </c>
      <c r="G1990" s="561" t="s">
        <v>654</v>
      </c>
      <c r="H1990" s="564"/>
      <c r="I1990" s="563">
        <v>142499.6875</v>
      </c>
      <c r="J1990" s="563">
        <v>3445.43994140625</v>
      </c>
      <c r="K1990" s="563">
        <v>145945.125</v>
      </c>
      <c r="L1990" s="566">
        <v>145945.12</v>
      </c>
    </row>
    <row r="1991" spans="1:12" ht="33.75" x14ac:dyDescent="0.2">
      <c r="A1991" s="561" t="s">
        <v>105</v>
      </c>
      <c r="B1991" s="562">
        <v>2021</v>
      </c>
      <c r="C1991" s="561" t="s">
        <v>683</v>
      </c>
      <c r="D1991" s="561" t="s">
        <v>2161</v>
      </c>
      <c r="E1991" s="561" t="s">
        <v>131</v>
      </c>
      <c r="F1991" s="563">
        <v>-24513.16</v>
      </c>
      <c r="G1991" s="561" t="s">
        <v>654</v>
      </c>
      <c r="H1991" s="564"/>
      <c r="I1991" s="563">
        <v>-23393.560546875</v>
      </c>
      <c r="J1991" s="563">
        <v>-1119.59997558594</v>
      </c>
      <c r="K1991" s="563">
        <v>-24513.16015625</v>
      </c>
      <c r="L1991" s="566">
        <v>-24513.16</v>
      </c>
    </row>
    <row r="1992" spans="1:12" ht="33.75" x14ac:dyDescent="0.2">
      <c r="A1992" s="561" t="s">
        <v>105</v>
      </c>
      <c r="B1992" s="562">
        <v>2021</v>
      </c>
      <c r="C1992" s="561" t="s">
        <v>685</v>
      </c>
      <c r="D1992" s="561" t="s">
        <v>2162</v>
      </c>
      <c r="E1992" s="561" t="s">
        <v>687</v>
      </c>
      <c r="F1992" s="563">
        <v>3142.46</v>
      </c>
      <c r="G1992" s="564"/>
      <c r="H1992" s="561" t="s">
        <v>654</v>
      </c>
      <c r="I1992" s="565"/>
      <c r="J1992" s="565"/>
      <c r="K1992" s="563">
        <v>0</v>
      </c>
      <c r="L1992" s="566">
        <v>3142.46</v>
      </c>
    </row>
    <row r="1993" spans="1:12" ht="33.75" x14ac:dyDescent="0.2">
      <c r="A1993" s="561" t="s">
        <v>105</v>
      </c>
      <c r="B1993" s="562">
        <v>2021</v>
      </c>
      <c r="C1993" s="561" t="s">
        <v>685</v>
      </c>
      <c r="D1993" s="561" t="s">
        <v>2162</v>
      </c>
      <c r="E1993" s="561" t="s">
        <v>688</v>
      </c>
      <c r="F1993" s="563">
        <v>3142.46</v>
      </c>
      <c r="G1993" s="564"/>
      <c r="H1993" s="561" t="s">
        <v>654</v>
      </c>
      <c r="I1993" s="565"/>
      <c r="J1993" s="565"/>
      <c r="K1993" s="563">
        <v>0</v>
      </c>
      <c r="L1993" s="566">
        <v>3142.46</v>
      </c>
    </row>
    <row r="1994" spans="1:12" ht="22.5" x14ac:dyDescent="0.2">
      <c r="A1994" s="561" t="s">
        <v>105</v>
      </c>
      <c r="B1994" s="562">
        <v>2021</v>
      </c>
      <c r="C1994" s="561" t="s">
        <v>689</v>
      </c>
      <c r="D1994" s="561" t="s">
        <v>2163</v>
      </c>
      <c r="E1994" s="561" t="s">
        <v>691</v>
      </c>
      <c r="F1994" s="563">
        <v>0</v>
      </c>
      <c r="G1994" s="564"/>
      <c r="H1994" s="561" t="s">
        <v>654</v>
      </c>
      <c r="I1994" s="565"/>
      <c r="J1994" s="565"/>
      <c r="K1994" s="563">
        <v>0</v>
      </c>
      <c r="L1994" s="566">
        <v>0</v>
      </c>
    </row>
    <row r="1995" spans="1:12" ht="22.5" x14ac:dyDescent="0.2">
      <c r="A1995" s="561" t="s">
        <v>105</v>
      </c>
      <c r="B1995" s="562">
        <v>2021</v>
      </c>
      <c r="C1995" s="561" t="s">
        <v>692</v>
      </c>
      <c r="D1995" s="561" t="s">
        <v>2164</v>
      </c>
      <c r="E1995" s="561" t="s">
        <v>50</v>
      </c>
      <c r="F1995" s="563">
        <v>-4122.2700000000004</v>
      </c>
      <c r="G1995" s="564"/>
      <c r="H1995" s="561" t="s">
        <v>654</v>
      </c>
      <c r="I1995" s="565"/>
      <c r="J1995" s="565"/>
      <c r="K1995" s="563">
        <v>0</v>
      </c>
      <c r="L1995" s="566">
        <v>-4122.2700000000004</v>
      </c>
    </row>
    <row r="1996" spans="1:12" ht="22.5" x14ac:dyDescent="0.2">
      <c r="A1996" s="561" t="s">
        <v>105</v>
      </c>
      <c r="B1996" s="562">
        <v>2021</v>
      </c>
      <c r="C1996" s="561" t="s">
        <v>694</v>
      </c>
      <c r="D1996" s="561" t="s">
        <v>2165</v>
      </c>
      <c r="E1996" s="561" t="s">
        <v>696</v>
      </c>
      <c r="F1996" s="563">
        <v>0</v>
      </c>
      <c r="G1996" s="564"/>
      <c r="H1996" s="561" t="s">
        <v>654</v>
      </c>
      <c r="I1996" s="565"/>
      <c r="J1996" s="565"/>
      <c r="K1996" s="563">
        <v>0</v>
      </c>
      <c r="L1996" s="566">
        <v>0</v>
      </c>
    </row>
    <row r="1997" spans="1:12" ht="22.5" x14ac:dyDescent="0.2">
      <c r="A1997" s="561" t="s">
        <v>105</v>
      </c>
      <c r="B1997" s="562">
        <v>2021</v>
      </c>
      <c r="C1997" s="561" t="s">
        <v>697</v>
      </c>
      <c r="D1997" s="561" t="s">
        <v>2166</v>
      </c>
      <c r="E1997" s="561" t="s">
        <v>6</v>
      </c>
      <c r="F1997" s="563">
        <v>0</v>
      </c>
      <c r="G1997" s="564"/>
      <c r="H1997" s="561" t="s">
        <v>654</v>
      </c>
      <c r="I1997" s="565"/>
      <c r="J1997" s="565"/>
      <c r="K1997" s="563">
        <v>0</v>
      </c>
      <c r="L1997" s="566">
        <v>0</v>
      </c>
    </row>
    <row r="1998" spans="1:12" ht="33.75" x14ac:dyDescent="0.2">
      <c r="A1998" s="561" t="s">
        <v>105</v>
      </c>
      <c r="B1998" s="562">
        <v>2021</v>
      </c>
      <c r="C1998" s="561" t="s">
        <v>699</v>
      </c>
      <c r="D1998" s="561" t="s">
        <v>2167</v>
      </c>
      <c r="E1998" s="561" t="s">
        <v>701</v>
      </c>
      <c r="F1998" s="563">
        <v>7.0000000000000007E-2</v>
      </c>
      <c r="G1998" s="564"/>
      <c r="H1998" s="561" t="s">
        <v>654</v>
      </c>
      <c r="I1998" s="565"/>
      <c r="J1998" s="565"/>
      <c r="K1998" s="563">
        <v>0</v>
      </c>
      <c r="L1998" s="566">
        <v>7.0000000000000007E-2</v>
      </c>
    </row>
    <row r="1999" spans="1:12" ht="22.5" x14ac:dyDescent="0.2">
      <c r="A1999" s="561" t="s">
        <v>105</v>
      </c>
      <c r="B1999" s="562">
        <v>2021</v>
      </c>
      <c r="C1999" s="561" t="s">
        <v>702</v>
      </c>
      <c r="D1999" s="561" t="s">
        <v>2168</v>
      </c>
      <c r="E1999" s="561" t="s">
        <v>704</v>
      </c>
      <c r="F1999" s="563">
        <v>-0.01</v>
      </c>
      <c r="G1999" s="564"/>
      <c r="H1999" s="561" t="s">
        <v>654</v>
      </c>
      <c r="I1999" s="565"/>
      <c r="J1999" s="565"/>
      <c r="K1999" s="563">
        <v>0</v>
      </c>
      <c r="L1999" s="566">
        <v>-0.01</v>
      </c>
    </row>
    <row r="2000" spans="1:12" ht="33.75" x14ac:dyDescent="0.2">
      <c r="A2000" s="561" t="s">
        <v>105</v>
      </c>
      <c r="B2000" s="562">
        <v>2021</v>
      </c>
      <c r="C2000" s="561" t="s">
        <v>705</v>
      </c>
      <c r="D2000" s="561" t="s">
        <v>2169</v>
      </c>
      <c r="E2000" s="561" t="s">
        <v>1</v>
      </c>
      <c r="F2000" s="563">
        <v>-1105783.6499999999</v>
      </c>
      <c r="G2000" s="561" t="s">
        <v>654</v>
      </c>
      <c r="H2000" s="564"/>
      <c r="I2000" s="563">
        <v>-1062598</v>
      </c>
      <c r="J2000" s="563">
        <v>-43185.62109375</v>
      </c>
      <c r="K2000" s="563">
        <v>-1105783.625</v>
      </c>
      <c r="L2000" s="566">
        <v>-1105783.6499999999</v>
      </c>
    </row>
    <row r="2001" spans="1:12" ht="22.5" x14ac:dyDescent="0.2">
      <c r="A2001" s="561" t="s">
        <v>105</v>
      </c>
      <c r="B2001" s="562">
        <v>2021</v>
      </c>
      <c r="C2001" s="561" t="s">
        <v>705</v>
      </c>
      <c r="D2001" s="561" t="s">
        <v>2169</v>
      </c>
      <c r="E2001" s="561" t="s">
        <v>707</v>
      </c>
      <c r="F2001" s="563">
        <v>0</v>
      </c>
      <c r="G2001" s="564"/>
      <c r="H2001" s="564"/>
      <c r="I2001" s="565"/>
      <c r="J2001" s="565"/>
      <c r="K2001" s="563">
        <v>0</v>
      </c>
      <c r="L2001" s="566">
        <v>0</v>
      </c>
    </row>
    <row r="2002" spans="1:12" ht="22.5" x14ac:dyDescent="0.2">
      <c r="A2002" s="561" t="s">
        <v>105</v>
      </c>
      <c r="B2002" s="562">
        <v>2021</v>
      </c>
      <c r="C2002" s="561" t="s">
        <v>705</v>
      </c>
      <c r="D2002" s="561" t="s">
        <v>2169</v>
      </c>
      <c r="E2002" s="561" t="s">
        <v>708</v>
      </c>
      <c r="F2002" s="563">
        <v>0</v>
      </c>
      <c r="G2002" s="564"/>
      <c r="H2002" s="564"/>
      <c r="I2002" s="565"/>
      <c r="J2002" s="565"/>
      <c r="K2002" s="563">
        <v>0</v>
      </c>
      <c r="L2002" s="566">
        <v>0</v>
      </c>
    </row>
    <row r="2003" spans="1:12" ht="22.5" x14ac:dyDescent="0.2">
      <c r="A2003" s="561" t="s">
        <v>105</v>
      </c>
      <c r="B2003" s="562">
        <v>2021</v>
      </c>
      <c r="C2003" s="561" t="s">
        <v>705</v>
      </c>
      <c r="D2003" s="561" t="s">
        <v>2169</v>
      </c>
      <c r="E2003" s="561" t="s">
        <v>709</v>
      </c>
      <c r="F2003" s="563">
        <v>-1793.5</v>
      </c>
      <c r="G2003" s="564"/>
      <c r="H2003" s="564"/>
      <c r="I2003" s="565"/>
      <c r="J2003" s="565"/>
      <c r="K2003" s="563">
        <v>0</v>
      </c>
      <c r="L2003" s="566">
        <v>-1793.5</v>
      </c>
    </row>
    <row r="2004" spans="1:12" ht="22.5" x14ac:dyDescent="0.2">
      <c r="A2004" s="561" t="s">
        <v>105</v>
      </c>
      <c r="B2004" s="562">
        <v>2021</v>
      </c>
      <c r="C2004" s="561" t="s">
        <v>705</v>
      </c>
      <c r="D2004" s="561" t="s">
        <v>2169</v>
      </c>
      <c r="E2004" s="561" t="s">
        <v>710</v>
      </c>
      <c r="F2004" s="563">
        <v>-93758.34</v>
      </c>
      <c r="G2004" s="564"/>
      <c r="H2004" s="564"/>
      <c r="I2004" s="565"/>
      <c r="J2004" s="565"/>
      <c r="K2004" s="563">
        <v>0</v>
      </c>
      <c r="L2004" s="566">
        <v>-93758.34</v>
      </c>
    </row>
    <row r="2005" spans="1:12" ht="22.5" x14ac:dyDescent="0.2">
      <c r="A2005" s="561" t="s">
        <v>105</v>
      </c>
      <c r="B2005" s="562">
        <v>2021</v>
      </c>
      <c r="C2005" s="561" t="s">
        <v>711</v>
      </c>
      <c r="D2005" s="561" t="s">
        <v>2170</v>
      </c>
      <c r="E2005" s="561" t="s">
        <v>713</v>
      </c>
      <c r="F2005" s="563">
        <v>0</v>
      </c>
      <c r="G2005" s="564"/>
      <c r="H2005" s="561" t="s">
        <v>654</v>
      </c>
      <c r="I2005" s="565"/>
      <c r="J2005" s="565"/>
      <c r="K2005" s="563">
        <v>0</v>
      </c>
      <c r="L2005" s="566">
        <v>0</v>
      </c>
    </row>
    <row r="2006" spans="1:12" ht="33.75" x14ac:dyDescent="0.2">
      <c r="A2006" s="561" t="s">
        <v>105</v>
      </c>
      <c r="B2006" s="562">
        <v>2021</v>
      </c>
      <c r="C2006" s="561" t="s">
        <v>714</v>
      </c>
      <c r="D2006" s="561" t="s">
        <v>2171</v>
      </c>
      <c r="E2006" s="561" t="s">
        <v>2</v>
      </c>
      <c r="F2006" s="563">
        <v>595991.11</v>
      </c>
      <c r="G2006" s="561" t="s">
        <v>654</v>
      </c>
      <c r="H2006" s="564"/>
      <c r="I2006" s="563">
        <v>591172.5625</v>
      </c>
      <c r="J2006" s="563">
        <v>4818.5498046875</v>
      </c>
      <c r="K2006" s="563">
        <v>595991.125</v>
      </c>
      <c r="L2006" s="566">
        <v>595991.11</v>
      </c>
    </row>
    <row r="2007" spans="1:12" ht="33.75" x14ac:dyDescent="0.2">
      <c r="A2007" s="561" t="s">
        <v>105</v>
      </c>
      <c r="B2007" s="562">
        <v>2021</v>
      </c>
      <c r="C2007" s="561" t="s">
        <v>716</v>
      </c>
      <c r="D2007" s="561" t="s">
        <v>2172</v>
      </c>
      <c r="E2007" s="561" t="s">
        <v>3</v>
      </c>
      <c r="F2007" s="563">
        <v>570209.74</v>
      </c>
      <c r="G2007" s="561" t="s">
        <v>654</v>
      </c>
      <c r="H2007" s="564"/>
      <c r="I2007" s="563">
        <v>552754.625</v>
      </c>
      <c r="J2007" s="563">
        <v>17455.130859375</v>
      </c>
      <c r="K2007" s="563">
        <v>570209.75</v>
      </c>
      <c r="L2007" s="566">
        <v>570209.74</v>
      </c>
    </row>
    <row r="2008" spans="1:12" ht="33.75" x14ac:dyDescent="0.2">
      <c r="A2008" s="561" t="s">
        <v>105</v>
      </c>
      <c r="B2008" s="562">
        <v>2021</v>
      </c>
      <c r="C2008" s="561" t="s">
        <v>718</v>
      </c>
      <c r="D2008" s="561" t="s">
        <v>2173</v>
      </c>
      <c r="E2008" s="561" t="s">
        <v>38</v>
      </c>
      <c r="F2008" s="563">
        <v>-870259.95</v>
      </c>
      <c r="G2008" s="561" t="s">
        <v>654</v>
      </c>
      <c r="H2008" s="564"/>
      <c r="I2008" s="563">
        <v>-871764.875</v>
      </c>
      <c r="J2008" s="563">
        <v>1504.90002441406</v>
      </c>
      <c r="K2008" s="563">
        <v>-870259.9375</v>
      </c>
      <c r="L2008" s="566">
        <v>-870259.95</v>
      </c>
    </row>
    <row r="2009" spans="1:12" ht="22.5" x14ac:dyDescent="0.2">
      <c r="A2009" s="561" t="s">
        <v>105</v>
      </c>
      <c r="B2009" s="562">
        <v>2021</v>
      </c>
      <c r="C2009" s="561" t="s">
        <v>720</v>
      </c>
      <c r="D2009" s="561" t="s">
        <v>2174</v>
      </c>
      <c r="E2009" s="561" t="s">
        <v>66</v>
      </c>
      <c r="F2009" s="563">
        <v>468143.18</v>
      </c>
      <c r="G2009" s="561" t="s">
        <v>654</v>
      </c>
      <c r="H2009" s="564"/>
      <c r="I2009" s="563">
        <v>440681.84375</v>
      </c>
      <c r="J2009" s="563">
        <v>27461.349609375</v>
      </c>
      <c r="K2009" s="563">
        <v>468143.1875</v>
      </c>
      <c r="L2009" s="566">
        <v>468143.18</v>
      </c>
    </row>
    <row r="2010" spans="1:12" ht="45" x14ac:dyDescent="0.2">
      <c r="A2010" s="561" t="s">
        <v>105</v>
      </c>
      <c r="B2010" s="562">
        <v>2021</v>
      </c>
      <c r="C2010" s="561" t="s">
        <v>722</v>
      </c>
      <c r="D2010" s="561" t="s">
        <v>2175</v>
      </c>
      <c r="E2010" s="561" t="s">
        <v>724</v>
      </c>
      <c r="F2010" s="563">
        <v>-273107.99</v>
      </c>
      <c r="G2010" s="564"/>
      <c r="H2010" s="561" t="s">
        <v>654</v>
      </c>
      <c r="I2010" s="565"/>
      <c r="J2010" s="565"/>
      <c r="K2010" s="563">
        <v>0</v>
      </c>
      <c r="L2010" s="566">
        <v>-273107.99</v>
      </c>
    </row>
    <row r="2011" spans="1:12" ht="45" x14ac:dyDescent="0.2">
      <c r="A2011" s="561" t="s">
        <v>105</v>
      </c>
      <c r="B2011" s="562">
        <v>2021</v>
      </c>
      <c r="C2011" s="561" t="s">
        <v>725</v>
      </c>
      <c r="D2011" s="561" t="s">
        <v>2176</v>
      </c>
      <c r="E2011" s="561" t="s">
        <v>3024</v>
      </c>
      <c r="F2011" s="563">
        <v>0</v>
      </c>
      <c r="G2011" s="561" t="s">
        <v>654</v>
      </c>
      <c r="H2011" s="564"/>
      <c r="I2011" s="565"/>
      <c r="J2011" s="565"/>
      <c r="K2011" s="563">
        <v>0</v>
      </c>
      <c r="L2011" s="566">
        <v>0</v>
      </c>
    </row>
    <row r="2012" spans="1:12" ht="45" x14ac:dyDescent="0.2">
      <c r="A2012" s="561" t="s">
        <v>105</v>
      </c>
      <c r="B2012" s="562">
        <v>2021</v>
      </c>
      <c r="C2012" s="561" t="s">
        <v>725</v>
      </c>
      <c r="D2012" s="561" t="s">
        <v>2176</v>
      </c>
      <c r="E2012" s="561" t="s">
        <v>3066</v>
      </c>
      <c r="F2012" s="563">
        <v>0</v>
      </c>
      <c r="G2012" s="561" t="s">
        <v>654</v>
      </c>
      <c r="H2012" s="564"/>
      <c r="I2012" s="563">
        <v>210207.421875</v>
      </c>
      <c r="J2012" s="563">
        <v>14776.3603515625</v>
      </c>
      <c r="K2012" s="563">
        <v>224983.78125</v>
      </c>
      <c r="L2012" s="566">
        <v>224983.78</v>
      </c>
    </row>
    <row r="2013" spans="1:12" ht="45" x14ac:dyDescent="0.2">
      <c r="A2013" s="561" t="s">
        <v>105</v>
      </c>
      <c r="B2013" s="562">
        <v>2021</v>
      </c>
      <c r="C2013" s="561" t="s">
        <v>725</v>
      </c>
      <c r="D2013" s="561" t="s">
        <v>2177</v>
      </c>
      <c r="E2013" s="561" t="s">
        <v>728</v>
      </c>
      <c r="F2013" s="563">
        <v>0</v>
      </c>
      <c r="G2013" s="561" t="s">
        <v>654</v>
      </c>
      <c r="H2013" s="564"/>
      <c r="I2013" s="565"/>
      <c r="J2013" s="565"/>
      <c r="K2013" s="563">
        <v>0</v>
      </c>
      <c r="L2013" s="566">
        <v>0</v>
      </c>
    </row>
    <row r="2014" spans="1:12" ht="45" x14ac:dyDescent="0.2">
      <c r="A2014" s="561" t="s">
        <v>105</v>
      </c>
      <c r="B2014" s="562">
        <v>2021</v>
      </c>
      <c r="C2014" s="561" t="s">
        <v>725</v>
      </c>
      <c r="D2014" s="561" t="s">
        <v>2178</v>
      </c>
      <c r="E2014" s="561" t="s">
        <v>55</v>
      </c>
      <c r="F2014" s="563">
        <v>0</v>
      </c>
      <c r="G2014" s="561" t="s">
        <v>654</v>
      </c>
      <c r="H2014" s="564"/>
      <c r="I2014" s="565"/>
      <c r="J2014" s="565"/>
      <c r="K2014" s="563">
        <v>0</v>
      </c>
      <c r="L2014" s="566">
        <v>0</v>
      </c>
    </row>
    <row r="2015" spans="1:12" ht="45" x14ac:dyDescent="0.2">
      <c r="A2015" s="561" t="s">
        <v>105</v>
      </c>
      <c r="B2015" s="562">
        <v>2021</v>
      </c>
      <c r="C2015" s="561" t="s">
        <v>725</v>
      </c>
      <c r="D2015" s="561" t="s">
        <v>2179</v>
      </c>
      <c r="E2015" s="561" t="s">
        <v>56</v>
      </c>
      <c r="F2015" s="563">
        <v>0</v>
      </c>
      <c r="G2015" s="561" t="s">
        <v>654</v>
      </c>
      <c r="H2015" s="564"/>
      <c r="I2015" s="565"/>
      <c r="J2015" s="565"/>
      <c r="K2015" s="563">
        <v>0</v>
      </c>
      <c r="L2015" s="566">
        <v>0</v>
      </c>
    </row>
    <row r="2016" spans="1:12" ht="45" x14ac:dyDescent="0.2">
      <c r="A2016" s="561" t="s">
        <v>105</v>
      </c>
      <c r="B2016" s="562">
        <v>2021</v>
      </c>
      <c r="C2016" s="561" t="s">
        <v>725</v>
      </c>
      <c r="D2016" s="561" t="s">
        <v>2180</v>
      </c>
      <c r="E2016" s="561" t="s">
        <v>732</v>
      </c>
      <c r="F2016" s="563">
        <v>0</v>
      </c>
      <c r="G2016" s="561" t="s">
        <v>654</v>
      </c>
      <c r="H2016" s="564"/>
      <c r="I2016" s="565"/>
      <c r="J2016" s="565"/>
      <c r="K2016" s="563">
        <v>0</v>
      </c>
      <c r="L2016" s="566">
        <v>0</v>
      </c>
    </row>
    <row r="2017" spans="1:12" ht="45" x14ac:dyDescent="0.2">
      <c r="A2017" s="561" t="s">
        <v>105</v>
      </c>
      <c r="B2017" s="562">
        <v>2021</v>
      </c>
      <c r="C2017" s="561" t="s">
        <v>725</v>
      </c>
      <c r="D2017" s="561" t="s">
        <v>2181</v>
      </c>
      <c r="E2017" s="561" t="s">
        <v>734</v>
      </c>
      <c r="F2017" s="563">
        <v>0</v>
      </c>
      <c r="G2017" s="561" t="s">
        <v>654</v>
      </c>
      <c r="H2017" s="564"/>
      <c r="I2017" s="565"/>
      <c r="J2017" s="565"/>
      <c r="K2017" s="563">
        <v>0</v>
      </c>
      <c r="L2017" s="566">
        <v>0</v>
      </c>
    </row>
    <row r="2018" spans="1:12" ht="45" x14ac:dyDescent="0.2">
      <c r="A2018" s="561" t="s">
        <v>105</v>
      </c>
      <c r="B2018" s="562">
        <v>2021</v>
      </c>
      <c r="C2018" s="561" t="s">
        <v>725</v>
      </c>
      <c r="D2018" s="561" t="s">
        <v>2182</v>
      </c>
      <c r="E2018" s="561" t="s">
        <v>142</v>
      </c>
      <c r="F2018" s="563">
        <v>0</v>
      </c>
      <c r="G2018" s="561" t="s">
        <v>654</v>
      </c>
      <c r="H2018" s="564"/>
      <c r="I2018" s="565"/>
      <c r="J2018" s="565"/>
      <c r="K2018" s="563">
        <v>0</v>
      </c>
      <c r="L2018" s="566">
        <v>0</v>
      </c>
    </row>
    <row r="2019" spans="1:12" ht="45" x14ac:dyDescent="0.2">
      <c r="A2019" s="561" t="s">
        <v>105</v>
      </c>
      <c r="B2019" s="562">
        <v>2021</v>
      </c>
      <c r="C2019" s="561" t="s">
        <v>725</v>
      </c>
      <c r="D2019" s="561" t="s">
        <v>2183</v>
      </c>
      <c r="E2019" s="561" t="s">
        <v>143</v>
      </c>
      <c r="F2019" s="563">
        <v>0</v>
      </c>
      <c r="G2019" s="561" t="s">
        <v>654</v>
      </c>
      <c r="H2019" s="564"/>
      <c r="I2019" s="563">
        <v>40077.859375</v>
      </c>
      <c r="J2019" s="563">
        <v>-22509.66015625</v>
      </c>
      <c r="K2019" s="563">
        <v>17568.19921875</v>
      </c>
      <c r="L2019" s="566">
        <v>17568.2</v>
      </c>
    </row>
    <row r="2020" spans="1:12" ht="45" x14ac:dyDescent="0.2">
      <c r="A2020" s="561" t="s">
        <v>105</v>
      </c>
      <c r="B2020" s="562">
        <v>2021</v>
      </c>
      <c r="C2020" s="561" t="s">
        <v>725</v>
      </c>
      <c r="D2020" s="561" t="s">
        <v>2184</v>
      </c>
      <c r="E2020" s="561" t="s">
        <v>182</v>
      </c>
      <c r="F2020" s="563">
        <v>0</v>
      </c>
      <c r="G2020" s="561" t="s">
        <v>654</v>
      </c>
      <c r="H2020" s="564"/>
      <c r="I2020" s="563">
        <v>-82886.8671875</v>
      </c>
      <c r="J2020" s="563">
        <v>75693.9921875</v>
      </c>
      <c r="K2020" s="563">
        <v>-7192.8798828125</v>
      </c>
      <c r="L2020" s="566">
        <v>-7192.8799999999901</v>
      </c>
    </row>
    <row r="2021" spans="1:12" ht="45" x14ac:dyDescent="0.2">
      <c r="A2021" s="561" t="s">
        <v>105</v>
      </c>
      <c r="B2021" s="562">
        <v>2021</v>
      </c>
      <c r="C2021" s="561" t="s">
        <v>725</v>
      </c>
      <c r="D2021" s="561" t="s">
        <v>2185</v>
      </c>
      <c r="E2021" s="561" t="s">
        <v>394</v>
      </c>
      <c r="F2021" s="563">
        <v>0</v>
      </c>
      <c r="G2021" s="561" t="s">
        <v>654</v>
      </c>
      <c r="H2021" s="564"/>
      <c r="I2021" s="563">
        <v>35760.2109375</v>
      </c>
      <c r="J2021" s="563">
        <v>25201.1796875</v>
      </c>
      <c r="K2021" s="563">
        <v>60961.390625</v>
      </c>
      <c r="L2021" s="566">
        <v>60961.39</v>
      </c>
    </row>
    <row r="2022" spans="1:12" ht="45" x14ac:dyDescent="0.2">
      <c r="A2022" s="561" t="s">
        <v>105</v>
      </c>
      <c r="B2022" s="562">
        <v>2021</v>
      </c>
      <c r="C2022" s="561" t="s">
        <v>725</v>
      </c>
      <c r="D2022" s="561" t="s">
        <v>2186</v>
      </c>
      <c r="E2022" s="561" t="s">
        <v>425</v>
      </c>
      <c r="F2022" s="563">
        <v>0</v>
      </c>
      <c r="G2022" s="561" t="s">
        <v>654</v>
      </c>
      <c r="H2022" s="564"/>
      <c r="I2022" s="563">
        <v>-6257.93017578125</v>
      </c>
      <c r="J2022" s="563">
        <v>-18782.33984375</v>
      </c>
      <c r="K2022" s="563">
        <v>-25040.26953125</v>
      </c>
      <c r="L2022" s="566">
        <v>-25040.27</v>
      </c>
    </row>
    <row r="2023" spans="1:12" ht="45" x14ac:dyDescent="0.2">
      <c r="A2023" s="561" t="s">
        <v>105</v>
      </c>
      <c r="B2023" s="562">
        <v>2021</v>
      </c>
      <c r="C2023" s="561" t="s">
        <v>725</v>
      </c>
      <c r="D2023" s="561" t="s">
        <v>3283</v>
      </c>
      <c r="E2023" s="561" t="s">
        <v>443</v>
      </c>
      <c r="F2023" s="563">
        <v>0</v>
      </c>
      <c r="G2023" s="561" t="s">
        <v>654</v>
      </c>
      <c r="H2023" s="564"/>
      <c r="I2023" s="563">
        <v>29141.529296875</v>
      </c>
      <c r="J2023" s="563">
        <v>-36252.0703125</v>
      </c>
      <c r="K2023" s="563">
        <v>-7110.5400390625</v>
      </c>
      <c r="L2023" s="566">
        <v>-7110.54</v>
      </c>
    </row>
    <row r="2024" spans="1:12" ht="45" x14ac:dyDescent="0.2">
      <c r="A2024" s="561" t="s">
        <v>105</v>
      </c>
      <c r="B2024" s="562">
        <v>2021</v>
      </c>
      <c r="C2024" s="561" t="s">
        <v>725</v>
      </c>
      <c r="D2024" s="561" t="s">
        <v>2187</v>
      </c>
      <c r="E2024" s="561" t="s">
        <v>741</v>
      </c>
      <c r="F2024" s="563">
        <v>264169.68</v>
      </c>
      <c r="G2024" s="564"/>
      <c r="H2024" s="564"/>
      <c r="I2024" s="565"/>
      <c r="J2024" s="565"/>
      <c r="K2024" s="563">
        <v>0</v>
      </c>
      <c r="L2024" s="566">
        <v>264169.68</v>
      </c>
    </row>
    <row r="2025" spans="1:12" ht="22.5" x14ac:dyDescent="0.2">
      <c r="A2025" s="561" t="s">
        <v>105</v>
      </c>
      <c r="B2025" s="562">
        <v>2021</v>
      </c>
      <c r="C2025" s="561" t="s">
        <v>742</v>
      </c>
      <c r="D2025" s="561" t="s">
        <v>2188</v>
      </c>
      <c r="E2025" s="561" t="s">
        <v>7</v>
      </c>
      <c r="F2025" s="563">
        <v>0</v>
      </c>
      <c r="G2025" s="564"/>
      <c r="H2025" s="561" t="s">
        <v>654</v>
      </c>
      <c r="I2025" s="565"/>
      <c r="J2025" s="565"/>
      <c r="K2025" s="563">
        <v>0</v>
      </c>
      <c r="L2025" s="566">
        <v>0</v>
      </c>
    </row>
    <row r="2026" spans="1:12" ht="22.5" x14ac:dyDescent="0.2">
      <c r="A2026" s="561" t="s">
        <v>106</v>
      </c>
      <c r="B2026" s="562">
        <v>2021</v>
      </c>
      <c r="C2026" s="561" t="s">
        <v>651</v>
      </c>
      <c r="D2026" s="561" t="s">
        <v>2189</v>
      </c>
      <c r="E2026" s="561" t="s">
        <v>653</v>
      </c>
      <c r="F2026" s="563">
        <v>-111715.5</v>
      </c>
      <c r="G2026" s="564"/>
      <c r="H2026" s="561" t="s">
        <v>654</v>
      </c>
      <c r="I2026" s="565"/>
      <c r="J2026" s="565"/>
      <c r="K2026" s="563">
        <v>0</v>
      </c>
      <c r="L2026" s="566">
        <v>-111715.5</v>
      </c>
    </row>
    <row r="2027" spans="1:12" ht="15" x14ac:dyDescent="0.2">
      <c r="A2027" s="561" t="s">
        <v>106</v>
      </c>
      <c r="B2027" s="562">
        <v>2021</v>
      </c>
      <c r="C2027" s="561" t="s">
        <v>655</v>
      </c>
      <c r="D2027" s="561" t="s">
        <v>2190</v>
      </c>
      <c r="E2027" s="561" t="s">
        <v>657</v>
      </c>
      <c r="F2027" s="563">
        <v>4599.09</v>
      </c>
      <c r="G2027" s="564"/>
      <c r="H2027" s="561" t="s">
        <v>654</v>
      </c>
      <c r="I2027" s="565"/>
      <c r="J2027" s="565"/>
      <c r="K2027" s="563">
        <v>0</v>
      </c>
      <c r="L2027" s="566">
        <v>4599.09</v>
      </c>
    </row>
    <row r="2028" spans="1:12" ht="56.25" x14ac:dyDescent="0.2">
      <c r="A2028" s="561" t="s">
        <v>106</v>
      </c>
      <c r="B2028" s="562">
        <v>2021</v>
      </c>
      <c r="C2028" s="561" t="s">
        <v>658</v>
      </c>
      <c r="D2028" s="561" t="s">
        <v>2191</v>
      </c>
      <c r="E2028" s="561" t="s">
        <v>447</v>
      </c>
      <c r="F2028" s="563">
        <v>0</v>
      </c>
      <c r="G2028" s="564"/>
      <c r="H2028" s="561" t="s">
        <v>654</v>
      </c>
      <c r="I2028" s="565"/>
      <c r="J2028" s="565"/>
      <c r="K2028" s="563">
        <v>0</v>
      </c>
      <c r="L2028" s="566">
        <v>0</v>
      </c>
    </row>
    <row r="2029" spans="1:12" ht="22.5" x14ac:dyDescent="0.2">
      <c r="A2029" s="561" t="s">
        <v>106</v>
      </c>
      <c r="B2029" s="562">
        <v>2021</v>
      </c>
      <c r="C2029" s="561" t="s">
        <v>660</v>
      </c>
      <c r="D2029" s="561" t="s">
        <v>2192</v>
      </c>
      <c r="E2029" s="561" t="s">
        <v>662</v>
      </c>
      <c r="F2029" s="563">
        <v>0</v>
      </c>
      <c r="G2029" s="564"/>
      <c r="H2029" s="561" t="s">
        <v>654</v>
      </c>
      <c r="I2029" s="565"/>
      <c r="J2029" s="565"/>
      <c r="K2029" s="563">
        <v>0</v>
      </c>
      <c r="L2029" s="566">
        <v>0</v>
      </c>
    </row>
    <row r="2030" spans="1:12" ht="33.75" x14ac:dyDescent="0.2">
      <c r="A2030" s="561" t="s">
        <v>106</v>
      </c>
      <c r="B2030" s="562">
        <v>2021</v>
      </c>
      <c r="C2030" s="561" t="s">
        <v>663</v>
      </c>
      <c r="D2030" s="561" t="s">
        <v>2193</v>
      </c>
      <c r="E2030" s="561" t="s">
        <v>665</v>
      </c>
      <c r="F2030" s="563">
        <v>0</v>
      </c>
      <c r="G2030" s="564"/>
      <c r="H2030" s="561" t="s">
        <v>654</v>
      </c>
      <c r="I2030" s="565"/>
      <c r="J2030" s="565"/>
      <c r="K2030" s="563">
        <v>0</v>
      </c>
      <c r="L2030" s="566">
        <v>0</v>
      </c>
    </row>
    <row r="2031" spans="1:12" ht="33.75" x14ac:dyDescent="0.2">
      <c r="A2031" s="561" t="s">
        <v>106</v>
      </c>
      <c r="B2031" s="562">
        <v>2021</v>
      </c>
      <c r="C2031" s="561" t="s">
        <v>666</v>
      </c>
      <c r="D2031" s="561" t="s">
        <v>2194</v>
      </c>
      <c r="E2031" s="561" t="s">
        <v>668</v>
      </c>
      <c r="F2031" s="563">
        <v>0</v>
      </c>
      <c r="G2031" s="564"/>
      <c r="H2031" s="561" t="s">
        <v>654</v>
      </c>
      <c r="I2031" s="565"/>
      <c r="J2031" s="565"/>
      <c r="K2031" s="563">
        <v>0</v>
      </c>
      <c r="L2031" s="566">
        <v>0</v>
      </c>
    </row>
    <row r="2032" spans="1:12" ht="56.25" x14ac:dyDescent="0.2">
      <c r="A2032" s="561" t="s">
        <v>106</v>
      </c>
      <c r="B2032" s="562">
        <v>2021</v>
      </c>
      <c r="C2032" s="561" t="s">
        <v>669</v>
      </c>
      <c r="D2032" s="561" t="s">
        <v>2195</v>
      </c>
      <c r="E2032" s="561" t="s">
        <v>671</v>
      </c>
      <c r="F2032" s="563">
        <v>0</v>
      </c>
      <c r="G2032" s="564"/>
      <c r="H2032" s="561" t="s">
        <v>654</v>
      </c>
      <c r="I2032" s="565"/>
      <c r="J2032" s="565"/>
      <c r="K2032" s="563">
        <v>0</v>
      </c>
      <c r="L2032" s="566">
        <v>0</v>
      </c>
    </row>
    <row r="2033" spans="1:12" ht="22.5" x14ac:dyDescent="0.2">
      <c r="A2033" s="561" t="s">
        <v>106</v>
      </c>
      <c r="B2033" s="562">
        <v>2021</v>
      </c>
      <c r="C2033" s="561" t="s">
        <v>672</v>
      </c>
      <c r="D2033" s="561" t="s">
        <v>2196</v>
      </c>
      <c r="E2033" s="561" t="s">
        <v>12</v>
      </c>
      <c r="F2033" s="563">
        <v>0</v>
      </c>
      <c r="G2033" s="564"/>
      <c r="H2033" s="561" t="s">
        <v>654</v>
      </c>
      <c r="I2033" s="565"/>
      <c r="J2033" s="565"/>
      <c r="K2033" s="563">
        <v>0</v>
      </c>
      <c r="L2033" s="566">
        <v>0</v>
      </c>
    </row>
    <row r="2034" spans="1:12" ht="22.5" x14ac:dyDescent="0.2">
      <c r="A2034" s="561" t="s">
        <v>106</v>
      </c>
      <c r="B2034" s="562">
        <v>2021</v>
      </c>
      <c r="C2034" s="561" t="s">
        <v>674</v>
      </c>
      <c r="D2034" s="561" t="s">
        <v>2197</v>
      </c>
      <c r="E2034" s="561" t="s">
        <v>13</v>
      </c>
      <c r="F2034" s="563">
        <v>0</v>
      </c>
      <c r="G2034" s="564"/>
      <c r="H2034" s="561" t="s">
        <v>654</v>
      </c>
      <c r="I2034" s="565"/>
      <c r="J2034" s="565"/>
      <c r="K2034" s="563">
        <v>0</v>
      </c>
      <c r="L2034" s="566">
        <v>0</v>
      </c>
    </row>
    <row r="2035" spans="1:12" ht="33.75" x14ac:dyDescent="0.2">
      <c r="A2035" s="561" t="s">
        <v>106</v>
      </c>
      <c r="B2035" s="562">
        <v>2021</v>
      </c>
      <c r="C2035" s="561" t="s">
        <v>676</v>
      </c>
      <c r="D2035" s="561" t="s">
        <v>2198</v>
      </c>
      <c r="E2035" s="561" t="s">
        <v>15</v>
      </c>
      <c r="F2035" s="563">
        <v>0</v>
      </c>
      <c r="G2035" s="564"/>
      <c r="H2035" s="561" t="s">
        <v>654</v>
      </c>
      <c r="I2035" s="565"/>
      <c r="J2035" s="565"/>
      <c r="K2035" s="563">
        <v>0</v>
      </c>
      <c r="L2035" s="566">
        <v>0</v>
      </c>
    </row>
    <row r="2036" spans="1:12" ht="15" x14ac:dyDescent="0.2">
      <c r="A2036" s="561" t="s">
        <v>106</v>
      </c>
      <c r="B2036" s="562">
        <v>2021</v>
      </c>
      <c r="C2036" s="561" t="s">
        <v>678</v>
      </c>
      <c r="D2036" s="561" t="s">
        <v>2199</v>
      </c>
      <c r="E2036" s="561" t="s">
        <v>680</v>
      </c>
      <c r="F2036" s="563">
        <v>8929.2199999999993</v>
      </c>
      <c r="G2036" s="564"/>
      <c r="H2036" s="561" t="s">
        <v>654</v>
      </c>
      <c r="I2036" s="565"/>
      <c r="J2036" s="565"/>
      <c r="K2036" s="563">
        <v>0</v>
      </c>
      <c r="L2036" s="566">
        <v>8929.2199999999993</v>
      </c>
    </row>
    <row r="2037" spans="1:12" ht="15" x14ac:dyDescent="0.2">
      <c r="A2037" s="561" t="s">
        <v>106</v>
      </c>
      <c r="B2037" s="562">
        <v>2021</v>
      </c>
      <c r="C2037" s="561" t="s">
        <v>681</v>
      </c>
      <c r="D2037" s="561" t="s">
        <v>2200</v>
      </c>
      <c r="E2037" s="561" t="s">
        <v>23</v>
      </c>
      <c r="F2037" s="563">
        <v>38001.61</v>
      </c>
      <c r="G2037" s="561" t="s">
        <v>654</v>
      </c>
      <c r="H2037" s="564"/>
      <c r="I2037" s="563">
        <v>38143.609375</v>
      </c>
      <c r="J2037" s="563">
        <v>-142</v>
      </c>
      <c r="K2037" s="563">
        <v>38001.609375</v>
      </c>
      <c r="L2037" s="566">
        <v>38001.61</v>
      </c>
    </row>
    <row r="2038" spans="1:12" ht="33.75" x14ac:dyDescent="0.2">
      <c r="A2038" s="561" t="s">
        <v>106</v>
      </c>
      <c r="B2038" s="562">
        <v>2021</v>
      </c>
      <c r="C2038" s="561" t="s">
        <v>683</v>
      </c>
      <c r="D2038" s="561" t="s">
        <v>2201</v>
      </c>
      <c r="E2038" s="561" t="s">
        <v>131</v>
      </c>
      <c r="F2038" s="563">
        <v>-822.75</v>
      </c>
      <c r="G2038" s="561" t="s">
        <v>654</v>
      </c>
      <c r="H2038" s="564"/>
      <c r="I2038" s="563">
        <v>-797.38000488281295</v>
      </c>
      <c r="J2038" s="563">
        <v>-25.370000839233398</v>
      </c>
      <c r="K2038" s="563">
        <v>-822.75</v>
      </c>
      <c r="L2038" s="566">
        <v>-822.75</v>
      </c>
    </row>
    <row r="2039" spans="1:12" ht="33.75" x14ac:dyDescent="0.2">
      <c r="A2039" s="561" t="s">
        <v>106</v>
      </c>
      <c r="B2039" s="562">
        <v>2021</v>
      </c>
      <c r="C2039" s="561" t="s">
        <v>685</v>
      </c>
      <c r="D2039" s="561" t="s">
        <v>2202</v>
      </c>
      <c r="E2039" s="561" t="s">
        <v>687</v>
      </c>
      <c r="F2039" s="563">
        <v>0</v>
      </c>
      <c r="G2039" s="564"/>
      <c r="H2039" s="561" t="s">
        <v>654</v>
      </c>
      <c r="I2039" s="565"/>
      <c r="J2039" s="565"/>
      <c r="K2039" s="563">
        <v>0</v>
      </c>
      <c r="L2039" s="566">
        <v>0</v>
      </c>
    </row>
    <row r="2040" spans="1:12" ht="33.75" x14ac:dyDescent="0.2">
      <c r="A2040" s="561" t="s">
        <v>106</v>
      </c>
      <c r="B2040" s="562">
        <v>2021</v>
      </c>
      <c r="C2040" s="561" t="s">
        <v>685</v>
      </c>
      <c r="D2040" s="561" t="s">
        <v>2202</v>
      </c>
      <c r="E2040" s="561" t="s">
        <v>688</v>
      </c>
      <c r="F2040" s="563">
        <v>0</v>
      </c>
      <c r="G2040" s="564"/>
      <c r="H2040" s="561" t="s">
        <v>654</v>
      </c>
      <c r="I2040" s="565"/>
      <c r="J2040" s="565"/>
      <c r="K2040" s="563">
        <v>0</v>
      </c>
      <c r="L2040" s="566">
        <v>0</v>
      </c>
    </row>
    <row r="2041" spans="1:12" ht="22.5" x14ac:dyDescent="0.2">
      <c r="A2041" s="561" t="s">
        <v>106</v>
      </c>
      <c r="B2041" s="562">
        <v>2021</v>
      </c>
      <c r="C2041" s="561" t="s">
        <v>689</v>
      </c>
      <c r="D2041" s="561" t="s">
        <v>2203</v>
      </c>
      <c r="E2041" s="561" t="s">
        <v>691</v>
      </c>
      <c r="F2041" s="563">
        <v>0</v>
      </c>
      <c r="G2041" s="564"/>
      <c r="H2041" s="561" t="s">
        <v>654</v>
      </c>
      <c r="I2041" s="565"/>
      <c r="J2041" s="565"/>
      <c r="K2041" s="563">
        <v>0</v>
      </c>
      <c r="L2041" s="566">
        <v>0</v>
      </c>
    </row>
    <row r="2042" spans="1:12" ht="22.5" x14ac:dyDescent="0.2">
      <c r="A2042" s="561" t="s">
        <v>106</v>
      </c>
      <c r="B2042" s="562">
        <v>2021</v>
      </c>
      <c r="C2042" s="561" t="s">
        <v>692</v>
      </c>
      <c r="D2042" s="561" t="s">
        <v>2204</v>
      </c>
      <c r="E2042" s="561" t="s">
        <v>50</v>
      </c>
      <c r="F2042" s="563">
        <v>0</v>
      </c>
      <c r="G2042" s="564"/>
      <c r="H2042" s="561" t="s">
        <v>654</v>
      </c>
      <c r="I2042" s="565"/>
      <c r="J2042" s="565"/>
      <c r="K2042" s="563">
        <v>0</v>
      </c>
      <c r="L2042" s="566">
        <v>0</v>
      </c>
    </row>
    <row r="2043" spans="1:12" ht="22.5" x14ac:dyDescent="0.2">
      <c r="A2043" s="561" t="s">
        <v>106</v>
      </c>
      <c r="B2043" s="562">
        <v>2021</v>
      </c>
      <c r="C2043" s="561" t="s">
        <v>694</v>
      </c>
      <c r="D2043" s="561" t="s">
        <v>2205</v>
      </c>
      <c r="E2043" s="561" t="s">
        <v>696</v>
      </c>
      <c r="F2043" s="563">
        <v>0</v>
      </c>
      <c r="G2043" s="564"/>
      <c r="H2043" s="561" t="s">
        <v>654</v>
      </c>
      <c r="I2043" s="565"/>
      <c r="J2043" s="565"/>
      <c r="K2043" s="563">
        <v>0</v>
      </c>
      <c r="L2043" s="566">
        <v>0</v>
      </c>
    </row>
    <row r="2044" spans="1:12" ht="22.5" x14ac:dyDescent="0.2">
      <c r="A2044" s="561" t="s">
        <v>106</v>
      </c>
      <c r="B2044" s="562">
        <v>2021</v>
      </c>
      <c r="C2044" s="561" t="s">
        <v>697</v>
      </c>
      <c r="D2044" s="561" t="s">
        <v>2206</v>
      </c>
      <c r="E2044" s="561" t="s">
        <v>6</v>
      </c>
      <c r="F2044" s="563">
        <v>0</v>
      </c>
      <c r="G2044" s="564"/>
      <c r="H2044" s="561" t="s">
        <v>654</v>
      </c>
      <c r="I2044" s="565"/>
      <c r="J2044" s="565"/>
      <c r="K2044" s="563">
        <v>0</v>
      </c>
      <c r="L2044" s="566">
        <v>0</v>
      </c>
    </row>
    <row r="2045" spans="1:12" ht="33.75" x14ac:dyDescent="0.2">
      <c r="A2045" s="561" t="s">
        <v>106</v>
      </c>
      <c r="B2045" s="562">
        <v>2021</v>
      </c>
      <c r="C2045" s="561" t="s">
        <v>699</v>
      </c>
      <c r="D2045" s="561" t="s">
        <v>2207</v>
      </c>
      <c r="E2045" s="561" t="s">
        <v>701</v>
      </c>
      <c r="F2045" s="563">
        <v>0</v>
      </c>
      <c r="G2045" s="564"/>
      <c r="H2045" s="561" t="s">
        <v>654</v>
      </c>
      <c r="I2045" s="565"/>
      <c r="J2045" s="565"/>
      <c r="K2045" s="563">
        <v>0</v>
      </c>
      <c r="L2045" s="566">
        <v>0</v>
      </c>
    </row>
    <row r="2046" spans="1:12" ht="22.5" x14ac:dyDescent="0.2">
      <c r="A2046" s="561" t="s">
        <v>106</v>
      </c>
      <c r="B2046" s="562">
        <v>2021</v>
      </c>
      <c r="C2046" s="561" t="s">
        <v>702</v>
      </c>
      <c r="D2046" s="561" t="s">
        <v>2208</v>
      </c>
      <c r="E2046" s="561" t="s">
        <v>704</v>
      </c>
      <c r="F2046" s="563">
        <v>0</v>
      </c>
      <c r="G2046" s="564"/>
      <c r="H2046" s="561" t="s">
        <v>654</v>
      </c>
      <c r="I2046" s="565"/>
      <c r="J2046" s="565"/>
      <c r="K2046" s="563">
        <v>0</v>
      </c>
      <c r="L2046" s="566">
        <v>0</v>
      </c>
    </row>
    <row r="2047" spans="1:12" ht="33.75" x14ac:dyDescent="0.2">
      <c r="A2047" s="561" t="s">
        <v>106</v>
      </c>
      <c r="B2047" s="562">
        <v>2021</v>
      </c>
      <c r="C2047" s="561" t="s">
        <v>705</v>
      </c>
      <c r="D2047" s="561" t="s">
        <v>2209</v>
      </c>
      <c r="E2047" s="561" t="s">
        <v>1</v>
      </c>
      <c r="F2047" s="563">
        <v>-109086.33</v>
      </c>
      <c r="G2047" s="561" t="s">
        <v>654</v>
      </c>
      <c r="H2047" s="564"/>
      <c r="I2047" s="563">
        <v>-108330.359375</v>
      </c>
      <c r="J2047" s="563">
        <v>-755.969970703125</v>
      </c>
      <c r="K2047" s="563">
        <v>-109086.328125</v>
      </c>
      <c r="L2047" s="566">
        <v>-109086.33</v>
      </c>
    </row>
    <row r="2048" spans="1:12" ht="22.5" x14ac:dyDescent="0.2">
      <c r="A2048" s="561" t="s">
        <v>106</v>
      </c>
      <c r="B2048" s="562">
        <v>2021</v>
      </c>
      <c r="C2048" s="561" t="s">
        <v>705</v>
      </c>
      <c r="D2048" s="561" t="s">
        <v>2209</v>
      </c>
      <c r="E2048" s="561" t="s">
        <v>707</v>
      </c>
      <c r="F2048" s="563">
        <v>0</v>
      </c>
      <c r="G2048" s="564"/>
      <c r="H2048" s="564"/>
      <c r="I2048" s="565"/>
      <c r="J2048" s="565"/>
      <c r="K2048" s="563">
        <v>0</v>
      </c>
      <c r="L2048" s="566">
        <v>0</v>
      </c>
    </row>
    <row r="2049" spans="1:12" ht="22.5" x14ac:dyDescent="0.2">
      <c r="A2049" s="561" t="s">
        <v>106</v>
      </c>
      <c r="B2049" s="562">
        <v>2021</v>
      </c>
      <c r="C2049" s="561" t="s">
        <v>705</v>
      </c>
      <c r="D2049" s="561" t="s">
        <v>2209</v>
      </c>
      <c r="E2049" s="561" t="s">
        <v>708</v>
      </c>
      <c r="F2049" s="563">
        <v>0</v>
      </c>
      <c r="G2049" s="564"/>
      <c r="H2049" s="564"/>
      <c r="I2049" s="565"/>
      <c r="J2049" s="565"/>
      <c r="K2049" s="563">
        <v>0</v>
      </c>
      <c r="L2049" s="566">
        <v>0</v>
      </c>
    </row>
    <row r="2050" spans="1:12" ht="22.5" x14ac:dyDescent="0.2">
      <c r="A2050" s="561" t="s">
        <v>106</v>
      </c>
      <c r="B2050" s="562">
        <v>2021</v>
      </c>
      <c r="C2050" s="561" t="s">
        <v>705</v>
      </c>
      <c r="D2050" s="561" t="s">
        <v>2209</v>
      </c>
      <c r="E2050" s="561" t="s">
        <v>709</v>
      </c>
      <c r="F2050" s="563">
        <v>-233.59</v>
      </c>
      <c r="G2050" s="564"/>
      <c r="H2050" s="564"/>
      <c r="I2050" s="565"/>
      <c r="J2050" s="565"/>
      <c r="K2050" s="563">
        <v>0</v>
      </c>
      <c r="L2050" s="566">
        <v>-233.59</v>
      </c>
    </row>
    <row r="2051" spans="1:12" ht="22.5" x14ac:dyDescent="0.2">
      <c r="A2051" s="561" t="s">
        <v>106</v>
      </c>
      <c r="B2051" s="562">
        <v>2021</v>
      </c>
      <c r="C2051" s="561" t="s">
        <v>705</v>
      </c>
      <c r="D2051" s="561" t="s">
        <v>2209</v>
      </c>
      <c r="E2051" s="561" t="s">
        <v>710</v>
      </c>
      <c r="F2051" s="563">
        <v>-12996.79</v>
      </c>
      <c r="G2051" s="564"/>
      <c r="H2051" s="564"/>
      <c r="I2051" s="565"/>
      <c r="J2051" s="565"/>
      <c r="K2051" s="563">
        <v>0</v>
      </c>
      <c r="L2051" s="566">
        <v>-12996.79</v>
      </c>
    </row>
    <row r="2052" spans="1:12" ht="15" x14ac:dyDescent="0.2">
      <c r="A2052" s="561" t="s">
        <v>106</v>
      </c>
      <c r="B2052" s="562">
        <v>2021</v>
      </c>
      <c r="C2052" s="561" t="s">
        <v>711</v>
      </c>
      <c r="D2052" s="561" t="s">
        <v>2210</v>
      </c>
      <c r="E2052" s="561" t="s">
        <v>713</v>
      </c>
      <c r="F2052" s="563">
        <v>0</v>
      </c>
      <c r="G2052" s="564"/>
      <c r="H2052" s="561" t="s">
        <v>654</v>
      </c>
      <c r="I2052" s="565"/>
      <c r="J2052" s="565"/>
      <c r="K2052" s="563">
        <v>0</v>
      </c>
      <c r="L2052" s="566">
        <v>0</v>
      </c>
    </row>
    <row r="2053" spans="1:12" ht="33.75" x14ac:dyDescent="0.2">
      <c r="A2053" s="561" t="s">
        <v>106</v>
      </c>
      <c r="B2053" s="562">
        <v>2021</v>
      </c>
      <c r="C2053" s="561" t="s">
        <v>714</v>
      </c>
      <c r="D2053" s="561" t="s">
        <v>2211</v>
      </c>
      <c r="E2053" s="561" t="s">
        <v>2</v>
      </c>
      <c r="F2053" s="563">
        <v>114774.75</v>
      </c>
      <c r="G2053" s="561" t="s">
        <v>654</v>
      </c>
      <c r="H2053" s="564"/>
      <c r="I2053" s="563">
        <v>114240.8203125</v>
      </c>
      <c r="J2053" s="563">
        <v>533.92999267578102</v>
      </c>
      <c r="K2053" s="563">
        <v>114774.75</v>
      </c>
      <c r="L2053" s="566">
        <v>114774.75</v>
      </c>
    </row>
    <row r="2054" spans="1:12" ht="33.75" x14ac:dyDescent="0.2">
      <c r="A2054" s="561" t="s">
        <v>106</v>
      </c>
      <c r="B2054" s="562">
        <v>2021</v>
      </c>
      <c r="C2054" s="561" t="s">
        <v>716</v>
      </c>
      <c r="D2054" s="561" t="s">
        <v>2212</v>
      </c>
      <c r="E2054" s="561" t="s">
        <v>3</v>
      </c>
      <c r="F2054" s="563">
        <v>24476.17</v>
      </c>
      <c r="G2054" s="561" t="s">
        <v>654</v>
      </c>
      <c r="H2054" s="564"/>
      <c r="I2054" s="563">
        <v>24530.2890625</v>
      </c>
      <c r="J2054" s="563">
        <v>-54.119998931884801</v>
      </c>
      <c r="K2054" s="563">
        <v>24476.169921875</v>
      </c>
      <c r="L2054" s="566">
        <v>24476.17</v>
      </c>
    </row>
    <row r="2055" spans="1:12" ht="33.75" x14ac:dyDescent="0.2">
      <c r="A2055" s="561" t="s">
        <v>106</v>
      </c>
      <c r="B2055" s="562">
        <v>2021</v>
      </c>
      <c r="C2055" s="561" t="s">
        <v>718</v>
      </c>
      <c r="D2055" s="561" t="s">
        <v>2213</v>
      </c>
      <c r="E2055" s="561" t="s">
        <v>38</v>
      </c>
      <c r="F2055" s="563">
        <v>82643.31</v>
      </c>
      <c r="G2055" s="561" t="s">
        <v>654</v>
      </c>
      <c r="H2055" s="564"/>
      <c r="I2055" s="563">
        <v>81185.4296875</v>
      </c>
      <c r="J2055" s="563">
        <v>1457.88000488281</v>
      </c>
      <c r="K2055" s="563">
        <v>82643.3125</v>
      </c>
      <c r="L2055" s="566">
        <v>82643.31</v>
      </c>
    </row>
    <row r="2056" spans="1:12" ht="22.5" x14ac:dyDescent="0.2">
      <c r="A2056" s="561" t="s">
        <v>106</v>
      </c>
      <c r="B2056" s="562">
        <v>2021</v>
      </c>
      <c r="C2056" s="561" t="s">
        <v>720</v>
      </c>
      <c r="D2056" s="561" t="s">
        <v>2214</v>
      </c>
      <c r="E2056" s="561" t="s">
        <v>66</v>
      </c>
      <c r="F2056" s="563">
        <v>105828.87</v>
      </c>
      <c r="G2056" s="561" t="s">
        <v>654</v>
      </c>
      <c r="H2056" s="564"/>
      <c r="I2056" s="563">
        <v>101781.6171875</v>
      </c>
      <c r="J2056" s="563">
        <v>4047.25</v>
      </c>
      <c r="K2056" s="563">
        <v>105828.8671875</v>
      </c>
      <c r="L2056" s="566">
        <v>105828.87</v>
      </c>
    </row>
    <row r="2057" spans="1:12" ht="45" x14ac:dyDescent="0.2">
      <c r="A2057" s="561" t="s">
        <v>106</v>
      </c>
      <c r="B2057" s="562">
        <v>2021</v>
      </c>
      <c r="C2057" s="561" t="s">
        <v>722</v>
      </c>
      <c r="D2057" s="561" t="s">
        <v>2215</v>
      </c>
      <c r="E2057" s="561" t="s">
        <v>724</v>
      </c>
      <c r="F2057" s="563">
        <v>-15911</v>
      </c>
      <c r="G2057" s="564"/>
      <c r="H2057" s="561" t="s">
        <v>654</v>
      </c>
      <c r="I2057" s="565"/>
      <c r="J2057" s="565"/>
      <c r="K2057" s="563">
        <v>0</v>
      </c>
      <c r="L2057" s="566">
        <v>-15911</v>
      </c>
    </row>
    <row r="2058" spans="1:12" ht="45" x14ac:dyDescent="0.2">
      <c r="A2058" s="561" t="s">
        <v>106</v>
      </c>
      <c r="B2058" s="562">
        <v>2021</v>
      </c>
      <c r="C2058" s="561" t="s">
        <v>725</v>
      </c>
      <c r="D2058" s="561" t="s">
        <v>2216</v>
      </c>
      <c r="E2058" s="561" t="s">
        <v>3024</v>
      </c>
      <c r="F2058" s="563">
        <v>0</v>
      </c>
      <c r="G2058" s="561" t="s">
        <v>654</v>
      </c>
      <c r="H2058" s="564"/>
      <c r="I2058" s="563">
        <v>-4175.5498046875</v>
      </c>
      <c r="J2058" s="563">
        <v>-1429.40002441406</v>
      </c>
      <c r="K2058" s="563">
        <v>-5604.9501953125</v>
      </c>
      <c r="L2058" s="566">
        <v>-5604.95</v>
      </c>
    </row>
    <row r="2059" spans="1:12" ht="45" x14ac:dyDescent="0.2">
      <c r="A2059" s="561" t="s">
        <v>106</v>
      </c>
      <c r="B2059" s="562">
        <v>2021</v>
      </c>
      <c r="C2059" s="561" t="s">
        <v>725</v>
      </c>
      <c r="D2059" s="561" t="s">
        <v>2216</v>
      </c>
      <c r="E2059" s="561" t="s">
        <v>3066</v>
      </c>
      <c r="F2059" s="563">
        <v>0</v>
      </c>
      <c r="G2059" s="561" t="s">
        <v>654</v>
      </c>
      <c r="H2059" s="564"/>
      <c r="I2059" s="563">
        <v>-171875.796875</v>
      </c>
      <c r="J2059" s="563">
        <v>-1311.31005859375</v>
      </c>
      <c r="K2059" s="563">
        <v>-173187.109375</v>
      </c>
      <c r="L2059" s="566">
        <v>-173187.11</v>
      </c>
    </row>
    <row r="2060" spans="1:12" ht="45" x14ac:dyDescent="0.2">
      <c r="A2060" s="561" t="s">
        <v>106</v>
      </c>
      <c r="B2060" s="562">
        <v>2021</v>
      </c>
      <c r="C2060" s="561" t="s">
        <v>725</v>
      </c>
      <c r="D2060" s="561" t="s">
        <v>2217</v>
      </c>
      <c r="E2060" s="561" t="s">
        <v>728</v>
      </c>
      <c r="F2060" s="563">
        <v>0</v>
      </c>
      <c r="G2060" s="561" t="s">
        <v>654</v>
      </c>
      <c r="H2060" s="564"/>
      <c r="I2060" s="565"/>
      <c r="J2060" s="565"/>
      <c r="K2060" s="563">
        <v>0</v>
      </c>
      <c r="L2060" s="566">
        <v>0</v>
      </c>
    </row>
    <row r="2061" spans="1:12" ht="45" x14ac:dyDescent="0.2">
      <c r="A2061" s="561" t="s">
        <v>106</v>
      </c>
      <c r="B2061" s="562">
        <v>2021</v>
      </c>
      <c r="C2061" s="561" t="s">
        <v>725</v>
      </c>
      <c r="D2061" s="561" t="s">
        <v>2218</v>
      </c>
      <c r="E2061" s="561" t="s">
        <v>55</v>
      </c>
      <c r="F2061" s="563">
        <v>0</v>
      </c>
      <c r="G2061" s="561" t="s">
        <v>654</v>
      </c>
      <c r="H2061" s="564"/>
      <c r="I2061" s="565"/>
      <c r="J2061" s="565"/>
      <c r="K2061" s="563">
        <v>0</v>
      </c>
      <c r="L2061" s="566">
        <v>0</v>
      </c>
    </row>
    <row r="2062" spans="1:12" ht="45" x14ac:dyDescent="0.2">
      <c r="A2062" s="561" t="s">
        <v>106</v>
      </c>
      <c r="B2062" s="562">
        <v>2021</v>
      </c>
      <c r="C2062" s="561" t="s">
        <v>725</v>
      </c>
      <c r="D2062" s="561" t="s">
        <v>2219</v>
      </c>
      <c r="E2062" s="561" t="s">
        <v>56</v>
      </c>
      <c r="F2062" s="563">
        <v>0</v>
      </c>
      <c r="G2062" s="561" t="s">
        <v>654</v>
      </c>
      <c r="H2062" s="564"/>
      <c r="I2062" s="565"/>
      <c r="J2062" s="565"/>
      <c r="K2062" s="563">
        <v>0</v>
      </c>
      <c r="L2062" s="566">
        <v>0</v>
      </c>
    </row>
    <row r="2063" spans="1:12" ht="45" x14ac:dyDescent="0.2">
      <c r="A2063" s="561" t="s">
        <v>106</v>
      </c>
      <c r="B2063" s="562">
        <v>2021</v>
      </c>
      <c r="C2063" s="561" t="s">
        <v>725</v>
      </c>
      <c r="D2063" s="561" t="s">
        <v>2220</v>
      </c>
      <c r="E2063" s="561" t="s">
        <v>732</v>
      </c>
      <c r="F2063" s="563">
        <v>0</v>
      </c>
      <c r="G2063" s="561" t="s">
        <v>654</v>
      </c>
      <c r="H2063" s="564"/>
      <c r="I2063" s="565"/>
      <c r="J2063" s="565"/>
      <c r="K2063" s="563">
        <v>0</v>
      </c>
      <c r="L2063" s="566">
        <v>0</v>
      </c>
    </row>
    <row r="2064" spans="1:12" ht="45" x14ac:dyDescent="0.2">
      <c r="A2064" s="561" t="s">
        <v>106</v>
      </c>
      <c r="B2064" s="562">
        <v>2021</v>
      </c>
      <c r="C2064" s="561" t="s">
        <v>725</v>
      </c>
      <c r="D2064" s="561" t="s">
        <v>2221</v>
      </c>
      <c r="E2064" s="561" t="s">
        <v>734</v>
      </c>
      <c r="F2064" s="563">
        <v>0</v>
      </c>
      <c r="G2064" s="561" t="s">
        <v>654</v>
      </c>
      <c r="H2064" s="564"/>
      <c r="I2064" s="565"/>
      <c r="J2064" s="565"/>
      <c r="K2064" s="563">
        <v>0</v>
      </c>
      <c r="L2064" s="566">
        <v>0</v>
      </c>
    </row>
    <row r="2065" spans="1:12" ht="45" x14ac:dyDescent="0.2">
      <c r="A2065" s="561" t="s">
        <v>106</v>
      </c>
      <c r="B2065" s="562">
        <v>2021</v>
      </c>
      <c r="C2065" s="561" t="s">
        <v>725</v>
      </c>
      <c r="D2065" s="561" t="s">
        <v>2222</v>
      </c>
      <c r="E2065" s="561" t="s">
        <v>142</v>
      </c>
      <c r="F2065" s="563">
        <v>0</v>
      </c>
      <c r="G2065" s="561" t="s">
        <v>654</v>
      </c>
      <c r="H2065" s="564"/>
      <c r="I2065" s="565"/>
      <c r="J2065" s="565"/>
      <c r="K2065" s="563">
        <v>0</v>
      </c>
      <c r="L2065" s="566">
        <v>0</v>
      </c>
    </row>
    <row r="2066" spans="1:12" ht="45" x14ac:dyDescent="0.2">
      <c r="A2066" s="561" t="s">
        <v>106</v>
      </c>
      <c r="B2066" s="562">
        <v>2021</v>
      </c>
      <c r="C2066" s="561" t="s">
        <v>725</v>
      </c>
      <c r="D2066" s="561" t="s">
        <v>2223</v>
      </c>
      <c r="E2066" s="561" t="s">
        <v>143</v>
      </c>
      <c r="F2066" s="563">
        <v>0</v>
      </c>
      <c r="G2066" s="561" t="s">
        <v>654</v>
      </c>
      <c r="H2066" s="564"/>
      <c r="I2066" s="565"/>
      <c r="J2066" s="565"/>
      <c r="K2066" s="563">
        <v>0</v>
      </c>
      <c r="L2066" s="566">
        <v>0</v>
      </c>
    </row>
    <row r="2067" spans="1:12" ht="45" x14ac:dyDescent="0.2">
      <c r="A2067" s="561" t="s">
        <v>106</v>
      </c>
      <c r="B2067" s="562">
        <v>2021</v>
      </c>
      <c r="C2067" s="561" t="s">
        <v>725</v>
      </c>
      <c r="D2067" s="561" t="s">
        <v>2224</v>
      </c>
      <c r="E2067" s="561" t="s">
        <v>182</v>
      </c>
      <c r="F2067" s="563">
        <v>0</v>
      </c>
      <c r="G2067" s="561" t="s">
        <v>654</v>
      </c>
      <c r="H2067" s="564"/>
      <c r="I2067" s="565"/>
      <c r="J2067" s="565"/>
      <c r="K2067" s="563">
        <v>0</v>
      </c>
      <c r="L2067" s="566">
        <v>0</v>
      </c>
    </row>
    <row r="2068" spans="1:12" ht="45" x14ac:dyDescent="0.2">
      <c r="A2068" s="561" t="s">
        <v>106</v>
      </c>
      <c r="B2068" s="562">
        <v>2021</v>
      </c>
      <c r="C2068" s="561" t="s">
        <v>725</v>
      </c>
      <c r="D2068" s="561" t="s">
        <v>2225</v>
      </c>
      <c r="E2068" s="561" t="s">
        <v>394</v>
      </c>
      <c r="F2068" s="563">
        <v>0</v>
      </c>
      <c r="G2068" s="561" t="s">
        <v>654</v>
      </c>
      <c r="H2068" s="564"/>
      <c r="I2068" s="565"/>
      <c r="J2068" s="565"/>
      <c r="K2068" s="563">
        <v>0</v>
      </c>
      <c r="L2068" s="566">
        <v>0</v>
      </c>
    </row>
    <row r="2069" spans="1:12" ht="45" x14ac:dyDescent="0.2">
      <c r="A2069" s="561" t="s">
        <v>106</v>
      </c>
      <c r="B2069" s="562">
        <v>2021</v>
      </c>
      <c r="C2069" s="561" t="s">
        <v>725</v>
      </c>
      <c r="D2069" s="561" t="s">
        <v>2226</v>
      </c>
      <c r="E2069" s="561" t="s">
        <v>425</v>
      </c>
      <c r="F2069" s="563">
        <v>0</v>
      </c>
      <c r="G2069" s="561" t="s">
        <v>654</v>
      </c>
      <c r="H2069" s="564"/>
      <c r="I2069" s="563">
        <v>25603.75</v>
      </c>
      <c r="J2069" s="563">
        <v>-813.66998291015602</v>
      </c>
      <c r="K2069" s="563">
        <v>24790.080078125</v>
      </c>
      <c r="L2069" s="566">
        <v>24790.080000000002</v>
      </c>
    </row>
    <row r="2070" spans="1:12" ht="45" x14ac:dyDescent="0.2">
      <c r="A2070" s="561" t="s">
        <v>106</v>
      </c>
      <c r="B2070" s="562">
        <v>2021</v>
      </c>
      <c r="C2070" s="561" t="s">
        <v>725</v>
      </c>
      <c r="D2070" s="561" t="s">
        <v>3284</v>
      </c>
      <c r="E2070" s="561" t="s">
        <v>443</v>
      </c>
      <c r="F2070" s="563">
        <v>0</v>
      </c>
      <c r="G2070" s="561" t="s">
        <v>654</v>
      </c>
      <c r="H2070" s="564"/>
      <c r="I2070" s="563">
        <v>-2183.68994140625</v>
      </c>
      <c r="J2070" s="563">
        <v>-5219.58984375</v>
      </c>
      <c r="K2070" s="563">
        <v>-7403.27978515625</v>
      </c>
      <c r="L2070" s="566">
        <v>-7403.28</v>
      </c>
    </row>
    <row r="2071" spans="1:12" ht="45" x14ac:dyDescent="0.2">
      <c r="A2071" s="561" t="s">
        <v>106</v>
      </c>
      <c r="B2071" s="562">
        <v>2021</v>
      </c>
      <c r="C2071" s="561" t="s">
        <v>725</v>
      </c>
      <c r="D2071" s="561" t="s">
        <v>2227</v>
      </c>
      <c r="E2071" s="561" t="s">
        <v>741</v>
      </c>
      <c r="F2071" s="563">
        <v>-161405.26</v>
      </c>
      <c r="G2071" s="564"/>
      <c r="H2071" s="564"/>
      <c r="I2071" s="565"/>
      <c r="J2071" s="565"/>
      <c r="K2071" s="563">
        <v>0</v>
      </c>
      <c r="L2071" s="566">
        <v>-161405.26</v>
      </c>
    </row>
    <row r="2072" spans="1:12" ht="22.5" x14ac:dyDescent="0.2">
      <c r="A2072" s="561" t="s">
        <v>106</v>
      </c>
      <c r="B2072" s="562">
        <v>2021</v>
      </c>
      <c r="C2072" s="561" t="s">
        <v>742</v>
      </c>
      <c r="D2072" s="561" t="s">
        <v>2228</v>
      </c>
      <c r="E2072" s="561" t="s">
        <v>7</v>
      </c>
      <c r="F2072" s="563">
        <v>0</v>
      </c>
      <c r="G2072" s="564"/>
      <c r="H2072" s="561" t="s">
        <v>654</v>
      </c>
      <c r="I2072" s="565"/>
      <c r="J2072" s="565"/>
      <c r="K2072" s="563">
        <v>0</v>
      </c>
      <c r="L2072" s="566">
        <v>0</v>
      </c>
    </row>
    <row r="2073" spans="1:12" ht="22.5" x14ac:dyDescent="0.2">
      <c r="A2073" s="561" t="s">
        <v>107</v>
      </c>
      <c r="B2073" s="562">
        <v>2021</v>
      </c>
      <c r="C2073" s="561" t="s">
        <v>651</v>
      </c>
      <c r="D2073" s="561" t="s">
        <v>2229</v>
      </c>
      <c r="E2073" s="561" t="s">
        <v>653</v>
      </c>
      <c r="F2073" s="563">
        <v>1227662.3500000001</v>
      </c>
      <c r="G2073" s="564"/>
      <c r="H2073" s="561" t="s">
        <v>654</v>
      </c>
      <c r="I2073" s="565"/>
      <c r="J2073" s="565"/>
      <c r="K2073" s="563">
        <v>0</v>
      </c>
      <c r="L2073" s="566">
        <v>1227662.3500000001</v>
      </c>
    </row>
    <row r="2074" spans="1:12" ht="22.5" x14ac:dyDescent="0.2">
      <c r="A2074" s="561" t="s">
        <v>107</v>
      </c>
      <c r="B2074" s="562">
        <v>2021</v>
      </c>
      <c r="C2074" s="561" t="s">
        <v>655</v>
      </c>
      <c r="D2074" s="561" t="s">
        <v>2230</v>
      </c>
      <c r="E2074" s="561" t="s">
        <v>657</v>
      </c>
      <c r="F2074" s="563">
        <v>319416.5</v>
      </c>
      <c r="G2074" s="564"/>
      <c r="H2074" s="561" t="s">
        <v>654</v>
      </c>
      <c r="I2074" s="565"/>
      <c r="J2074" s="565"/>
      <c r="K2074" s="563">
        <v>0</v>
      </c>
      <c r="L2074" s="566">
        <v>319416.5</v>
      </c>
    </row>
    <row r="2075" spans="1:12" ht="56.25" x14ac:dyDescent="0.2">
      <c r="A2075" s="561" t="s">
        <v>107</v>
      </c>
      <c r="B2075" s="562">
        <v>2021</v>
      </c>
      <c r="C2075" s="561" t="s">
        <v>658</v>
      </c>
      <c r="D2075" s="561" t="s">
        <v>2231</v>
      </c>
      <c r="E2075" s="561" t="s">
        <v>447</v>
      </c>
      <c r="F2075" s="563">
        <v>0</v>
      </c>
      <c r="G2075" s="564"/>
      <c r="H2075" s="561" t="s">
        <v>654</v>
      </c>
      <c r="I2075" s="565"/>
      <c r="J2075" s="565"/>
      <c r="K2075" s="563">
        <v>0</v>
      </c>
      <c r="L2075" s="566">
        <v>0</v>
      </c>
    </row>
    <row r="2076" spans="1:12" ht="22.5" x14ac:dyDescent="0.2">
      <c r="A2076" s="561" t="s">
        <v>107</v>
      </c>
      <c r="B2076" s="562">
        <v>2021</v>
      </c>
      <c r="C2076" s="561" t="s">
        <v>660</v>
      </c>
      <c r="D2076" s="561" t="s">
        <v>2232</v>
      </c>
      <c r="E2076" s="561" t="s">
        <v>662</v>
      </c>
      <c r="F2076" s="563">
        <v>0</v>
      </c>
      <c r="G2076" s="564"/>
      <c r="H2076" s="561" t="s">
        <v>654</v>
      </c>
      <c r="I2076" s="565"/>
      <c r="J2076" s="565"/>
      <c r="K2076" s="563">
        <v>0</v>
      </c>
      <c r="L2076" s="566">
        <v>0</v>
      </c>
    </row>
    <row r="2077" spans="1:12" ht="33.75" x14ac:dyDescent="0.2">
      <c r="A2077" s="561" t="s">
        <v>107</v>
      </c>
      <c r="B2077" s="562">
        <v>2021</v>
      </c>
      <c r="C2077" s="561" t="s">
        <v>663</v>
      </c>
      <c r="D2077" s="561" t="s">
        <v>2233</v>
      </c>
      <c r="E2077" s="561" t="s">
        <v>665</v>
      </c>
      <c r="F2077" s="563">
        <v>0</v>
      </c>
      <c r="G2077" s="564"/>
      <c r="H2077" s="561" t="s">
        <v>654</v>
      </c>
      <c r="I2077" s="565"/>
      <c r="J2077" s="565"/>
      <c r="K2077" s="563">
        <v>0</v>
      </c>
      <c r="L2077" s="566">
        <v>0</v>
      </c>
    </row>
    <row r="2078" spans="1:12" ht="33.75" x14ac:dyDescent="0.2">
      <c r="A2078" s="561" t="s">
        <v>107</v>
      </c>
      <c r="B2078" s="562">
        <v>2021</v>
      </c>
      <c r="C2078" s="561" t="s">
        <v>666</v>
      </c>
      <c r="D2078" s="561" t="s">
        <v>2234</v>
      </c>
      <c r="E2078" s="561" t="s">
        <v>668</v>
      </c>
      <c r="F2078" s="563">
        <v>0</v>
      </c>
      <c r="G2078" s="564"/>
      <c r="H2078" s="561" t="s">
        <v>654</v>
      </c>
      <c r="I2078" s="565"/>
      <c r="J2078" s="565"/>
      <c r="K2078" s="563">
        <v>0</v>
      </c>
      <c r="L2078" s="566">
        <v>0</v>
      </c>
    </row>
    <row r="2079" spans="1:12" ht="56.25" x14ac:dyDescent="0.2">
      <c r="A2079" s="561" t="s">
        <v>107</v>
      </c>
      <c r="B2079" s="562">
        <v>2021</v>
      </c>
      <c r="C2079" s="561" t="s">
        <v>669</v>
      </c>
      <c r="D2079" s="561" t="s">
        <v>2235</v>
      </c>
      <c r="E2079" s="561" t="s">
        <v>671</v>
      </c>
      <c r="F2079" s="563">
        <v>0</v>
      </c>
      <c r="G2079" s="564"/>
      <c r="H2079" s="561" t="s">
        <v>654</v>
      </c>
      <c r="I2079" s="565"/>
      <c r="J2079" s="565"/>
      <c r="K2079" s="563">
        <v>0</v>
      </c>
      <c r="L2079" s="566">
        <v>0</v>
      </c>
    </row>
    <row r="2080" spans="1:12" ht="22.5" x14ac:dyDescent="0.2">
      <c r="A2080" s="561" t="s">
        <v>107</v>
      </c>
      <c r="B2080" s="562">
        <v>2021</v>
      </c>
      <c r="C2080" s="561" t="s">
        <v>672</v>
      </c>
      <c r="D2080" s="561" t="s">
        <v>2236</v>
      </c>
      <c r="E2080" s="561" t="s">
        <v>12</v>
      </c>
      <c r="F2080" s="563">
        <v>0</v>
      </c>
      <c r="G2080" s="564"/>
      <c r="H2080" s="561" t="s">
        <v>654</v>
      </c>
      <c r="I2080" s="565"/>
      <c r="J2080" s="565"/>
      <c r="K2080" s="563">
        <v>0</v>
      </c>
      <c r="L2080" s="566">
        <v>0</v>
      </c>
    </row>
    <row r="2081" spans="1:12" ht="22.5" x14ac:dyDescent="0.2">
      <c r="A2081" s="561" t="s">
        <v>107</v>
      </c>
      <c r="B2081" s="562">
        <v>2021</v>
      </c>
      <c r="C2081" s="561" t="s">
        <v>674</v>
      </c>
      <c r="D2081" s="561" t="s">
        <v>2237</v>
      </c>
      <c r="E2081" s="561" t="s">
        <v>13</v>
      </c>
      <c r="F2081" s="563">
        <v>33331.96</v>
      </c>
      <c r="G2081" s="564"/>
      <c r="H2081" s="561" t="s">
        <v>654</v>
      </c>
      <c r="I2081" s="565"/>
      <c r="J2081" s="565"/>
      <c r="K2081" s="563">
        <v>0</v>
      </c>
      <c r="L2081" s="566">
        <v>33331.96</v>
      </c>
    </row>
    <row r="2082" spans="1:12" ht="33.75" x14ac:dyDescent="0.2">
      <c r="A2082" s="561" t="s">
        <v>107</v>
      </c>
      <c r="B2082" s="562">
        <v>2021</v>
      </c>
      <c r="C2082" s="561" t="s">
        <v>676</v>
      </c>
      <c r="D2082" s="561" t="s">
        <v>2238</v>
      </c>
      <c r="E2082" s="561" t="s">
        <v>15</v>
      </c>
      <c r="F2082" s="563">
        <v>0</v>
      </c>
      <c r="G2082" s="564"/>
      <c r="H2082" s="561" t="s">
        <v>654</v>
      </c>
      <c r="I2082" s="565"/>
      <c r="J2082" s="565"/>
      <c r="K2082" s="563">
        <v>0</v>
      </c>
      <c r="L2082" s="566">
        <v>0</v>
      </c>
    </row>
    <row r="2083" spans="1:12" ht="22.5" x14ac:dyDescent="0.2">
      <c r="A2083" s="561" t="s">
        <v>107</v>
      </c>
      <c r="B2083" s="562">
        <v>2021</v>
      </c>
      <c r="C2083" s="561" t="s">
        <v>678</v>
      </c>
      <c r="D2083" s="561" t="s">
        <v>2239</v>
      </c>
      <c r="E2083" s="561" t="s">
        <v>680</v>
      </c>
      <c r="F2083" s="563">
        <v>-2496.37</v>
      </c>
      <c r="G2083" s="564"/>
      <c r="H2083" s="561" t="s">
        <v>654</v>
      </c>
      <c r="I2083" s="565"/>
      <c r="J2083" s="565"/>
      <c r="K2083" s="563">
        <v>0</v>
      </c>
      <c r="L2083" s="566">
        <v>-2496.37</v>
      </c>
    </row>
    <row r="2084" spans="1:12" ht="22.5" x14ac:dyDescent="0.2">
      <c r="A2084" s="561" t="s">
        <v>107</v>
      </c>
      <c r="B2084" s="562">
        <v>2021</v>
      </c>
      <c r="C2084" s="561" t="s">
        <v>681</v>
      </c>
      <c r="D2084" s="561" t="s">
        <v>2240</v>
      </c>
      <c r="E2084" s="561" t="s">
        <v>23</v>
      </c>
      <c r="F2084" s="563">
        <v>1831783.55</v>
      </c>
      <c r="G2084" s="561" t="s">
        <v>654</v>
      </c>
      <c r="H2084" s="564"/>
      <c r="I2084" s="563">
        <v>1799719.75</v>
      </c>
      <c r="J2084" s="563">
        <v>32063.76953125</v>
      </c>
      <c r="K2084" s="563">
        <v>1831783.5</v>
      </c>
      <c r="L2084" s="566">
        <v>1831783.55</v>
      </c>
    </row>
    <row r="2085" spans="1:12" ht="33.75" x14ac:dyDescent="0.2">
      <c r="A2085" s="561" t="s">
        <v>107</v>
      </c>
      <c r="B2085" s="562">
        <v>2021</v>
      </c>
      <c r="C2085" s="561" t="s">
        <v>683</v>
      </c>
      <c r="D2085" s="561" t="s">
        <v>2241</v>
      </c>
      <c r="E2085" s="561" t="s">
        <v>131</v>
      </c>
      <c r="F2085" s="563">
        <v>-52691.44</v>
      </c>
      <c r="G2085" s="561" t="s">
        <v>654</v>
      </c>
      <c r="H2085" s="564"/>
      <c r="I2085" s="563">
        <v>-49452.859375</v>
      </c>
      <c r="J2085" s="563">
        <v>-3238.580078125</v>
      </c>
      <c r="K2085" s="563">
        <v>-52691.44140625</v>
      </c>
      <c r="L2085" s="566">
        <v>-52691.44</v>
      </c>
    </row>
    <row r="2086" spans="1:12" ht="33.75" x14ac:dyDescent="0.2">
      <c r="A2086" s="561" t="s">
        <v>107</v>
      </c>
      <c r="B2086" s="562">
        <v>2021</v>
      </c>
      <c r="C2086" s="561" t="s">
        <v>685</v>
      </c>
      <c r="D2086" s="561" t="s">
        <v>2242</v>
      </c>
      <c r="E2086" s="561" t="s">
        <v>687</v>
      </c>
      <c r="F2086" s="563">
        <v>-209711.2</v>
      </c>
      <c r="G2086" s="564"/>
      <c r="H2086" s="561" t="s">
        <v>654</v>
      </c>
      <c r="I2086" s="565"/>
      <c r="J2086" s="565"/>
      <c r="K2086" s="563">
        <v>0</v>
      </c>
      <c r="L2086" s="566">
        <v>-209711.2</v>
      </c>
    </row>
    <row r="2087" spans="1:12" ht="33.75" x14ac:dyDescent="0.2">
      <c r="A2087" s="561" t="s">
        <v>107</v>
      </c>
      <c r="B2087" s="562">
        <v>2021</v>
      </c>
      <c r="C2087" s="561" t="s">
        <v>685</v>
      </c>
      <c r="D2087" s="561" t="s">
        <v>2242</v>
      </c>
      <c r="E2087" s="561" t="s">
        <v>688</v>
      </c>
      <c r="F2087" s="563">
        <v>-209711.2</v>
      </c>
      <c r="G2087" s="564"/>
      <c r="H2087" s="561" t="s">
        <v>654</v>
      </c>
      <c r="I2087" s="565"/>
      <c r="J2087" s="565"/>
      <c r="K2087" s="563">
        <v>0</v>
      </c>
      <c r="L2087" s="566">
        <v>-209711.2</v>
      </c>
    </row>
    <row r="2088" spans="1:12" ht="22.5" x14ac:dyDescent="0.2">
      <c r="A2088" s="561" t="s">
        <v>107</v>
      </c>
      <c r="B2088" s="562">
        <v>2021</v>
      </c>
      <c r="C2088" s="561" t="s">
        <v>689</v>
      </c>
      <c r="D2088" s="561" t="s">
        <v>2243</v>
      </c>
      <c r="E2088" s="561" t="s">
        <v>691</v>
      </c>
      <c r="F2088" s="563">
        <v>908291.84</v>
      </c>
      <c r="G2088" s="564"/>
      <c r="H2088" s="561" t="s">
        <v>654</v>
      </c>
      <c r="I2088" s="565"/>
      <c r="J2088" s="565"/>
      <c r="K2088" s="563">
        <v>0</v>
      </c>
      <c r="L2088" s="566">
        <v>908291.84</v>
      </c>
    </row>
    <row r="2089" spans="1:12" ht="22.5" x14ac:dyDescent="0.2">
      <c r="A2089" s="561" t="s">
        <v>107</v>
      </c>
      <c r="B2089" s="562">
        <v>2021</v>
      </c>
      <c r="C2089" s="561" t="s">
        <v>692</v>
      </c>
      <c r="D2089" s="561" t="s">
        <v>2244</v>
      </c>
      <c r="E2089" s="561" t="s">
        <v>50</v>
      </c>
      <c r="F2089" s="563">
        <v>304268.26</v>
      </c>
      <c r="G2089" s="564"/>
      <c r="H2089" s="561" t="s">
        <v>654</v>
      </c>
      <c r="I2089" s="565"/>
      <c r="J2089" s="565"/>
      <c r="K2089" s="563">
        <v>0</v>
      </c>
      <c r="L2089" s="566">
        <v>304268.26</v>
      </c>
    </row>
    <row r="2090" spans="1:12" ht="22.5" x14ac:dyDescent="0.2">
      <c r="A2090" s="561" t="s">
        <v>107</v>
      </c>
      <c r="B2090" s="562">
        <v>2021</v>
      </c>
      <c r="C2090" s="561" t="s">
        <v>694</v>
      </c>
      <c r="D2090" s="561" t="s">
        <v>2245</v>
      </c>
      <c r="E2090" s="561" t="s">
        <v>696</v>
      </c>
      <c r="F2090" s="563">
        <v>0</v>
      </c>
      <c r="G2090" s="564"/>
      <c r="H2090" s="561" t="s">
        <v>654</v>
      </c>
      <c r="I2090" s="565"/>
      <c r="J2090" s="565"/>
      <c r="K2090" s="563">
        <v>0</v>
      </c>
      <c r="L2090" s="566">
        <v>0</v>
      </c>
    </row>
    <row r="2091" spans="1:12" ht="22.5" x14ac:dyDescent="0.2">
      <c r="A2091" s="561" t="s">
        <v>107</v>
      </c>
      <c r="B2091" s="562">
        <v>2021</v>
      </c>
      <c r="C2091" s="561" t="s">
        <v>697</v>
      </c>
      <c r="D2091" s="561" t="s">
        <v>2246</v>
      </c>
      <c r="E2091" s="561" t="s">
        <v>6</v>
      </c>
      <c r="F2091" s="563">
        <v>0</v>
      </c>
      <c r="G2091" s="564"/>
      <c r="H2091" s="561" t="s">
        <v>654</v>
      </c>
      <c r="I2091" s="565"/>
      <c r="J2091" s="565"/>
      <c r="K2091" s="563">
        <v>0</v>
      </c>
      <c r="L2091" s="566">
        <v>0</v>
      </c>
    </row>
    <row r="2092" spans="1:12" ht="33.75" x14ac:dyDescent="0.2">
      <c r="A2092" s="561" t="s">
        <v>107</v>
      </c>
      <c r="B2092" s="562">
        <v>2021</v>
      </c>
      <c r="C2092" s="561" t="s">
        <v>699</v>
      </c>
      <c r="D2092" s="561" t="s">
        <v>2247</v>
      </c>
      <c r="E2092" s="561" t="s">
        <v>701</v>
      </c>
      <c r="F2092" s="563">
        <v>0</v>
      </c>
      <c r="G2092" s="564"/>
      <c r="H2092" s="561" t="s">
        <v>654</v>
      </c>
      <c r="I2092" s="565"/>
      <c r="J2092" s="565"/>
      <c r="K2092" s="563">
        <v>0</v>
      </c>
      <c r="L2092" s="566">
        <v>0</v>
      </c>
    </row>
    <row r="2093" spans="1:12" ht="22.5" x14ac:dyDescent="0.2">
      <c r="A2093" s="561" t="s">
        <v>107</v>
      </c>
      <c r="B2093" s="562">
        <v>2021</v>
      </c>
      <c r="C2093" s="561" t="s">
        <v>702</v>
      </c>
      <c r="D2093" s="561" t="s">
        <v>2248</v>
      </c>
      <c r="E2093" s="561" t="s">
        <v>704</v>
      </c>
      <c r="F2093" s="563">
        <v>8653.5400000000009</v>
      </c>
      <c r="G2093" s="564"/>
      <c r="H2093" s="561" t="s">
        <v>654</v>
      </c>
      <c r="I2093" s="565"/>
      <c r="J2093" s="565"/>
      <c r="K2093" s="563">
        <v>0</v>
      </c>
      <c r="L2093" s="566">
        <v>8653.5400000000009</v>
      </c>
    </row>
    <row r="2094" spans="1:12" ht="33.75" x14ac:dyDescent="0.2">
      <c r="A2094" s="561" t="s">
        <v>107</v>
      </c>
      <c r="B2094" s="562">
        <v>2021</v>
      </c>
      <c r="C2094" s="561" t="s">
        <v>705</v>
      </c>
      <c r="D2094" s="561" t="s">
        <v>2249</v>
      </c>
      <c r="E2094" s="561" t="s">
        <v>1</v>
      </c>
      <c r="F2094" s="563">
        <v>-1451863.09</v>
      </c>
      <c r="G2094" s="561" t="s">
        <v>654</v>
      </c>
      <c r="H2094" s="564"/>
      <c r="I2094" s="563">
        <v>-1429334.875</v>
      </c>
      <c r="J2094" s="563">
        <v>-22528.189453125</v>
      </c>
      <c r="K2094" s="563">
        <v>-1451863.125</v>
      </c>
      <c r="L2094" s="566">
        <v>-1451863.09</v>
      </c>
    </row>
    <row r="2095" spans="1:12" ht="22.5" x14ac:dyDescent="0.2">
      <c r="A2095" s="561" t="s">
        <v>107</v>
      </c>
      <c r="B2095" s="562">
        <v>2021</v>
      </c>
      <c r="C2095" s="561" t="s">
        <v>705</v>
      </c>
      <c r="D2095" s="561" t="s">
        <v>2249</v>
      </c>
      <c r="E2095" s="561" t="s">
        <v>707</v>
      </c>
      <c r="F2095" s="563">
        <v>-60.02</v>
      </c>
      <c r="G2095" s="564"/>
      <c r="H2095" s="564"/>
      <c r="I2095" s="565"/>
      <c r="J2095" s="565"/>
      <c r="K2095" s="563">
        <v>0</v>
      </c>
      <c r="L2095" s="566">
        <v>-60.02</v>
      </c>
    </row>
    <row r="2096" spans="1:12" ht="22.5" x14ac:dyDescent="0.2">
      <c r="A2096" s="561" t="s">
        <v>107</v>
      </c>
      <c r="B2096" s="562">
        <v>2021</v>
      </c>
      <c r="C2096" s="561" t="s">
        <v>705</v>
      </c>
      <c r="D2096" s="561" t="s">
        <v>2249</v>
      </c>
      <c r="E2096" s="561" t="s">
        <v>708</v>
      </c>
      <c r="F2096" s="563">
        <v>1856.4</v>
      </c>
      <c r="G2096" s="564"/>
      <c r="H2096" s="564"/>
      <c r="I2096" s="565"/>
      <c r="J2096" s="565"/>
      <c r="K2096" s="563">
        <v>0</v>
      </c>
      <c r="L2096" s="566">
        <v>1856.4</v>
      </c>
    </row>
    <row r="2097" spans="1:12" ht="22.5" x14ac:dyDescent="0.2">
      <c r="A2097" s="561" t="s">
        <v>107</v>
      </c>
      <c r="B2097" s="562">
        <v>2021</v>
      </c>
      <c r="C2097" s="561" t="s">
        <v>705</v>
      </c>
      <c r="D2097" s="561" t="s">
        <v>2249</v>
      </c>
      <c r="E2097" s="561" t="s">
        <v>709</v>
      </c>
      <c r="F2097" s="563">
        <v>-4843.2</v>
      </c>
      <c r="G2097" s="564"/>
      <c r="H2097" s="564"/>
      <c r="I2097" s="565"/>
      <c r="J2097" s="565"/>
      <c r="K2097" s="563">
        <v>0</v>
      </c>
      <c r="L2097" s="566">
        <v>-4843.2</v>
      </c>
    </row>
    <row r="2098" spans="1:12" ht="22.5" x14ac:dyDescent="0.2">
      <c r="A2098" s="561" t="s">
        <v>107</v>
      </c>
      <c r="B2098" s="562">
        <v>2021</v>
      </c>
      <c r="C2098" s="561" t="s">
        <v>705</v>
      </c>
      <c r="D2098" s="561" t="s">
        <v>2249</v>
      </c>
      <c r="E2098" s="561" t="s">
        <v>710</v>
      </c>
      <c r="F2098" s="563">
        <v>-203984.46</v>
      </c>
      <c r="G2098" s="564"/>
      <c r="H2098" s="564"/>
      <c r="I2098" s="565"/>
      <c r="J2098" s="565"/>
      <c r="K2098" s="563">
        <v>0</v>
      </c>
      <c r="L2098" s="566">
        <v>-203984.46</v>
      </c>
    </row>
    <row r="2099" spans="1:12" ht="22.5" x14ac:dyDescent="0.2">
      <c r="A2099" s="561" t="s">
        <v>107</v>
      </c>
      <c r="B2099" s="562">
        <v>2021</v>
      </c>
      <c r="C2099" s="561" t="s">
        <v>711</v>
      </c>
      <c r="D2099" s="561" t="s">
        <v>2250</v>
      </c>
      <c r="E2099" s="561" t="s">
        <v>713</v>
      </c>
      <c r="F2099" s="563">
        <v>0</v>
      </c>
      <c r="G2099" s="564"/>
      <c r="H2099" s="561" t="s">
        <v>654</v>
      </c>
      <c r="I2099" s="565"/>
      <c r="J2099" s="565"/>
      <c r="K2099" s="563">
        <v>0</v>
      </c>
      <c r="L2099" s="566">
        <v>0</v>
      </c>
    </row>
    <row r="2100" spans="1:12" ht="33.75" x14ac:dyDescent="0.2">
      <c r="A2100" s="561" t="s">
        <v>107</v>
      </c>
      <c r="B2100" s="562">
        <v>2021</v>
      </c>
      <c r="C2100" s="561" t="s">
        <v>714</v>
      </c>
      <c r="D2100" s="561" t="s">
        <v>2251</v>
      </c>
      <c r="E2100" s="561" t="s">
        <v>2</v>
      </c>
      <c r="F2100" s="563">
        <v>-253799.64</v>
      </c>
      <c r="G2100" s="561" t="s">
        <v>654</v>
      </c>
      <c r="H2100" s="564"/>
      <c r="I2100" s="563">
        <v>-232523.59375</v>
      </c>
      <c r="J2100" s="563">
        <v>-21276.0390625</v>
      </c>
      <c r="K2100" s="563">
        <v>-253799.640625</v>
      </c>
      <c r="L2100" s="566">
        <v>-253799.64</v>
      </c>
    </row>
    <row r="2101" spans="1:12" ht="33.75" x14ac:dyDescent="0.2">
      <c r="A2101" s="561" t="s">
        <v>107</v>
      </c>
      <c r="B2101" s="562">
        <v>2021</v>
      </c>
      <c r="C2101" s="561" t="s">
        <v>716</v>
      </c>
      <c r="D2101" s="561" t="s">
        <v>2252</v>
      </c>
      <c r="E2101" s="561" t="s">
        <v>3</v>
      </c>
      <c r="F2101" s="563">
        <v>71499.45</v>
      </c>
      <c r="G2101" s="561" t="s">
        <v>654</v>
      </c>
      <c r="H2101" s="564"/>
      <c r="I2101" s="563">
        <v>71366.8515625</v>
      </c>
      <c r="J2101" s="563">
        <v>132.60000610351599</v>
      </c>
      <c r="K2101" s="563">
        <v>71499.453125</v>
      </c>
      <c r="L2101" s="566">
        <v>71499.45</v>
      </c>
    </row>
    <row r="2102" spans="1:12" ht="33.75" x14ac:dyDescent="0.2">
      <c r="A2102" s="561" t="s">
        <v>107</v>
      </c>
      <c r="B2102" s="562">
        <v>2021</v>
      </c>
      <c r="C2102" s="561" t="s">
        <v>718</v>
      </c>
      <c r="D2102" s="561" t="s">
        <v>2253</v>
      </c>
      <c r="E2102" s="561" t="s">
        <v>38</v>
      </c>
      <c r="F2102" s="563">
        <v>-847615.9</v>
      </c>
      <c r="G2102" s="561" t="s">
        <v>654</v>
      </c>
      <c r="H2102" s="564"/>
      <c r="I2102" s="563">
        <v>-935477.75</v>
      </c>
      <c r="J2102" s="563">
        <v>87861.84375</v>
      </c>
      <c r="K2102" s="563">
        <v>-847615.875</v>
      </c>
      <c r="L2102" s="566">
        <v>-847615.9</v>
      </c>
    </row>
    <row r="2103" spans="1:12" ht="22.5" x14ac:dyDescent="0.2">
      <c r="A2103" s="561" t="s">
        <v>107</v>
      </c>
      <c r="B2103" s="562">
        <v>2021</v>
      </c>
      <c r="C2103" s="561" t="s">
        <v>720</v>
      </c>
      <c r="D2103" s="561" t="s">
        <v>2254</v>
      </c>
      <c r="E2103" s="561" t="s">
        <v>66</v>
      </c>
      <c r="F2103" s="563">
        <v>1979070.82</v>
      </c>
      <c r="G2103" s="561" t="s">
        <v>654</v>
      </c>
      <c r="H2103" s="564"/>
      <c r="I2103" s="563">
        <v>1973975.5</v>
      </c>
      <c r="J2103" s="563">
        <v>5095.2900390625</v>
      </c>
      <c r="K2103" s="563">
        <v>1979070.875</v>
      </c>
      <c r="L2103" s="566">
        <v>1979070.82</v>
      </c>
    </row>
    <row r="2104" spans="1:12" ht="45" x14ac:dyDescent="0.2">
      <c r="A2104" s="561" t="s">
        <v>107</v>
      </c>
      <c r="B2104" s="562">
        <v>2021</v>
      </c>
      <c r="C2104" s="561" t="s">
        <v>722</v>
      </c>
      <c r="D2104" s="561" t="s">
        <v>2255</v>
      </c>
      <c r="E2104" s="561" t="s">
        <v>724</v>
      </c>
      <c r="F2104" s="563">
        <v>-1657.55</v>
      </c>
      <c r="G2104" s="564"/>
      <c r="H2104" s="561" t="s">
        <v>654</v>
      </c>
      <c r="I2104" s="565"/>
      <c r="J2104" s="565"/>
      <c r="K2104" s="563">
        <v>0</v>
      </c>
      <c r="L2104" s="566">
        <v>-1657.55</v>
      </c>
    </row>
    <row r="2105" spans="1:12" ht="45" x14ac:dyDescent="0.2">
      <c r="A2105" s="561" t="s">
        <v>107</v>
      </c>
      <c r="B2105" s="562">
        <v>2021</v>
      </c>
      <c r="C2105" s="561" t="s">
        <v>725</v>
      </c>
      <c r="D2105" s="561" t="s">
        <v>2256</v>
      </c>
      <c r="E2105" s="561" t="s">
        <v>3024</v>
      </c>
      <c r="F2105" s="563">
        <v>0</v>
      </c>
      <c r="G2105" s="561" t="s">
        <v>654</v>
      </c>
      <c r="H2105" s="564"/>
      <c r="I2105" s="563">
        <v>-13803.7001953125</v>
      </c>
      <c r="J2105" s="563">
        <v>7957.22021484375</v>
      </c>
      <c r="K2105" s="563">
        <v>-5846.47998046875</v>
      </c>
      <c r="L2105" s="566">
        <v>-5846.48</v>
      </c>
    </row>
    <row r="2106" spans="1:12" ht="45" x14ac:dyDescent="0.2">
      <c r="A2106" s="561" t="s">
        <v>107</v>
      </c>
      <c r="B2106" s="562">
        <v>2021</v>
      </c>
      <c r="C2106" s="561" t="s">
        <v>725</v>
      </c>
      <c r="D2106" s="561" t="s">
        <v>2256</v>
      </c>
      <c r="E2106" s="561" t="s">
        <v>3066</v>
      </c>
      <c r="F2106" s="563">
        <v>0</v>
      </c>
      <c r="G2106" s="561" t="s">
        <v>654</v>
      </c>
      <c r="H2106" s="564"/>
      <c r="I2106" s="563">
        <v>14603</v>
      </c>
      <c r="J2106" s="563">
        <v>602.40002441406295</v>
      </c>
      <c r="K2106" s="563">
        <v>15205.400390625</v>
      </c>
      <c r="L2106" s="566">
        <v>15205.4</v>
      </c>
    </row>
    <row r="2107" spans="1:12" ht="45" x14ac:dyDescent="0.2">
      <c r="A2107" s="561" t="s">
        <v>107</v>
      </c>
      <c r="B2107" s="562">
        <v>2021</v>
      </c>
      <c r="C2107" s="561" t="s">
        <v>725</v>
      </c>
      <c r="D2107" s="561" t="s">
        <v>2257</v>
      </c>
      <c r="E2107" s="561" t="s">
        <v>728</v>
      </c>
      <c r="F2107" s="563">
        <v>0</v>
      </c>
      <c r="G2107" s="561" t="s">
        <v>654</v>
      </c>
      <c r="H2107" s="564"/>
      <c r="I2107" s="565"/>
      <c r="J2107" s="565"/>
      <c r="K2107" s="563">
        <v>0</v>
      </c>
      <c r="L2107" s="566">
        <v>0</v>
      </c>
    </row>
    <row r="2108" spans="1:12" ht="45" x14ac:dyDescent="0.2">
      <c r="A2108" s="561" t="s">
        <v>107</v>
      </c>
      <c r="B2108" s="562">
        <v>2021</v>
      </c>
      <c r="C2108" s="561" t="s">
        <v>725</v>
      </c>
      <c r="D2108" s="561" t="s">
        <v>2258</v>
      </c>
      <c r="E2108" s="561" t="s">
        <v>55</v>
      </c>
      <c r="F2108" s="563">
        <v>0</v>
      </c>
      <c r="G2108" s="561" t="s">
        <v>654</v>
      </c>
      <c r="H2108" s="564"/>
      <c r="I2108" s="565"/>
      <c r="J2108" s="565"/>
      <c r="K2108" s="563">
        <v>0</v>
      </c>
      <c r="L2108" s="566">
        <v>0</v>
      </c>
    </row>
    <row r="2109" spans="1:12" ht="45" x14ac:dyDescent="0.2">
      <c r="A2109" s="561" t="s">
        <v>107</v>
      </c>
      <c r="B2109" s="562">
        <v>2021</v>
      </c>
      <c r="C2109" s="561" t="s">
        <v>725</v>
      </c>
      <c r="D2109" s="561" t="s">
        <v>2259</v>
      </c>
      <c r="E2109" s="561" t="s">
        <v>56</v>
      </c>
      <c r="F2109" s="563">
        <v>0</v>
      </c>
      <c r="G2109" s="561" t="s">
        <v>654</v>
      </c>
      <c r="H2109" s="564"/>
      <c r="I2109" s="565"/>
      <c r="J2109" s="565"/>
      <c r="K2109" s="563">
        <v>0</v>
      </c>
      <c r="L2109" s="566">
        <v>0</v>
      </c>
    </row>
    <row r="2110" spans="1:12" ht="45" x14ac:dyDescent="0.2">
      <c r="A2110" s="561" t="s">
        <v>107</v>
      </c>
      <c r="B2110" s="562">
        <v>2021</v>
      </c>
      <c r="C2110" s="561" t="s">
        <v>725</v>
      </c>
      <c r="D2110" s="561" t="s">
        <v>2260</v>
      </c>
      <c r="E2110" s="561" t="s">
        <v>732</v>
      </c>
      <c r="F2110" s="563">
        <v>0</v>
      </c>
      <c r="G2110" s="561" t="s">
        <v>654</v>
      </c>
      <c r="H2110" s="564"/>
      <c r="I2110" s="565"/>
      <c r="J2110" s="565"/>
      <c r="K2110" s="563">
        <v>0</v>
      </c>
      <c r="L2110" s="566">
        <v>0</v>
      </c>
    </row>
    <row r="2111" spans="1:12" ht="45" x14ac:dyDescent="0.2">
      <c r="A2111" s="561" t="s">
        <v>107</v>
      </c>
      <c r="B2111" s="562">
        <v>2021</v>
      </c>
      <c r="C2111" s="561" t="s">
        <v>725</v>
      </c>
      <c r="D2111" s="561" t="s">
        <v>2261</v>
      </c>
      <c r="E2111" s="561" t="s">
        <v>734</v>
      </c>
      <c r="F2111" s="563">
        <v>0</v>
      </c>
      <c r="G2111" s="561" t="s">
        <v>654</v>
      </c>
      <c r="H2111" s="564"/>
      <c r="I2111" s="565"/>
      <c r="J2111" s="565"/>
      <c r="K2111" s="563">
        <v>0</v>
      </c>
      <c r="L2111" s="566">
        <v>0</v>
      </c>
    </row>
    <row r="2112" spans="1:12" ht="45" x14ac:dyDescent="0.2">
      <c r="A2112" s="561" t="s">
        <v>107</v>
      </c>
      <c r="B2112" s="562">
        <v>2021</v>
      </c>
      <c r="C2112" s="561" t="s">
        <v>725</v>
      </c>
      <c r="D2112" s="561" t="s">
        <v>2262</v>
      </c>
      <c r="E2112" s="561" t="s">
        <v>142</v>
      </c>
      <c r="F2112" s="563">
        <v>0</v>
      </c>
      <c r="G2112" s="561" t="s">
        <v>654</v>
      </c>
      <c r="H2112" s="564"/>
      <c r="I2112" s="565"/>
      <c r="J2112" s="565"/>
      <c r="K2112" s="563">
        <v>0</v>
      </c>
      <c r="L2112" s="566">
        <v>0</v>
      </c>
    </row>
    <row r="2113" spans="1:12" ht="45" x14ac:dyDescent="0.2">
      <c r="A2113" s="561" t="s">
        <v>107</v>
      </c>
      <c r="B2113" s="562">
        <v>2021</v>
      </c>
      <c r="C2113" s="561" t="s">
        <v>725</v>
      </c>
      <c r="D2113" s="561" t="s">
        <v>2263</v>
      </c>
      <c r="E2113" s="561" t="s">
        <v>143</v>
      </c>
      <c r="F2113" s="563">
        <v>0</v>
      </c>
      <c r="G2113" s="561" t="s">
        <v>654</v>
      </c>
      <c r="H2113" s="564"/>
      <c r="I2113" s="565"/>
      <c r="J2113" s="565"/>
      <c r="K2113" s="563">
        <v>0</v>
      </c>
      <c r="L2113" s="566">
        <v>0</v>
      </c>
    </row>
    <row r="2114" spans="1:12" ht="45" x14ac:dyDescent="0.2">
      <c r="A2114" s="561" t="s">
        <v>107</v>
      </c>
      <c r="B2114" s="562">
        <v>2021</v>
      </c>
      <c r="C2114" s="561" t="s">
        <v>725</v>
      </c>
      <c r="D2114" s="561" t="s">
        <v>2264</v>
      </c>
      <c r="E2114" s="561" t="s">
        <v>182</v>
      </c>
      <c r="F2114" s="563">
        <v>0</v>
      </c>
      <c r="G2114" s="561" t="s">
        <v>654</v>
      </c>
      <c r="H2114" s="564"/>
      <c r="I2114" s="565"/>
      <c r="J2114" s="565"/>
      <c r="K2114" s="563">
        <v>0</v>
      </c>
      <c r="L2114" s="566">
        <v>0</v>
      </c>
    </row>
    <row r="2115" spans="1:12" ht="45" x14ac:dyDescent="0.2">
      <c r="A2115" s="561" t="s">
        <v>107</v>
      </c>
      <c r="B2115" s="562">
        <v>2021</v>
      </c>
      <c r="C2115" s="561" t="s">
        <v>725</v>
      </c>
      <c r="D2115" s="561" t="s">
        <v>2265</v>
      </c>
      <c r="E2115" s="561" t="s">
        <v>394</v>
      </c>
      <c r="F2115" s="563">
        <v>0</v>
      </c>
      <c r="G2115" s="561" t="s">
        <v>654</v>
      </c>
      <c r="H2115" s="564"/>
      <c r="I2115" s="565"/>
      <c r="J2115" s="565"/>
      <c r="K2115" s="563">
        <v>0</v>
      </c>
      <c r="L2115" s="566">
        <v>0</v>
      </c>
    </row>
    <row r="2116" spans="1:12" ht="45" x14ac:dyDescent="0.2">
      <c r="A2116" s="561" t="s">
        <v>107</v>
      </c>
      <c r="B2116" s="562">
        <v>2021</v>
      </c>
      <c r="C2116" s="561" t="s">
        <v>725</v>
      </c>
      <c r="D2116" s="561" t="s">
        <v>2266</v>
      </c>
      <c r="E2116" s="561" t="s">
        <v>425</v>
      </c>
      <c r="F2116" s="563">
        <v>0</v>
      </c>
      <c r="G2116" s="561" t="s">
        <v>654</v>
      </c>
      <c r="H2116" s="564"/>
      <c r="I2116" s="563">
        <v>-106674.3203125</v>
      </c>
      <c r="J2116" s="563">
        <v>-15579.0595703125</v>
      </c>
      <c r="K2116" s="563">
        <v>-122253.3828125</v>
      </c>
      <c r="L2116" s="566">
        <v>-122253.38</v>
      </c>
    </row>
    <row r="2117" spans="1:12" ht="45" x14ac:dyDescent="0.2">
      <c r="A2117" s="561" t="s">
        <v>107</v>
      </c>
      <c r="B2117" s="562">
        <v>2021</v>
      </c>
      <c r="C2117" s="561" t="s">
        <v>725</v>
      </c>
      <c r="D2117" s="561" t="s">
        <v>3285</v>
      </c>
      <c r="E2117" s="561" t="s">
        <v>443</v>
      </c>
      <c r="F2117" s="563">
        <v>0</v>
      </c>
      <c r="G2117" s="561" t="s">
        <v>654</v>
      </c>
      <c r="H2117" s="564"/>
      <c r="I2117" s="563">
        <v>14603</v>
      </c>
      <c r="J2117" s="563">
        <v>271.98001098632801</v>
      </c>
      <c r="K2117" s="563">
        <v>14874.98046875</v>
      </c>
      <c r="L2117" s="566">
        <v>14874.98</v>
      </c>
    </row>
    <row r="2118" spans="1:12" ht="45" x14ac:dyDescent="0.2">
      <c r="A2118" s="561" t="s">
        <v>107</v>
      </c>
      <c r="B2118" s="562">
        <v>2021</v>
      </c>
      <c r="C2118" s="561" t="s">
        <v>725</v>
      </c>
      <c r="D2118" s="561" t="s">
        <v>2267</v>
      </c>
      <c r="E2118" s="561" t="s">
        <v>741</v>
      </c>
      <c r="F2118" s="563">
        <v>-98019.48</v>
      </c>
      <c r="G2118" s="564"/>
      <c r="H2118" s="564"/>
      <c r="I2118" s="565"/>
      <c r="J2118" s="565"/>
      <c r="K2118" s="563">
        <v>0</v>
      </c>
      <c r="L2118" s="566">
        <v>-98019.48</v>
      </c>
    </row>
    <row r="2119" spans="1:12" ht="22.5" x14ac:dyDescent="0.2">
      <c r="A2119" s="561" t="s">
        <v>107</v>
      </c>
      <c r="B2119" s="562">
        <v>2021</v>
      </c>
      <c r="C2119" s="561" t="s">
        <v>742</v>
      </c>
      <c r="D2119" s="561" t="s">
        <v>2268</v>
      </c>
      <c r="E2119" s="561" t="s">
        <v>7</v>
      </c>
      <c r="F2119" s="563">
        <v>0</v>
      </c>
      <c r="G2119" s="564"/>
      <c r="H2119" s="561" t="s">
        <v>654</v>
      </c>
      <c r="I2119" s="565"/>
      <c r="J2119" s="565"/>
      <c r="K2119" s="563">
        <v>0</v>
      </c>
      <c r="L2119" s="566">
        <v>0</v>
      </c>
    </row>
    <row r="2120" spans="1:12" ht="22.5" x14ac:dyDescent="0.2">
      <c r="A2120" s="561" t="s">
        <v>108</v>
      </c>
      <c r="B2120" s="562">
        <v>2021</v>
      </c>
      <c r="C2120" s="561" t="s">
        <v>651</v>
      </c>
      <c r="D2120" s="561" t="s">
        <v>2269</v>
      </c>
      <c r="E2120" s="561" t="s">
        <v>653</v>
      </c>
      <c r="F2120" s="563">
        <v>-19320.77</v>
      </c>
      <c r="G2120" s="564"/>
      <c r="H2120" s="561" t="s">
        <v>654</v>
      </c>
      <c r="I2120" s="565"/>
      <c r="J2120" s="565"/>
      <c r="K2120" s="563">
        <v>0</v>
      </c>
      <c r="L2120" s="566">
        <v>-19320.77</v>
      </c>
    </row>
    <row r="2121" spans="1:12" ht="15" x14ac:dyDescent="0.2">
      <c r="A2121" s="561" t="s">
        <v>108</v>
      </c>
      <c r="B2121" s="562">
        <v>2021</v>
      </c>
      <c r="C2121" s="561" t="s">
        <v>655</v>
      </c>
      <c r="D2121" s="561" t="s">
        <v>2270</v>
      </c>
      <c r="E2121" s="561" t="s">
        <v>657</v>
      </c>
      <c r="F2121" s="563">
        <v>197612.85</v>
      </c>
      <c r="G2121" s="564"/>
      <c r="H2121" s="561" t="s">
        <v>654</v>
      </c>
      <c r="I2121" s="565"/>
      <c r="J2121" s="565"/>
      <c r="K2121" s="563">
        <v>0</v>
      </c>
      <c r="L2121" s="566">
        <v>197612.85</v>
      </c>
    </row>
    <row r="2122" spans="1:12" ht="56.25" x14ac:dyDescent="0.2">
      <c r="A2122" s="561" t="s">
        <v>108</v>
      </c>
      <c r="B2122" s="562">
        <v>2021</v>
      </c>
      <c r="C2122" s="561" t="s">
        <v>658</v>
      </c>
      <c r="D2122" s="561" t="s">
        <v>2271</v>
      </c>
      <c r="E2122" s="561" t="s">
        <v>447</v>
      </c>
      <c r="F2122" s="563">
        <v>0</v>
      </c>
      <c r="G2122" s="564"/>
      <c r="H2122" s="561" t="s">
        <v>654</v>
      </c>
      <c r="I2122" s="565"/>
      <c r="J2122" s="565"/>
      <c r="K2122" s="563">
        <v>0</v>
      </c>
      <c r="L2122" s="566">
        <v>0</v>
      </c>
    </row>
    <row r="2123" spans="1:12" ht="22.5" x14ac:dyDescent="0.2">
      <c r="A2123" s="561" t="s">
        <v>108</v>
      </c>
      <c r="B2123" s="562">
        <v>2021</v>
      </c>
      <c r="C2123" s="561" t="s">
        <v>660</v>
      </c>
      <c r="D2123" s="561" t="s">
        <v>2272</v>
      </c>
      <c r="E2123" s="561" t="s">
        <v>662</v>
      </c>
      <c r="F2123" s="563">
        <v>0</v>
      </c>
      <c r="G2123" s="564"/>
      <c r="H2123" s="561" t="s">
        <v>654</v>
      </c>
      <c r="I2123" s="565"/>
      <c r="J2123" s="565"/>
      <c r="K2123" s="563">
        <v>0</v>
      </c>
      <c r="L2123" s="566">
        <v>0</v>
      </c>
    </row>
    <row r="2124" spans="1:12" ht="33.75" x14ac:dyDescent="0.2">
      <c r="A2124" s="561" t="s">
        <v>108</v>
      </c>
      <c r="B2124" s="562">
        <v>2021</v>
      </c>
      <c r="C2124" s="561" t="s">
        <v>663</v>
      </c>
      <c r="D2124" s="561" t="s">
        <v>2273</v>
      </c>
      <c r="E2124" s="561" t="s">
        <v>665</v>
      </c>
      <c r="F2124" s="563">
        <v>0</v>
      </c>
      <c r="G2124" s="564"/>
      <c r="H2124" s="561" t="s">
        <v>654</v>
      </c>
      <c r="I2124" s="565"/>
      <c r="J2124" s="565"/>
      <c r="K2124" s="563">
        <v>0</v>
      </c>
      <c r="L2124" s="566">
        <v>0</v>
      </c>
    </row>
    <row r="2125" spans="1:12" ht="33.75" x14ac:dyDescent="0.2">
      <c r="A2125" s="561" t="s">
        <v>108</v>
      </c>
      <c r="B2125" s="562">
        <v>2021</v>
      </c>
      <c r="C2125" s="561" t="s">
        <v>666</v>
      </c>
      <c r="D2125" s="561" t="s">
        <v>2274</v>
      </c>
      <c r="E2125" s="561" t="s">
        <v>668</v>
      </c>
      <c r="F2125" s="563">
        <v>0</v>
      </c>
      <c r="G2125" s="564"/>
      <c r="H2125" s="561" t="s">
        <v>654</v>
      </c>
      <c r="I2125" s="565"/>
      <c r="J2125" s="565"/>
      <c r="K2125" s="563">
        <v>0</v>
      </c>
      <c r="L2125" s="566">
        <v>0</v>
      </c>
    </row>
    <row r="2126" spans="1:12" ht="56.25" x14ac:dyDescent="0.2">
      <c r="A2126" s="561" t="s">
        <v>108</v>
      </c>
      <c r="B2126" s="562">
        <v>2021</v>
      </c>
      <c r="C2126" s="561" t="s">
        <v>669</v>
      </c>
      <c r="D2126" s="561" t="s">
        <v>2275</v>
      </c>
      <c r="E2126" s="561" t="s">
        <v>671</v>
      </c>
      <c r="F2126" s="563">
        <v>0</v>
      </c>
      <c r="G2126" s="564"/>
      <c r="H2126" s="561" t="s">
        <v>654</v>
      </c>
      <c r="I2126" s="565"/>
      <c r="J2126" s="565"/>
      <c r="K2126" s="563">
        <v>0</v>
      </c>
      <c r="L2126" s="566">
        <v>0</v>
      </c>
    </row>
    <row r="2127" spans="1:12" ht="22.5" x14ac:dyDescent="0.2">
      <c r="A2127" s="561" t="s">
        <v>108</v>
      </c>
      <c r="B2127" s="562">
        <v>2021</v>
      </c>
      <c r="C2127" s="561" t="s">
        <v>672</v>
      </c>
      <c r="D2127" s="561" t="s">
        <v>2276</v>
      </c>
      <c r="E2127" s="561" t="s">
        <v>12</v>
      </c>
      <c r="F2127" s="563">
        <v>0</v>
      </c>
      <c r="G2127" s="564"/>
      <c r="H2127" s="561" t="s">
        <v>654</v>
      </c>
      <c r="I2127" s="565"/>
      <c r="J2127" s="565"/>
      <c r="K2127" s="563">
        <v>0</v>
      </c>
      <c r="L2127" s="566">
        <v>0</v>
      </c>
    </row>
    <row r="2128" spans="1:12" ht="22.5" x14ac:dyDescent="0.2">
      <c r="A2128" s="561" t="s">
        <v>108</v>
      </c>
      <c r="B2128" s="562">
        <v>2021</v>
      </c>
      <c r="C2128" s="561" t="s">
        <v>674</v>
      </c>
      <c r="D2128" s="561" t="s">
        <v>2277</v>
      </c>
      <c r="E2128" s="561" t="s">
        <v>13</v>
      </c>
      <c r="F2128" s="563">
        <v>0</v>
      </c>
      <c r="G2128" s="564"/>
      <c r="H2128" s="561" t="s">
        <v>654</v>
      </c>
      <c r="I2128" s="565"/>
      <c r="J2128" s="565"/>
      <c r="K2128" s="563">
        <v>0</v>
      </c>
      <c r="L2128" s="566">
        <v>0</v>
      </c>
    </row>
    <row r="2129" spans="1:12" ht="33.75" x14ac:dyDescent="0.2">
      <c r="A2129" s="561" t="s">
        <v>108</v>
      </c>
      <c r="B2129" s="562">
        <v>2021</v>
      </c>
      <c r="C2129" s="561" t="s">
        <v>676</v>
      </c>
      <c r="D2129" s="561" t="s">
        <v>2278</v>
      </c>
      <c r="E2129" s="561" t="s">
        <v>15</v>
      </c>
      <c r="F2129" s="563">
        <v>0</v>
      </c>
      <c r="G2129" s="564"/>
      <c r="H2129" s="561" t="s">
        <v>654</v>
      </c>
      <c r="I2129" s="565"/>
      <c r="J2129" s="565"/>
      <c r="K2129" s="563">
        <v>0</v>
      </c>
      <c r="L2129" s="566">
        <v>0</v>
      </c>
    </row>
    <row r="2130" spans="1:12" ht="15" x14ac:dyDescent="0.2">
      <c r="A2130" s="561" t="s">
        <v>108</v>
      </c>
      <c r="B2130" s="562">
        <v>2021</v>
      </c>
      <c r="C2130" s="561" t="s">
        <v>678</v>
      </c>
      <c r="D2130" s="561" t="s">
        <v>2279</v>
      </c>
      <c r="E2130" s="561" t="s">
        <v>680</v>
      </c>
      <c r="F2130" s="563">
        <v>498.06</v>
      </c>
      <c r="G2130" s="564"/>
      <c r="H2130" s="561" t="s">
        <v>654</v>
      </c>
      <c r="I2130" s="565"/>
      <c r="J2130" s="565"/>
      <c r="K2130" s="563">
        <v>0</v>
      </c>
      <c r="L2130" s="566">
        <v>498.06</v>
      </c>
    </row>
    <row r="2131" spans="1:12" ht="15" x14ac:dyDescent="0.2">
      <c r="A2131" s="561" t="s">
        <v>108</v>
      </c>
      <c r="B2131" s="562">
        <v>2021</v>
      </c>
      <c r="C2131" s="561" t="s">
        <v>681</v>
      </c>
      <c r="D2131" s="561" t="s">
        <v>2280</v>
      </c>
      <c r="E2131" s="561" t="s">
        <v>23</v>
      </c>
      <c r="F2131" s="563">
        <v>1413504.14</v>
      </c>
      <c r="G2131" s="561" t="s">
        <v>654</v>
      </c>
      <c r="H2131" s="564"/>
      <c r="I2131" s="563">
        <v>1387683.5</v>
      </c>
      <c r="J2131" s="563">
        <v>25820.630859375</v>
      </c>
      <c r="K2131" s="563">
        <v>1413504.125</v>
      </c>
      <c r="L2131" s="566">
        <v>1413504.14</v>
      </c>
    </row>
    <row r="2132" spans="1:12" ht="33.75" x14ac:dyDescent="0.2">
      <c r="A2132" s="561" t="s">
        <v>108</v>
      </c>
      <c r="B2132" s="562">
        <v>2021</v>
      </c>
      <c r="C2132" s="561" t="s">
        <v>683</v>
      </c>
      <c r="D2132" s="561" t="s">
        <v>2281</v>
      </c>
      <c r="E2132" s="561" t="s">
        <v>131</v>
      </c>
      <c r="F2132" s="563">
        <v>-6474.55</v>
      </c>
      <c r="G2132" s="561" t="s">
        <v>654</v>
      </c>
      <c r="H2132" s="564"/>
      <c r="I2132" s="563">
        <v>-6027.5400390625</v>
      </c>
      <c r="J2132" s="563">
        <v>-447.010009765625</v>
      </c>
      <c r="K2132" s="563">
        <v>-6474.5498046875</v>
      </c>
      <c r="L2132" s="566">
        <v>-6474.55</v>
      </c>
    </row>
    <row r="2133" spans="1:12" ht="33.75" x14ac:dyDescent="0.2">
      <c r="A2133" s="561" t="s">
        <v>108</v>
      </c>
      <c r="B2133" s="562">
        <v>2021</v>
      </c>
      <c r="C2133" s="561" t="s">
        <v>685</v>
      </c>
      <c r="D2133" s="561" t="s">
        <v>2282</v>
      </c>
      <c r="E2133" s="561" t="s">
        <v>687</v>
      </c>
      <c r="F2133" s="563">
        <v>-7267.96</v>
      </c>
      <c r="G2133" s="564"/>
      <c r="H2133" s="561" t="s">
        <v>654</v>
      </c>
      <c r="I2133" s="565"/>
      <c r="J2133" s="565"/>
      <c r="K2133" s="563">
        <v>0</v>
      </c>
      <c r="L2133" s="566">
        <v>-7267.96</v>
      </c>
    </row>
    <row r="2134" spans="1:12" ht="33.75" x14ac:dyDescent="0.2">
      <c r="A2134" s="561" t="s">
        <v>108</v>
      </c>
      <c r="B2134" s="562">
        <v>2021</v>
      </c>
      <c r="C2134" s="561" t="s">
        <v>685</v>
      </c>
      <c r="D2134" s="561" t="s">
        <v>2282</v>
      </c>
      <c r="E2134" s="561" t="s">
        <v>688</v>
      </c>
      <c r="F2134" s="563">
        <v>-7267.96</v>
      </c>
      <c r="G2134" s="564"/>
      <c r="H2134" s="561" t="s">
        <v>654</v>
      </c>
      <c r="I2134" s="565"/>
      <c r="J2134" s="565"/>
      <c r="K2134" s="563">
        <v>0</v>
      </c>
      <c r="L2134" s="566">
        <v>-7267.96</v>
      </c>
    </row>
    <row r="2135" spans="1:12" ht="22.5" x14ac:dyDescent="0.2">
      <c r="A2135" s="561" t="s">
        <v>108</v>
      </c>
      <c r="B2135" s="562">
        <v>2021</v>
      </c>
      <c r="C2135" s="561" t="s">
        <v>689</v>
      </c>
      <c r="D2135" s="561" t="s">
        <v>2283</v>
      </c>
      <c r="E2135" s="561" t="s">
        <v>691</v>
      </c>
      <c r="F2135" s="563">
        <v>44453.71</v>
      </c>
      <c r="G2135" s="564"/>
      <c r="H2135" s="561" t="s">
        <v>654</v>
      </c>
      <c r="I2135" s="565"/>
      <c r="J2135" s="565"/>
      <c r="K2135" s="563">
        <v>0</v>
      </c>
      <c r="L2135" s="566">
        <v>44453.71</v>
      </c>
    </row>
    <row r="2136" spans="1:12" ht="22.5" x14ac:dyDescent="0.2">
      <c r="A2136" s="561" t="s">
        <v>108</v>
      </c>
      <c r="B2136" s="562">
        <v>2021</v>
      </c>
      <c r="C2136" s="561" t="s">
        <v>692</v>
      </c>
      <c r="D2136" s="561" t="s">
        <v>2284</v>
      </c>
      <c r="E2136" s="561" t="s">
        <v>50</v>
      </c>
      <c r="F2136" s="563">
        <v>0</v>
      </c>
      <c r="G2136" s="564"/>
      <c r="H2136" s="561" t="s">
        <v>654</v>
      </c>
      <c r="I2136" s="565"/>
      <c r="J2136" s="565"/>
      <c r="K2136" s="563">
        <v>0</v>
      </c>
      <c r="L2136" s="566">
        <v>0</v>
      </c>
    </row>
    <row r="2137" spans="1:12" ht="22.5" x14ac:dyDescent="0.2">
      <c r="A2137" s="561" t="s">
        <v>108</v>
      </c>
      <c r="B2137" s="562">
        <v>2021</v>
      </c>
      <c r="C2137" s="561" t="s">
        <v>694</v>
      </c>
      <c r="D2137" s="561" t="s">
        <v>2285</v>
      </c>
      <c r="E2137" s="561" t="s">
        <v>696</v>
      </c>
      <c r="F2137" s="563">
        <v>0</v>
      </c>
      <c r="G2137" s="564"/>
      <c r="H2137" s="561" t="s">
        <v>654</v>
      </c>
      <c r="I2137" s="565"/>
      <c r="J2137" s="565"/>
      <c r="K2137" s="563">
        <v>0</v>
      </c>
      <c r="L2137" s="566">
        <v>0</v>
      </c>
    </row>
    <row r="2138" spans="1:12" ht="22.5" x14ac:dyDescent="0.2">
      <c r="A2138" s="561" t="s">
        <v>108</v>
      </c>
      <c r="B2138" s="562">
        <v>2021</v>
      </c>
      <c r="C2138" s="561" t="s">
        <v>697</v>
      </c>
      <c r="D2138" s="561" t="s">
        <v>2286</v>
      </c>
      <c r="E2138" s="561" t="s">
        <v>6</v>
      </c>
      <c r="F2138" s="563">
        <v>0</v>
      </c>
      <c r="G2138" s="564"/>
      <c r="H2138" s="561" t="s">
        <v>654</v>
      </c>
      <c r="I2138" s="565"/>
      <c r="J2138" s="565"/>
      <c r="K2138" s="563">
        <v>0</v>
      </c>
      <c r="L2138" s="566">
        <v>0</v>
      </c>
    </row>
    <row r="2139" spans="1:12" ht="33.75" x14ac:dyDescent="0.2">
      <c r="A2139" s="561" t="s">
        <v>108</v>
      </c>
      <c r="B2139" s="562">
        <v>2021</v>
      </c>
      <c r="C2139" s="561" t="s">
        <v>699</v>
      </c>
      <c r="D2139" s="561" t="s">
        <v>2287</v>
      </c>
      <c r="E2139" s="561" t="s">
        <v>701</v>
      </c>
      <c r="F2139" s="563">
        <v>0</v>
      </c>
      <c r="G2139" s="564"/>
      <c r="H2139" s="561" t="s">
        <v>654</v>
      </c>
      <c r="I2139" s="565"/>
      <c r="J2139" s="565"/>
      <c r="K2139" s="563">
        <v>0</v>
      </c>
      <c r="L2139" s="566">
        <v>0</v>
      </c>
    </row>
    <row r="2140" spans="1:12" ht="22.5" x14ac:dyDescent="0.2">
      <c r="A2140" s="561" t="s">
        <v>108</v>
      </c>
      <c r="B2140" s="562">
        <v>2021</v>
      </c>
      <c r="C2140" s="561" t="s">
        <v>702</v>
      </c>
      <c r="D2140" s="561" t="s">
        <v>2288</v>
      </c>
      <c r="E2140" s="561" t="s">
        <v>704</v>
      </c>
      <c r="F2140" s="563">
        <v>-20093.07</v>
      </c>
      <c r="G2140" s="564"/>
      <c r="H2140" s="561" t="s">
        <v>654</v>
      </c>
      <c r="I2140" s="565"/>
      <c r="J2140" s="565"/>
      <c r="K2140" s="563">
        <v>0</v>
      </c>
      <c r="L2140" s="566">
        <v>-20093.07</v>
      </c>
    </row>
    <row r="2141" spans="1:12" ht="33.75" x14ac:dyDescent="0.2">
      <c r="A2141" s="561" t="s">
        <v>108</v>
      </c>
      <c r="B2141" s="562">
        <v>2021</v>
      </c>
      <c r="C2141" s="561" t="s">
        <v>705</v>
      </c>
      <c r="D2141" s="561" t="s">
        <v>2289</v>
      </c>
      <c r="E2141" s="561" t="s">
        <v>1</v>
      </c>
      <c r="F2141" s="563">
        <v>-202468.21</v>
      </c>
      <c r="G2141" s="561" t="s">
        <v>654</v>
      </c>
      <c r="H2141" s="564"/>
      <c r="I2141" s="563">
        <v>-197163.75</v>
      </c>
      <c r="J2141" s="563">
        <v>-5304.4599609375</v>
      </c>
      <c r="K2141" s="563">
        <v>-202468.203125</v>
      </c>
      <c r="L2141" s="566">
        <v>-202468.21</v>
      </c>
    </row>
    <row r="2142" spans="1:12" ht="22.5" x14ac:dyDescent="0.2">
      <c r="A2142" s="561" t="s">
        <v>108</v>
      </c>
      <c r="B2142" s="562">
        <v>2021</v>
      </c>
      <c r="C2142" s="561" t="s">
        <v>705</v>
      </c>
      <c r="D2142" s="561" t="s">
        <v>2289</v>
      </c>
      <c r="E2142" s="561" t="s">
        <v>707</v>
      </c>
      <c r="F2142" s="563">
        <v>93.95</v>
      </c>
      <c r="G2142" s="564"/>
      <c r="H2142" s="564"/>
      <c r="I2142" s="565"/>
      <c r="J2142" s="565"/>
      <c r="K2142" s="563">
        <v>0</v>
      </c>
      <c r="L2142" s="566">
        <v>93.95</v>
      </c>
    </row>
    <row r="2143" spans="1:12" ht="22.5" x14ac:dyDescent="0.2">
      <c r="A2143" s="561" t="s">
        <v>108</v>
      </c>
      <c r="B2143" s="562">
        <v>2021</v>
      </c>
      <c r="C2143" s="561" t="s">
        <v>705</v>
      </c>
      <c r="D2143" s="561" t="s">
        <v>2289</v>
      </c>
      <c r="E2143" s="561" t="s">
        <v>708</v>
      </c>
      <c r="F2143" s="563">
        <v>1241.99</v>
      </c>
      <c r="G2143" s="564"/>
      <c r="H2143" s="564"/>
      <c r="I2143" s="565"/>
      <c r="J2143" s="565"/>
      <c r="K2143" s="563">
        <v>0</v>
      </c>
      <c r="L2143" s="566">
        <v>1241.99</v>
      </c>
    </row>
    <row r="2144" spans="1:12" ht="22.5" x14ac:dyDescent="0.2">
      <c r="A2144" s="561" t="s">
        <v>108</v>
      </c>
      <c r="B2144" s="562">
        <v>2021</v>
      </c>
      <c r="C2144" s="561" t="s">
        <v>705</v>
      </c>
      <c r="D2144" s="561" t="s">
        <v>2289</v>
      </c>
      <c r="E2144" s="561" t="s">
        <v>709</v>
      </c>
      <c r="F2144" s="563">
        <v>-565.84</v>
      </c>
      <c r="G2144" s="564"/>
      <c r="H2144" s="564"/>
      <c r="I2144" s="565"/>
      <c r="J2144" s="565"/>
      <c r="K2144" s="563">
        <v>0</v>
      </c>
      <c r="L2144" s="566">
        <v>-565.84</v>
      </c>
    </row>
    <row r="2145" spans="1:12" ht="22.5" x14ac:dyDescent="0.2">
      <c r="A2145" s="561" t="s">
        <v>108</v>
      </c>
      <c r="B2145" s="562">
        <v>2021</v>
      </c>
      <c r="C2145" s="561" t="s">
        <v>705</v>
      </c>
      <c r="D2145" s="561" t="s">
        <v>2289</v>
      </c>
      <c r="E2145" s="561" t="s">
        <v>710</v>
      </c>
      <c r="F2145" s="563">
        <v>-25428.48</v>
      </c>
      <c r="G2145" s="564"/>
      <c r="H2145" s="564"/>
      <c r="I2145" s="565"/>
      <c r="J2145" s="565"/>
      <c r="K2145" s="563">
        <v>0</v>
      </c>
      <c r="L2145" s="566">
        <v>-25428.48</v>
      </c>
    </row>
    <row r="2146" spans="1:12" ht="15" x14ac:dyDescent="0.2">
      <c r="A2146" s="561" t="s">
        <v>108</v>
      </c>
      <c r="B2146" s="562">
        <v>2021</v>
      </c>
      <c r="C2146" s="561" t="s">
        <v>711</v>
      </c>
      <c r="D2146" s="561" t="s">
        <v>2290</v>
      </c>
      <c r="E2146" s="561" t="s">
        <v>713</v>
      </c>
      <c r="F2146" s="563">
        <v>0</v>
      </c>
      <c r="G2146" s="564"/>
      <c r="H2146" s="561" t="s">
        <v>654</v>
      </c>
      <c r="I2146" s="565"/>
      <c r="J2146" s="565"/>
      <c r="K2146" s="563">
        <v>0</v>
      </c>
      <c r="L2146" s="566">
        <v>0</v>
      </c>
    </row>
    <row r="2147" spans="1:12" ht="33.75" x14ac:dyDescent="0.2">
      <c r="A2147" s="561" t="s">
        <v>108</v>
      </c>
      <c r="B2147" s="562">
        <v>2021</v>
      </c>
      <c r="C2147" s="561" t="s">
        <v>714</v>
      </c>
      <c r="D2147" s="561" t="s">
        <v>2291</v>
      </c>
      <c r="E2147" s="561" t="s">
        <v>2</v>
      </c>
      <c r="F2147" s="563">
        <v>113488.85</v>
      </c>
      <c r="G2147" s="561" t="s">
        <v>654</v>
      </c>
      <c r="H2147" s="564"/>
      <c r="I2147" s="563">
        <v>115174.7890625</v>
      </c>
      <c r="J2147" s="563">
        <v>-1685.93994140625</v>
      </c>
      <c r="K2147" s="563">
        <v>113488.8515625</v>
      </c>
      <c r="L2147" s="566">
        <v>113488.85</v>
      </c>
    </row>
    <row r="2148" spans="1:12" ht="33.75" x14ac:dyDescent="0.2">
      <c r="A2148" s="561" t="s">
        <v>108</v>
      </c>
      <c r="B2148" s="562">
        <v>2021</v>
      </c>
      <c r="C2148" s="561" t="s">
        <v>716</v>
      </c>
      <c r="D2148" s="561" t="s">
        <v>2292</v>
      </c>
      <c r="E2148" s="561" t="s">
        <v>3</v>
      </c>
      <c r="F2148" s="563">
        <v>162008.75</v>
      </c>
      <c r="G2148" s="561" t="s">
        <v>654</v>
      </c>
      <c r="H2148" s="564"/>
      <c r="I2148" s="563">
        <v>161735.859375</v>
      </c>
      <c r="J2148" s="563">
        <v>272.89001464843801</v>
      </c>
      <c r="K2148" s="563">
        <v>162008.75</v>
      </c>
      <c r="L2148" s="566">
        <v>162008.75</v>
      </c>
    </row>
    <row r="2149" spans="1:12" ht="33.75" x14ac:dyDescent="0.2">
      <c r="A2149" s="561" t="s">
        <v>108</v>
      </c>
      <c r="B2149" s="562">
        <v>2021</v>
      </c>
      <c r="C2149" s="561" t="s">
        <v>718</v>
      </c>
      <c r="D2149" s="561" t="s">
        <v>2293</v>
      </c>
      <c r="E2149" s="561" t="s">
        <v>38</v>
      </c>
      <c r="F2149" s="563">
        <v>327689.87</v>
      </c>
      <c r="G2149" s="561" t="s">
        <v>654</v>
      </c>
      <c r="H2149" s="564"/>
      <c r="I2149" s="563">
        <v>310954.5625</v>
      </c>
      <c r="J2149" s="563">
        <v>16735.310546875</v>
      </c>
      <c r="K2149" s="563">
        <v>327689.875</v>
      </c>
      <c r="L2149" s="566">
        <v>327689.87</v>
      </c>
    </row>
    <row r="2150" spans="1:12" ht="22.5" x14ac:dyDescent="0.2">
      <c r="A2150" s="561" t="s">
        <v>108</v>
      </c>
      <c r="B2150" s="562">
        <v>2021</v>
      </c>
      <c r="C2150" s="561" t="s">
        <v>720</v>
      </c>
      <c r="D2150" s="561" t="s">
        <v>2294</v>
      </c>
      <c r="E2150" s="561" t="s">
        <v>66</v>
      </c>
      <c r="F2150" s="563">
        <v>1016786.55</v>
      </c>
      <c r="G2150" s="561" t="s">
        <v>654</v>
      </c>
      <c r="H2150" s="564"/>
      <c r="I2150" s="563">
        <v>976019.0625</v>
      </c>
      <c r="J2150" s="563">
        <v>40767.5</v>
      </c>
      <c r="K2150" s="563">
        <v>1016786.5625</v>
      </c>
      <c r="L2150" s="566">
        <v>1016786.55</v>
      </c>
    </row>
    <row r="2151" spans="1:12" ht="45" x14ac:dyDescent="0.2">
      <c r="A2151" s="561" t="s">
        <v>108</v>
      </c>
      <c r="B2151" s="562">
        <v>2021</v>
      </c>
      <c r="C2151" s="561" t="s">
        <v>722</v>
      </c>
      <c r="D2151" s="561" t="s">
        <v>2295</v>
      </c>
      <c r="E2151" s="561" t="s">
        <v>724</v>
      </c>
      <c r="F2151" s="563">
        <v>-66918.539999999994</v>
      </c>
      <c r="G2151" s="564"/>
      <c r="H2151" s="561" t="s">
        <v>654</v>
      </c>
      <c r="I2151" s="565"/>
      <c r="J2151" s="565"/>
      <c r="K2151" s="563">
        <v>0</v>
      </c>
      <c r="L2151" s="566">
        <v>-66918.539999999994</v>
      </c>
    </row>
    <row r="2152" spans="1:12" ht="45" x14ac:dyDescent="0.2">
      <c r="A2152" s="561" t="s">
        <v>108</v>
      </c>
      <c r="B2152" s="562">
        <v>2021</v>
      </c>
      <c r="C2152" s="561" t="s">
        <v>725</v>
      </c>
      <c r="D2152" s="561" t="s">
        <v>2296</v>
      </c>
      <c r="E2152" s="561" t="s">
        <v>3024</v>
      </c>
      <c r="F2152" s="563">
        <v>0</v>
      </c>
      <c r="G2152" s="561" t="s">
        <v>654</v>
      </c>
      <c r="H2152" s="564"/>
      <c r="I2152" s="563">
        <v>-9186.66015625</v>
      </c>
      <c r="J2152" s="563">
        <v>1956.47998046875</v>
      </c>
      <c r="K2152" s="563">
        <v>-7230.18017578125</v>
      </c>
      <c r="L2152" s="566">
        <v>-7230.18</v>
      </c>
    </row>
    <row r="2153" spans="1:12" ht="45" x14ac:dyDescent="0.2">
      <c r="A2153" s="561" t="s">
        <v>108</v>
      </c>
      <c r="B2153" s="562">
        <v>2021</v>
      </c>
      <c r="C2153" s="561" t="s">
        <v>725</v>
      </c>
      <c r="D2153" s="561" t="s">
        <v>2296</v>
      </c>
      <c r="E2153" s="561" t="s">
        <v>3066</v>
      </c>
      <c r="F2153" s="563">
        <v>0</v>
      </c>
      <c r="G2153" s="561" t="s">
        <v>654</v>
      </c>
      <c r="H2153" s="564"/>
      <c r="I2153" s="563">
        <v>265440.0625</v>
      </c>
      <c r="J2153" s="563">
        <v>1564.30004882813</v>
      </c>
      <c r="K2153" s="563">
        <v>267004.375</v>
      </c>
      <c r="L2153" s="566">
        <v>267004.36</v>
      </c>
    </row>
    <row r="2154" spans="1:12" ht="45" x14ac:dyDescent="0.2">
      <c r="A2154" s="561" t="s">
        <v>108</v>
      </c>
      <c r="B2154" s="562">
        <v>2021</v>
      </c>
      <c r="C2154" s="561" t="s">
        <v>725</v>
      </c>
      <c r="D2154" s="561" t="s">
        <v>2297</v>
      </c>
      <c r="E2154" s="561" t="s">
        <v>728</v>
      </c>
      <c r="F2154" s="563">
        <v>0</v>
      </c>
      <c r="G2154" s="561" t="s">
        <v>654</v>
      </c>
      <c r="H2154" s="564"/>
      <c r="I2154" s="565"/>
      <c r="J2154" s="565"/>
      <c r="K2154" s="563">
        <v>0</v>
      </c>
      <c r="L2154" s="566">
        <v>0</v>
      </c>
    </row>
    <row r="2155" spans="1:12" ht="45" x14ac:dyDescent="0.2">
      <c r="A2155" s="561" t="s">
        <v>108</v>
      </c>
      <c r="B2155" s="562">
        <v>2021</v>
      </c>
      <c r="C2155" s="561" t="s">
        <v>725</v>
      </c>
      <c r="D2155" s="561" t="s">
        <v>2298</v>
      </c>
      <c r="E2155" s="561" t="s">
        <v>55</v>
      </c>
      <c r="F2155" s="563">
        <v>0</v>
      </c>
      <c r="G2155" s="561" t="s">
        <v>654</v>
      </c>
      <c r="H2155" s="564"/>
      <c r="I2155" s="565"/>
      <c r="J2155" s="565"/>
      <c r="K2155" s="563">
        <v>0</v>
      </c>
      <c r="L2155" s="566">
        <v>0</v>
      </c>
    </row>
    <row r="2156" spans="1:12" ht="45" x14ac:dyDescent="0.2">
      <c r="A2156" s="561" t="s">
        <v>108</v>
      </c>
      <c r="B2156" s="562">
        <v>2021</v>
      </c>
      <c r="C2156" s="561" t="s">
        <v>725</v>
      </c>
      <c r="D2156" s="561" t="s">
        <v>2299</v>
      </c>
      <c r="E2156" s="561" t="s">
        <v>56</v>
      </c>
      <c r="F2156" s="563">
        <v>0</v>
      </c>
      <c r="G2156" s="561" t="s">
        <v>654</v>
      </c>
      <c r="H2156" s="564"/>
      <c r="I2156" s="565"/>
      <c r="J2156" s="565"/>
      <c r="K2156" s="563">
        <v>0</v>
      </c>
      <c r="L2156" s="566">
        <v>0</v>
      </c>
    </row>
    <row r="2157" spans="1:12" ht="45" x14ac:dyDescent="0.2">
      <c r="A2157" s="561" t="s">
        <v>108</v>
      </c>
      <c r="B2157" s="562">
        <v>2021</v>
      </c>
      <c r="C2157" s="561" t="s">
        <v>725</v>
      </c>
      <c r="D2157" s="561" t="s">
        <v>2300</v>
      </c>
      <c r="E2157" s="561" t="s">
        <v>732</v>
      </c>
      <c r="F2157" s="563">
        <v>0</v>
      </c>
      <c r="G2157" s="561" t="s">
        <v>654</v>
      </c>
      <c r="H2157" s="564"/>
      <c r="I2157" s="565"/>
      <c r="J2157" s="565"/>
      <c r="K2157" s="563">
        <v>0</v>
      </c>
      <c r="L2157" s="566">
        <v>0</v>
      </c>
    </row>
    <row r="2158" spans="1:12" ht="45" x14ac:dyDescent="0.2">
      <c r="A2158" s="561" t="s">
        <v>108</v>
      </c>
      <c r="B2158" s="562">
        <v>2021</v>
      </c>
      <c r="C2158" s="561" t="s">
        <v>725</v>
      </c>
      <c r="D2158" s="561" t="s">
        <v>2301</v>
      </c>
      <c r="E2158" s="561" t="s">
        <v>734</v>
      </c>
      <c r="F2158" s="563">
        <v>0</v>
      </c>
      <c r="G2158" s="561" t="s">
        <v>654</v>
      </c>
      <c r="H2158" s="564"/>
      <c r="I2158" s="565"/>
      <c r="J2158" s="565"/>
      <c r="K2158" s="563">
        <v>0</v>
      </c>
      <c r="L2158" s="566">
        <v>0</v>
      </c>
    </row>
    <row r="2159" spans="1:12" ht="45" x14ac:dyDescent="0.2">
      <c r="A2159" s="561" t="s">
        <v>108</v>
      </c>
      <c r="B2159" s="562">
        <v>2021</v>
      </c>
      <c r="C2159" s="561" t="s">
        <v>725</v>
      </c>
      <c r="D2159" s="561" t="s">
        <v>2302</v>
      </c>
      <c r="E2159" s="561" t="s">
        <v>142</v>
      </c>
      <c r="F2159" s="563">
        <v>0</v>
      </c>
      <c r="G2159" s="561" t="s">
        <v>654</v>
      </c>
      <c r="H2159" s="564"/>
      <c r="I2159" s="565"/>
      <c r="J2159" s="565"/>
      <c r="K2159" s="563">
        <v>0</v>
      </c>
      <c r="L2159" s="566">
        <v>0</v>
      </c>
    </row>
    <row r="2160" spans="1:12" ht="45" x14ac:dyDescent="0.2">
      <c r="A2160" s="561" t="s">
        <v>108</v>
      </c>
      <c r="B2160" s="562">
        <v>2021</v>
      </c>
      <c r="C2160" s="561" t="s">
        <v>725</v>
      </c>
      <c r="D2160" s="561" t="s">
        <v>2303</v>
      </c>
      <c r="E2160" s="561" t="s">
        <v>143</v>
      </c>
      <c r="F2160" s="563">
        <v>0</v>
      </c>
      <c r="G2160" s="561" t="s">
        <v>654</v>
      </c>
      <c r="H2160" s="564"/>
      <c r="I2160" s="565"/>
      <c r="J2160" s="565"/>
      <c r="K2160" s="563">
        <v>0</v>
      </c>
      <c r="L2160" s="566">
        <v>0</v>
      </c>
    </row>
    <row r="2161" spans="1:12" ht="45" x14ac:dyDescent="0.2">
      <c r="A2161" s="561" t="s">
        <v>108</v>
      </c>
      <c r="B2161" s="562">
        <v>2021</v>
      </c>
      <c r="C2161" s="561" t="s">
        <v>725</v>
      </c>
      <c r="D2161" s="561" t="s">
        <v>2304</v>
      </c>
      <c r="E2161" s="561" t="s">
        <v>182</v>
      </c>
      <c r="F2161" s="563">
        <v>0</v>
      </c>
      <c r="G2161" s="561" t="s">
        <v>654</v>
      </c>
      <c r="H2161" s="564"/>
      <c r="I2161" s="565"/>
      <c r="J2161" s="565"/>
      <c r="K2161" s="563">
        <v>0</v>
      </c>
      <c r="L2161" s="566">
        <v>0</v>
      </c>
    </row>
    <row r="2162" spans="1:12" ht="45" x14ac:dyDescent="0.2">
      <c r="A2162" s="561" t="s">
        <v>108</v>
      </c>
      <c r="B2162" s="562">
        <v>2021</v>
      </c>
      <c r="C2162" s="561" t="s">
        <v>725</v>
      </c>
      <c r="D2162" s="561" t="s">
        <v>2305</v>
      </c>
      <c r="E2162" s="561" t="s">
        <v>394</v>
      </c>
      <c r="F2162" s="563">
        <v>0</v>
      </c>
      <c r="G2162" s="561" t="s">
        <v>654</v>
      </c>
      <c r="H2162" s="564"/>
      <c r="I2162" s="565"/>
      <c r="J2162" s="565"/>
      <c r="K2162" s="563">
        <v>0</v>
      </c>
      <c r="L2162" s="566">
        <v>0</v>
      </c>
    </row>
    <row r="2163" spans="1:12" ht="45" x14ac:dyDescent="0.2">
      <c r="A2163" s="561" t="s">
        <v>108</v>
      </c>
      <c r="B2163" s="562">
        <v>2021</v>
      </c>
      <c r="C2163" s="561" t="s">
        <v>725</v>
      </c>
      <c r="D2163" s="561" t="s">
        <v>2306</v>
      </c>
      <c r="E2163" s="561" t="s">
        <v>425</v>
      </c>
      <c r="F2163" s="563">
        <v>0</v>
      </c>
      <c r="G2163" s="561" t="s">
        <v>654</v>
      </c>
      <c r="H2163" s="564"/>
      <c r="I2163" s="565"/>
      <c r="J2163" s="565"/>
      <c r="K2163" s="563">
        <v>0</v>
      </c>
      <c r="L2163" s="566">
        <v>0</v>
      </c>
    </row>
    <row r="2164" spans="1:12" ht="45" x14ac:dyDescent="0.2">
      <c r="A2164" s="561" t="s">
        <v>108</v>
      </c>
      <c r="B2164" s="562">
        <v>2021</v>
      </c>
      <c r="C2164" s="561" t="s">
        <v>725</v>
      </c>
      <c r="D2164" s="561" t="s">
        <v>3286</v>
      </c>
      <c r="E2164" s="561" t="s">
        <v>443</v>
      </c>
      <c r="F2164" s="563">
        <v>0</v>
      </c>
      <c r="G2164" s="561" t="s">
        <v>654</v>
      </c>
      <c r="H2164" s="564"/>
      <c r="I2164" s="563">
        <v>-5054.7001953125</v>
      </c>
      <c r="J2164" s="563">
        <v>2529.40991210938</v>
      </c>
      <c r="K2164" s="563">
        <v>-2525.2900390625</v>
      </c>
      <c r="L2164" s="566">
        <v>-2525.29</v>
      </c>
    </row>
    <row r="2165" spans="1:12" ht="45" x14ac:dyDescent="0.2">
      <c r="A2165" s="561" t="s">
        <v>108</v>
      </c>
      <c r="B2165" s="562">
        <v>2021</v>
      </c>
      <c r="C2165" s="561" t="s">
        <v>725</v>
      </c>
      <c r="D2165" s="561" t="s">
        <v>2307</v>
      </c>
      <c r="E2165" s="561" t="s">
        <v>741</v>
      </c>
      <c r="F2165" s="563">
        <v>257248.89</v>
      </c>
      <c r="G2165" s="564"/>
      <c r="H2165" s="564"/>
      <c r="I2165" s="565"/>
      <c r="J2165" s="565"/>
      <c r="K2165" s="563">
        <v>0</v>
      </c>
      <c r="L2165" s="566">
        <v>257248.89</v>
      </c>
    </row>
    <row r="2166" spans="1:12" ht="22.5" x14ac:dyDescent="0.2">
      <c r="A2166" s="561" t="s">
        <v>108</v>
      </c>
      <c r="B2166" s="562">
        <v>2021</v>
      </c>
      <c r="C2166" s="561" t="s">
        <v>742</v>
      </c>
      <c r="D2166" s="561" t="s">
        <v>2308</v>
      </c>
      <c r="E2166" s="561" t="s">
        <v>7</v>
      </c>
      <c r="F2166" s="563">
        <v>0</v>
      </c>
      <c r="G2166" s="564"/>
      <c r="H2166" s="561" t="s">
        <v>654</v>
      </c>
      <c r="I2166" s="565"/>
      <c r="J2166" s="565"/>
      <c r="K2166" s="563">
        <v>0</v>
      </c>
      <c r="L2166" s="566">
        <v>0</v>
      </c>
    </row>
    <row r="2167" spans="1:12" ht="22.5" x14ac:dyDescent="0.2">
      <c r="A2167" s="561" t="s">
        <v>109</v>
      </c>
      <c r="B2167" s="562">
        <v>2021</v>
      </c>
      <c r="C2167" s="561" t="s">
        <v>651</v>
      </c>
      <c r="D2167" s="561" t="s">
        <v>2309</v>
      </c>
      <c r="E2167" s="561" t="s">
        <v>653</v>
      </c>
      <c r="F2167" s="563">
        <v>-27592</v>
      </c>
      <c r="G2167" s="564"/>
      <c r="H2167" s="561" t="s">
        <v>654</v>
      </c>
      <c r="I2167" s="565"/>
      <c r="J2167" s="565"/>
      <c r="K2167" s="563">
        <v>0</v>
      </c>
      <c r="L2167" s="566">
        <v>-27592</v>
      </c>
    </row>
    <row r="2168" spans="1:12" ht="22.5" x14ac:dyDescent="0.2">
      <c r="A2168" s="561" t="s">
        <v>109</v>
      </c>
      <c r="B2168" s="562">
        <v>2021</v>
      </c>
      <c r="C2168" s="561" t="s">
        <v>655</v>
      </c>
      <c r="D2168" s="561" t="s">
        <v>2310</v>
      </c>
      <c r="E2168" s="561" t="s">
        <v>657</v>
      </c>
      <c r="F2168" s="563">
        <v>-209231</v>
      </c>
      <c r="G2168" s="564"/>
      <c r="H2168" s="561" t="s">
        <v>654</v>
      </c>
      <c r="I2168" s="565"/>
      <c r="J2168" s="565"/>
      <c r="K2168" s="563">
        <v>0</v>
      </c>
      <c r="L2168" s="566">
        <v>-209231</v>
      </c>
    </row>
    <row r="2169" spans="1:12" ht="56.25" x14ac:dyDescent="0.2">
      <c r="A2169" s="561" t="s">
        <v>109</v>
      </c>
      <c r="B2169" s="562">
        <v>2021</v>
      </c>
      <c r="C2169" s="561" t="s">
        <v>658</v>
      </c>
      <c r="D2169" s="561" t="s">
        <v>2311</v>
      </c>
      <c r="E2169" s="561" t="s">
        <v>447</v>
      </c>
      <c r="F2169" s="563">
        <v>0</v>
      </c>
      <c r="G2169" s="564"/>
      <c r="H2169" s="561" t="s">
        <v>654</v>
      </c>
      <c r="I2169" s="565"/>
      <c r="J2169" s="565"/>
      <c r="K2169" s="563">
        <v>0</v>
      </c>
      <c r="L2169" s="566">
        <v>0</v>
      </c>
    </row>
    <row r="2170" spans="1:12" ht="22.5" x14ac:dyDescent="0.2">
      <c r="A2170" s="561" t="s">
        <v>109</v>
      </c>
      <c r="B2170" s="562">
        <v>2021</v>
      </c>
      <c r="C2170" s="561" t="s">
        <v>660</v>
      </c>
      <c r="D2170" s="561" t="s">
        <v>2312</v>
      </c>
      <c r="E2170" s="561" t="s">
        <v>662</v>
      </c>
      <c r="F2170" s="563">
        <v>0</v>
      </c>
      <c r="G2170" s="564"/>
      <c r="H2170" s="561" t="s">
        <v>654</v>
      </c>
      <c r="I2170" s="565"/>
      <c r="J2170" s="565"/>
      <c r="K2170" s="563">
        <v>0</v>
      </c>
      <c r="L2170" s="566">
        <v>0</v>
      </c>
    </row>
    <row r="2171" spans="1:12" ht="33.75" x14ac:dyDescent="0.2">
      <c r="A2171" s="561" t="s">
        <v>109</v>
      </c>
      <c r="B2171" s="562">
        <v>2021</v>
      </c>
      <c r="C2171" s="561" t="s">
        <v>663</v>
      </c>
      <c r="D2171" s="561" t="s">
        <v>2313</v>
      </c>
      <c r="E2171" s="561" t="s">
        <v>665</v>
      </c>
      <c r="F2171" s="563">
        <v>0</v>
      </c>
      <c r="G2171" s="564"/>
      <c r="H2171" s="561" t="s">
        <v>654</v>
      </c>
      <c r="I2171" s="565"/>
      <c r="J2171" s="565"/>
      <c r="K2171" s="563">
        <v>0</v>
      </c>
      <c r="L2171" s="566">
        <v>0</v>
      </c>
    </row>
    <row r="2172" spans="1:12" ht="33.75" x14ac:dyDescent="0.2">
      <c r="A2172" s="561" t="s">
        <v>109</v>
      </c>
      <c r="B2172" s="562">
        <v>2021</v>
      </c>
      <c r="C2172" s="561" t="s">
        <v>666</v>
      </c>
      <c r="D2172" s="561" t="s">
        <v>2314</v>
      </c>
      <c r="E2172" s="561" t="s">
        <v>668</v>
      </c>
      <c r="F2172" s="563">
        <v>0</v>
      </c>
      <c r="G2172" s="564"/>
      <c r="H2172" s="561" t="s">
        <v>654</v>
      </c>
      <c r="I2172" s="565"/>
      <c r="J2172" s="565"/>
      <c r="K2172" s="563">
        <v>0</v>
      </c>
      <c r="L2172" s="566">
        <v>0</v>
      </c>
    </row>
    <row r="2173" spans="1:12" ht="56.25" x14ac:dyDescent="0.2">
      <c r="A2173" s="561" t="s">
        <v>109</v>
      </c>
      <c r="B2173" s="562">
        <v>2021</v>
      </c>
      <c r="C2173" s="561" t="s">
        <v>669</v>
      </c>
      <c r="D2173" s="561" t="s">
        <v>2315</v>
      </c>
      <c r="E2173" s="561" t="s">
        <v>671</v>
      </c>
      <c r="F2173" s="563">
        <v>0</v>
      </c>
      <c r="G2173" s="564"/>
      <c r="H2173" s="561" t="s">
        <v>654</v>
      </c>
      <c r="I2173" s="565"/>
      <c r="J2173" s="565"/>
      <c r="K2173" s="563">
        <v>0</v>
      </c>
      <c r="L2173" s="566">
        <v>0</v>
      </c>
    </row>
    <row r="2174" spans="1:12" ht="22.5" x14ac:dyDescent="0.2">
      <c r="A2174" s="561" t="s">
        <v>109</v>
      </c>
      <c r="B2174" s="562">
        <v>2021</v>
      </c>
      <c r="C2174" s="561" t="s">
        <v>672</v>
      </c>
      <c r="D2174" s="561" t="s">
        <v>2316</v>
      </c>
      <c r="E2174" s="561" t="s">
        <v>12</v>
      </c>
      <c r="F2174" s="563">
        <v>0</v>
      </c>
      <c r="G2174" s="564"/>
      <c r="H2174" s="561" t="s">
        <v>654</v>
      </c>
      <c r="I2174" s="565"/>
      <c r="J2174" s="565"/>
      <c r="K2174" s="563">
        <v>0</v>
      </c>
      <c r="L2174" s="566">
        <v>0</v>
      </c>
    </row>
    <row r="2175" spans="1:12" ht="22.5" x14ac:dyDescent="0.2">
      <c r="A2175" s="561" t="s">
        <v>109</v>
      </c>
      <c r="B2175" s="562">
        <v>2021</v>
      </c>
      <c r="C2175" s="561" t="s">
        <v>674</v>
      </c>
      <c r="D2175" s="561" t="s">
        <v>2317</v>
      </c>
      <c r="E2175" s="561" t="s">
        <v>13</v>
      </c>
      <c r="F2175" s="563">
        <v>0</v>
      </c>
      <c r="G2175" s="564"/>
      <c r="H2175" s="561" t="s">
        <v>654</v>
      </c>
      <c r="I2175" s="565"/>
      <c r="J2175" s="565"/>
      <c r="K2175" s="563">
        <v>0</v>
      </c>
      <c r="L2175" s="566">
        <v>0</v>
      </c>
    </row>
    <row r="2176" spans="1:12" ht="33.75" x14ac:dyDescent="0.2">
      <c r="A2176" s="561" t="s">
        <v>109</v>
      </c>
      <c r="B2176" s="562">
        <v>2021</v>
      </c>
      <c r="C2176" s="561" t="s">
        <v>676</v>
      </c>
      <c r="D2176" s="561" t="s">
        <v>2318</v>
      </c>
      <c r="E2176" s="561" t="s">
        <v>15</v>
      </c>
      <c r="F2176" s="563">
        <v>0</v>
      </c>
      <c r="G2176" s="564"/>
      <c r="H2176" s="561" t="s">
        <v>654</v>
      </c>
      <c r="I2176" s="565"/>
      <c r="J2176" s="565"/>
      <c r="K2176" s="563">
        <v>0</v>
      </c>
      <c r="L2176" s="566">
        <v>0</v>
      </c>
    </row>
    <row r="2177" spans="1:12" ht="22.5" x14ac:dyDescent="0.2">
      <c r="A2177" s="561" t="s">
        <v>109</v>
      </c>
      <c r="B2177" s="562">
        <v>2021</v>
      </c>
      <c r="C2177" s="561" t="s">
        <v>678</v>
      </c>
      <c r="D2177" s="561" t="s">
        <v>2319</v>
      </c>
      <c r="E2177" s="561" t="s">
        <v>680</v>
      </c>
      <c r="F2177" s="563">
        <v>124093</v>
      </c>
      <c r="G2177" s="564"/>
      <c r="H2177" s="561" t="s">
        <v>654</v>
      </c>
      <c r="I2177" s="565"/>
      <c r="J2177" s="565"/>
      <c r="K2177" s="563">
        <v>0</v>
      </c>
      <c r="L2177" s="566">
        <v>124093</v>
      </c>
    </row>
    <row r="2178" spans="1:12" ht="22.5" x14ac:dyDescent="0.2">
      <c r="A2178" s="561" t="s">
        <v>109</v>
      </c>
      <c r="B2178" s="562">
        <v>2021</v>
      </c>
      <c r="C2178" s="561" t="s">
        <v>681</v>
      </c>
      <c r="D2178" s="561" t="s">
        <v>2320</v>
      </c>
      <c r="E2178" s="561" t="s">
        <v>23</v>
      </c>
      <c r="F2178" s="563">
        <v>3491306</v>
      </c>
      <c r="G2178" s="561" t="s">
        <v>654</v>
      </c>
      <c r="H2178" s="564"/>
      <c r="I2178" s="563">
        <v>3394406</v>
      </c>
      <c r="J2178" s="563">
        <v>96900</v>
      </c>
      <c r="K2178" s="563">
        <v>3491306</v>
      </c>
      <c r="L2178" s="566">
        <v>3491306</v>
      </c>
    </row>
    <row r="2179" spans="1:12" ht="33.75" x14ac:dyDescent="0.2">
      <c r="A2179" s="561" t="s">
        <v>109</v>
      </c>
      <c r="B2179" s="562">
        <v>2021</v>
      </c>
      <c r="C2179" s="561" t="s">
        <v>683</v>
      </c>
      <c r="D2179" s="561" t="s">
        <v>2321</v>
      </c>
      <c r="E2179" s="561" t="s">
        <v>131</v>
      </c>
      <c r="F2179" s="563">
        <v>-24209</v>
      </c>
      <c r="G2179" s="561" t="s">
        <v>654</v>
      </c>
      <c r="H2179" s="564"/>
      <c r="I2179" s="563">
        <v>-23349</v>
      </c>
      <c r="J2179" s="563">
        <v>-860</v>
      </c>
      <c r="K2179" s="563">
        <v>-24209</v>
      </c>
      <c r="L2179" s="566">
        <v>-24209</v>
      </c>
    </row>
    <row r="2180" spans="1:12" ht="33.75" x14ac:dyDescent="0.2">
      <c r="A2180" s="561" t="s">
        <v>109</v>
      </c>
      <c r="B2180" s="562">
        <v>2021</v>
      </c>
      <c r="C2180" s="561" t="s">
        <v>685</v>
      </c>
      <c r="D2180" s="561" t="s">
        <v>2322</v>
      </c>
      <c r="E2180" s="561" t="s">
        <v>687</v>
      </c>
      <c r="F2180" s="563">
        <v>103650</v>
      </c>
      <c r="G2180" s="564"/>
      <c r="H2180" s="561" t="s">
        <v>654</v>
      </c>
      <c r="I2180" s="565"/>
      <c r="J2180" s="565"/>
      <c r="K2180" s="563">
        <v>0</v>
      </c>
      <c r="L2180" s="566">
        <v>103650</v>
      </c>
    </row>
    <row r="2181" spans="1:12" ht="33.75" x14ac:dyDescent="0.2">
      <c r="A2181" s="561" t="s">
        <v>109</v>
      </c>
      <c r="B2181" s="562">
        <v>2021</v>
      </c>
      <c r="C2181" s="561" t="s">
        <v>685</v>
      </c>
      <c r="D2181" s="561" t="s">
        <v>2322</v>
      </c>
      <c r="E2181" s="561" t="s">
        <v>688</v>
      </c>
      <c r="F2181" s="563">
        <v>103650</v>
      </c>
      <c r="G2181" s="564"/>
      <c r="H2181" s="561" t="s">
        <v>654</v>
      </c>
      <c r="I2181" s="565"/>
      <c r="J2181" s="565"/>
      <c r="K2181" s="563">
        <v>0</v>
      </c>
      <c r="L2181" s="566">
        <v>103650</v>
      </c>
    </row>
    <row r="2182" spans="1:12" ht="22.5" x14ac:dyDescent="0.2">
      <c r="A2182" s="561" t="s">
        <v>109</v>
      </c>
      <c r="B2182" s="562">
        <v>2021</v>
      </c>
      <c r="C2182" s="561" t="s">
        <v>689</v>
      </c>
      <c r="D2182" s="561" t="s">
        <v>2323</v>
      </c>
      <c r="E2182" s="561" t="s">
        <v>691</v>
      </c>
      <c r="F2182" s="563">
        <v>0</v>
      </c>
      <c r="G2182" s="564"/>
      <c r="H2182" s="561" t="s">
        <v>654</v>
      </c>
      <c r="I2182" s="565"/>
      <c r="J2182" s="565"/>
      <c r="K2182" s="563">
        <v>0</v>
      </c>
      <c r="L2182" s="566">
        <v>0</v>
      </c>
    </row>
    <row r="2183" spans="1:12" ht="22.5" x14ac:dyDescent="0.2">
      <c r="A2183" s="561" t="s">
        <v>109</v>
      </c>
      <c r="B2183" s="562">
        <v>2021</v>
      </c>
      <c r="C2183" s="561" t="s">
        <v>692</v>
      </c>
      <c r="D2183" s="561" t="s">
        <v>2324</v>
      </c>
      <c r="E2183" s="561" t="s">
        <v>50</v>
      </c>
      <c r="F2183" s="563">
        <v>613611</v>
      </c>
      <c r="G2183" s="564"/>
      <c r="H2183" s="561" t="s">
        <v>654</v>
      </c>
      <c r="I2183" s="565"/>
      <c r="J2183" s="565"/>
      <c r="K2183" s="563">
        <v>0</v>
      </c>
      <c r="L2183" s="566">
        <v>613611</v>
      </c>
    </row>
    <row r="2184" spans="1:12" ht="22.5" x14ac:dyDescent="0.2">
      <c r="A2184" s="561" t="s">
        <v>109</v>
      </c>
      <c r="B2184" s="562">
        <v>2021</v>
      </c>
      <c r="C2184" s="561" t="s">
        <v>694</v>
      </c>
      <c r="D2184" s="561" t="s">
        <v>2325</v>
      </c>
      <c r="E2184" s="561" t="s">
        <v>696</v>
      </c>
      <c r="F2184" s="563">
        <v>0</v>
      </c>
      <c r="G2184" s="564"/>
      <c r="H2184" s="561" t="s">
        <v>654</v>
      </c>
      <c r="I2184" s="565"/>
      <c r="J2184" s="565"/>
      <c r="K2184" s="563">
        <v>0</v>
      </c>
      <c r="L2184" s="566">
        <v>0</v>
      </c>
    </row>
    <row r="2185" spans="1:12" ht="22.5" x14ac:dyDescent="0.2">
      <c r="A2185" s="561" t="s">
        <v>109</v>
      </c>
      <c r="B2185" s="562">
        <v>2021</v>
      </c>
      <c r="C2185" s="561" t="s">
        <v>697</v>
      </c>
      <c r="D2185" s="561" t="s">
        <v>2326</v>
      </c>
      <c r="E2185" s="561" t="s">
        <v>6</v>
      </c>
      <c r="F2185" s="563">
        <v>0</v>
      </c>
      <c r="G2185" s="564"/>
      <c r="H2185" s="561" t="s">
        <v>654</v>
      </c>
      <c r="I2185" s="565"/>
      <c r="J2185" s="565"/>
      <c r="K2185" s="563">
        <v>0</v>
      </c>
      <c r="L2185" s="566">
        <v>0</v>
      </c>
    </row>
    <row r="2186" spans="1:12" ht="33.75" x14ac:dyDescent="0.2">
      <c r="A2186" s="561" t="s">
        <v>109</v>
      </c>
      <c r="B2186" s="562">
        <v>2021</v>
      </c>
      <c r="C2186" s="561" t="s">
        <v>699</v>
      </c>
      <c r="D2186" s="561" t="s">
        <v>2327</v>
      </c>
      <c r="E2186" s="561" t="s">
        <v>701</v>
      </c>
      <c r="F2186" s="563">
        <v>-13563</v>
      </c>
      <c r="G2186" s="564"/>
      <c r="H2186" s="561" t="s">
        <v>654</v>
      </c>
      <c r="I2186" s="565"/>
      <c r="J2186" s="565"/>
      <c r="K2186" s="563">
        <v>0</v>
      </c>
      <c r="L2186" s="566">
        <v>-13563</v>
      </c>
    </row>
    <row r="2187" spans="1:12" ht="22.5" x14ac:dyDescent="0.2">
      <c r="A2187" s="561" t="s">
        <v>109</v>
      </c>
      <c r="B2187" s="562">
        <v>2021</v>
      </c>
      <c r="C2187" s="561" t="s">
        <v>702</v>
      </c>
      <c r="D2187" s="561" t="s">
        <v>2328</v>
      </c>
      <c r="E2187" s="561" t="s">
        <v>704</v>
      </c>
      <c r="F2187" s="563">
        <v>-3593323</v>
      </c>
      <c r="G2187" s="564"/>
      <c r="H2187" s="561" t="s">
        <v>654</v>
      </c>
      <c r="I2187" s="565"/>
      <c r="J2187" s="565"/>
      <c r="K2187" s="563">
        <v>0</v>
      </c>
      <c r="L2187" s="566">
        <v>-3593323</v>
      </c>
    </row>
    <row r="2188" spans="1:12" ht="33.75" x14ac:dyDescent="0.2">
      <c r="A2188" s="561" t="s">
        <v>109</v>
      </c>
      <c r="B2188" s="562">
        <v>2021</v>
      </c>
      <c r="C2188" s="561" t="s">
        <v>705</v>
      </c>
      <c r="D2188" s="561" t="s">
        <v>2329</v>
      </c>
      <c r="E2188" s="561" t="s">
        <v>1</v>
      </c>
      <c r="F2188" s="563">
        <v>-1565187</v>
      </c>
      <c r="G2188" s="561" t="s">
        <v>654</v>
      </c>
      <c r="H2188" s="564"/>
      <c r="I2188" s="563">
        <v>-1505927</v>
      </c>
      <c r="J2188" s="563">
        <v>-59260</v>
      </c>
      <c r="K2188" s="563">
        <v>-1565187</v>
      </c>
      <c r="L2188" s="566">
        <v>-1565187</v>
      </c>
    </row>
    <row r="2189" spans="1:12" ht="22.5" x14ac:dyDescent="0.2">
      <c r="A2189" s="561" t="s">
        <v>109</v>
      </c>
      <c r="B2189" s="562">
        <v>2021</v>
      </c>
      <c r="C2189" s="561" t="s">
        <v>705</v>
      </c>
      <c r="D2189" s="561" t="s">
        <v>2329</v>
      </c>
      <c r="E2189" s="561" t="s">
        <v>707</v>
      </c>
      <c r="F2189" s="563">
        <v>0</v>
      </c>
      <c r="G2189" s="564"/>
      <c r="H2189" s="564"/>
      <c r="I2189" s="565"/>
      <c r="J2189" s="565"/>
      <c r="K2189" s="563">
        <v>0</v>
      </c>
      <c r="L2189" s="566">
        <v>0</v>
      </c>
    </row>
    <row r="2190" spans="1:12" ht="22.5" x14ac:dyDescent="0.2">
      <c r="A2190" s="561" t="s">
        <v>109</v>
      </c>
      <c r="B2190" s="562">
        <v>2021</v>
      </c>
      <c r="C2190" s="561" t="s">
        <v>705</v>
      </c>
      <c r="D2190" s="561" t="s">
        <v>2329</v>
      </c>
      <c r="E2190" s="561" t="s">
        <v>708</v>
      </c>
      <c r="F2190" s="563">
        <v>-43943</v>
      </c>
      <c r="G2190" s="564"/>
      <c r="H2190" s="564"/>
      <c r="I2190" s="565"/>
      <c r="J2190" s="565"/>
      <c r="K2190" s="563">
        <v>0</v>
      </c>
      <c r="L2190" s="566">
        <v>-43943</v>
      </c>
    </row>
    <row r="2191" spans="1:12" ht="22.5" x14ac:dyDescent="0.2">
      <c r="A2191" s="561" t="s">
        <v>109</v>
      </c>
      <c r="B2191" s="562">
        <v>2021</v>
      </c>
      <c r="C2191" s="561" t="s">
        <v>705</v>
      </c>
      <c r="D2191" s="561" t="s">
        <v>2329</v>
      </c>
      <c r="E2191" s="561" t="s">
        <v>709</v>
      </c>
      <c r="F2191" s="563">
        <v>0</v>
      </c>
      <c r="G2191" s="564"/>
      <c r="H2191" s="564"/>
      <c r="I2191" s="565"/>
      <c r="J2191" s="565"/>
      <c r="K2191" s="563">
        <v>0</v>
      </c>
      <c r="L2191" s="566">
        <v>0</v>
      </c>
    </row>
    <row r="2192" spans="1:12" ht="22.5" x14ac:dyDescent="0.2">
      <c r="A2192" s="561" t="s">
        <v>109</v>
      </c>
      <c r="B2192" s="562">
        <v>2021</v>
      </c>
      <c r="C2192" s="561" t="s">
        <v>705</v>
      </c>
      <c r="D2192" s="561" t="s">
        <v>2329</v>
      </c>
      <c r="E2192" s="561" t="s">
        <v>710</v>
      </c>
      <c r="F2192" s="563">
        <v>-1347</v>
      </c>
      <c r="G2192" s="564"/>
      <c r="H2192" s="564"/>
      <c r="I2192" s="565"/>
      <c r="J2192" s="565"/>
      <c r="K2192" s="563">
        <v>0</v>
      </c>
      <c r="L2192" s="566">
        <v>-1347</v>
      </c>
    </row>
    <row r="2193" spans="1:12" ht="22.5" x14ac:dyDescent="0.2">
      <c r="A2193" s="561" t="s">
        <v>109</v>
      </c>
      <c r="B2193" s="562">
        <v>2021</v>
      </c>
      <c r="C2193" s="561" t="s">
        <v>711</v>
      </c>
      <c r="D2193" s="561" t="s">
        <v>2330</v>
      </c>
      <c r="E2193" s="561" t="s">
        <v>713</v>
      </c>
      <c r="F2193" s="563">
        <v>0</v>
      </c>
      <c r="G2193" s="564"/>
      <c r="H2193" s="561" t="s">
        <v>654</v>
      </c>
      <c r="I2193" s="565"/>
      <c r="J2193" s="565"/>
      <c r="K2193" s="563">
        <v>0</v>
      </c>
      <c r="L2193" s="566">
        <v>0</v>
      </c>
    </row>
    <row r="2194" spans="1:12" ht="33.75" x14ac:dyDescent="0.2">
      <c r="A2194" s="561" t="s">
        <v>109</v>
      </c>
      <c r="B2194" s="562">
        <v>2021</v>
      </c>
      <c r="C2194" s="561" t="s">
        <v>714</v>
      </c>
      <c r="D2194" s="561" t="s">
        <v>2331</v>
      </c>
      <c r="E2194" s="561" t="s">
        <v>2</v>
      </c>
      <c r="F2194" s="563">
        <v>173819</v>
      </c>
      <c r="G2194" s="561" t="s">
        <v>654</v>
      </c>
      <c r="H2194" s="564"/>
      <c r="I2194" s="563">
        <v>176471</v>
      </c>
      <c r="J2194" s="563">
        <v>-2652</v>
      </c>
      <c r="K2194" s="563">
        <v>173819</v>
      </c>
      <c r="L2194" s="566">
        <v>173819</v>
      </c>
    </row>
    <row r="2195" spans="1:12" ht="33.75" x14ac:dyDescent="0.2">
      <c r="A2195" s="561" t="s">
        <v>109</v>
      </c>
      <c r="B2195" s="562">
        <v>2021</v>
      </c>
      <c r="C2195" s="561" t="s">
        <v>716</v>
      </c>
      <c r="D2195" s="561" t="s">
        <v>2332</v>
      </c>
      <c r="E2195" s="561" t="s">
        <v>3</v>
      </c>
      <c r="F2195" s="563">
        <v>181458</v>
      </c>
      <c r="G2195" s="561" t="s">
        <v>654</v>
      </c>
      <c r="H2195" s="564"/>
      <c r="I2195" s="563">
        <v>184775</v>
      </c>
      <c r="J2195" s="563">
        <v>-3317</v>
      </c>
      <c r="K2195" s="563">
        <v>181458</v>
      </c>
      <c r="L2195" s="566">
        <v>181458</v>
      </c>
    </row>
    <row r="2196" spans="1:12" ht="33.75" x14ac:dyDescent="0.2">
      <c r="A2196" s="561" t="s">
        <v>109</v>
      </c>
      <c r="B2196" s="562">
        <v>2021</v>
      </c>
      <c r="C2196" s="561" t="s">
        <v>718</v>
      </c>
      <c r="D2196" s="561" t="s">
        <v>2333</v>
      </c>
      <c r="E2196" s="561" t="s">
        <v>38</v>
      </c>
      <c r="F2196" s="563">
        <v>-557100</v>
      </c>
      <c r="G2196" s="561" t="s">
        <v>654</v>
      </c>
      <c r="H2196" s="564"/>
      <c r="I2196" s="563">
        <v>-536595</v>
      </c>
      <c r="J2196" s="563">
        <v>-20505</v>
      </c>
      <c r="K2196" s="563">
        <v>-557100</v>
      </c>
      <c r="L2196" s="566">
        <v>-557100</v>
      </c>
    </row>
    <row r="2197" spans="1:12" ht="22.5" x14ac:dyDescent="0.2">
      <c r="A2197" s="561" t="s">
        <v>109</v>
      </c>
      <c r="B2197" s="562">
        <v>2021</v>
      </c>
      <c r="C2197" s="561" t="s">
        <v>720</v>
      </c>
      <c r="D2197" s="561" t="s">
        <v>2334</v>
      </c>
      <c r="E2197" s="561" t="s">
        <v>66</v>
      </c>
      <c r="F2197" s="563">
        <v>135380</v>
      </c>
      <c r="G2197" s="561" t="s">
        <v>654</v>
      </c>
      <c r="H2197" s="564"/>
      <c r="I2197" s="563">
        <v>125072</v>
      </c>
      <c r="J2197" s="563">
        <v>10308</v>
      </c>
      <c r="K2197" s="563">
        <v>135380</v>
      </c>
      <c r="L2197" s="566">
        <v>135380</v>
      </c>
    </row>
    <row r="2198" spans="1:12" ht="45" x14ac:dyDescent="0.2">
      <c r="A2198" s="561" t="s">
        <v>109</v>
      </c>
      <c r="B2198" s="562">
        <v>2021</v>
      </c>
      <c r="C2198" s="561" t="s">
        <v>722</v>
      </c>
      <c r="D2198" s="561" t="s">
        <v>2335</v>
      </c>
      <c r="E2198" s="561" t="s">
        <v>724</v>
      </c>
      <c r="F2198" s="563">
        <v>-200567</v>
      </c>
      <c r="G2198" s="564"/>
      <c r="H2198" s="561" t="s">
        <v>654</v>
      </c>
      <c r="I2198" s="565"/>
      <c r="J2198" s="565"/>
      <c r="K2198" s="563">
        <v>0</v>
      </c>
      <c r="L2198" s="566">
        <v>-200567</v>
      </c>
    </row>
    <row r="2199" spans="1:12" ht="45" x14ac:dyDescent="0.2">
      <c r="A2199" s="561" t="s">
        <v>109</v>
      </c>
      <c r="B2199" s="562">
        <v>2021</v>
      </c>
      <c r="C2199" s="561" t="s">
        <v>725</v>
      </c>
      <c r="D2199" s="561" t="s">
        <v>2336</v>
      </c>
      <c r="E2199" s="561" t="s">
        <v>3024</v>
      </c>
      <c r="F2199" s="563">
        <v>0</v>
      </c>
      <c r="G2199" s="561" t="s">
        <v>654</v>
      </c>
      <c r="H2199" s="564"/>
      <c r="I2199" s="565"/>
      <c r="J2199" s="565"/>
      <c r="K2199" s="563">
        <v>0</v>
      </c>
      <c r="L2199" s="566">
        <v>0</v>
      </c>
    </row>
    <row r="2200" spans="1:12" ht="45" x14ac:dyDescent="0.2">
      <c r="A2200" s="561" t="s">
        <v>109</v>
      </c>
      <c r="B2200" s="562">
        <v>2021</v>
      </c>
      <c r="C2200" s="561" t="s">
        <v>725</v>
      </c>
      <c r="D2200" s="561" t="s">
        <v>2336</v>
      </c>
      <c r="E2200" s="561" t="s">
        <v>3066</v>
      </c>
      <c r="F2200" s="563">
        <v>0</v>
      </c>
      <c r="G2200" s="561" t="s">
        <v>654</v>
      </c>
      <c r="H2200" s="564"/>
      <c r="I2200" s="565"/>
      <c r="J2200" s="565"/>
      <c r="K2200" s="563">
        <v>0</v>
      </c>
      <c r="L2200" s="566">
        <v>0</v>
      </c>
    </row>
    <row r="2201" spans="1:12" ht="45" x14ac:dyDescent="0.2">
      <c r="A2201" s="561" t="s">
        <v>109</v>
      </c>
      <c r="B2201" s="562">
        <v>2021</v>
      </c>
      <c r="C2201" s="561" t="s">
        <v>725</v>
      </c>
      <c r="D2201" s="561" t="s">
        <v>2337</v>
      </c>
      <c r="E2201" s="561" t="s">
        <v>728</v>
      </c>
      <c r="F2201" s="563">
        <v>0</v>
      </c>
      <c r="G2201" s="561" t="s">
        <v>654</v>
      </c>
      <c r="H2201" s="564"/>
      <c r="I2201" s="565"/>
      <c r="J2201" s="565"/>
      <c r="K2201" s="563">
        <v>0</v>
      </c>
      <c r="L2201" s="566">
        <v>0</v>
      </c>
    </row>
    <row r="2202" spans="1:12" ht="45" x14ac:dyDescent="0.2">
      <c r="A2202" s="561" t="s">
        <v>109</v>
      </c>
      <c r="B2202" s="562">
        <v>2021</v>
      </c>
      <c r="C2202" s="561" t="s">
        <v>725</v>
      </c>
      <c r="D2202" s="561" t="s">
        <v>2338</v>
      </c>
      <c r="E2202" s="561" t="s">
        <v>55</v>
      </c>
      <c r="F2202" s="563">
        <v>0</v>
      </c>
      <c r="G2202" s="561" t="s">
        <v>654</v>
      </c>
      <c r="H2202" s="564"/>
      <c r="I2202" s="565"/>
      <c r="J2202" s="565"/>
      <c r="K2202" s="563">
        <v>0</v>
      </c>
      <c r="L2202" s="566">
        <v>0</v>
      </c>
    </row>
    <row r="2203" spans="1:12" ht="45" x14ac:dyDescent="0.2">
      <c r="A2203" s="561" t="s">
        <v>109</v>
      </c>
      <c r="B2203" s="562">
        <v>2021</v>
      </c>
      <c r="C2203" s="561" t="s">
        <v>725</v>
      </c>
      <c r="D2203" s="561" t="s">
        <v>2339</v>
      </c>
      <c r="E2203" s="561" t="s">
        <v>56</v>
      </c>
      <c r="F2203" s="563">
        <v>0</v>
      </c>
      <c r="G2203" s="561" t="s">
        <v>654</v>
      </c>
      <c r="H2203" s="564"/>
      <c r="I2203" s="565"/>
      <c r="J2203" s="565"/>
      <c r="K2203" s="563">
        <v>0</v>
      </c>
      <c r="L2203" s="566">
        <v>0</v>
      </c>
    </row>
    <row r="2204" spans="1:12" ht="45" x14ac:dyDescent="0.2">
      <c r="A2204" s="561" t="s">
        <v>109</v>
      </c>
      <c r="B2204" s="562">
        <v>2021</v>
      </c>
      <c r="C2204" s="561" t="s">
        <v>725</v>
      </c>
      <c r="D2204" s="561" t="s">
        <v>2340</v>
      </c>
      <c r="E2204" s="561" t="s">
        <v>732</v>
      </c>
      <c r="F2204" s="563">
        <v>0</v>
      </c>
      <c r="G2204" s="561" t="s">
        <v>654</v>
      </c>
      <c r="H2204" s="564"/>
      <c r="I2204" s="565"/>
      <c r="J2204" s="565"/>
      <c r="K2204" s="563">
        <v>0</v>
      </c>
      <c r="L2204" s="566">
        <v>0</v>
      </c>
    </row>
    <row r="2205" spans="1:12" ht="45" x14ac:dyDescent="0.2">
      <c r="A2205" s="561" t="s">
        <v>109</v>
      </c>
      <c r="B2205" s="562">
        <v>2021</v>
      </c>
      <c r="C2205" s="561" t="s">
        <v>725</v>
      </c>
      <c r="D2205" s="561" t="s">
        <v>2341</v>
      </c>
      <c r="E2205" s="561" t="s">
        <v>734</v>
      </c>
      <c r="F2205" s="563">
        <v>0</v>
      </c>
      <c r="G2205" s="561" t="s">
        <v>654</v>
      </c>
      <c r="H2205" s="564"/>
      <c r="I2205" s="565"/>
      <c r="J2205" s="565"/>
      <c r="K2205" s="563">
        <v>0</v>
      </c>
      <c r="L2205" s="566">
        <v>0</v>
      </c>
    </row>
    <row r="2206" spans="1:12" ht="45" x14ac:dyDescent="0.2">
      <c r="A2206" s="561" t="s">
        <v>109</v>
      </c>
      <c r="B2206" s="562">
        <v>2021</v>
      </c>
      <c r="C2206" s="561" t="s">
        <v>725</v>
      </c>
      <c r="D2206" s="561" t="s">
        <v>2342</v>
      </c>
      <c r="E2206" s="561" t="s">
        <v>142</v>
      </c>
      <c r="F2206" s="563">
        <v>0</v>
      </c>
      <c r="G2206" s="561" t="s">
        <v>654</v>
      </c>
      <c r="H2206" s="564"/>
      <c r="I2206" s="565"/>
      <c r="J2206" s="565"/>
      <c r="K2206" s="563">
        <v>0</v>
      </c>
      <c r="L2206" s="566">
        <v>0</v>
      </c>
    </row>
    <row r="2207" spans="1:12" ht="45" x14ac:dyDescent="0.2">
      <c r="A2207" s="561" t="s">
        <v>109</v>
      </c>
      <c r="B2207" s="562">
        <v>2021</v>
      </c>
      <c r="C2207" s="561" t="s">
        <v>725</v>
      </c>
      <c r="D2207" s="561" t="s">
        <v>2343</v>
      </c>
      <c r="E2207" s="561" t="s">
        <v>143</v>
      </c>
      <c r="F2207" s="563">
        <v>0</v>
      </c>
      <c r="G2207" s="561" t="s">
        <v>654</v>
      </c>
      <c r="H2207" s="564"/>
      <c r="I2207" s="565"/>
      <c r="J2207" s="565"/>
      <c r="K2207" s="563">
        <v>0</v>
      </c>
      <c r="L2207" s="566">
        <v>0</v>
      </c>
    </row>
    <row r="2208" spans="1:12" ht="45" x14ac:dyDescent="0.2">
      <c r="A2208" s="561" t="s">
        <v>109</v>
      </c>
      <c r="B2208" s="562">
        <v>2021</v>
      </c>
      <c r="C2208" s="561" t="s">
        <v>725</v>
      </c>
      <c r="D2208" s="561" t="s">
        <v>2344</v>
      </c>
      <c r="E2208" s="561" t="s">
        <v>182</v>
      </c>
      <c r="F2208" s="563">
        <v>0</v>
      </c>
      <c r="G2208" s="561" t="s">
        <v>654</v>
      </c>
      <c r="H2208" s="564"/>
      <c r="I2208" s="565"/>
      <c r="J2208" s="565"/>
      <c r="K2208" s="563">
        <v>0</v>
      </c>
      <c r="L2208" s="566">
        <v>0</v>
      </c>
    </row>
    <row r="2209" spans="1:12" ht="45" x14ac:dyDescent="0.2">
      <c r="A2209" s="561" t="s">
        <v>109</v>
      </c>
      <c r="B2209" s="562">
        <v>2021</v>
      </c>
      <c r="C2209" s="561" t="s">
        <v>725</v>
      </c>
      <c r="D2209" s="561" t="s">
        <v>2345</v>
      </c>
      <c r="E2209" s="561" t="s">
        <v>394</v>
      </c>
      <c r="F2209" s="563">
        <v>0</v>
      </c>
      <c r="G2209" s="561" t="s">
        <v>654</v>
      </c>
      <c r="H2209" s="564"/>
      <c r="I2209" s="563">
        <v>0</v>
      </c>
      <c r="J2209" s="563">
        <v>-6175</v>
      </c>
      <c r="K2209" s="563">
        <v>-6175</v>
      </c>
      <c r="L2209" s="566">
        <v>-6175</v>
      </c>
    </row>
    <row r="2210" spans="1:12" ht="45" x14ac:dyDescent="0.2">
      <c r="A2210" s="561" t="s">
        <v>109</v>
      </c>
      <c r="B2210" s="562">
        <v>2021</v>
      </c>
      <c r="C2210" s="561" t="s">
        <v>725</v>
      </c>
      <c r="D2210" s="561" t="s">
        <v>2346</v>
      </c>
      <c r="E2210" s="561" t="s">
        <v>425</v>
      </c>
      <c r="F2210" s="563">
        <v>0</v>
      </c>
      <c r="G2210" s="561" t="s">
        <v>654</v>
      </c>
      <c r="H2210" s="564"/>
      <c r="I2210" s="563">
        <v>-10400</v>
      </c>
      <c r="J2210" s="563">
        <v>30266</v>
      </c>
      <c r="K2210" s="563">
        <v>19866</v>
      </c>
      <c r="L2210" s="566">
        <v>19866</v>
      </c>
    </row>
    <row r="2211" spans="1:12" ht="45" x14ac:dyDescent="0.2">
      <c r="A2211" s="561" t="s">
        <v>109</v>
      </c>
      <c r="B2211" s="562">
        <v>2021</v>
      </c>
      <c r="C2211" s="561" t="s">
        <v>725</v>
      </c>
      <c r="D2211" s="561" t="s">
        <v>3287</v>
      </c>
      <c r="E2211" s="561" t="s">
        <v>443</v>
      </c>
      <c r="F2211" s="563">
        <v>0</v>
      </c>
      <c r="G2211" s="561" t="s">
        <v>654</v>
      </c>
      <c r="H2211" s="564"/>
      <c r="I2211" s="563">
        <v>-53765</v>
      </c>
      <c r="J2211" s="563">
        <v>7758</v>
      </c>
      <c r="K2211" s="563">
        <v>-46007</v>
      </c>
      <c r="L2211" s="566">
        <v>-46007</v>
      </c>
    </row>
    <row r="2212" spans="1:12" ht="45" x14ac:dyDescent="0.2">
      <c r="A2212" s="561" t="s">
        <v>109</v>
      </c>
      <c r="B2212" s="562">
        <v>2021</v>
      </c>
      <c r="C2212" s="561" t="s">
        <v>725</v>
      </c>
      <c r="D2212" s="561" t="s">
        <v>2347</v>
      </c>
      <c r="E2212" s="561" t="s">
        <v>741</v>
      </c>
      <c r="F2212" s="563">
        <v>-32316</v>
      </c>
      <c r="G2212" s="564"/>
      <c r="H2212" s="564"/>
      <c r="I2212" s="565"/>
      <c r="J2212" s="565"/>
      <c r="K2212" s="563">
        <v>0</v>
      </c>
      <c r="L2212" s="566">
        <v>-32316</v>
      </c>
    </row>
    <row r="2213" spans="1:12" ht="22.5" x14ac:dyDescent="0.2">
      <c r="A2213" s="561" t="s">
        <v>109</v>
      </c>
      <c r="B2213" s="562">
        <v>2021</v>
      </c>
      <c r="C2213" s="561" t="s">
        <v>742</v>
      </c>
      <c r="D2213" s="561" t="s">
        <v>2348</v>
      </c>
      <c r="E2213" s="561" t="s">
        <v>7</v>
      </c>
      <c r="F2213" s="563">
        <v>0</v>
      </c>
      <c r="G2213" s="564"/>
      <c r="H2213" s="561" t="s">
        <v>654</v>
      </c>
      <c r="I2213" s="565"/>
      <c r="J2213" s="565"/>
      <c r="K2213" s="563">
        <v>0</v>
      </c>
      <c r="L2213" s="566">
        <v>0</v>
      </c>
    </row>
    <row r="2214" spans="1:12" ht="22.5" x14ac:dyDescent="0.2">
      <c r="A2214" s="561" t="s">
        <v>110</v>
      </c>
      <c r="B2214" s="562">
        <v>2021</v>
      </c>
      <c r="C2214" s="561" t="s">
        <v>651</v>
      </c>
      <c r="D2214" s="561" t="s">
        <v>2349</v>
      </c>
      <c r="E2214" s="561" t="s">
        <v>653</v>
      </c>
      <c r="F2214" s="563">
        <v>3543813.52</v>
      </c>
      <c r="G2214" s="564"/>
      <c r="H2214" s="561" t="s">
        <v>654</v>
      </c>
      <c r="I2214" s="565"/>
      <c r="J2214" s="565"/>
      <c r="K2214" s="563">
        <v>0</v>
      </c>
      <c r="L2214" s="566">
        <v>3543813.52</v>
      </c>
    </row>
    <row r="2215" spans="1:12" ht="15" x14ac:dyDescent="0.2">
      <c r="A2215" s="561" t="s">
        <v>110</v>
      </c>
      <c r="B2215" s="562">
        <v>2021</v>
      </c>
      <c r="C2215" s="561" t="s">
        <v>655</v>
      </c>
      <c r="D2215" s="561" t="s">
        <v>2350</v>
      </c>
      <c r="E2215" s="561" t="s">
        <v>657</v>
      </c>
      <c r="F2215" s="563">
        <v>0</v>
      </c>
      <c r="G2215" s="564"/>
      <c r="H2215" s="561" t="s">
        <v>654</v>
      </c>
      <c r="I2215" s="565"/>
      <c r="J2215" s="565"/>
      <c r="K2215" s="563">
        <v>0</v>
      </c>
      <c r="L2215" s="566">
        <v>0</v>
      </c>
    </row>
    <row r="2216" spans="1:12" ht="56.25" x14ac:dyDescent="0.2">
      <c r="A2216" s="561" t="s">
        <v>110</v>
      </c>
      <c r="B2216" s="562">
        <v>2021</v>
      </c>
      <c r="C2216" s="561" t="s">
        <v>658</v>
      </c>
      <c r="D2216" s="561" t="s">
        <v>2351</v>
      </c>
      <c r="E2216" s="561" t="s">
        <v>447</v>
      </c>
      <c r="F2216" s="563">
        <v>0</v>
      </c>
      <c r="G2216" s="564"/>
      <c r="H2216" s="561" t="s">
        <v>654</v>
      </c>
      <c r="I2216" s="565"/>
      <c r="J2216" s="565"/>
      <c r="K2216" s="563">
        <v>0</v>
      </c>
      <c r="L2216" s="566">
        <v>0</v>
      </c>
    </row>
    <row r="2217" spans="1:12" ht="22.5" x14ac:dyDescent="0.2">
      <c r="A2217" s="561" t="s">
        <v>110</v>
      </c>
      <c r="B2217" s="562">
        <v>2021</v>
      </c>
      <c r="C2217" s="561" t="s">
        <v>660</v>
      </c>
      <c r="D2217" s="561" t="s">
        <v>2352</v>
      </c>
      <c r="E2217" s="561" t="s">
        <v>662</v>
      </c>
      <c r="F2217" s="563">
        <v>0</v>
      </c>
      <c r="G2217" s="564"/>
      <c r="H2217" s="561" t="s">
        <v>654</v>
      </c>
      <c r="I2217" s="565"/>
      <c r="J2217" s="565"/>
      <c r="K2217" s="563">
        <v>0</v>
      </c>
      <c r="L2217" s="566">
        <v>0</v>
      </c>
    </row>
    <row r="2218" spans="1:12" ht="33.75" x14ac:dyDescent="0.2">
      <c r="A2218" s="561" t="s">
        <v>110</v>
      </c>
      <c r="B2218" s="562">
        <v>2021</v>
      </c>
      <c r="C2218" s="561" t="s">
        <v>663</v>
      </c>
      <c r="D2218" s="561" t="s">
        <v>2353</v>
      </c>
      <c r="E2218" s="561" t="s">
        <v>665</v>
      </c>
      <c r="F2218" s="563">
        <v>0</v>
      </c>
      <c r="G2218" s="564"/>
      <c r="H2218" s="561" t="s">
        <v>654</v>
      </c>
      <c r="I2218" s="565"/>
      <c r="J2218" s="565"/>
      <c r="K2218" s="563">
        <v>0</v>
      </c>
      <c r="L2218" s="566">
        <v>0</v>
      </c>
    </row>
    <row r="2219" spans="1:12" ht="33.75" x14ac:dyDescent="0.2">
      <c r="A2219" s="561" t="s">
        <v>110</v>
      </c>
      <c r="B2219" s="562">
        <v>2021</v>
      </c>
      <c r="C2219" s="561" t="s">
        <v>666</v>
      </c>
      <c r="D2219" s="561" t="s">
        <v>2354</v>
      </c>
      <c r="E2219" s="561" t="s">
        <v>668</v>
      </c>
      <c r="F2219" s="563">
        <v>0</v>
      </c>
      <c r="G2219" s="564"/>
      <c r="H2219" s="561" t="s">
        <v>654</v>
      </c>
      <c r="I2219" s="565"/>
      <c r="J2219" s="565"/>
      <c r="K2219" s="563">
        <v>0</v>
      </c>
      <c r="L2219" s="566">
        <v>0</v>
      </c>
    </row>
    <row r="2220" spans="1:12" ht="56.25" x14ac:dyDescent="0.2">
      <c r="A2220" s="561" t="s">
        <v>110</v>
      </c>
      <c r="B2220" s="562">
        <v>2021</v>
      </c>
      <c r="C2220" s="561" t="s">
        <v>669</v>
      </c>
      <c r="D2220" s="561" t="s">
        <v>2355</v>
      </c>
      <c r="E2220" s="561" t="s">
        <v>671</v>
      </c>
      <c r="F2220" s="563">
        <v>0</v>
      </c>
      <c r="G2220" s="564"/>
      <c r="H2220" s="561" t="s">
        <v>654</v>
      </c>
      <c r="I2220" s="565"/>
      <c r="J2220" s="565"/>
      <c r="K2220" s="563">
        <v>0</v>
      </c>
      <c r="L2220" s="566">
        <v>0</v>
      </c>
    </row>
    <row r="2221" spans="1:12" ht="22.5" x14ac:dyDescent="0.2">
      <c r="A2221" s="561" t="s">
        <v>110</v>
      </c>
      <c r="B2221" s="562">
        <v>2021</v>
      </c>
      <c r="C2221" s="561" t="s">
        <v>672</v>
      </c>
      <c r="D2221" s="561" t="s">
        <v>2356</v>
      </c>
      <c r="E2221" s="561" t="s">
        <v>12</v>
      </c>
      <c r="F2221" s="563">
        <v>0</v>
      </c>
      <c r="G2221" s="564"/>
      <c r="H2221" s="561" t="s">
        <v>654</v>
      </c>
      <c r="I2221" s="565"/>
      <c r="J2221" s="565"/>
      <c r="K2221" s="563">
        <v>0</v>
      </c>
      <c r="L2221" s="566">
        <v>0</v>
      </c>
    </row>
    <row r="2222" spans="1:12" ht="22.5" x14ac:dyDescent="0.2">
      <c r="A2222" s="561" t="s">
        <v>110</v>
      </c>
      <c r="B2222" s="562">
        <v>2021</v>
      </c>
      <c r="C2222" s="561" t="s">
        <v>674</v>
      </c>
      <c r="D2222" s="561" t="s">
        <v>2357</v>
      </c>
      <c r="E2222" s="561" t="s">
        <v>13</v>
      </c>
      <c r="F2222" s="563">
        <v>0</v>
      </c>
      <c r="G2222" s="564"/>
      <c r="H2222" s="561" t="s">
        <v>654</v>
      </c>
      <c r="I2222" s="565"/>
      <c r="J2222" s="565"/>
      <c r="K2222" s="563">
        <v>0</v>
      </c>
      <c r="L2222" s="566">
        <v>0</v>
      </c>
    </row>
    <row r="2223" spans="1:12" ht="33.75" x14ac:dyDescent="0.2">
      <c r="A2223" s="561" t="s">
        <v>110</v>
      </c>
      <c r="B2223" s="562">
        <v>2021</v>
      </c>
      <c r="C2223" s="561" t="s">
        <v>676</v>
      </c>
      <c r="D2223" s="561" t="s">
        <v>2358</v>
      </c>
      <c r="E2223" s="561" t="s">
        <v>15</v>
      </c>
      <c r="F2223" s="563">
        <v>0</v>
      </c>
      <c r="G2223" s="564"/>
      <c r="H2223" s="561" t="s">
        <v>654</v>
      </c>
      <c r="I2223" s="565"/>
      <c r="J2223" s="565"/>
      <c r="K2223" s="563">
        <v>0</v>
      </c>
      <c r="L2223" s="566">
        <v>0</v>
      </c>
    </row>
    <row r="2224" spans="1:12" ht="15" x14ac:dyDescent="0.2">
      <c r="A2224" s="561" t="s">
        <v>110</v>
      </c>
      <c r="B2224" s="562">
        <v>2021</v>
      </c>
      <c r="C2224" s="561" t="s">
        <v>678</v>
      </c>
      <c r="D2224" s="561" t="s">
        <v>2359</v>
      </c>
      <c r="E2224" s="561" t="s">
        <v>680</v>
      </c>
      <c r="F2224" s="563">
        <v>0</v>
      </c>
      <c r="G2224" s="564"/>
      <c r="H2224" s="561" t="s">
        <v>654</v>
      </c>
      <c r="I2224" s="565"/>
      <c r="J2224" s="565"/>
      <c r="K2224" s="563">
        <v>0</v>
      </c>
      <c r="L2224" s="566">
        <v>0</v>
      </c>
    </row>
    <row r="2225" spans="1:12" ht="15" x14ac:dyDescent="0.2">
      <c r="A2225" s="561" t="s">
        <v>110</v>
      </c>
      <c r="B2225" s="562">
        <v>2021</v>
      </c>
      <c r="C2225" s="561" t="s">
        <v>681</v>
      </c>
      <c r="D2225" s="561" t="s">
        <v>2360</v>
      </c>
      <c r="E2225" s="561" t="s">
        <v>23</v>
      </c>
      <c r="F2225" s="563">
        <v>0</v>
      </c>
      <c r="G2225" s="561" t="s">
        <v>654</v>
      </c>
      <c r="H2225" s="564"/>
      <c r="I2225" s="565"/>
      <c r="J2225" s="565"/>
      <c r="K2225" s="563">
        <v>0</v>
      </c>
      <c r="L2225" s="566">
        <v>0</v>
      </c>
    </row>
    <row r="2226" spans="1:12" ht="33.75" x14ac:dyDescent="0.2">
      <c r="A2226" s="561" t="s">
        <v>110</v>
      </c>
      <c r="B2226" s="562">
        <v>2021</v>
      </c>
      <c r="C2226" s="561" t="s">
        <v>683</v>
      </c>
      <c r="D2226" s="561" t="s">
        <v>2361</v>
      </c>
      <c r="E2226" s="561" t="s">
        <v>131</v>
      </c>
      <c r="F2226" s="563">
        <v>-125846.66</v>
      </c>
      <c r="G2226" s="561" t="s">
        <v>654</v>
      </c>
      <c r="H2226" s="564"/>
      <c r="I2226" s="563">
        <v>-120398.6328125</v>
      </c>
      <c r="J2226" s="563">
        <v>-5448.02978515625</v>
      </c>
      <c r="K2226" s="563">
        <v>-125846.65625</v>
      </c>
      <c r="L2226" s="566">
        <v>-125846.66</v>
      </c>
    </row>
    <row r="2227" spans="1:12" ht="33.75" x14ac:dyDescent="0.2">
      <c r="A2227" s="561" t="s">
        <v>110</v>
      </c>
      <c r="B2227" s="562">
        <v>2021</v>
      </c>
      <c r="C2227" s="561" t="s">
        <v>685</v>
      </c>
      <c r="D2227" s="561" t="s">
        <v>2362</v>
      </c>
      <c r="E2227" s="561" t="s">
        <v>687</v>
      </c>
      <c r="F2227" s="563">
        <v>-54642.73</v>
      </c>
      <c r="G2227" s="564"/>
      <c r="H2227" s="561" t="s">
        <v>654</v>
      </c>
      <c r="I2227" s="565"/>
      <c r="J2227" s="565"/>
      <c r="K2227" s="563">
        <v>0</v>
      </c>
      <c r="L2227" s="566">
        <v>-54642.73</v>
      </c>
    </row>
    <row r="2228" spans="1:12" ht="33.75" x14ac:dyDescent="0.2">
      <c r="A2228" s="561" t="s">
        <v>110</v>
      </c>
      <c r="B2228" s="562">
        <v>2021</v>
      </c>
      <c r="C2228" s="561" t="s">
        <v>685</v>
      </c>
      <c r="D2228" s="561" t="s">
        <v>2362</v>
      </c>
      <c r="E2228" s="561" t="s">
        <v>688</v>
      </c>
      <c r="F2228" s="563">
        <v>-54642.73</v>
      </c>
      <c r="G2228" s="564"/>
      <c r="H2228" s="561" t="s">
        <v>654</v>
      </c>
      <c r="I2228" s="565"/>
      <c r="J2228" s="565"/>
      <c r="K2228" s="563">
        <v>0</v>
      </c>
      <c r="L2228" s="566">
        <v>-54642.73</v>
      </c>
    </row>
    <row r="2229" spans="1:12" ht="22.5" x14ac:dyDescent="0.2">
      <c r="A2229" s="561" t="s">
        <v>110</v>
      </c>
      <c r="B2229" s="562">
        <v>2021</v>
      </c>
      <c r="C2229" s="561" t="s">
        <v>689</v>
      </c>
      <c r="D2229" s="561" t="s">
        <v>2363</v>
      </c>
      <c r="E2229" s="561" t="s">
        <v>691</v>
      </c>
      <c r="F2229" s="563">
        <v>0</v>
      </c>
      <c r="G2229" s="564"/>
      <c r="H2229" s="561" t="s">
        <v>654</v>
      </c>
      <c r="I2229" s="565"/>
      <c r="J2229" s="565"/>
      <c r="K2229" s="563">
        <v>0</v>
      </c>
      <c r="L2229" s="566">
        <v>0</v>
      </c>
    </row>
    <row r="2230" spans="1:12" ht="22.5" x14ac:dyDescent="0.2">
      <c r="A2230" s="561" t="s">
        <v>110</v>
      </c>
      <c r="B2230" s="562">
        <v>2021</v>
      </c>
      <c r="C2230" s="561" t="s">
        <v>692</v>
      </c>
      <c r="D2230" s="561" t="s">
        <v>2364</v>
      </c>
      <c r="E2230" s="561" t="s">
        <v>50</v>
      </c>
      <c r="F2230" s="563">
        <v>147464</v>
      </c>
      <c r="G2230" s="564"/>
      <c r="H2230" s="561" t="s">
        <v>654</v>
      </c>
      <c r="I2230" s="565"/>
      <c r="J2230" s="565"/>
      <c r="K2230" s="563">
        <v>0</v>
      </c>
      <c r="L2230" s="566">
        <v>147464</v>
      </c>
    </row>
    <row r="2231" spans="1:12" ht="22.5" x14ac:dyDescent="0.2">
      <c r="A2231" s="561" t="s">
        <v>110</v>
      </c>
      <c r="B2231" s="562">
        <v>2021</v>
      </c>
      <c r="C2231" s="561" t="s">
        <v>694</v>
      </c>
      <c r="D2231" s="561" t="s">
        <v>2365</v>
      </c>
      <c r="E2231" s="561" t="s">
        <v>696</v>
      </c>
      <c r="F2231" s="563">
        <v>0</v>
      </c>
      <c r="G2231" s="564"/>
      <c r="H2231" s="561" t="s">
        <v>654</v>
      </c>
      <c r="I2231" s="565"/>
      <c r="J2231" s="565"/>
      <c r="K2231" s="563">
        <v>0</v>
      </c>
      <c r="L2231" s="566">
        <v>0</v>
      </c>
    </row>
    <row r="2232" spans="1:12" ht="22.5" x14ac:dyDescent="0.2">
      <c r="A2232" s="561" t="s">
        <v>110</v>
      </c>
      <c r="B2232" s="562">
        <v>2021</v>
      </c>
      <c r="C2232" s="561" t="s">
        <v>697</v>
      </c>
      <c r="D2232" s="561" t="s">
        <v>2366</v>
      </c>
      <c r="E2232" s="561" t="s">
        <v>6</v>
      </c>
      <c r="F2232" s="563">
        <v>0</v>
      </c>
      <c r="G2232" s="564"/>
      <c r="H2232" s="561" t="s">
        <v>654</v>
      </c>
      <c r="I2232" s="565"/>
      <c r="J2232" s="565"/>
      <c r="K2232" s="563">
        <v>0</v>
      </c>
      <c r="L2232" s="566">
        <v>0</v>
      </c>
    </row>
    <row r="2233" spans="1:12" ht="33.75" x14ac:dyDescent="0.2">
      <c r="A2233" s="561" t="s">
        <v>110</v>
      </c>
      <c r="B2233" s="562">
        <v>2021</v>
      </c>
      <c r="C2233" s="561" t="s">
        <v>699</v>
      </c>
      <c r="D2233" s="561" t="s">
        <v>2367</v>
      </c>
      <c r="E2233" s="561" t="s">
        <v>701</v>
      </c>
      <c r="F2233" s="563">
        <v>0</v>
      </c>
      <c r="G2233" s="564"/>
      <c r="H2233" s="561" t="s">
        <v>654</v>
      </c>
      <c r="I2233" s="565"/>
      <c r="J2233" s="565"/>
      <c r="K2233" s="563">
        <v>0</v>
      </c>
      <c r="L2233" s="566">
        <v>0</v>
      </c>
    </row>
    <row r="2234" spans="1:12" ht="22.5" x14ac:dyDescent="0.2">
      <c r="A2234" s="561" t="s">
        <v>110</v>
      </c>
      <c r="B2234" s="562">
        <v>2021</v>
      </c>
      <c r="C2234" s="561" t="s">
        <v>702</v>
      </c>
      <c r="D2234" s="561" t="s">
        <v>2368</v>
      </c>
      <c r="E2234" s="561" t="s">
        <v>704</v>
      </c>
      <c r="F2234" s="563">
        <v>0</v>
      </c>
      <c r="G2234" s="564"/>
      <c r="H2234" s="561" t="s">
        <v>654</v>
      </c>
      <c r="I2234" s="565"/>
      <c r="J2234" s="565"/>
      <c r="K2234" s="563">
        <v>0</v>
      </c>
      <c r="L2234" s="566">
        <v>0</v>
      </c>
    </row>
    <row r="2235" spans="1:12" ht="33.75" x14ac:dyDescent="0.2">
      <c r="A2235" s="561" t="s">
        <v>110</v>
      </c>
      <c r="B2235" s="562">
        <v>2021</v>
      </c>
      <c r="C2235" s="561" t="s">
        <v>705</v>
      </c>
      <c r="D2235" s="561" t="s">
        <v>2369</v>
      </c>
      <c r="E2235" s="561" t="s">
        <v>1</v>
      </c>
      <c r="F2235" s="563">
        <v>-2345507.37</v>
      </c>
      <c r="G2235" s="561" t="s">
        <v>654</v>
      </c>
      <c r="H2235" s="564"/>
      <c r="I2235" s="563">
        <v>-2266159.5</v>
      </c>
      <c r="J2235" s="563">
        <v>-79347.8125</v>
      </c>
      <c r="K2235" s="563">
        <v>-2345507.25</v>
      </c>
      <c r="L2235" s="566">
        <v>-2345507.37</v>
      </c>
    </row>
    <row r="2236" spans="1:12" ht="22.5" x14ac:dyDescent="0.2">
      <c r="A2236" s="561" t="s">
        <v>110</v>
      </c>
      <c r="B2236" s="562">
        <v>2021</v>
      </c>
      <c r="C2236" s="561" t="s">
        <v>705</v>
      </c>
      <c r="D2236" s="561" t="s">
        <v>2369</v>
      </c>
      <c r="E2236" s="561" t="s">
        <v>707</v>
      </c>
      <c r="F2236" s="563">
        <v>0</v>
      </c>
      <c r="G2236" s="564"/>
      <c r="H2236" s="564"/>
      <c r="I2236" s="565"/>
      <c r="J2236" s="565"/>
      <c r="K2236" s="563">
        <v>0</v>
      </c>
      <c r="L2236" s="566">
        <v>0</v>
      </c>
    </row>
    <row r="2237" spans="1:12" ht="22.5" x14ac:dyDescent="0.2">
      <c r="A2237" s="561" t="s">
        <v>110</v>
      </c>
      <c r="B2237" s="562">
        <v>2021</v>
      </c>
      <c r="C2237" s="561" t="s">
        <v>705</v>
      </c>
      <c r="D2237" s="561" t="s">
        <v>2369</v>
      </c>
      <c r="E2237" s="561" t="s">
        <v>708</v>
      </c>
      <c r="F2237" s="563">
        <v>0</v>
      </c>
      <c r="G2237" s="564"/>
      <c r="H2237" s="564"/>
      <c r="I2237" s="565"/>
      <c r="J2237" s="565"/>
      <c r="K2237" s="563">
        <v>0</v>
      </c>
      <c r="L2237" s="566">
        <v>0</v>
      </c>
    </row>
    <row r="2238" spans="1:12" ht="22.5" x14ac:dyDescent="0.2">
      <c r="A2238" s="561" t="s">
        <v>110</v>
      </c>
      <c r="B2238" s="562">
        <v>2021</v>
      </c>
      <c r="C2238" s="561" t="s">
        <v>705</v>
      </c>
      <c r="D2238" s="561" t="s">
        <v>2369</v>
      </c>
      <c r="E2238" s="561" t="s">
        <v>709</v>
      </c>
      <c r="F2238" s="563">
        <v>-3758.69</v>
      </c>
      <c r="G2238" s="564"/>
      <c r="H2238" s="564"/>
      <c r="I2238" s="565"/>
      <c r="J2238" s="565"/>
      <c r="K2238" s="563">
        <v>0</v>
      </c>
      <c r="L2238" s="566">
        <v>-3758.69</v>
      </c>
    </row>
    <row r="2239" spans="1:12" ht="22.5" x14ac:dyDescent="0.2">
      <c r="A2239" s="561" t="s">
        <v>110</v>
      </c>
      <c r="B2239" s="562">
        <v>2021</v>
      </c>
      <c r="C2239" s="561" t="s">
        <v>705</v>
      </c>
      <c r="D2239" s="561" t="s">
        <v>2369</v>
      </c>
      <c r="E2239" s="561" t="s">
        <v>710</v>
      </c>
      <c r="F2239" s="563">
        <v>-77029.33</v>
      </c>
      <c r="G2239" s="564"/>
      <c r="H2239" s="564"/>
      <c r="I2239" s="565"/>
      <c r="J2239" s="565"/>
      <c r="K2239" s="563">
        <v>0</v>
      </c>
      <c r="L2239" s="566">
        <v>-77029.33</v>
      </c>
    </row>
    <row r="2240" spans="1:12" ht="15" x14ac:dyDescent="0.2">
      <c r="A2240" s="561" t="s">
        <v>110</v>
      </c>
      <c r="B2240" s="562">
        <v>2021</v>
      </c>
      <c r="C2240" s="561" t="s">
        <v>711</v>
      </c>
      <c r="D2240" s="561" t="s">
        <v>2370</v>
      </c>
      <c r="E2240" s="561" t="s">
        <v>713</v>
      </c>
      <c r="F2240" s="563">
        <v>-1</v>
      </c>
      <c r="G2240" s="564"/>
      <c r="H2240" s="561" t="s">
        <v>654</v>
      </c>
      <c r="I2240" s="565"/>
      <c r="J2240" s="565"/>
      <c r="K2240" s="563">
        <v>0</v>
      </c>
      <c r="L2240" s="566">
        <v>-1</v>
      </c>
    </row>
    <row r="2241" spans="1:12" ht="33.75" x14ac:dyDescent="0.2">
      <c r="A2241" s="561" t="s">
        <v>110</v>
      </c>
      <c r="B2241" s="562">
        <v>2021</v>
      </c>
      <c r="C2241" s="561" t="s">
        <v>714</v>
      </c>
      <c r="D2241" s="561" t="s">
        <v>2371</v>
      </c>
      <c r="E2241" s="561" t="s">
        <v>2</v>
      </c>
      <c r="F2241" s="563">
        <v>5595382.3499999996</v>
      </c>
      <c r="G2241" s="561" t="s">
        <v>654</v>
      </c>
      <c r="H2241" s="564"/>
      <c r="I2241" s="563">
        <v>5446141.5</v>
      </c>
      <c r="J2241" s="563">
        <v>149240.921875</v>
      </c>
      <c r="K2241" s="563">
        <v>5595382.5</v>
      </c>
      <c r="L2241" s="566">
        <v>5595382.3499999996</v>
      </c>
    </row>
    <row r="2242" spans="1:12" ht="33.75" x14ac:dyDescent="0.2">
      <c r="A2242" s="561" t="s">
        <v>110</v>
      </c>
      <c r="B2242" s="562">
        <v>2021</v>
      </c>
      <c r="C2242" s="561" t="s">
        <v>716</v>
      </c>
      <c r="D2242" s="561" t="s">
        <v>2372</v>
      </c>
      <c r="E2242" s="561" t="s">
        <v>3</v>
      </c>
      <c r="F2242" s="563">
        <v>-3799739.15</v>
      </c>
      <c r="G2242" s="561" t="s">
        <v>654</v>
      </c>
      <c r="H2242" s="564"/>
      <c r="I2242" s="563">
        <v>-3639520</v>
      </c>
      <c r="J2242" s="563">
        <v>-160219.03125</v>
      </c>
      <c r="K2242" s="563">
        <v>-3799739.25</v>
      </c>
      <c r="L2242" s="566">
        <v>-3799739.15</v>
      </c>
    </row>
    <row r="2243" spans="1:12" ht="33.75" x14ac:dyDescent="0.2">
      <c r="A2243" s="561" t="s">
        <v>110</v>
      </c>
      <c r="B2243" s="562">
        <v>2021</v>
      </c>
      <c r="C2243" s="561" t="s">
        <v>718</v>
      </c>
      <c r="D2243" s="561" t="s">
        <v>2373</v>
      </c>
      <c r="E2243" s="561" t="s">
        <v>38</v>
      </c>
      <c r="F2243" s="563">
        <v>-2724703.55</v>
      </c>
      <c r="G2243" s="561" t="s">
        <v>654</v>
      </c>
      <c r="H2243" s="564"/>
      <c r="I2243" s="563">
        <v>-2684054</v>
      </c>
      <c r="J2243" s="563">
        <v>-40649.66015625</v>
      </c>
      <c r="K2243" s="563">
        <v>-2724703.5</v>
      </c>
      <c r="L2243" s="566">
        <v>-2724703.55</v>
      </c>
    </row>
    <row r="2244" spans="1:12" ht="22.5" x14ac:dyDescent="0.2">
      <c r="A2244" s="561" t="s">
        <v>110</v>
      </c>
      <c r="B2244" s="562">
        <v>2021</v>
      </c>
      <c r="C2244" s="561" t="s">
        <v>720</v>
      </c>
      <c r="D2244" s="561" t="s">
        <v>2374</v>
      </c>
      <c r="E2244" s="561" t="s">
        <v>66</v>
      </c>
      <c r="F2244" s="563">
        <v>-1361390.78</v>
      </c>
      <c r="G2244" s="561" t="s">
        <v>654</v>
      </c>
      <c r="H2244" s="564"/>
      <c r="I2244" s="563">
        <v>-1229781.375</v>
      </c>
      <c r="J2244" s="563">
        <v>-131609.34375</v>
      </c>
      <c r="K2244" s="563">
        <v>-1361390.75</v>
      </c>
      <c r="L2244" s="566">
        <v>-1361390.78</v>
      </c>
    </row>
    <row r="2245" spans="1:12" ht="45" x14ac:dyDescent="0.2">
      <c r="A2245" s="561" t="s">
        <v>110</v>
      </c>
      <c r="B2245" s="562">
        <v>2021</v>
      </c>
      <c r="C2245" s="561" t="s">
        <v>722</v>
      </c>
      <c r="D2245" s="561" t="s">
        <v>2375</v>
      </c>
      <c r="E2245" s="561" t="s">
        <v>724</v>
      </c>
      <c r="F2245" s="563">
        <v>-576157.61</v>
      </c>
      <c r="G2245" s="564"/>
      <c r="H2245" s="561" t="s">
        <v>654</v>
      </c>
      <c r="I2245" s="565"/>
      <c r="J2245" s="565"/>
      <c r="K2245" s="563">
        <v>0</v>
      </c>
      <c r="L2245" s="566">
        <v>-576157.61</v>
      </c>
    </row>
    <row r="2246" spans="1:12" ht="45" x14ac:dyDescent="0.2">
      <c r="A2246" s="561" t="s">
        <v>110</v>
      </c>
      <c r="B2246" s="562">
        <v>2021</v>
      </c>
      <c r="C2246" s="561" t="s">
        <v>725</v>
      </c>
      <c r="D2246" s="561" t="s">
        <v>2376</v>
      </c>
      <c r="E2246" s="561" t="s">
        <v>3024</v>
      </c>
      <c r="F2246" s="563">
        <v>0</v>
      </c>
      <c r="G2246" s="561" t="s">
        <v>654</v>
      </c>
      <c r="H2246" s="564"/>
      <c r="I2246" s="565"/>
      <c r="J2246" s="565"/>
      <c r="K2246" s="563">
        <v>0</v>
      </c>
      <c r="L2246" s="566">
        <v>0</v>
      </c>
    </row>
    <row r="2247" spans="1:12" ht="45" x14ac:dyDescent="0.2">
      <c r="A2247" s="561" t="s">
        <v>110</v>
      </c>
      <c r="B2247" s="562">
        <v>2021</v>
      </c>
      <c r="C2247" s="561" t="s">
        <v>725</v>
      </c>
      <c r="D2247" s="561" t="s">
        <v>2376</v>
      </c>
      <c r="E2247" s="561" t="s">
        <v>3066</v>
      </c>
      <c r="F2247" s="563">
        <v>0</v>
      </c>
      <c r="G2247" s="561" t="s">
        <v>654</v>
      </c>
      <c r="H2247" s="564"/>
      <c r="I2247" s="565"/>
      <c r="J2247" s="565"/>
      <c r="K2247" s="563">
        <v>0</v>
      </c>
      <c r="L2247" s="566">
        <v>0</v>
      </c>
    </row>
    <row r="2248" spans="1:12" ht="45" x14ac:dyDescent="0.2">
      <c r="A2248" s="561" t="s">
        <v>110</v>
      </c>
      <c r="B2248" s="562">
        <v>2021</v>
      </c>
      <c r="C2248" s="561" t="s">
        <v>725</v>
      </c>
      <c r="D2248" s="561" t="s">
        <v>2377</v>
      </c>
      <c r="E2248" s="561" t="s">
        <v>728</v>
      </c>
      <c r="F2248" s="563">
        <v>0</v>
      </c>
      <c r="G2248" s="561" t="s">
        <v>654</v>
      </c>
      <c r="H2248" s="564"/>
      <c r="I2248" s="565"/>
      <c r="J2248" s="565"/>
      <c r="K2248" s="563">
        <v>0</v>
      </c>
      <c r="L2248" s="566">
        <v>0</v>
      </c>
    </row>
    <row r="2249" spans="1:12" ht="45" x14ac:dyDescent="0.2">
      <c r="A2249" s="561" t="s">
        <v>110</v>
      </c>
      <c r="B2249" s="562">
        <v>2021</v>
      </c>
      <c r="C2249" s="561" t="s">
        <v>725</v>
      </c>
      <c r="D2249" s="561" t="s">
        <v>2378</v>
      </c>
      <c r="E2249" s="561" t="s">
        <v>55</v>
      </c>
      <c r="F2249" s="563">
        <v>0</v>
      </c>
      <c r="G2249" s="561" t="s">
        <v>654</v>
      </c>
      <c r="H2249" s="564"/>
      <c r="I2249" s="565"/>
      <c r="J2249" s="565"/>
      <c r="K2249" s="563">
        <v>0</v>
      </c>
      <c r="L2249" s="566">
        <v>0</v>
      </c>
    </row>
    <row r="2250" spans="1:12" ht="45" x14ac:dyDescent="0.2">
      <c r="A2250" s="561" t="s">
        <v>110</v>
      </c>
      <c r="B2250" s="562">
        <v>2021</v>
      </c>
      <c r="C2250" s="561" t="s">
        <v>725</v>
      </c>
      <c r="D2250" s="561" t="s">
        <v>2379</v>
      </c>
      <c r="E2250" s="561" t="s">
        <v>56</v>
      </c>
      <c r="F2250" s="563">
        <v>0</v>
      </c>
      <c r="G2250" s="561" t="s">
        <v>654</v>
      </c>
      <c r="H2250" s="564"/>
      <c r="I2250" s="565"/>
      <c r="J2250" s="565"/>
      <c r="K2250" s="563">
        <v>0</v>
      </c>
      <c r="L2250" s="566">
        <v>0</v>
      </c>
    </row>
    <row r="2251" spans="1:12" ht="45" x14ac:dyDescent="0.2">
      <c r="A2251" s="561" t="s">
        <v>110</v>
      </c>
      <c r="B2251" s="562">
        <v>2021</v>
      </c>
      <c r="C2251" s="561" t="s">
        <v>725</v>
      </c>
      <c r="D2251" s="561" t="s">
        <v>2380</v>
      </c>
      <c r="E2251" s="561" t="s">
        <v>732</v>
      </c>
      <c r="F2251" s="563">
        <v>0</v>
      </c>
      <c r="G2251" s="561" t="s">
        <v>654</v>
      </c>
      <c r="H2251" s="564"/>
      <c r="I2251" s="565"/>
      <c r="J2251" s="565"/>
      <c r="K2251" s="563">
        <v>0</v>
      </c>
      <c r="L2251" s="566">
        <v>0</v>
      </c>
    </row>
    <row r="2252" spans="1:12" ht="45" x14ac:dyDescent="0.2">
      <c r="A2252" s="561" t="s">
        <v>110</v>
      </c>
      <c r="B2252" s="562">
        <v>2021</v>
      </c>
      <c r="C2252" s="561" t="s">
        <v>725</v>
      </c>
      <c r="D2252" s="561" t="s">
        <v>2381</v>
      </c>
      <c r="E2252" s="561" t="s">
        <v>734</v>
      </c>
      <c r="F2252" s="563">
        <v>0</v>
      </c>
      <c r="G2252" s="561" t="s">
        <v>654</v>
      </c>
      <c r="H2252" s="564"/>
      <c r="I2252" s="565"/>
      <c r="J2252" s="565"/>
      <c r="K2252" s="563">
        <v>0</v>
      </c>
      <c r="L2252" s="566">
        <v>0</v>
      </c>
    </row>
    <row r="2253" spans="1:12" ht="45" x14ac:dyDescent="0.2">
      <c r="A2253" s="561" t="s">
        <v>110</v>
      </c>
      <c r="B2253" s="562">
        <v>2021</v>
      </c>
      <c r="C2253" s="561" t="s">
        <v>725</v>
      </c>
      <c r="D2253" s="561" t="s">
        <v>2382</v>
      </c>
      <c r="E2253" s="561" t="s">
        <v>142</v>
      </c>
      <c r="F2253" s="563">
        <v>0</v>
      </c>
      <c r="G2253" s="561" t="s">
        <v>654</v>
      </c>
      <c r="H2253" s="564"/>
      <c r="I2253" s="565"/>
      <c r="J2253" s="565"/>
      <c r="K2253" s="563">
        <v>0</v>
      </c>
      <c r="L2253" s="566">
        <v>0</v>
      </c>
    </row>
    <row r="2254" spans="1:12" ht="45" x14ac:dyDescent="0.2">
      <c r="A2254" s="561" t="s">
        <v>110</v>
      </c>
      <c r="B2254" s="562">
        <v>2021</v>
      </c>
      <c r="C2254" s="561" t="s">
        <v>725</v>
      </c>
      <c r="D2254" s="561" t="s">
        <v>2383</v>
      </c>
      <c r="E2254" s="561" t="s">
        <v>143</v>
      </c>
      <c r="F2254" s="563">
        <v>0</v>
      </c>
      <c r="G2254" s="561" t="s">
        <v>654</v>
      </c>
      <c r="H2254" s="564"/>
      <c r="I2254" s="565"/>
      <c r="J2254" s="565"/>
      <c r="K2254" s="563">
        <v>0</v>
      </c>
      <c r="L2254" s="566">
        <v>0</v>
      </c>
    </row>
    <row r="2255" spans="1:12" ht="45" x14ac:dyDescent="0.2">
      <c r="A2255" s="561" t="s">
        <v>110</v>
      </c>
      <c r="B2255" s="562">
        <v>2021</v>
      </c>
      <c r="C2255" s="561" t="s">
        <v>725</v>
      </c>
      <c r="D2255" s="561" t="s">
        <v>2384</v>
      </c>
      <c r="E2255" s="561" t="s">
        <v>182</v>
      </c>
      <c r="F2255" s="563">
        <v>0</v>
      </c>
      <c r="G2255" s="561" t="s">
        <v>654</v>
      </c>
      <c r="H2255" s="564"/>
      <c r="I2255" s="563">
        <v>-45927.859375</v>
      </c>
      <c r="J2255" s="563">
        <v>181450.71875</v>
      </c>
      <c r="K2255" s="563">
        <v>135522.859375</v>
      </c>
      <c r="L2255" s="566">
        <v>135522.85999999999</v>
      </c>
    </row>
    <row r="2256" spans="1:12" ht="45" x14ac:dyDescent="0.2">
      <c r="A2256" s="561" t="s">
        <v>110</v>
      </c>
      <c r="B2256" s="562">
        <v>2021</v>
      </c>
      <c r="C2256" s="561" t="s">
        <v>725</v>
      </c>
      <c r="D2256" s="561" t="s">
        <v>2385</v>
      </c>
      <c r="E2256" s="561" t="s">
        <v>394</v>
      </c>
      <c r="F2256" s="563">
        <v>0</v>
      </c>
      <c r="G2256" s="561" t="s">
        <v>654</v>
      </c>
      <c r="H2256" s="564"/>
      <c r="I2256" s="565"/>
      <c r="J2256" s="565"/>
      <c r="K2256" s="563">
        <v>0</v>
      </c>
      <c r="L2256" s="566">
        <v>0</v>
      </c>
    </row>
    <row r="2257" spans="1:12" ht="45" x14ac:dyDescent="0.2">
      <c r="A2257" s="561" t="s">
        <v>110</v>
      </c>
      <c r="B2257" s="562">
        <v>2021</v>
      </c>
      <c r="C2257" s="561" t="s">
        <v>725</v>
      </c>
      <c r="D2257" s="561" t="s">
        <v>2386</v>
      </c>
      <c r="E2257" s="561" t="s">
        <v>425</v>
      </c>
      <c r="F2257" s="563">
        <v>0</v>
      </c>
      <c r="G2257" s="561" t="s">
        <v>654</v>
      </c>
      <c r="H2257" s="564"/>
      <c r="I2257" s="565"/>
      <c r="J2257" s="565"/>
      <c r="K2257" s="563">
        <v>0</v>
      </c>
      <c r="L2257" s="566">
        <v>0</v>
      </c>
    </row>
    <row r="2258" spans="1:12" ht="45" x14ac:dyDescent="0.2">
      <c r="A2258" s="561" t="s">
        <v>110</v>
      </c>
      <c r="B2258" s="562">
        <v>2021</v>
      </c>
      <c r="C2258" s="561" t="s">
        <v>725</v>
      </c>
      <c r="D2258" s="561" t="s">
        <v>3288</v>
      </c>
      <c r="E2258" s="561" t="s">
        <v>443</v>
      </c>
      <c r="F2258" s="563">
        <v>0</v>
      </c>
      <c r="G2258" s="561" t="s">
        <v>654</v>
      </c>
      <c r="H2258" s="564"/>
      <c r="I2258" s="563">
        <v>-577160.25</v>
      </c>
      <c r="J2258" s="563">
        <v>-62646.6484375</v>
      </c>
      <c r="K2258" s="563">
        <v>-639806.875</v>
      </c>
      <c r="L2258" s="566">
        <v>-639806.9</v>
      </c>
    </row>
    <row r="2259" spans="1:12" ht="45" x14ac:dyDescent="0.2">
      <c r="A2259" s="561" t="s">
        <v>110</v>
      </c>
      <c r="B2259" s="562">
        <v>2021</v>
      </c>
      <c r="C2259" s="561" t="s">
        <v>725</v>
      </c>
      <c r="D2259" s="561" t="s">
        <v>2387</v>
      </c>
      <c r="E2259" s="561" t="s">
        <v>741</v>
      </c>
      <c r="F2259" s="563">
        <v>-504284.04</v>
      </c>
      <c r="G2259" s="564"/>
      <c r="H2259" s="564"/>
      <c r="I2259" s="565"/>
      <c r="J2259" s="565"/>
      <c r="K2259" s="563">
        <v>0</v>
      </c>
      <c r="L2259" s="566">
        <v>-504284.04</v>
      </c>
    </row>
    <row r="2260" spans="1:12" ht="22.5" x14ac:dyDescent="0.2">
      <c r="A2260" s="561" t="s">
        <v>110</v>
      </c>
      <c r="B2260" s="562">
        <v>2021</v>
      </c>
      <c r="C2260" s="561" t="s">
        <v>742</v>
      </c>
      <c r="D2260" s="561" t="s">
        <v>2388</v>
      </c>
      <c r="E2260" s="561" t="s">
        <v>7</v>
      </c>
      <c r="F2260" s="563">
        <v>0</v>
      </c>
      <c r="G2260" s="564"/>
      <c r="H2260" s="561" t="s">
        <v>654</v>
      </c>
      <c r="I2260" s="565"/>
      <c r="J2260" s="565"/>
      <c r="K2260" s="563">
        <v>0</v>
      </c>
      <c r="L2260" s="566">
        <v>0</v>
      </c>
    </row>
    <row r="2261" spans="1:12" ht="22.5" x14ac:dyDescent="0.2">
      <c r="A2261" s="561" t="s">
        <v>111</v>
      </c>
      <c r="B2261" s="562">
        <v>2021</v>
      </c>
      <c r="C2261" s="561" t="s">
        <v>651</v>
      </c>
      <c r="D2261" s="561" t="s">
        <v>2389</v>
      </c>
      <c r="E2261" s="561" t="s">
        <v>653</v>
      </c>
      <c r="F2261" s="563">
        <v>1723760.4</v>
      </c>
      <c r="G2261" s="564"/>
      <c r="H2261" s="561" t="s">
        <v>654</v>
      </c>
      <c r="I2261" s="565"/>
      <c r="J2261" s="565"/>
      <c r="K2261" s="563">
        <v>0</v>
      </c>
      <c r="L2261" s="566">
        <v>1723760.4</v>
      </c>
    </row>
    <row r="2262" spans="1:12" ht="22.5" x14ac:dyDescent="0.2">
      <c r="A2262" s="561" t="s">
        <v>111</v>
      </c>
      <c r="B2262" s="562">
        <v>2021</v>
      </c>
      <c r="C2262" s="561" t="s">
        <v>655</v>
      </c>
      <c r="D2262" s="561" t="s">
        <v>2390</v>
      </c>
      <c r="E2262" s="561" t="s">
        <v>657</v>
      </c>
      <c r="F2262" s="563">
        <v>0</v>
      </c>
      <c r="G2262" s="564"/>
      <c r="H2262" s="561" t="s">
        <v>654</v>
      </c>
      <c r="I2262" s="565"/>
      <c r="J2262" s="565"/>
      <c r="K2262" s="563">
        <v>0</v>
      </c>
      <c r="L2262" s="566">
        <v>0</v>
      </c>
    </row>
    <row r="2263" spans="1:12" ht="56.25" x14ac:dyDescent="0.2">
      <c r="A2263" s="561" t="s">
        <v>111</v>
      </c>
      <c r="B2263" s="562">
        <v>2021</v>
      </c>
      <c r="C2263" s="561" t="s">
        <v>658</v>
      </c>
      <c r="D2263" s="561" t="s">
        <v>2391</v>
      </c>
      <c r="E2263" s="561" t="s">
        <v>447</v>
      </c>
      <c r="F2263" s="563">
        <v>0</v>
      </c>
      <c r="G2263" s="564"/>
      <c r="H2263" s="561" t="s">
        <v>654</v>
      </c>
      <c r="I2263" s="565"/>
      <c r="J2263" s="565"/>
      <c r="K2263" s="563">
        <v>0</v>
      </c>
      <c r="L2263" s="566">
        <v>0</v>
      </c>
    </row>
    <row r="2264" spans="1:12" ht="22.5" x14ac:dyDescent="0.2">
      <c r="A2264" s="561" t="s">
        <v>111</v>
      </c>
      <c r="B2264" s="562">
        <v>2021</v>
      </c>
      <c r="C2264" s="561" t="s">
        <v>660</v>
      </c>
      <c r="D2264" s="561" t="s">
        <v>2392</v>
      </c>
      <c r="E2264" s="561" t="s">
        <v>662</v>
      </c>
      <c r="F2264" s="563">
        <v>0</v>
      </c>
      <c r="G2264" s="564"/>
      <c r="H2264" s="561" t="s">
        <v>654</v>
      </c>
      <c r="I2264" s="565"/>
      <c r="J2264" s="565"/>
      <c r="K2264" s="563">
        <v>0</v>
      </c>
      <c r="L2264" s="566">
        <v>0</v>
      </c>
    </row>
    <row r="2265" spans="1:12" ht="33.75" x14ac:dyDescent="0.2">
      <c r="A2265" s="561" t="s">
        <v>111</v>
      </c>
      <c r="B2265" s="562">
        <v>2021</v>
      </c>
      <c r="C2265" s="561" t="s">
        <v>663</v>
      </c>
      <c r="D2265" s="561" t="s">
        <v>2393</v>
      </c>
      <c r="E2265" s="561" t="s">
        <v>665</v>
      </c>
      <c r="F2265" s="563">
        <v>0</v>
      </c>
      <c r="G2265" s="564"/>
      <c r="H2265" s="561" t="s">
        <v>654</v>
      </c>
      <c r="I2265" s="565"/>
      <c r="J2265" s="565"/>
      <c r="K2265" s="563">
        <v>0</v>
      </c>
      <c r="L2265" s="566">
        <v>0</v>
      </c>
    </row>
    <row r="2266" spans="1:12" ht="33.75" x14ac:dyDescent="0.2">
      <c r="A2266" s="561" t="s">
        <v>111</v>
      </c>
      <c r="B2266" s="562">
        <v>2021</v>
      </c>
      <c r="C2266" s="561" t="s">
        <v>666</v>
      </c>
      <c r="D2266" s="561" t="s">
        <v>2394</v>
      </c>
      <c r="E2266" s="561" t="s">
        <v>668</v>
      </c>
      <c r="F2266" s="563">
        <v>0</v>
      </c>
      <c r="G2266" s="564"/>
      <c r="H2266" s="561" t="s">
        <v>654</v>
      </c>
      <c r="I2266" s="565"/>
      <c r="J2266" s="565"/>
      <c r="K2266" s="563">
        <v>0</v>
      </c>
      <c r="L2266" s="566">
        <v>0</v>
      </c>
    </row>
    <row r="2267" spans="1:12" ht="56.25" x14ac:dyDescent="0.2">
      <c r="A2267" s="561" t="s">
        <v>111</v>
      </c>
      <c r="B2267" s="562">
        <v>2021</v>
      </c>
      <c r="C2267" s="561" t="s">
        <v>669</v>
      </c>
      <c r="D2267" s="561" t="s">
        <v>2395</v>
      </c>
      <c r="E2267" s="561" t="s">
        <v>671</v>
      </c>
      <c r="F2267" s="563">
        <v>0</v>
      </c>
      <c r="G2267" s="564"/>
      <c r="H2267" s="561" t="s">
        <v>654</v>
      </c>
      <c r="I2267" s="565"/>
      <c r="J2267" s="565"/>
      <c r="K2267" s="563">
        <v>0</v>
      </c>
      <c r="L2267" s="566">
        <v>0</v>
      </c>
    </row>
    <row r="2268" spans="1:12" ht="22.5" x14ac:dyDescent="0.2">
      <c r="A2268" s="561" t="s">
        <v>111</v>
      </c>
      <c r="B2268" s="562">
        <v>2021</v>
      </c>
      <c r="C2268" s="561" t="s">
        <v>672</v>
      </c>
      <c r="D2268" s="561" t="s">
        <v>2396</v>
      </c>
      <c r="E2268" s="561" t="s">
        <v>12</v>
      </c>
      <c r="F2268" s="563">
        <v>0</v>
      </c>
      <c r="G2268" s="564"/>
      <c r="H2268" s="561" t="s">
        <v>654</v>
      </c>
      <c r="I2268" s="565"/>
      <c r="J2268" s="565"/>
      <c r="K2268" s="563">
        <v>0</v>
      </c>
      <c r="L2268" s="566">
        <v>0</v>
      </c>
    </row>
    <row r="2269" spans="1:12" ht="22.5" x14ac:dyDescent="0.2">
      <c r="A2269" s="561" t="s">
        <v>111</v>
      </c>
      <c r="B2269" s="562">
        <v>2021</v>
      </c>
      <c r="C2269" s="561" t="s">
        <v>674</v>
      </c>
      <c r="D2269" s="561" t="s">
        <v>2397</v>
      </c>
      <c r="E2269" s="561" t="s">
        <v>13</v>
      </c>
      <c r="F2269" s="563">
        <v>0</v>
      </c>
      <c r="G2269" s="564"/>
      <c r="H2269" s="561" t="s">
        <v>654</v>
      </c>
      <c r="I2269" s="565"/>
      <c r="J2269" s="565"/>
      <c r="K2269" s="563">
        <v>0</v>
      </c>
      <c r="L2269" s="566">
        <v>0</v>
      </c>
    </row>
    <row r="2270" spans="1:12" ht="33.75" x14ac:dyDescent="0.2">
      <c r="A2270" s="561" t="s">
        <v>111</v>
      </c>
      <c r="B2270" s="562">
        <v>2021</v>
      </c>
      <c r="C2270" s="561" t="s">
        <v>676</v>
      </c>
      <c r="D2270" s="561" t="s">
        <v>2398</v>
      </c>
      <c r="E2270" s="561" t="s">
        <v>15</v>
      </c>
      <c r="F2270" s="563">
        <v>0</v>
      </c>
      <c r="G2270" s="564"/>
      <c r="H2270" s="561" t="s">
        <v>654</v>
      </c>
      <c r="I2270" s="565"/>
      <c r="J2270" s="565"/>
      <c r="K2270" s="563">
        <v>0</v>
      </c>
      <c r="L2270" s="566">
        <v>0</v>
      </c>
    </row>
    <row r="2271" spans="1:12" ht="22.5" x14ac:dyDescent="0.2">
      <c r="A2271" s="561" t="s">
        <v>111</v>
      </c>
      <c r="B2271" s="562">
        <v>2021</v>
      </c>
      <c r="C2271" s="561" t="s">
        <v>678</v>
      </c>
      <c r="D2271" s="561" t="s">
        <v>2399</v>
      </c>
      <c r="E2271" s="561" t="s">
        <v>680</v>
      </c>
      <c r="F2271" s="563">
        <v>0</v>
      </c>
      <c r="G2271" s="564"/>
      <c r="H2271" s="561" t="s">
        <v>654</v>
      </c>
      <c r="I2271" s="565"/>
      <c r="J2271" s="565"/>
      <c r="K2271" s="563">
        <v>0</v>
      </c>
      <c r="L2271" s="566">
        <v>0</v>
      </c>
    </row>
    <row r="2272" spans="1:12" ht="22.5" x14ac:dyDescent="0.2">
      <c r="A2272" s="561" t="s">
        <v>111</v>
      </c>
      <c r="B2272" s="562">
        <v>2021</v>
      </c>
      <c r="C2272" s="561" t="s">
        <v>681</v>
      </c>
      <c r="D2272" s="561" t="s">
        <v>2400</v>
      </c>
      <c r="E2272" s="561" t="s">
        <v>23</v>
      </c>
      <c r="F2272" s="563">
        <v>1129849.6000000001</v>
      </c>
      <c r="G2272" s="561" t="s">
        <v>654</v>
      </c>
      <c r="H2272" s="564"/>
      <c r="I2272" s="563">
        <v>1089278.25</v>
      </c>
      <c r="J2272" s="563">
        <v>40571.2890625</v>
      </c>
      <c r="K2272" s="563">
        <v>1129849.625</v>
      </c>
      <c r="L2272" s="566">
        <v>1129849.6000000001</v>
      </c>
    </row>
    <row r="2273" spans="1:12" ht="33.75" x14ac:dyDescent="0.2">
      <c r="A2273" s="561" t="s">
        <v>111</v>
      </c>
      <c r="B2273" s="562">
        <v>2021</v>
      </c>
      <c r="C2273" s="561" t="s">
        <v>683</v>
      </c>
      <c r="D2273" s="561" t="s">
        <v>2401</v>
      </c>
      <c r="E2273" s="561" t="s">
        <v>131</v>
      </c>
      <c r="F2273" s="563">
        <v>-6453.65</v>
      </c>
      <c r="G2273" s="561" t="s">
        <v>654</v>
      </c>
      <c r="H2273" s="564"/>
      <c r="I2273" s="563">
        <v>-5922.4599609375</v>
      </c>
      <c r="J2273" s="563">
        <v>-531.19000244140602</v>
      </c>
      <c r="K2273" s="563">
        <v>-6453.64990234375</v>
      </c>
      <c r="L2273" s="566">
        <v>-6453.65</v>
      </c>
    </row>
    <row r="2274" spans="1:12" ht="33.75" x14ac:dyDescent="0.2">
      <c r="A2274" s="561" t="s">
        <v>111</v>
      </c>
      <c r="B2274" s="562">
        <v>2021</v>
      </c>
      <c r="C2274" s="561" t="s">
        <v>685</v>
      </c>
      <c r="D2274" s="561" t="s">
        <v>2402</v>
      </c>
      <c r="E2274" s="561" t="s">
        <v>687</v>
      </c>
      <c r="F2274" s="563">
        <v>0</v>
      </c>
      <c r="G2274" s="564"/>
      <c r="H2274" s="561" t="s">
        <v>654</v>
      </c>
      <c r="I2274" s="565"/>
      <c r="J2274" s="565"/>
      <c r="K2274" s="563">
        <v>0</v>
      </c>
      <c r="L2274" s="566">
        <v>0</v>
      </c>
    </row>
    <row r="2275" spans="1:12" ht="33.75" x14ac:dyDescent="0.2">
      <c r="A2275" s="561" t="s">
        <v>111</v>
      </c>
      <c r="B2275" s="562">
        <v>2021</v>
      </c>
      <c r="C2275" s="561" t="s">
        <v>685</v>
      </c>
      <c r="D2275" s="561" t="s">
        <v>2402</v>
      </c>
      <c r="E2275" s="561" t="s">
        <v>688</v>
      </c>
      <c r="F2275" s="563">
        <v>0</v>
      </c>
      <c r="G2275" s="564"/>
      <c r="H2275" s="561" t="s">
        <v>654</v>
      </c>
      <c r="I2275" s="565"/>
      <c r="J2275" s="565"/>
      <c r="K2275" s="563">
        <v>0</v>
      </c>
      <c r="L2275" s="566">
        <v>0</v>
      </c>
    </row>
    <row r="2276" spans="1:12" ht="22.5" x14ac:dyDescent="0.2">
      <c r="A2276" s="561" t="s">
        <v>111</v>
      </c>
      <c r="B2276" s="562">
        <v>2021</v>
      </c>
      <c r="C2276" s="561" t="s">
        <v>689</v>
      </c>
      <c r="D2276" s="561" t="s">
        <v>2403</v>
      </c>
      <c r="E2276" s="561" t="s">
        <v>691</v>
      </c>
      <c r="F2276" s="563">
        <v>0</v>
      </c>
      <c r="G2276" s="564"/>
      <c r="H2276" s="561" t="s">
        <v>654</v>
      </c>
      <c r="I2276" s="565"/>
      <c r="J2276" s="565"/>
      <c r="K2276" s="563">
        <v>0</v>
      </c>
      <c r="L2276" s="566">
        <v>0</v>
      </c>
    </row>
    <row r="2277" spans="1:12" ht="22.5" x14ac:dyDescent="0.2">
      <c r="A2277" s="561" t="s">
        <v>111</v>
      </c>
      <c r="B2277" s="562">
        <v>2021</v>
      </c>
      <c r="C2277" s="561" t="s">
        <v>692</v>
      </c>
      <c r="D2277" s="561" t="s">
        <v>2404</v>
      </c>
      <c r="E2277" s="561" t="s">
        <v>50</v>
      </c>
      <c r="F2277" s="563">
        <v>0</v>
      </c>
      <c r="G2277" s="564"/>
      <c r="H2277" s="561" t="s">
        <v>654</v>
      </c>
      <c r="I2277" s="565"/>
      <c r="J2277" s="565"/>
      <c r="K2277" s="563">
        <v>0</v>
      </c>
      <c r="L2277" s="566">
        <v>0</v>
      </c>
    </row>
    <row r="2278" spans="1:12" ht="22.5" x14ac:dyDescent="0.2">
      <c r="A2278" s="561" t="s">
        <v>111</v>
      </c>
      <c r="B2278" s="562">
        <v>2021</v>
      </c>
      <c r="C2278" s="561" t="s">
        <v>694</v>
      </c>
      <c r="D2278" s="561" t="s">
        <v>2405</v>
      </c>
      <c r="E2278" s="561" t="s">
        <v>696</v>
      </c>
      <c r="F2278" s="563">
        <v>0</v>
      </c>
      <c r="G2278" s="564"/>
      <c r="H2278" s="561" t="s">
        <v>654</v>
      </c>
      <c r="I2278" s="565"/>
      <c r="J2278" s="565"/>
      <c r="K2278" s="563">
        <v>0</v>
      </c>
      <c r="L2278" s="566">
        <v>0</v>
      </c>
    </row>
    <row r="2279" spans="1:12" ht="22.5" x14ac:dyDescent="0.2">
      <c r="A2279" s="561" t="s">
        <v>111</v>
      </c>
      <c r="B2279" s="562">
        <v>2021</v>
      </c>
      <c r="C2279" s="561" t="s">
        <v>697</v>
      </c>
      <c r="D2279" s="561" t="s">
        <v>2406</v>
      </c>
      <c r="E2279" s="561" t="s">
        <v>6</v>
      </c>
      <c r="F2279" s="563">
        <v>0</v>
      </c>
      <c r="G2279" s="564"/>
      <c r="H2279" s="561" t="s">
        <v>654</v>
      </c>
      <c r="I2279" s="565"/>
      <c r="J2279" s="565"/>
      <c r="K2279" s="563">
        <v>0</v>
      </c>
      <c r="L2279" s="566">
        <v>0</v>
      </c>
    </row>
    <row r="2280" spans="1:12" ht="33.75" x14ac:dyDescent="0.2">
      <c r="A2280" s="561" t="s">
        <v>111</v>
      </c>
      <c r="B2280" s="562">
        <v>2021</v>
      </c>
      <c r="C2280" s="561" t="s">
        <v>699</v>
      </c>
      <c r="D2280" s="561" t="s">
        <v>2407</v>
      </c>
      <c r="E2280" s="561" t="s">
        <v>701</v>
      </c>
      <c r="F2280" s="563">
        <v>0</v>
      </c>
      <c r="G2280" s="564"/>
      <c r="H2280" s="561" t="s">
        <v>654</v>
      </c>
      <c r="I2280" s="565"/>
      <c r="J2280" s="565"/>
      <c r="K2280" s="563">
        <v>0</v>
      </c>
      <c r="L2280" s="566">
        <v>0</v>
      </c>
    </row>
    <row r="2281" spans="1:12" ht="22.5" x14ac:dyDescent="0.2">
      <c r="A2281" s="561" t="s">
        <v>111</v>
      </c>
      <c r="B2281" s="562">
        <v>2021</v>
      </c>
      <c r="C2281" s="561" t="s">
        <v>702</v>
      </c>
      <c r="D2281" s="561" t="s">
        <v>2408</v>
      </c>
      <c r="E2281" s="561" t="s">
        <v>704</v>
      </c>
      <c r="F2281" s="563">
        <v>0</v>
      </c>
      <c r="G2281" s="564"/>
      <c r="H2281" s="561" t="s">
        <v>654</v>
      </c>
      <c r="I2281" s="565"/>
      <c r="J2281" s="565"/>
      <c r="K2281" s="563">
        <v>0</v>
      </c>
      <c r="L2281" s="566">
        <v>0</v>
      </c>
    </row>
    <row r="2282" spans="1:12" ht="33.75" x14ac:dyDescent="0.2">
      <c r="A2282" s="561" t="s">
        <v>111</v>
      </c>
      <c r="B2282" s="562">
        <v>2021</v>
      </c>
      <c r="C2282" s="561" t="s">
        <v>705</v>
      </c>
      <c r="D2282" s="561" t="s">
        <v>2409</v>
      </c>
      <c r="E2282" s="561" t="s">
        <v>1</v>
      </c>
      <c r="F2282" s="563">
        <v>-316722.59000000003</v>
      </c>
      <c r="G2282" s="561" t="s">
        <v>654</v>
      </c>
      <c r="H2282" s="564"/>
      <c r="I2282" s="563">
        <v>-305212.6875</v>
      </c>
      <c r="J2282" s="563">
        <v>-11509.91015625</v>
      </c>
      <c r="K2282" s="563">
        <v>-316722.59375</v>
      </c>
      <c r="L2282" s="566">
        <v>-316722.59000000003</v>
      </c>
    </row>
    <row r="2283" spans="1:12" ht="22.5" x14ac:dyDescent="0.2">
      <c r="A2283" s="561" t="s">
        <v>111</v>
      </c>
      <c r="B2283" s="562">
        <v>2021</v>
      </c>
      <c r="C2283" s="561" t="s">
        <v>705</v>
      </c>
      <c r="D2283" s="561" t="s">
        <v>2409</v>
      </c>
      <c r="E2283" s="561" t="s">
        <v>707</v>
      </c>
      <c r="F2283" s="563">
        <v>1.29</v>
      </c>
      <c r="G2283" s="564"/>
      <c r="H2283" s="564"/>
      <c r="I2283" s="565"/>
      <c r="J2283" s="565"/>
      <c r="K2283" s="563">
        <v>0</v>
      </c>
      <c r="L2283" s="566">
        <v>1.29</v>
      </c>
    </row>
    <row r="2284" spans="1:12" ht="22.5" x14ac:dyDescent="0.2">
      <c r="A2284" s="561" t="s">
        <v>111</v>
      </c>
      <c r="B2284" s="562">
        <v>2021</v>
      </c>
      <c r="C2284" s="561" t="s">
        <v>705</v>
      </c>
      <c r="D2284" s="561" t="s">
        <v>2409</v>
      </c>
      <c r="E2284" s="561" t="s">
        <v>708</v>
      </c>
      <c r="F2284" s="563">
        <v>93.69</v>
      </c>
      <c r="G2284" s="564"/>
      <c r="H2284" s="564"/>
      <c r="I2284" s="565"/>
      <c r="J2284" s="565"/>
      <c r="K2284" s="563">
        <v>0</v>
      </c>
      <c r="L2284" s="566">
        <v>93.69</v>
      </c>
    </row>
    <row r="2285" spans="1:12" ht="22.5" x14ac:dyDescent="0.2">
      <c r="A2285" s="561" t="s">
        <v>111</v>
      </c>
      <c r="B2285" s="562">
        <v>2021</v>
      </c>
      <c r="C2285" s="561" t="s">
        <v>705</v>
      </c>
      <c r="D2285" s="561" t="s">
        <v>2409</v>
      </c>
      <c r="E2285" s="561" t="s">
        <v>709</v>
      </c>
      <c r="F2285" s="563">
        <v>0</v>
      </c>
      <c r="G2285" s="564"/>
      <c r="H2285" s="564"/>
      <c r="I2285" s="565"/>
      <c r="J2285" s="565"/>
      <c r="K2285" s="563">
        <v>0</v>
      </c>
      <c r="L2285" s="566">
        <v>0</v>
      </c>
    </row>
    <row r="2286" spans="1:12" ht="22.5" x14ac:dyDescent="0.2">
      <c r="A2286" s="561" t="s">
        <v>111</v>
      </c>
      <c r="B2286" s="562">
        <v>2021</v>
      </c>
      <c r="C2286" s="561" t="s">
        <v>705</v>
      </c>
      <c r="D2286" s="561" t="s">
        <v>2409</v>
      </c>
      <c r="E2286" s="561" t="s">
        <v>710</v>
      </c>
      <c r="F2286" s="563">
        <v>0</v>
      </c>
      <c r="G2286" s="564"/>
      <c r="H2286" s="564"/>
      <c r="I2286" s="565"/>
      <c r="J2286" s="565"/>
      <c r="K2286" s="563">
        <v>0</v>
      </c>
      <c r="L2286" s="566">
        <v>0</v>
      </c>
    </row>
    <row r="2287" spans="1:12" ht="22.5" x14ac:dyDescent="0.2">
      <c r="A2287" s="561" t="s">
        <v>111</v>
      </c>
      <c r="B2287" s="562">
        <v>2021</v>
      </c>
      <c r="C2287" s="561" t="s">
        <v>711</v>
      </c>
      <c r="D2287" s="561" t="s">
        <v>2410</v>
      </c>
      <c r="E2287" s="561" t="s">
        <v>713</v>
      </c>
      <c r="F2287" s="563">
        <v>0</v>
      </c>
      <c r="G2287" s="564"/>
      <c r="H2287" s="561" t="s">
        <v>654</v>
      </c>
      <c r="I2287" s="565"/>
      <c r="J2287" s="565"/>
      <c r="K2287" s="563">
        <v>0</v>
      </c>
      <c r="L2287" s="566">
        <v>0</v>
      </c>
    </row>
    <row r="2288" spans="1:12" ht="33.75" x14ac:dyDescent="0.2">
      <c r="A2288" s="561" t="s">
        <v>111</v>
      </c>
      <c r="B2288" s="562">
        <v>2021</v>
      </c>
      <c r="C2288" s="561" t="s">
        <v>714</v>
      </c>
      <c r="D2288" s="561" t="s">
        <v>2411</v>
      </c>
      <c r="E2288" s="561" t="s">
        <v>2</v>
      </c>
      <c r="F2288" s="563">
        <v>-196618.71</v>
      </c>
      <c r="G2288" s="561" t="s">
        <v>654</v>
      </c>
      <c r="H2288" s="564"/>
      <c r="I2288" s="563">
        <v>-193465.59375</v>
      </c>
      <c r="J2288" s="563">
        <v>-3153.1201171875</v>
      </c>
      <c r="K2288" s="563">
        <v>-196618.703125</v>
      </c>
      <c r="L2288" s="566">
        <v>-196618.71</v>
      </c>
    </row>
    <row r="2289" spans="1:12" ht="33.75" x14ac:dyDescent="0.2">
      <c r="A2289" s="561" t="s">
        <v>111</v>
      </c>
      <c r="B2289" s="562">
        <v>2021</v>
      </c>
      <c r="C2289" s="561" t="s">
        <v>716</v>
      </c>
      <c r="D2289" s="561" t="s">
        <v>2412</v>
      </c>
      <c r="E2289" s="561" t="s">
        <v>3</v>
      </c>
      <c r="F2289" s="563">
        <v>-48287.6</v>
      </c>
      <c r="G2289" s="561" t="s">
        <v>654</v>
      </c>
      <c r="H2289" s="564"/>
      <c r="I2289" s="563">
        <v>-49640.12109375</v>
      </c>
      <c r="J2289" s="563">
        <v>1352.52001953125</v>
      </c>
      <c r="K2289" s="563">
        <v>-48287.6015625</v>
      </c>
      <c r="L2289" s="566">
        <v>-48287.6</v>
      </c>
    </row>
    <row r="2290" spans="1:12" ht="33.75" x14ac:dyDescent="0.2">
      <c r="A2290" s="561" t="s">
        <v>111</v>
      </c>
      <c r="B2290" s="562">
        <v>2021</v>
      </c>
      <c r="C2290" s="561" t="s">
        <v>718</v>
      </c>
      <c r="D2290" s="561" t="s">
        <v>2413</v>
      </c>
      <c r="E2290" s="561" t="s">
        <v>38</v>
      </c>
      <c r="F2290" s="563">
        <v>-1377216.3</v>
      </c>
      <c r="G2290" s="561" t="s">
        <v>654</v>
      </c>
      <c r="H2290" s="564"/>
      <c r="I2290" s="563">
        <v>-1372896.25</v>
      </c>
      <c r="J2290" s="563">
        <v>-4320.009765625</v>
      </c>
      <c r="K2290" s="563">
        <v>-1377216.25</v>
      </c>
      <c r="L2290" s="566">
        <v>-1377216.3</v>
      </c>
    </row>
    <row r="2291" spans="1:12" ht="22.5" x14ac:dyDescent="0.2">
      <c r="A2291" s="561" t="s">
        <v>111</v>
      </c>
      <c r="B2291" s="562">
        <v>2021</v>
      </c>
      <c r="C2291" s="561" t="s">
        <v>720</v>
      </c>
      <c r="D2291" s="561" t="s">
        <v>2414</v>
      </c>
      <c r="E2291" s="561" t="s">
        <v>66</v>
      </c>
      <c r="F2291" s="563">
        <v>781847.43</v>
      </c>
      <c r="G2291" s="561" t="s">
        <v>654</v>
      </c>
      <c r="H2291" s="564"/>
      <c r="I2291" s="563">
        <v>794368.25</v>
      </c>
      <c r="J2291" s="563">
        <v>-12520.8095703125</v>
      </c>
      <c r="K2291" s="563">
        <v>781847.4375</v>
      </c>
      <c r="L2291" s="566">
        <v>781847.43</v>
      </c>
    </row>
    <row r="2292" spans="1:12" ht="45" x14ac:dyDescent="0.2">
      <c r="A2292" s="561" t="s">
        <v>111</v>
      </c>
      <c r="B2292" s="562">
        <v>2021</v>
      </c>
      <c r="C2292" s="561" t="s">
        <v>722</v>
      </c>
      <c r="D2292" s="561" t="s">
        <v>2415</v>
      </c>
      <c r="E2292" s="561" t="s">
        <v>724</v>
      </c>
      <c r="F2292" s="563">
        <v>-11097.52</v>
      </c>
      <c r="G2292" s="564"/>
      <c r="H2292" s="561" t="s">
        <v>654</v>
      </c>
      <c r="I2292" s="565"/>
      <c r="J2292" s="565"/>
      <c r="K2292" s="563">
        <v>0</v>
      </c>
      <c r="L2292" s="566">
        <v>-11097.52</v>
      </c>
    </row>
    <row r="2293" spans="1:12" ht="45" x14ac:dyDescent="0.2">
      <c r="A2293" s="561" t="s">
        <v>111</v>
      </c>
      <c r="B2293" s="562">
        <v>2021</v>
      </c>
      <c r="C2293" s="561" t="s">
        <v>725</v>
      </c>
      <c r="D2293" s="561" t="s">
        <v>2416</v>
      </c>
      <c r="E2293" s="561" t="s">
        <v>3024</v>
      </c>
      <c r="F2293" s="563">
        <v>0</v>
      </c>
      <c r="G2293" s="561" t="s">
        <v>654</v>
      </c>
      <c r="H2293" s="564"/>
      <c r="I2293" s="563">
        <v>71042.140625</v>
      </c>
      <c r="J2293" s="563">
        <v>7293.0400390625</v>
      </c>
      <c r="K2293" s="563">
        <v>78335.1796875</v>
      </c>
      <c r="L2293" s="566">
        <v>78335.179999999993</v>
      </c>
    </row>
    <row r="2294" spans="1:12" ht="45" x14ac:dyDescent="0.2">
      <c r="A2294" s="561" t="s">
        <v>111</v>
      </c>
      <c r="B2294" s="562">
        <v>2021</v>
      </c>
      <c r="C2294" s="561" t="s">
        <v>725</v>
      </c>
      <c r="D2294" s="561" t="s">
        <v>2416</v>
      </c>
      <c r="E2294" s="561" t="s">
        <v>3066</v>
      </c>
      <c r="F2294" s="563">
        <v>0</v>
      </c>
      <c r="G2294" s="561" t="s">
        <v>654</v>
      </c>
      <c r="H2294" s="564"/>
      <c r="I2294" s="565"/>
      <c r="J2294" s="565"/>
      <c r="K2294" s="563">
        <v>0</v>
      </c>
      <c r="L2294" s="566">
        <v>0</v>
      </c>
    </row>
    <row r="2295" spans="1:12" ht="45" x14ac:dyDescent="0.2">
      <c r="A2295" s="561" t="s">
        <v>111</v>
      </c>
      <c r="B2295" s="562">
        <v>2021</v>
      </c>
      <c r="C2295" s="561" t="s">
        <v>725</v>
      </c>
      <c r="D2295" s="561" t="s">
        <v>2417</v>
      </c>
      <c r="E2295" s="561" t="s">
        <v>728</v>
      </c>
      <c r="F2295" s="563">
        <v>0</v>
      </c>
      <c r="G2295" s="561" t="s">
        <v>654</v>
      </c>
      <c r="H2295" s="564"/>
      <c r="I2295" s="565"/>
      <c r="J2295" s="565"/>
      <c r="K2295" s="563">
        <v>0</v>
      </c>
      <c r="L2295" s="566">
        <v>0</v>
      </c>
    </row>
    <row r="2296" spans="1:12" ht="45" x14ac:dyDescent="0.2">
      <c r="A2296" s="561" t="s">
        <v>111</v>
      </c>
      <c r="B2296" s="562">
        <v>2021</v>
      </c>
      <c r="C2296" s="561" t="s">
        <v>725</v>
      </c>
      <c r="D2296" s="561" t="s">
        <v>2418</v>
      </c>
      <c r="E2296" s="561" t="s">
        <v>55</v>
      </c>
      <c r="F2296" s="563">
        <v>0</v>
      </c>
      <c r="G2296" s="561" t="s">
        <v>654</v>
      </c>
      <c r="H2296" s="564"/>
      <c r="I2296" s="565"/>
      <c r="J2296" s="565"/>
      <c r="K2296" s="563">
        <v>0</v>
      </c>
      <c r="L2296" s="566">
        <v>0</v>
      </c>
    </row>
    <row r="2297" spans="1:12" ht="45" x14ac:dyDescent="0.2">
      <c r="A2297" s="561" t="s">
        <v>111</v>
      </c>
      <c r="B2297" s="562">
        <v>2021</v>
      </c>
      <c r="C2297" s="561" t="s">
        <v>725</v>
      </c>
      <c r="D2297" s="561" t="s">
        <v>2419</v>
      </c>
      <c r="E2297" s="561" t="s">
        <v>56</v>
      </c>
      <c r="F2297" s="563">
        <v>0</v>
      </c>
      <c r="G2297" s="561" t="s">
        <v>654</v>
      </c>
      <c r="H2297" s="564"/>
      <c r="I2297" s="565"/>
      <c r="J2297" s="565"/>
      <c r="K2297" s="563">
        <v>0</v>
      </c>
      <c r="L2297" s="566">
        <v>0</v>
      </c>
    </row>
    <row r="2298" spans="1:12" ht="45" x14ac:dyDescent="0.2">
      <c r="A2298" s="561" t="s">
        <v>111</v>
      </c>
      <c r="B2298" s="562">
        <v>2021</v>
      </c>
      <c r="C2298" s="561" t="s">
        <v>725</v>
      </c>
      <c r="D2298" s="561" t="s">
        <v>2420</v>
      </c>
      <c r="E2298" s="561" t="s">
        <v>732</v>
      </c>
      <c r="F2298" s="563">
        <v>0</v>
      </c>
      <c r="G2298" s="561" t="s">
        <v>654</v>
      </c>
      <c r="H2298" s="564"/>
      <c r="I2298" s="565"/>
      <c r="J2298" s="565"/>
      <c r="K2298" s="563">
        <v>0</v>
      </c>
      <c r="L2298" s="566">
        <v>0</v>
      </c>
    </row>
    <row r="2299" spans="1:12" ht="45" x14ac:dyDescent="0.2">
      <c r="A2299" s="561" t="s">
        <v>111</v>
      </c>
      <c r="B2299" s="562">
        <v>2021</v>
      </c>
      <c r="C2299" s="561" t="s">
        <v>725</v>
      </c>
      <c r="D2299" s="561" t="s">
        <v>2421</v>
      </c>
      <c r="E2299" s="561" t="s">
        <v>734</v>
      </c>
      <c r="F2299" s="563">
        <v>0</v>
      </c>
      <c r="G2299" s="561" t="s">
        <v>654</v>
      </c>
      <c r="H2299" s="564"/>
      <c r="I2299" s="565"/>
      <c r="J2299" s="565"/>
      <c r="K2299" s="563">
        <v>0</v>
      </c>
      <c r="L2299" s="566">
        <v>0</v>
      </c>
    </row>
    <row r="2300" spans="1:12" ht="45" x14ac:dyDescent="0.2">
      <c r="A2300" s="561" t="s">
        <v>111</v>
      </c>
      <c r="B2300" s="562">
        <v>2021</v>
      </c>
      <c r="C2300" s="561" t="s">
        <v>725</v>
      </c>
      <c r="D2300" s="561" t="s">
        <v>2422</v>
      </c>
      <c r="E2300" s="561" t="s">
        <v>142</v>
      </c>
      <c r="F2300" s="563">
        <v>0</v>
      </c>
      <c r="G2300" s="561" t="s">
        <v>654</v>
      </c>
      <c r="H2300" s="564"/>
      <c r="I2300" s="565"/>
      <c r="J2300" s="565"/>
      <c r="K2300" s="563">
        <v>0</v>
      </c>
      <c r="L2300" s="566">
        <v>0</v>
      </c>
    </row>
    <row r="2301" spans="1:12" ht="45" x14ac:dyDescent="0.2">
      <c r="A2301" s="561" t="s">
        <v>111</v>
      </c>
      <c r="B2301" s="562">
        <v>2021</v>
      </c>
      <c r="C2301" s="561" t="s">
        <v>725</v>
      </c>
      <c r="D2301" s="561" t="s">
        <v>2423</v>
      </c>
      <c r="E2301" s="561" t="s">
        <v>143</v>
      </c>
      <c r="F2301" s="563">
        <v>0</v>
      </c>
      <c r="G2301" s="561" t="s">
        <v>654</v>
      </c>
      <c r="H2301" s="564"/>
      <c r="I2301" s="565"/>
      <c r="J2301" s="565"/>
      <c r="K2301" s="563">
        <v>0</v>
      </c>
      <c r="L2301" s="566">
        <v>0</v>
      </c>
    </row>
    <row r="2302" spans="1:12" ht="45" x14ac:dyDescent="0.2">
      <c r="A2302" s="561" t="s">
        <v>111</v>
      </c>
      <c r="B2302" s="562">
        <v>2021</v>
      </c>
      <c r="C2302" s="561" t="s">
        <v>725</v>
      </c>
      <c r="D2302" s="561" t="s">
        <v>2424</v>
      </c>
      <c r="E2302" s="561" t="s">
        <v>182</v>
      </c>
      <c r="F2302" s="563">
        <v>0</v>
      </c>
      <c r="G2302" s="561" t="s">
        <v>654</v>
      </c>
      <c r="H2302" s="564"/>
      <c r="I2302" s="565"/>
      <c r="J2302" s="565"/>
      <c r="K2302" s="563">
        <v>0</v>
      </c>
      <c r="L2302" s="566">
        <v>0</v>
      </c>
    </row>
    <row r="2303" spans="1:12" ht="45" x14ac:dyDescent="0.2">
      <c r="A2303" s="561" t="s">
        <v>111</v>
      </c>
      <c r="B2303" s="562">
        <v>2021</v>
      </c>
      <c r="C2303" s="561" t="s">
        <v>725</v>
      </c>
      <c r="D2303" s="561" t="s">
        <v>2425</v>
      </c>
      <c r="E2303" s="561" t="s">
        <v>394</v>
      </c>
      <c r="F2303" s="563">
        <v>0</v>
      </c>
      <c r="G2303" s="561" t="s">
        <v>654</v>
      </c>
      <c r="H2303" s="564"/>
      <c r="I2303" s="563">
        <v>-25099.44921875</v>
      </c>
      <c r="J2303" s="563">
        <v>-17617.140625</v>
      </c>
      <c r="K2303" s="563">
        <v>-42716.58984375</v>
      </c>
      <c r="L2303" s="566">
        <v>-42716.59</v>
      </c>
    </row>
    <row r="2304" spans="1:12" ht="45" x14ac:dyDescent="0.2">
      <c r="A2304" s="561" t="s">
        <v>111</v>
      </c>
      <c r="B2304" s="562">
        <v>2021</v>
      </c>
      <c r="C2304" s="561" t="s">
        <v>725</v>
      </c>
      <c r="D2304" s="561" t="s">
        <v>2426</v>
      </c>
      <c r="E2304" s="561" t="s">
        <v>425</v>
      </c>
      <c r="F2304" s="563">
        <v>0</v>
      </c>
      <c r="G2304" s="561" t="s">
        <v>654</v>
      </c>
      <c r="H2304" s="564"/>
      <c r="I2304" s="565"/>
      <c r="J2304" s="565"/>
      <c r="K2304" s="563">
        <v>0</v>
      </c>
      <c r="L2304" s="566">
        <v>0</v>
      </c>
    </row>
    <row r="2305" spans="1:12" ht="45" x14ac:dyDescent="0.2">
      <c r="A2305" s="561" t="s">
        <v>111</v>
      </c>
      <c r="B2305" s="562">
        <v>2021</v>
      </c>
      <c r="C2305" s="561" t="s">
        <v>725</v>
      </c>
      <c r="D2305" s="561" t="s">
        <v>3289</v>
      </c>
      <c r="E2305" s="561" t="s">
        <v>443</v>
      </c>
      <c r="F2305" s="563">
        <v>0</v>
      </c>
      <c r="G2305" s="561" t="s">
        <v>654</v>
      </c>
      <c r="H2305" s="564"/>
      <c r="I2305" s="565"/>
      <c r="J2305" s="565"/>
      <c r="K2305" s="563">
        <v>0</v>
      </c>
      <c r="L2305" s="566">
        <v>0</v>
      </c>
    </row>
    <row r="2306" spans="1:12" ht="45" x14ac:dyDescent="0.2">
      <c r="A2306" s="561" t="s">
        <v>111</v>
      </c>
      <c r="B2306" s="562">
        <v>2021</v>
      </c>
      <c r="C2306" s="561" t="s">
        <v>725</v>
      </c>
      <c r="D2306" s="561" t="s">
        <v>2427</v>
      </c>
      <c r="E2306" s="561" t="s">
        <v>741</v>
      </c>
      <c r="F2306" s="563">
        <v>35618.589999999997</v>
      </c>
      <c r="G2306" s="564"/>
      <c r="H2306" s="564"/>
      <c r="I2306" s="565"/>
      <c r="J2306" s="565"/>
      <c r="K2306" s="563">
        <v>0</v>
      </c>
      <c r="L2306" s="566">
        <v>35618.589999999997</v>
      </c>
    </row>
    <row r="2307" spans="1:12" ht="22.5" x14ac:dyDescent="0.2">
      <c r="A2307" s="561" t="s">
        <v>111</v>
      </c>
      <c r="B2307" s="562">
        <v>2021</v>
      </c>
      <c r="C2307" s="561" t="s">
        <v>742</v>
      </c>
      <c r="D2307" s="561" t="s">
        <v>2428</v>
      </c>
      <c r="E2307" s="561" t="s">
        <v>7</v>
      </c>
      <c r="F2307" s="563">
        <v>0</v>
      </c>
      <c r="G2307" s="564"/>
      <c r="H2307" s="561" t="s">
        <v>654</v>
      </c>
      <c r="I2307" s="565"/>
      <c r="J2307" s="565"/>
      <c r="K2307" s="563">
        <v>0</v>
      </c>
      <c r="L2307" s="566">
        <v>0</v>
      </c>
    </row>
    <row r="2308" spans="1:12" ht="22.5" x14ac:dyDescent="0.2">
      <c r="A2308" s="561" t="s">
        <v>113</v>
      </c>
      <c r="B2308" s="562">
        <v>2021</v>
      </c>
      <c r="C2308" s="561" t="s">
        <v>651</v>
      </c>
      <c r="D2308" s="561" t="s">
        <v>2429</v>
      </c>
      <c r="E2308" s="561" t="s">
        <v>653</v>
      </c>
      <c r="F2308" s="563">
        <v>-38003.11</v>
      </c>
      <c r="G2308" s="564"/>
      <c r="H2308" s="561" t="s">
        <v>654</v>
      </c>
      <c r="I2308" s="565"/>
      <c r="J2308" s="565"/>
      <c r="K2308" s="563">
        <v>0</v>
      </c>
      <c r="L2308" s="566">
        <v>-38003.11</v>
      </c>
    </row>
    <row r="2309" spans="1:12" ht="15" x14ac:dyDescent="0.2">
      <c r="A2309" s="561" t="s">
        <v>113</v>
      </c>
      <c r="B2309" s="562">
        <v>2021</v>
      </c>
      <c r="C2309" s="561" t="s">
        <v>655</v>
      </c>
      <c r="D2309" s="561" t="s">
        <v>2430</v>
      </c>
      <c r="E2309" s="561" t="s">
        <v>657</v>
      </c>
      <c r="F2309" s="563">
        <v>-38507.39</v>
      </c>
      <c r="G2309" s="564"/>
      <c r="H2309" s="561" t="s">
        <v>654</v>
      </c>
      <c r="I2309" s="565"/>
      <c r="J2309" s="565"/>
      <c r="K2309" s="563">
        <v>0</v>
      </c>
      <c r="L2309" s="566">
        <v>-38507.39</v>
      </c>
    </row>
    <row r="2310" spans="1:12" ht="56.25" x14ac:dyDescent="0.2">
      <c r="A2310" s="561" t="s">
        <v>113</v>
      </c>
      <c r="B2310" s="562">
        <v>2021</v>
      </c>
      <c r="C2310" s="561" t="s">
        <v>658</v>
      </c>
      <c r="D2310" s="561" t="s">
        <v>2431</v>
      </c>
      <c r="E2310" s="561" t="s">
        <v>447</v>
      </c>
      <c r="F2310" s="563">
        <v>0</v>
      </c>
      <c r="G2310" s="564"/>
      <c r="H2310" s="561" t="s">
        <v>654</v>
      </c>
      <c r="I2310" s="565"/>
      <c r="J2310" s="565"/>
      <c r="K2310" s="563">
        <v>0</v>
      </c>
      <c r="L2310" s="566">
        <v>0</v>
      </c>
    </row>
    <row r="2311" spans="1:12" ht="22.5" x14ac:dyDescent="0.2">
      <c r="A2311" s="561" t="s">
        <v>113</v>
      </c>
      <c r="B2311" s="562">
        <v>2021</v>
      </c>
      <c r="C2311" s="561" t="s">
        <v>660</v>
      </c>
      <c r="D2311" s="561" t="s">
        <v>2432</v>
      </c>
      <c r="E2311" s="561" t="s">
        <v>662</v>
      </c>
      <c r="F2311" s="563">
        <v>0</v>
      </c>
      <c r="G2311" s="564"/>
      <c r="H2311" s="561" t="s">
        <v>654</v>
      </c>
      <c r="I2311" s="565"/>
      <c r="J2311" s="565"/>
      <c r="K2311" s="563">
        <v>0</v>
      </c>
      <c r="L2311" s="566">
        <v>0</v>
      </c>
    </row>
    <row r="2312" spans="1:12" ht="33.75" x14ac:dyDescent="0.2">
      <c r="A2312" s="561" t="s">
        <v>113</v>
      </c>
      <c r="B2312" s="562">
        <v>2021</v>
      </c>
      <c r="C2312" s="561" t="s">
        <v>663</v>
      </c>
      <c r="D2312" s="561" t="s">
        <v>2433</v>
      </c>
      <c r="E2312" s="561" t="s">
        <v>665</v>
      </c>
      <c r="F2312" s="563">
        <v>0</v>
      </c>
      <c r="G2312" s="564"/>
      <c r="H2312" s="561" t="s">
        <v>654</v>
      </c>
      <c r="I2312" s="565"/>
      <c r="J2312" s="565"/>
      <c r="K2312" s="563">
        <v>0</v>
      </c>
      <c r="L2312" s="566">
        <v>0</v>
      </c>
    </row>
    <row r="2313" spans="1:12" ht="33.75" x14ac:dyDescent="0.2">
      <c r="A2313" s="561" t="s">
        <v>113</v>
      </c>
      <c r="B2313" s="562">
        <v>2021</v>
      </c>
      <c r="C2313" s="561" t="s">
        <v>666</v>
      </c>
      <c r="D2313" s="561" t="s">
        <v>2434</v>
      </c>
      <c r="E2313" s="561" t="s">
        <v>668</v>
      </c>
      <c r="F2313" s="563">
        <v>0</v>
      </c>
      <c r="G2313" s="564"/>
      <c r="H2313" s="561" t="s">
        <v>654</v>
      </c>
      <c r="I2313" s="565"/>
      <c r="J2313" s="565"/>
      <c r="K2313" s="563">
        <v>0</v>
      </c>
      <c r="L2313" s="566">
        <v>0</v>
      </c>
    </row>
    <row r="2314" spans="1:12" ht="56.25" x14ac:dyDescent="0.2">
      <c r="A2314" s="561" t="s">
        <v>113</v>
      </c>
      <c r="B2314" s="562">
        <v>2021</v>
      </c>
      <c r="C2314" s="561" t="s">
        <v>669</v>
      </c>
      <c r="D2314" s="561" t="s">
        <v>2435</v>
      </c>
      <c r="E2314" s="561" t="s">
        <v>671</v>
      </c>
      <c r="F2314" s="563">
        <v>0</v>
      </c>
      <c r="G2314" s="564"/>
      <c r="H2314" s="561" t="s">
        <v>654</v>
      </c>
      <c r="I2314" s="565"/>
      <c r="J2314" s="565"/>
      <c r="K2314" s="563">
        <v>0</v>
      </c>
      <c r="L2314" s="566">
        <v>0</v>
      </c>
    </row>
    <row r="2315" spans="1:12" ht="22.5" x14ac:dyDescent="0.2">
      <c r="A2315" s="561" t="s">
        <v>113</v>
      </c>
      <c r="B2315" s="562">
        <v>2021</v>
      </c>
      <c r="C2315" s="561" t="s">
        <v>672</v>
      </c>
      <c r="D2315" s="561" t="s">
        <v>2436</v>
      </c>
      <c r="E2315" s="561" t="s">
        <v>12</v>
      </c>
      <c r="F2315" s="563">
        <v>0</v>
      </c>
      <c r="G2315" s="564"/>
      <c r="H2315" s="561" t="s">
        <v>654</v>
      </c>
      <c r="I2315" s="565"/>
      <c r="J2315" s="565"/>
      <c r="K2315" s="563">
        <v>0</v>
      </c>
      <c r="L2315" s="566">
        <v>0</v>
      </c>
    </row>
    <row r="2316" spans="1:12" ht="22.5" x14ac:dyDescent="0.2">
      <c r="A2316" s="561" t="s">
        <v>113</v>
      </c>
      <c r="B2316" s="562">
        <v>2021</v>
      </c>
      <c r="C2316" s="561" t="s">
        <v>674</v>
      </c>
      <c r="D2316" s="561" t="s">
        <v>2437</v>
      </c>
      <c r="E2316" s="561" t="s">
        <v>13</v>
      </c>
      <c r="F2316" s="563">
        <v>0</v>
      </c>
      <c r="G2316" s="564"/>
      <c r="H2316" s="561" t="s">
        <v>654</v>
      </c>
      <c r="I2316" s="565"/>
      <c r="J2316" s="565"/>
      <c r="K2316" s="563">
        <v>0</v>
      </c>
      <c r="L2316" s="566">
        <v>0</v>
      </c>
    </row>
    <row r="2317" spans="1:12" ht="33.75" x14ac:dyDescent="0.2">
      <c r="A2317" s="561" t="s">
        <v>113</v>
      </c>
      <c r="B2317" s="562">
        <v>2021</v>
      </c>
      <c r="C2317" s="561" t="s">
        <v>676</v>
      </c>
      <c r="D2317" s="561" t="s">
        <v>2438</v>
      </c>
      <c r="E2317" s="561" t="s">
        <v>15</v>
      </c>
      <c r="F2317" s="563">
        <v>0</v>
      </c>
      <c r="G2317" s="564"/>
      <c r="H2317" s="561" t="s">
        <v>654</v>
      </c>
      <c r="I2317" s="565"/>
      <c r="J2317" s="565"/>
      <c r="K2317" s="563">
        <v>0</v>
      </c>
      <c r="L2317" s="566">
        <v>0</v>
      </c>
    </row>
    <row r="2318" spans="1:12" ht="15" x14ac:dyDescent="0.2">
      <c r="A2318" s="561" t="s">
        <v>113</v>
      </c>
      <c r="B2318" s="562">
        <v>2021</v>
      </c>
      <c r="C2318" s="561" t="s">
        <v>678</v>
      </c>
      <c r="D2318" s="561" t="s">
        <v>2439</v>
      </c>
      <c r="E2318" s="561" t="s">
        <v>680</v>
      </c>
      <c r="F2318" s="563">
        <v>43280.959999999999</v>
      </c>
      <c r="G2318" s="564"/>
      <c r="H2318" s="561" t="s">
        <v>654</v>
      </c>
      <c r="I2318" s="565"/>
      <c r="J2318" s="565"/>
      <c r="K2318" s="563">
        <v>0</v>
      </c>
      <c r="L2318" s="566">
        <v>43280.959999999999</v>
      </c>
    </row>
    <row r="2319" spans="1:12" ht="15" x14ac:dyDescent="0.2">
      <c r="A2319" s="561" t="s">
        <v>113</v>
      </c>
      <c r="B2319" s="562">
        <v>2021</v>
      </c>
      <c r="C2319" s="561" t="s">
        <v>681</v>
      </c>
      <c r="D2319" s="561" t="s">
        <v>2440</v>
      </c>
      <c r="E2319" s="561" t="s">
        <v>23</v>
      </c>
      <c r="F2319" s="563">
        <v>0</v>
      </c>
      <c r="G2319" s="564"/>
      <c r="H2319" s="564"/>
      <c r="I2319" s="565"/>
      <c r="J2319" s="565"/>
      <c r="K2319" s="563">
        <v>0</v>
      </c>
      <c r="L2319" s="566">
        <v>0</v>
      </c>
    </row>
    <row r="2320" spans="1:12" ht="33.75" x14ac:dyDescent="0.2">
      <c r="A2320" s="561" t="s">
        <v>113</v>
      </c>
      <c r="B2320" s="562">
        <v>2021</v>
      </c>
      <c r="C2320" s="561" t="s">
        <v>683</v>
      </c>
      <c r="D2320" s="561" t="s">
        <v>2441</v>
      </c>
      <c r="E2320" s="561" t="s">
        <v>131</v>
      </c>
      <c r="F2320" s="563">
        <v>-24158.11</v>
      </c>
      <c r="G2320" s="564"/>
      <c r="H2320" s="564"/>
      <c r="I2320" s="563">
        <v>-24680.44921875</v>
      </c>
      <c r="J2320" s="563">
        <v>522.34002685546898</v>
      </c>
      <c r="K2320" s="563">
        <v>-24158.109375</v>
      </c>
      <c r="L2320" s="566">
        <v>-24158.11</v>
      </c>
    </row>
    <row r="2321" spans="1:12" ht="33.75" x14ac:dyDescent="0.2">
      <c r="A2321" s="561" t="s">
        <v>113</v>
      </c>
      <c r="B2321" s="562">
        <v>2021</v>
      </c>
      <c r="C2321" s="561" t="s">
        <v>685</v>
      </c>
      <c r="D2321" s="561" t="s">
        <v>2442</v>
      </c>
      <c r="E2321" s="561" t="s">
        <v>687</v>
      </c>
      <c r="F2321" s="563">
        <v>0</v>
      </c>
      <c r="G2321" s="564"/>
      <c r="H2321" s="561" t="s">
        <v>654</v>
      </c>
      <c r="I2321" s="565"/>
      <c r="J2321" s="565"/>
      <c r="K2321" s="563">
        <v>0</v>
      </c>
      <c r="L2321" s="566">
        <v>0</v>
      </c>
    </row>
    <row r="2322" spans="1:12" ht="33.75" x14ac:dyDescent="0.2">
      <c r="A2322" s="561" t="s">
        <v>113</v>
      </c>
      <c r="B2322" s="562">
        <v>2021</v>
      </c>
      <c r="C2322" s="561" t="s">
        <v>685</v>
      </c>
      <c r="D2322" s="561" t="s">
        <v>2442</v>
      </c>
      <c r="E2322" s="561" t="s">
        <v>688</v>
      </c>
      <c r="F2322" s="563">
        <v>0</v>
      </c>
      <c r="G2322" s="564"/>
      <c r="H2322" s="561" t="s">
        <v>654</v>
      </c>
      <c r="I2322" s="565"/>
      <c r="J2322" s="565"/>
      <c r="K2322" s="563">
        <v>0</v>
      </c>
      <c r="L2322" s="566">
        <v>0</v>
      </c>
    </row>
    <row r="2323" spans="1:12" ht="22.5" x14ac:dyDescent="0.2">
      <c r="A2323" s="561" t="s">
        <v>113</v>
      </c>
      <c r="B2323" s="562">
        <v>2021</v>
      </c>
      <c r="C2323" s="561" t="s">
        <v>689</v>
      </c>
      <c r="D2323" s="561" t="s">
        <v>2443</v>
      </c>
      <c r="E2323" s="561" t="s">
        <v>691</v>
      </c>
      <c r="F2323" s="563">
        <v>0</v>
      </c>
      <c r="G2323" s="564"/>
      <c r="H2323" s="561" t="s">
        <v>654</v>
      </c>
      <c r="I2323" s="565"/>
      <c r="J2323" s="565"/>
      <c r="K2323" s="563">
        <v>0</v>
      </c>
      <c r="L2323" s="566">
        <v>0</v>
      </c>
    </row>
    <row r="2324" spans="1:12" ht="22.5" x14ac:dyDescent="0.2">
      <c r="A2324" s="561" t="s">
        <v>113</v>
      </c>
      <c r="B2324" s="562">
        <v>2021</v>
      </c>
      <c r="C2324" s="561" t="s">
        <v>692</v>
      </c>
      <c r="D2324" s="561" t="s">
        <v>2444</v>
      </c>
      <c r="E2324" s="561" t="s">
        <v>50</v>
      </c>
      <c r="F2324" s="563">
        <v>55151.5</v>
      </c>
      <c r="G2324" s="564"/>
      <c r="H2324" s="561" t="s">
        <v>654</v>
      </c>
      <c r="I2324" s="565"/>
      <c r="J2324" s="565"/>
      <c r="K2324" s="563">
        <v>0</v>
      </c>
      <c r="L2324" s="566">
        <v>55151.5</v>
      </c>
    </row>
    <row r="2325" spans="1:12" ht="22.5" x14ac:dyDescent="0.2">
      <c r="A2325" s="561" t="s">
        <v>113</v>
      </c>
      <c r="B2325" s="562">
        <v>2021</v>
      </c>
      <c r="C2325" s="561" t="s">
        <v>694</v>
      </c>
      <c r="D2325" s="561" t="s">
        <v>2445</v>
      </c>
      <c r="E2325" s="561" t="s">
        <v>696</v>
      </c>
      <c r="F2325" s="563">
        <v>0</v>
      </c>
      <c r="G2325" s="564"/>
      <c r="H2325" s="561" t="s">
        <v>654</v>
      </c>
      <c r="I2325" s="565"/>
      <c r="J2325" s="565"/>
      <c r="K2325" s="563">
        <v>0</v>
      </c>
      <c r="L2325" s="566">
        <v>0</v>
      </c>
    </row>
    <row r="2326" spans="1:12" ht="22.5" x14ac:dyDescent="0.2">
      <c r="A2326" s="561" t="s">
        <v>113</v>
      </c>
      <c r="B2326" s="562">
        <v>2021</v>
      </c>
      <c r="C2326" s="561" t="s">
        <v>697</v>
      </c>
      <c r="D2326" s="561" t="s">
        <v>2446</v>
      </c>
      <c r="E2326" s="561" t="s">
        <v>6</v>
      </c>
      <c r="F2326" s="563">
        <v>0</v>
      </c>
      <c r="G2326" s="564"/>
      <c r="H2326" s="561" t="s">
        <v>654</v>
      </c>
      <c r="I2326" s="565"/>
      <c r="J2326" s="565"/>
      <c r="K2326" s="563">
        <v>0</v>
      </c>
      <c r="L2326" s="566">
        <v>0</v>
      </c>
    </row>
    <row r="2327" spans="1:12" ht="33.75" x14ac:dyDescent="0.2">
      <c r="A2327" s="561" t="s">
        <v>113</v>
      </c>
      <c r="B2327" s="562">
        <v>2021</v>
      </c>
      <c r="C2327" s="561" t="s">
        <v>699</v>
      </c>
      <c r="D2327" s="561" t="s">
        <v>2447</v>
      </c>
      <c r="E2327" s="561" t="s">
        <v>701</v>
      </c>
      <c r="F2327" s="563">
        <v>0</v>
      </c>
      <c r="G2327" s="564"/>
      <c r="H2327" s="561" t="s">
        <v>654</v>
      </c>
      <c r="I2327" s="565"/>
      <c r="J2327" s="565"/>
      <c r="K2327" s="563">
        <v>0</v>
      </c>
      <c r="L2327" s="566">
        <v>0</v>
      </c>
    </row>
    <row r="2328" spans="1:12" ht="22.5" x14ac:dyDescent="0.2">
      <c r="A2328" s="561" t="s">
        <v>113</v>
      </c>
      <c r="B2328" s="562">
        <v>2021</v>
      </c>
      <c r="C2328" s="561" t="s">
        <v>702</v>
      </c>
      <c r="D2328" s="561" t="s">
        <v>2448</v>
      </c>
      <c r="E2328" s="561" t="s">
        <v>704</v>
      </c>
      <c r="F2328" s="563">
        <v>0</v>
      </c>
      <c r="G2328" s="564"/>
      <c r="H2328" s="561" t="s">
        <v>654</v>
      </c>
      <c r="I2328" s="565"/>
      <c r="J2328" s="565"/>
      <c r="K2328" s="563">
        <v>0</v>
      </c>
      <c r="L2328" s="566">
        <v>0</v>
      </c>
    </row>
    <row r="2329" spans="1:12" ht="33.75" x14ac:dyDescent="0.2">
      <c r="A2329" s="561" t="s">
        <v>113</v>
      </c>
      <c r="B2329" s="562">
        <v>2021</v>
      </c>
      <c r="C2329" s="561" t="s">
        <v>705</v>
      </c>
      <c r="D2329" s="561" t="s">
        <v>2449</v>
      </c>
      <c r="E2329" s="561" t="s">
        <v>1</v>
      </c>
      <c r="F2329" s="563">
        <v>-669847.86</v>
      </c>
      <c r="G2329" s="564"/>
      <c r="H2329" s="564"/>
      <c r="I2329" s="563">
        <v>-613673.25</v>
      </c>
      <c r="J2329" s="563">
        <v>-56174.609375</v>
      </c>
      <c r="K2329" s="563">
        <v>-669847.875</v>
      </c>
      <c r="L2329" s="566">
        <v>-669847.86</v>
      </c>
    </row>
    <row r="2330" spans="1:12" ht="22.5" x14ac:dyDescent="0.2">
      <c r="A2330" s="561" t="s">
        <v>113</v>
      </c>
      <c r="B2330" s="562">
        <v>2021</v>
      </c>
      <c r="C2330" s="561" t="s">
        <v>705</v>
      </c>
      <c r="D2330" s="561" t="s">
        <v>2449</v>
      </c>
      <c r="E2330" s="561" t="s">
        <v>707</v>
      </c>
      <c r="F2330" s="563">
        <v>0</v>
      </c>
      <c r="G2330" s="564"/>
      <c r="H2330" s="564"/>
      <c r="I2330" s="565"/>
      <c r="J2330" s="565"/>
      <c r="K2330" s="563">
        <v>0</v>
      </c>
      <c r="L2330" s="566">
        <v>0</v>
      </c>
    </row>
    <row r="2331" spans="1:12" ht="22.5" x14ac:dyDescent="0.2">
      <c r="A2331" s="561" t="s">
        <v>113</v>
      </c>
      <c r="B2331" s="562">
        <v>2021</v>
      </c>
      <c r="C2331" s="561" t="s">
        <v>705</v>
      </c>
      <c r="D2331" s="561" t="s">
        <v>2449</v>
      </c>
      <c r="E2331" s="561" t="s">
        <v>708</v>
      </c>
      <c r="F2331" s="563">
        <v>0</v>
      </c>
      <c r="G2331" s="564"/>
      <c r="H2331" s="564"/>
      <c r="I2331" s="565"/>
      <c r="J2331" s="565"/>
      <c r="K2331" s="563">
        <v>0</v>
      </c>
      <c r="L2331" s="566">
        <v>0</v>
      </c>
    </row>
    <row r="2332" spans="1:12" ht="22.5" x14ac:dyDescent="0.2">
      <c r="A2332" s="561" t="s">
        <v>113</v>
      </c>
      <c r="B2332" s="562">
        <v>2021</v>
      </c>
      <c r="C2332" s="561" t="s">
        <v>705</v>
      </c>
      <c r="D2332" s="561" t="s">
        <v>2449</v>
      </c>
      <c r="E2332" s="561" t="s">
        <v>709</v>
      </c>
      <c r="F2332" s="563">
        <v>0</v>
      </c>
      <c r="G2332" s="564"/>
      <c r="H2332" s="564"/>
      <c r="I2332" s="565"/>
      <c r="J2332" s="565"/>
      <c r="K2332" s="563">
        <v>0</v>
      </c>
      <c r="L2332" s="566">
        <v>0</v>
      </c>
    </row>
    <row r="2333" spans="1:12" ht="22.5" x14ac:dyDescent="0.2">
      <c r="A2333" s="561" t="s">
        <v>113</v>
      </c>
      <c r="B2333" s="562">
        <v>2021</v>
      </c>
      <c r="C2333" s="561" t="s">
        <v>705</v>
      </c>
      <c r="D2333" s="561" t="s">
        <v>2449</v>
      </c>
      <c r="E2333" s="561" t="s">
        <v>710</v>
      </c>
      <c r="F2333" s="563">
        <v>0</v>
      </c>
      <c r="G2333" s="564"/>
      <c r="H2333" s="564"/>
      <c r="I2333" s="565"/>
      <c r="J2333" s="565"/>
      <c r="K2333" s="563">
        <v>0</v>
      </c>
      <c r="L2333" s="566">
        <v>0</v>
      </c>
    </row>
    <row r="2334" spans="1:12" ht="15" x14ac:dyDescent="0.2">
      <c r="A2334" s="561" t="s">
        <v>113</v>
      </c>
      <c r="B2334" s="562">
        <v>2021</v>
      </c>
      <c r="C2334" s="561" t="s">
        <v>711</v>
      </c>
      <c r="D2334" s="561" t="s">
        <v>2450</v>
      </c>
      <c r="E2334" s="561" t="s">
        <v>713</v>
      </c>
      <c r="F2334" s="563">
        <v>0</v>
      </c>
      <c r="G2334" s="564"/>
      <c r="H2334" s="561" t="s">
        <v>654</v>
      </c>
      <c r="I2334" s="565"/>
      <c r="J2334" s="565"/>
      <c r="K2334" s="563">
        <v>0</v>
      </c>
      <c r="L2334" s="566">
        <v>0</v>
      </c>
    </row>
    <row r="2335" spans="1:12" ht="33.75" x14ac:dyDescent="0.2">
      <c r="A2335" s="561" t="s">
        <v>113</v>
      </c>
      <c r="B2335" s="562">
        <v>2021</v>
      </c>
      <c r="C2335" s="561" t="s">
        <v>714</v>
      </c>
      <c r="D2335" s="561" t="s">
        <v>2451</v>
      </c>
      <c r="E2335" s="561" t="s">
        <v>2</v>
      </c>
      <c r="F2335" s="563">
        <v>399404.16</v>
      </c>
      <c r="G2335" s="564"/>
      <c r="H2335" s="564"/>
      <c r="I2335" s="563">
        <v>404881.65625</v>
      </c>
      <c r="J2335" s="563">
        <v>-5477.490234375</v>
      </c>
      <c r="K2335" s="563">
        <v>399404.15625</v>
      </c>
      <c r="L2335" s="566">
        <v>399404.16</v>
      </c>
    </row>
    <row r="2336" spans="1:12" ht="33.75" x14ac:dyDescent="0.2">
      <c r="A2336" s="561" t="s">
        <v>113</v>
      </c>
      <c r="B2336" s="562">
        <v>2021</v>
      </c>
      <c r="C2336" s="561" t="s">
        <v>716</v>
      </c>
      <c r="D2336" s="561" t="s">
        <v>2452</v>
      </c>
      <c r="E2336" s="561" t="s">
        <v>3</v>
      </c>
      <c r="F2336" s="563">
        <v>0</v>
      </c>
      <c r="G2336" s="564"/>
      <c r="H2336" s="564"/>
      <c r="I2336" s="565"/>
      <c r="J2336" s="565"/>
      <c r="K2336" s="563">
        <v>0</v>
      </c>
      <c r="L2336" s="566">
        <v>0</v>
      </c>
    </row>
    <row r="2337" spans="1:12" ht="33.75" x14ac:dyDescent="0.2">
      <c r="A2337" s="561" t="s">
        <v>113</v>
      </c>
      <c r="B2337" s="562">
        <v>2021</v>
      </c>
      <c r="C2337" s="561" t="s">
        <v>718</v>
      </c>
      <c r="D2337" s="561" t="s">
        <v>2453</v>
      </c>
      <c r="E2337" s="561" t="s">
        <v>38</v>
      </c>
      <c r="F2337" s="563">
        <v>-223682.88</v>
      </c>
      <c r="G2337" s="564"/>
      <c r="H2337" s="564"/>
      <c r="I2337" s="563">
        <v>-245678</v>
      </c>
      <c r="J2337" s="563">
        <v>21995.119140625</v>
      </c>
      <c r="K2337" s="563">
        <v>-223682.875</v>
      </c>
      <c r="L2337" s="566">
        <v>-223682.88</v>
      </c>
    </row>
    <row r="2338" spans="1:12" ht="22.5" x14ac:dyDescent="0.2">
      <c r="A2338" s="561" t="s">
        <v>113</v>
      </c>
      <c r="B2338" s="562">
        <v>2021</v>
      </c>
      <c r="C2338" s="561" t="s">
        <v>720</v>
      </c>
      <c r="D2338" s="561" t="s">
        <v>2454</v>
      </c>
      <c r="E2338" s="561" t="s">
        <v>66</v>
      </c>
      <c r="F2338" s="563">
        <v>1862044.98</v>
      </c>
      <c r="G2338" s="564"/>
      <c r="H2338" s="564"/>
      <c r="I2338" s="563">
        <v>1764188.5</v>
      </c>
      <c r="J2338" s="563">
        <v>97856.4609375</v>
      </c>
      <c r="K2338" s="563">
        <v>1862045</v>
      </c>
      <c r="L2338" s="566">
        <v>1862044.98</v>
      </c>
    </row>
    <row r="2339" spans="1:12" ht="45" x14ac:dyDescent="0.2">
      <c r="A2339" s="561" t="s">
        <v>113</v>
      </c>
      <c r="B2339" s="562">
        <v>2021</v>
      </c>
      <c r="C2339" s="561" t="s">
        <v>722</v>
      </c>
      <c r="D2339" s="561" t="s">
        <v>2455</v>
      </c>
      <c r="E2339" s="561" t="s">
        <v>724</v>
      </c>
      <c r="F2339" s="563">
        <v>-284105</v>
      </c>
      <c r="G2339" s="564"/>
      <c r="H2339" s="561" t="s">
        <v>654</v>
      </c>
      <c r="I2339" s="565"/>
      <c r="J2339" s="565"/>
      <c r="K2339" s="563">
        <v>0</v>
      </c>
      <c r="L2339" s="566">
        <v>-284105</v>
      </c>
    </row>
    <row r="2340" spans="1:12" ht="45" x14ac:dyDescent="0.2">
      <c r="A2340" s="561" t="s">
        <v>113</v>
      </c>
      <c r="B2340" s="562">
        <v>2021</v>
      </c>
      <c r="C2340" s="561" t="s">
        <v>725</v>
      </c>
      <c r="D2340" s="561" t="s">
        <v>2456</v>
      </c>
      <c r="E2340" s="561" t="s">
        <v>3024</v>
      </c>
      <c r="F2340" s="563">
        <v>0</v>
      </c>
      <c r="G2340" s="564"/>
      <c r="H2340" s="564"/>
      <c r="I2340" s="565"/>
      <c r="J2340" s="565"/>
      <c r="K2340" s="563">
        <v>0</v>
      </c>
      <c r="L2340" s="566">
        <v>0</v>
      </c>
    </row>
    <row r="2341" spans="1:12" ht="45" x14ac:dyDescent="0.2">
      <c r="A2341" s="561" t="s">
        <v>113</v>
      </c>
      <c r="B2341" s="562">
        <v>2021</v>
      </c>
      <c r="C2341" s="561" t="s">
        <v>725</v>
      </c>
      <c r="D2341" s="561" t="s">
        <v>2456</v>
      </c>
      <c r="E2341" s="561" t="s">
        <v>3066</v>
      </c>
      <c r="F2341" s="563">
        <v>0</v>
      </c>
      <c r="G2341" s="564"/>
      <c r="H2341" s="564"/>
      <c r="I2341" s="565"/>
      <c r="J2341" s="565"/>
      <c r="K2341" s="563">
        <v>0</v>
      </c>
      <c r="L2341" s="566">
        <v>0</v>
      </c>
    </row>
    <row r="2342" spans="1:12" ht="45" x14ac:dyDescent="0.2">
      <c r="A2342" s="561" t="s">
        <v>113</v>
      </c>
      <c r="B2342" s="562">
        <v>2021</v>
      </c>
      <c r="C2342" s="561" t="s">
        <v>725</v>
      </c>
      <c r="D2342" s="561" t="s">
        <v>2457</v>
      </c>
      <c r="E2342" s="561" t="s">
        <v>728</v>
      </c>
      <c r="F2342" s="563">
        <v>0</v>
      </c>
      <c r="G2342" s="564"/>
      <c r="H2342" s="564"/>
      <c r="I2342" s="565"/>
      <c r="J2342" s="565"/>
      <c r="K2342" s="563">
        <v>0</v>
      </c>
      <c r="L2342" s="566">
        <v>0</v>
      </c>
    </row>
    <row r="2343" spans="1:12" ht="45" x14ac:dyDescent="0.2">
      <c r="A2343" s="561" t="s">
        <v>113</v>
      </c>
      <c r="B2343" s="562">
        <v>2021</v>
      </c>
      <c r="C2343" s="561" t="s">
        <v>725</v>
      </c>
      <c r="D2343" s="561" t="s">
        <v>2458</v>
      </c>
      <c r="E2343" s="561" t="s">
        <v>55</v>
      </c>
      <c r="F2343" s="563">
        <v>0</v>
      </c>
      <c r="G2343" s="564"/>
      <c r="H2343" s="564"/>
      <c r="I2343" s="565"/>
      <c r="J2343" s="565"/>
      <c r="K2343" s="563">
        <v>0</v>
      </c>
      <c r="L2343" s="566">
        <v>0</v>
      </c>
    </row>
    <row r="2344" spans="1:12" ht="45" x14ac:dyDescent="0.2">
      <c r="A2344" s="561" t="s">
        <v>113</v>
      </c>
      <c r="B2344" s="562">
        <v>2021</v>
      </c>
      <c r="C2344" s="561" t="s">
        <v>725</v>
      </c>
      <c r="D2344" s="561" t="s">
        <v>2459</v>
      </c>
      <c r="E2344" s="561" t="s">
        <v>56</v>
      </c>
      <c r="F2344" s="563">
        <v>0</v>
      </c>
      <c r="G2344" s="564"/>
      <c r="H2344" s="564"/>
      <c r="I2344" s="565"/>
      <c r="J2344" s="565"/>
      <c r="K2344" s="563">
        <v>0</v>
      </c>
      <c r="L2344" s="566">
        <v>0</v>
      </c>
    </row>
    <row r="2345" spans="1:12" ht="45" x14ac:dyDescent="0.2">
      <c r="A2345" s="561" t="s">
        <v>113</v>
      </c>
      <c r="B2345" s="562">
        <v>2021</v>
      </c>
      <c r="C2345" s="561" t="s">
        <v>725</v>
      </c>
      <c r="D2345" s="561" t="s">
        <v>2460</v>
      </c>
      <c r="E2345" s="561" t="s">
        <v>732</v>
      </c>
      <c r="F2345" s="563">
        <v>0</v>
      </c>
      <c r="G2345" s="564"/>
      <c r="H2345" s="564"/>
      <c r="I2345" s="565"/>
      <c r="J2345" s="565"/>
      <c r="K2345" s="563">
        <v>0</v>
      </c>
      <c r="L2345" s="566">
        <v>0</v>
      </c>
    </row>
    <row r="2346" spans="1:12" ht="45" x14ac:dyDescent="0.2">
      <c r="A2346" s="561" t="s">
        <v>113</v>
      </c>
      <c r="B2346" s="562">
        <v>2021</v>
      </c>
      <c r="C2346" s="561" t="s">
        <v>725</v>
      </c>
      <c r="D2346" s="561" t="s">
        <v>2461</v>
      </c>
      <c r="E2346" s="561" t="s">
        <v>734</v>
      </c>
      <c r="F2346" s="563">
        <v>0</v>
      </c>
      <c r="G2346" s="564"/>
      <c r="H2346" s="564"/>
      <c r="I2346" s="565"/>
      <c r="J2346" s="565"/>
      <c r="K2346" s="563">
        <v>0</v>
      </c>
      <c r="L2346" s="566">
        <v>0</v>
      </c>
    </row>
    <row r="2347" spans="1:12" ht="45" x14ac:dyDescent="0.2">
      <c r="A2347" s="561" t="s">
        <v>113</v>
      </c>
      <c r="B2347" s="562">
        <v>2021</v>
      </c>
      <c r="C2347" s="561" t="s">
        <v>725</v>
      </c>
      <c r="D2347" s="561" t="s">
        <v>2462</v>
      </c>
      <c r="E2347" s="561" t="s">
        <v>142</v>
      </c>
      <c r="F2347" s="563">
        <v>0</v>
      </c>
      <c r="G2347" s="564"/>
      <c r="H2347" s="564"/>
      <c r="I2347" s="565"/>
      <c r="J2347" s="565"/>
      <c r="K2347" s="563">
        <v>0</v>
      </c>
      <c r="L2347" s="566">
        <v>0</v>
      </c>
    </row>
    <row r="2348" spans="1:12" ht="45" x14ac:dyDescent="0.2">
      <c r="A2348" s="561" t="s">
        <v>113</v>
      </c>
      <c r="B2348" s="562">
        <v>2021</v>
      </c>
      <c r="C2348" s="561" t="s">
        <v>725</v>
      </c>
      <c r="D2348" s="561" t="s">
        <v>2463</v>
      </c>
      <c r="E2348" s="561" t="s">
        <v>143</v>
      </c>
      <c r="F2348" s="563">
        <v>0</v>
      </c>
      <c r="G2348" s="564"/>
      <c r="H2348" s="564"/>
      <c r="I2348" s="565"/>
      <c r="J2348" s="565"/>
      <c r="K2348" s="563">
        <v>0</v>
      </c>
      <c r="L2348" s="566">
        <v>0</v>
      </c>
    </row>
    <row r="2349" spans="1:12" ht="45" x14ac:dyDescent="0.2">
      <c r="A2349" s="561" t="s">
        <v>113</v>
      </c>
      <c r="B2349" s="562">
        <v>2021</v>
      </c>
      <c r="C2349" s="561" t="s">
        <v>725</v>
      </c>
      <c r="D2349" s="561" t="s">
        <v>2464</v>
      </c>
      <c r="E2349" s="561" t="s">
        <v>182</v>
      </c>
      <c r="F2349" s="563">
        <v>0</v>
      </c>
      <c r="G2349" s="564"/>
      <c r="H2349" s="564"/>
      <c r="I2349" s="563">
        <v>189.44999694824199</v>
      </c>
      <c r="J2349" s="565"/>
      <c r="K2349" s="563">
        <v>189.44999694824199</v>
      </c>
      <c r="L2349" s="566">
        <v>189.45</v>
      </c>
    </row>
    <row r="2350" spans="1:12" ht="45" x14ac:dyDescent="0.2">
      <c r="A2350" s="561" t="s">
        <v>113</v>
      </c>
      <c r="B2350" s="562">
        <v>2021</v>
      </c>
      <c r="C2350" s="561" t="s">
        <v>725</v>
      </c>
      <c r="D2350" s="561" t="s">
        <v>2465</v>
      </c>
      <c r="E2350" s="561" t="s">
        <v>394</v>
      </c>
      <c r="F2350" s="563">
        <v>0</v>
      </c>
      <c r="G2350" s="564"/>
      <c r="H2350" s="564"/>
      <c r="I2350" s="565"/>
      <c r="J2350" s="565"/>
      <c r="K2350" s="563">
        <v>0</v>
      </c>
      <c r="L2350" s="566">
        <v>0</v>
      </c>
    </row>
    <row r="2351" spans="1:12" ht="45" x14ac:dyDescent="0.2">
      <c r="A2351" s="561" t="s">
        <v>113</v>
      </c>
      <c r="B2351" s="562">
        <v>2021</v>
      </c>
      <c r="C2351" s="561" t="s">
        <v>725</v>
      </c>
      <c r="D2351" s="561" t="s">
        <v>2466</v>
      </c>
      <c r="E2351" s="561" t="s">
        <v>425</v>
      </c>
      <c r="F2351" s="563">
        <v>0</v>
      </c>
      <c r="G2351" s="564"/>
      <c r="H2351" s="564"/>
      <c r="I2351" s="565"/>
      <c r="J2351" s="565"/>
      <c r="K2351" s="563">
        <v>0</v>
      </c>
      <c r="L2351" s="566">
        <v>0</v>
      </c>
    </row>
    <row r="2352" spans="1:12" ht="45" x14ac:dyDescent="0.2">
      <c r="A2352" s="561" t="s">
        <v>113</v>
      </c>
      <c r="B2352" s="562">
        <v>2021</v>
      </c>
      <c r="C2352" s="561" t="s">
        <v>725</v>
      </c>
      <c r="D2352" s="561" t="s">
        <v>3290</v>
      </c>
      <c r="E2352" s="561" t="s">
        <v>443</v>
      </c>
      <c r="F2352" s="563">
        <v>0</v>
      </c>
      <c r="G2352" s="564"/>
      <c r="H2352" s="564"/>
      <c r="I2352" s="563">
        <v>614960.125</v>
      </c>
      <c r="J2352" s="563">
        <v>-626580.8125</v>
      </c>
      <c r="K2352" s="563">
        <v>-11620.6796875</v>
      </c>
      <c r="L2352" s="566">
        <v>-11620.6799999999</v>
      </c>
    </row>
    <row r="2353" spans="1:12" ht="45" x14ac:dyDescent="0.2">
      <c r="A2353" s="561" t="s">
        <v>113</v>
      </c>
      <c r="B2353" s="562">
        <v>2021</v>
      </c>
      <c r="C2353" s="561" t="s">
        <v>725</v>
      </c>
      <c r="D2353" s="561" t="s">
        <v>2467</v>
      </c>
      <c r="E2353" s="561" t="s">
        <v>741</v>
      </c>
      <c r="F2353" s="563">
        <v>-11431.23</v>
      </c>
      <c r="G2353" s="564"/>
      <c r="H2353" s="564"/>
      <c r="I2353" s="565"/>
      <c r="J2353" s="565"/>
      <c r="K2353" s="563">
        <v>0</v>
      </c>
      <c r="L2353" s="566">
        <v>-11431.23</v>
      </c>
    </row>
    <row r="2354" spans="1:12" ht="22.5" x14ac:dyDescent="0.2">
      <c r="A2354" s="561" t="s">
        <v>113</v>
      </c>
      <c r="B2354" s="562">
        <v>2021</v>
      </c>
      <c r="C2354" s="561" t="s">
        <v>742</v>
      </c>
      <c r="D2354" s="561" t="s">
        <v>2468</v>
      </c>
      <c r="E2354" s="561" t="s">
        <v>7</v>
      </c>
      <c r="F2354" s="563">
        <v>-143800</v>
      </c>
      <c r="G2354" s="564"/>
      <c r="H2354" s="561" t="s">
        <v>654</v>
      </c>
      <c r="I2354" s="565"/>
      <c r="J2354" s="565"/>
      <c r="K2354" s="563">
        <v>0</v>
      </c>
      <c r="L2354" s="566">
        <v>-143800</v>
      </c>
    </row>
    <row r="2355" spans="1:12" ht="22.5" x14ac:dyDescent="0.2">
      <c r="A2355" s="561" t="s">
        <v>114</v>
      </c>
      <c r="B2355" s="562">
        <v>2021</v>
      </c>
      <c r="C2355" s="561" t="s">
        <v>651</v>
      </c>
      <c r="D2355" s="561" t="s">
        <v>2469</v>
      </c>
      <c r="E2355" s="561" t="s">
        <v>653</v>
      </c>
      <c r="F2355" s="563">
        <v>-81467.83</v>
      </c>
      <c r="G2355" s="564"/>
      <c r="H2355" s="561" t="s">
        <v>654</v>
      </c>
      <c r="I2355" s="565"/>
      <c r="J2355" s="565"/>
      <c r="K2355" s="563">
        <v>0</v>
      </c>
      <c r="L2355" s="566">
        <v>-81467.83</v>
      </c>
    </row>
    <row r="2356" spans="1:12" ht="15" x14ac:dyDescent="0.2">
      <c r="A2356" s="561" t="s">
        <v>114</v>
      </c>
      <c r="B2356" s="562">
        <v>2021</v>
      </c>
      <c r="C2356" s="561" t="s">
        <v>655</v>
      </c>
      <c r="D2356" s="561" t="s">
        <v>2470</v>
      </c>
      <c r="E2356" s="561" t="s">
        <v>657</v>
      </c>
      <c r="F2356" s="563">
        <v>-3338.36</v>
      </c>
      <c r="G2356" s="564"/>
      <c r="H2356" s="561" t="s">
        <v>654</v>
      </c>
      <c r="I2356" s="565"/>
      <c r="J2356" s="565"/>
      <c r="K2356" s="563">
        <v>0</v>
      </c>
      <c r="L2356" s="566">
        <v>-3338.36</v>
      </c>
    </row>
    <row r="2357" spans="1:12" ht="56.25" x14ac:dyDescent="0.2">
      <c r="A2357" s="561" t="s">
        <v>114</v>
      </c>
      <c r="B2357" s="562">
        <v>2021</v>
      </c>
      <c r="C2357" s="561" t="s">
        <v>658</v>
      </c>
      <c r="D2357" s="561" t="s">
        <v>2471</v>
      </c>
      <c r="E2357" s="561" t="s">
        <v>447</v>
      </c>
      <c r="F2357" s="563">
        <v>0</v>
      </c>
      <c r="G2357" s="564"/>
      <c r="H2357" s="561" t="s">
        <v>654</v>
      </c>
      <c r="I2357" s="565"/>
      <c r="J2357" s="565"/>
      <c r="K2357" s="563">
        <v>0</v>
      </c>
      <c r="L2357" s="566">
        <v>0</v>
      </c>
    </row>
    <row r="2358" spans="1:12" ht="22.5" x14ac:dyDescent="0.2">
      <c r="A2358" s="561" t="s">
        <v>114</v>
      </c>
      <c r="B2358" s="562">
        <v>2021</v>
      </c>
      <c r="C2358" s="561" t="s">
        <v>660</v>
      </c>
      <c r="D2358" s="561" t="s">
        <v>2472</v>
      </c>
      <c r="E2358" s="561" t="s">
        <v>662</v>
      </c>
      <c r="F2358" s="563">
        <v>0</v>
      </c>
      <c r="G2358" s="564"/>
      <c r="H2358" s="561" t="s">
        <v>654</v>
      </c>
      <c r="I2358" s="565"/>
      <c r="J2358" s="565"/>
      <c r="K2358" s="563">
        <v>0</v>
      </c>
      <c r="L2358" s="566">
        <v>0</v>
      </c>
    </row>
    <row r="2359" spans="1:12" ht="33.75" x14ac:dyDescent="0.2">
      <c r="A2359" s="561" t="s">
        <v>114</v>
      </c>
      <c r="B2359" s="562">
        <v>2021</v>
      </c>
      <c r="C2359" s="561" t="s">
        <v>663</v>
      </c>
      <c r="D2359" s="561" t="s">
        <v>2473</v>
      </c>
      <c r="E2359" s="561" t="s">
        <v>665</v>
      </c>
      <c r="F2359" s="563">
        <v>0</v>
      </c>
      <c r="G2359" s="564"/>
      <c r="H2359" s="561" t="s">
        <v>654</v>
      </c>
      <c r="I2359" s="565"/>
      <c r="J2359" s="565"/>
      <c r="K2359" s="563">
        <v>0</v>
      </c>
      <c r="L2359" s="566">
        <v>0</v>
      </c>
    </row>
    <row r="2360" spans="1:12" ht="33.75" x14ac:dyDescent="0.2">
      <c r="A2360" s="561" t="s">
        <v>114</v>
      </c>
      <c r="B2360" s="562">
        <v>2021</v>
      </c>
      <c r="C2360" s="561" t="s">
        <v>666</v>
      </c>
      <c r="D2360" s="561" t="s">
        <v>2474</v>
      </c>
      <c r="E2360" s="561" t="s">
        <v>668</v>
      </c>
      <c r="F2360" s="563">
        <v>0</v>
      </c>
      <c r="G2360" s="564"/>
      <c r="H2360" s="561" t="s">
        <v>654</v>
      </c>
      <c r="I2360" s="565"/>
      <c r="J2360" s="565"/>
      <c r="K2360" s="563">
        <v>0</v>
      </c>
      <c r="L2360" s="566">
        <v>0</v>
      </c>
    </row>
    <row r="2361" spans="1:12" ht="56.25" x14ac:dyDescent="0.2">
      <c r="A2361" s="561" t="s">
        <v>114</v>
      </c>
      <c r="B2361" s="562">
        <v>2021</v>
      </c>
      <c r="C2361" s="561" t="s">
        <v>669</v>
      </c>
      <c r="D2361" s="561" t="s">
        <v>2475</v>
      </c>
      <c r="E2361" s="561" t="s">
        <v>671</v>
      </c>
      <c r="F2361" s="563">
        <v>0</v>
      </c>
      <c r="G2361" s="564"/>
      <c r="H2361" s="561" t="s">
        <v>654</v>
      </c>
      <c r="I2361" s="565"/>
      <c r="J2361" s="565"/>
      <c r="K2361" s="563">
        <v>0</v>
      </c>
      <c r="L2361" s="566">
        <v>0</v>
      </c>
    </row>
    <row r="2362" spans="1:12" ht="22.5" x14ac:dyDescent="0.2">
      <c r="A2362" s="561" t="s">
        <v>114</v>
      </c>
      <c r="B2362" s="562">
        <v>2021</v>
      </c>
      <c r="C2362" s="561" t="s">
        <v>672</v>
      </c>
      <c r="D2362" s="561" t="s">
        <v>2476</v>
      </c>
      <c r="E2362" s="561" t="s">
        <v>12</v>
      </c>
      <c r="F2362" s="563">
        <v>0</v>
      </c>
      <c r="G2362" s="564"/>
      <c r="H2362" s="561" t="s">
        <v>654</v>
      </c>
      <c r="I2362" s="565"/>
      <c r="J2362" s="565"/>
      <c r="K2362" s="563">
        <v>0</v>
      </c>
      <c r="L2362" s="566">
        <v>0</v>
      </c>
    </row>
    <row r="2363" spans="1:12" ht="22.5" x14ac:dyDescent="0.2">
      <c r="A2363" s="561" t="s">
        <v>114</v>
      </c>
      <c r="B2363" s="562">
        <v>2021</v>
      </c>
      <c r="C2363" s="561" t="s">
        <v>674</v>
      </c>
      <c r="D2363" s="561" t="s">
        <v>2477</v>
      </c>
      <c r="E2363" s="561" t="s">
        <v>13</v>
      </c>
      <c r="F2363" s="563">
        <v>0</v>
      </c>
      <c r="G2363" s="564"/>
      <c r="H2363" s="561" t="s">
        <v>654</v>
      </c>
      <c r="I2363" s="565"/>
      <c r="J2363" s="565"/>
      <c r="K2363" s="563">
        <v>0</v>
      </c>
      <c r="L2363" s="566">
        <v>0</v>
      </c>
    </row>
    <row r="2364" spans="1:12" ht="33.75" x14ac:dyDescent="0.2">
      <c r="A2364" s="561" t="s">
        <v>114</v>
      </c>
      <c r="B2364" s="562">
        <v>2021</v>
      </c>
      <c r="C2364" s="561" t="s">
        <v>676</v>
      </c>
      <c r="D2364" s="561" t="s">
        <v>2478</v>
      </c>
      <c r="E2364" s="561" t="s">
        <v>15</v>
      </c>
      <c r="F2364" s="563">
        <v>0</v>
      </c>
      <c r="G2364" s="564"/>
      <c r="H2364" s="561" t="s">
        <v>654</v>
      </c>
      <c r="I2364" s="565"/>
      <c r="J2364" s="565"/>
      <c r="K2364" s="563">
        <v>0</v>
      </c>
      <c r="L2364" s="566">
        <v>0</v>
      </c>
    </row>
    <row r="2365" spans="1:12" ht="15" x14ac:dyDescent="0.2">
      <c r="A2365" s="561" t="s">
        <v>114</v>
      </c>
      <c r="B2365" s="562">
        <v>2021</v>
      </c>
      <c r="C2365" s="561" t="s">
        <v>678</v>
      </c>
      <c r="D2365" s="561" t="s">
        <v>2479</v>
      </c>
      <c r="E2365" s="561" t="s">
        <v>680</v>
      </c>
      <c r="F2365" s="563">
        <v>5899.55</v>
      </c>
      <c r="G2365" s="564"/>
      <c r="H2365" s="561" t="s">
        <v>654</v>
      </c>
      <c r="I2365" s="565"/>
      <c r="J2365" s="565"/>
      <c r="K2365" s="563">
        <v>0</v>
      </c>
      <c r="L2365" s="566">
        <v>5899.55</v>
      </c>
    </row>
    <row r="2366" spans="1:12" ht="15" x14ac:dyDescent="0.2">
      <c r="A2366" s="561" t="s">
        <v>114</v>
      </c>
      <c r="B2366" s="562">
        <v>2021</v>
      </c>
      <c r="C2366" s="561" t="s">
        <v>681</v>
      </c>
      <c r="D2366" s="561" t="s">
        <v>2480</v>
      </c>
      <c r="E2366" s="561" t="s">
        <v>23</v>
      </c>
      <c r="F2366" s="563">
        <v>174851.05</v>
      </c>
      <c r="G2366" s="561" t="s">
        <v>654</v>
      </c>
      <c r="H2366" s="564"/>
      <c r="I2366" s="563">
        <v>172787.484375</v>
      </c>
      <c r="J2366" s="563">
        <v>2063.56005859375</v>
      </c>
      <c r="K2366" s="563">
        <v>174851.046875</v>
      </c>
      <c r="L2366" s="566">
        <v>174851.05</v>
      </c>
    </row>
    <row r="2367" spans="1:12" ht="33.75" x14ac:dyDescent="0.2">
      <c r="A2367" s="561" t="s">
        <v>114</v>
      </c>
      <c r="B2367" s="562">
        <v>2021</v>
      </c>
      <c r="C2367" s="561" t="s">
        <v>683</v>
      </c>
      <c r="D2367" s="561" t="s">
        <v>2481</v>
      </c>
      <c r="E2367" s="561" t="s">
        <v>131</v>
      </c>
      <c r="F2367" s="563">
        <v>-925.42</v>
      </c>
      <c r="G2367" s="561" t="s">
        <v>654</v>
      </c>
      <c r="H2367" s="564"/>
      <c r="I2367" s="563">
        <v>-906.64001464843795</v>
      </c>
      <c r="J2367" s="563">
        <v>-18.780000686645501</v>
      </c>
      <c r="K2367" s="563">
        <v>-925.41998291015602</v>
      </c>
      <c r="L2367" s="566">
        <v>-925.42</v>
      </c>
    </row>
    <row r="2368" spans="1:12" ht="33.75" x14ac:dyDescent="0.2">
      <c r="A2368" s="561" t="s">
        <v>114</v>
      </c>
      <c r="B2368" s="562">
        <v>2021</v>
      </c>
      <c r="C2368" s="561" t="s">
        <v>685</v>
      </c>
      <c r="D2368" s="561" t="s">
        <v>2482</v>
      </c>
      <c r="E2368" s="561" t="s">
        <v>687</v>
      </c>
      <c r="F2368" s="563">
        <v>8684.06</v>
      </c>
      <c r="G2368" s="564"/>
      <c r="H2368" s="561" t="s">
        <v>654</v>
      </c>
      <c r="I2368" s="565"/>
      <c r="J2368" s="565"/>
      <c r="K2368" s="563">
        <v>0</v>
      </c>
      <c r="L2368" s="566">
        <v>8684.06</v>
      </c>
    </row>
    <row r="2369" spans="1:12" ht="33.75" x14ac:dyDescent="0.2">
      <c r="A2369" s="561" t="s">
        <v>114</v>
      </c>
      <c r="B2369" s="562">
        <v>2021</v>
      </c>
      <c r="C2369" s="561" t="s">
        <v>685</v>
      </c>
      <c r="D2369" s="561" t="s">
        <v>2482</v>
      </c>
      <c r="E2369" s="561" t="s">
        <v>688</v>
      </c>
      <c r="F2369" s="563">
        <v>8684.06</v>
      </c>
      <c r="G2369" s="564"/>
      <c r="H2369" s="561" t="s">
        <v>654</v>
      </c>
      <c r="I2369" s="565"/>
      <c r="J2369" s="565"/>
      <c r="K2369" s="563">
        <v>0</v>
      </c>
      <c r="L2369" s="566">
        <v>8684.06</v>
      </c>
    </row>
    <row r="2370" spans="1:12" ht="22.5" x14ac:dyDescent="0.2">
      <c r="A2370" s="561" t="s">
        <v>114</v>
      </c>
      <c r="B2370" s="562">
        <v>2021</v>
      </c>
      <c r="C2370" s="561" t="s">
        <v>689</v>
      </c>
      <c r="D2370" s="561" t="s">
        <v>2483</v>
      </c>
      <c r="E2370" s="561" t="s">
        <v>691</v>
      </c>
      <c r="F2370" s="563">
        <v>0</v>
      </c>
      <c r="G2370" s="564"/>
      <c r="H2370" s="561" t="s">
        <v>654</v>
      </c>
      <c r="I2370" s="565"/>
      <c r="J2370" s="565"/>
      <c r="K2370" s="563">
        <v>0</v>
      </c>
      <c r="L2370" s="566">
        <v>0</v>
      </c>
    </row>
    <row r="2371" spans="1:12" ht="22.5" x14ac:dyDescent="0.2">
      <c r="A2371" s="561" t="s">
        <v>114</v>
      </c>
      <c r="B2371" s="562">
        <v>2021</v>
      </c>
      <c r="C2371" s="561" t="s">
        <v>692</v>
      </c>
      <c r="D2371" s="561" t="s">
        <v>2484</v>
      </c>
      <c r="E2371" s="561" t="s">
        <v>50</v>
      </c>
      <c r="F2371" s="563">
        <v>0</v>
      </c>
      <c r="G2371" s="564"/>
      <c r="H2371" s="561" t="s">
        <v>654</v>
      </c>
      <c r="I2371" s="565"/>
      <c r="J2371" s="565"/>
      <c r="K2371" s="563">
        <v>0</v>
      </c>
      <c r="L2371" s="566">
        <v>0</v>
      </c>
    </row>
    <row r="2372" spans="1:12" ht="22.5" x14ac:dyDescent="0.2">
      <c r="A2372" s="561" t="s">
        <v>114</v>
      </c>
      <c r="B2372" s="562">
        <v>2021</v>
      </c>
      <c r="C2372" s="561" t="s">
        <v>694</v>
      </c>
      <c r="D2372" s="561" t="s">
        <v>2485</v>
      </c>
      <c r="E2372" s="561" t="s">
        <v>696</v>
      </c>
      <c r="F2372" s="563">
        <v>0</v>
      </c>
      <c r="G2372" s="564"/>
      <c r="H2372" s="561" t="s">
        <v>654</v>
      </c>
      <c r="I2372" s="565"/>
      <c r="J2372" s="565"/>
      <c r="K2372" s="563">
        <v>0</v>
      </c>
      <c r="L2372" s="566">
        <v>0</v>
      </c>
    </row>
    <row r="2373" spans="1:12" ht="22.5" x14ac:dyDescent="0.2">
      <c r="A2373" s="561" t="s">
        <v>114</v>
      </c>
      <c r="B2373" s="562">
        <v>2021</v>
      </c>
      <c r="C2373" s="561" t="s">
        <v>697</v>
      </c>
      <c r="D2373" s="561" t="s">
        <v>2486</v>
      </c>
      <c r="E2373" s="561" t="s">
        <v>6</v>
      </c>
      <c r="F2373" s="563">
        <v>0</v>
      </c>
      <c r="G2373" s="564"/>
      <c r="H2373" s="561" t="s">
        <v>654</v>
      </c>
      <c r="I2373" s="565"/>
      <c r="J2373" s="565"/>
      <c r="K2373" s="563">
        <v>0</v>
      </c>
      <c r="L2373" s="566">
        <v>0</v>
      </c>
    </row>
    <row r="2374" spans="1:12" ht="33.75" x14ac:dyDescent="0.2">
      <c r="A2374" s="561" t="s">
        <v>114</v>
      </c>
      <c r="B2374" s="562">
        <v>2021</v>
      </c>
      <c r="C2374" s="561" t="s">
        <v>699</v>
      </c>
      <c r="D2374" s="561" t="s">
        <v>2487</v>
      </c>
      <c r="E2374" s="561" t="s">
        <v>701</v>
      </c>
      <c r="F2374" s="563">
        <v>0</v>
      </c>
      <c r="G2374" s="564"/>
      <c r="H2374" s="561" t="s">
        <v>654</v>
      </c>
      <c r="I2374" s="565"/>
      <c r="J2374" s="565"/>
      <c r="K2374" s="563">
        <v>0</v>
      </c>
      <c r="L2374" s="566">
        <v>0</v>
      </c>
    </row>
    <row r="2375" spans="1:12" ht="22.5" x14ac:dyDescent="0.2">
      <c r="A2375" s="561" t="s">
        <v>114</v>
      </c>
      <c r="B2375" s="562">
        <v>2021</v>
      </c>
      <c r="C2375" s="561" t="s">
        <v>702</v>
      </c>
      <c r="D2375" s="561" t="s">
        <v>2488</v>
      </c>
      <c r="E2375" s="561" t="s">
        <v>704</v>
      </c>
      <c r="F2375" s="563">
        <v>-77771.039999999994</v>
      </c>
      <c r="G2375" s="564"/>
      <c r="H2375" s="561" t="s">
        <v>654</v>
      </c>
      <c r="I2375" s="565"/>
      <c r="J2375" s="565"/>
      <c r="K2375" s="563">
        <v>0</v>
      </c>
      <c r="L2375" s="566">
        <v>-77771.039999999994</v>
      </c>
    </row>
    <row r="2376" spans="1:12" ht="33.75" x14ac:dyDescent="0.2">
      <c r="A2376" s="561" t="s">
        <v>114</v>
      </c>
      <c r="B2376" s="562">
        <v>2021</v>
      </c>
      <c r="C2376" s="561" t="s">
        <v>705</v>
      </c>
      <c r="D2376" s="561" t="s">
        <v>2489</v>
      </c>
      <c r="E2376" s="561" t="s">
        <v>1</v>
      </c>
      <c r="F2376" s="563">
        <v>-124749.59</v>
      </c>
      <c r="G2376" s="561" t="s">
        <v>654</v>
      </c>
      <c r="H2376" s="564"/>
      <c r="I2376" s="563">
        <v>-123141.171875</v>
      </c>
      <c r="J2376" s="563">
        <v>-1608.42004394531</v>
      </c>
      <c r="K2376" s="563">
        <v>-124749.59375</v>
      </c>
      <c r="L2376" s="566">
        <v>-124749.59</v>
      </c>
    </row>
    <row r="2377" spans="1:12" ht="22.5" x14ac:dyDescent="0.2">
      <c r="A2377" s="561" t="s">
        <v>114</v>
      </c>
      <c r="B2377" s="562">
        <v>2021</v>
      </c>
      <c r="C2377" s="561" t="s">
        <v>705</v>
      </c>
      <c r="D2377" s="561" t="s">
        <v>2489</v>
      </c>
      <c r="E2377" s="561" t="s">
        <v>707</v>
      </c>
      <c r="F2377" s="563">
        <v>0</v>
      </c>
      <c r="G2377" s="564"/>
      <c r="H2377" s="564"/>
      <c r="I2377" s="565"/>
      <c r="J2377" s="565"/>
      <c r="K2377" s="563">
        <v>0</v>
      </c>
      <c r="L2377" s="566">
        <v>0</v>
      </c>
    </row>
    <row r="2378" spans="1:12" ht="22.5" x14ac:dyDescent="0.2">
      <c r="A2378" s="561" t="s">
        <v>114</v>
      </c>
      <c r="B2378" s="562">
        <v>2021</v>
      </c>
      <c r="C2378" s="561" t="s">
        <v>705</v>
      </c>
      <c r="D2378" s="561" t="s">
        <v>2489</v>
      </c>
      <c r="E2378" s="561" t="s">
        <v>708</v>
      </c>
      <c r="F2378" s="563">
        <v>0</v>
      </c>
      <c r="G2378" s="564"/>
      <c r="H2378" s="564"/>
      <c r="I2378" s="565"/>
      <c r="J2378" s="565"/>
      <c r="K2378" s="563">
        <v>0</v>
      </c>
      <c r="L2378" s="566">
        <v>0</v>
      </c>
    </row>
    <row r="2379" spans="1:12" ht="22.5" x14ac:dyDescent="0.2">
      <c r="A2379" s="561" t="s">
        <v>114</v>
      </c>
      <c r="B2379" s="562">
        <v>2021</v>
      </c>
      <c r="C2379" s="561" t="s">
        <v>705</v>
      </c>
      <c r="D2379" s="561" t="s">
        <v>2489</v>
      </c>
      <c r="E2379" s="561" t="s">
        <v>709</v>
      </c>
      <c r="F2379" s="563">
        <v>19026.2</v>
      </c>
      <c r="G2379" s="564"/>
      <c r="H2379" s="564"/>
      <c r="I2379" s="565"/>
      <c r="J2379" s="565"/>
      <c r="K2379" s="563">
        <v>0</v>
      </c>
      <c r="L2379" s="566">
        <v>19026.2</v>
      </c>
    </row>
    <row r="2380" spans="1:12" ht="22.5" x14ac:dyDescent="0.2">
      <c r="A2380" s="561" t="s">
        <v>114</v>
      </c>
      <c r="B2380" s="562">
        <v>2021</v>
      </c>
      <c r="C2380" s="561" t="s">
        <v>705</v>
      </c>
      <c r="D2380" s="561" t="s">
        <v>2489</v>
      </c>
      <c r="E2380" s="561" t="s">
        <v>710</v>
      </c>
      <c r="F2380" s="563">
        <v>250.5</v>
      </c>
      <c r="G2380" s="564"/>
      <c r="H2380" s="564"/>
      <c r="I2380" s="565"/>
      <c r="J2380" s="565"/>
      <c r="K2380" s="563">
        <v>0</v>
      </c>
      <c r="L2380" s="566">
        <v>250.5</v>
      </c>
    </row>
    <row r="2381" spans="1:12" ht="15" x14ac:dyDescent="0.2">
      <c r="A2381" s="561" t="s">
        <v>114</v>
      </c>
      <c r="B2381" s="562">
        <v>2021</v>
      </c>
      <c r="C2381" s="561" t="s">
        <v>711</v>
      </c>
      <c r="D2381" s="561" t="s">
        <v>2490</v>
      </c>
      <c r="E2381" s="561" t="s">
        <v>713</v>
      </c>
      <c r="F2381" s="563">
        <v>0</v>
      </c>
      <c r="G2381" s="564"/>
      <c r="H2381" s="561" t="s">
        <v>654</v>
      </c>
      <c r="I2381" s="565"/>
      <c r="J2381" s="565"/>
      <c r="K2381" s="563">
        <v>0</v>
      </c>
      <c r="L2381" s="566">
        <v>0</v>
      </c>
    </row>
    <row r="2382" spans="1:12" ht="33.75" x14ac:dyDescent="0.2">
      <c r="A2382" s="561" t="s">
        <v>114</v>
      </c>
      <c r="B2382" s="562">
        <v>2021</v>
      </c>
      <c r="C2382" s="561" t="s">
        <v>714</v>
      </c>
      <c r="D2382" s="561" t="s">
        <v>2491</v>
      </c>
      <c r="E2382" s="561" t="s">
        <v>2</v>
      </c>
      <c r="F2382" s="563">
        <v>37754.44</v>
      </c>
      <c r="G2382" s="561" t="s">
        <v>654</v>
      </c>
      <c r="H2382" s="564"/>
      <c r="I2382" s="563">
        <v>36614.578125</v>
      </c>
      <c r="J2382" s="563">
        <v>1139.85998535156</v>
      </c>
      <c r="K2382" s="563">
        <v>37754.44140625</v>
      </c>
      <c r="L2382" s="566">
        <v>37754.44</v>
      </c>
    </row>
    <row r="2383" spans="1:12" ht="33.75" x14ac:dyDescent="0.2">
      <c r="A2383" s="561" t="s">
        <v>114</v>
      </c>
      <c r="B2383" s="562">
        <v>2021</v>
      </c>
      <c r="C2383" s="561" t="s">
        <v>716</v>
      </c>
      <c r="D2383" s="561" t="s">
        <v>2492</v>
      </c>
      <c r="E2383" s="561" t="s">
        <v>3</v>
      </c>
      <c r="F2383" s="563">
        <v>38493.14</v>
      </c>
      <c r="G2383" s="561" t="s">
        <v>654</v>
      </c>
      <c r="H2383" s="564"/>
      <c r="I2383" s="563">
        <v>37986.5703125</v>
      </c>
      <c r="J2383" s="563">
        <v>506.57000732421898</v>
      </c>
      <c r="K2383" s="563">
        <v>38493.140625</v>
      </c>
      <c r="L2383" s="566">
        <v>38493.14</v>
      </c>
    </row>
    <row r="2384" spans="1:12" ht="33.75" x14ac:dyDescent="0.2">
      <c r="A2384" s="561" t="s">
        <v>114</v>
      </c>
      <c r="B2384" s="562">
        <v>2021</v>
      </c>
      <c r="C2384" s="561" t="s">
        <v>718</v>
      </c>
      <c r="D2384" s="561" t="s">
        <v>2493</v>
      </c>
      <c r="E2384" s="561" t="s">
        <v>38</v>
      </c>
      <c r="F2384" s="563">
        <v>-112987.23</v>
      </c>
      <c r="G2384" s="561" t="s">
        <v>654</v>
      </c>
      <c r="H2384" s="564"/>
      <c r="I2384" s="563">
        <v>-112114.1484375</v>
      </c>
      <c r="J2384" s="563">
        <v>-873.08001708984398</v>
      </c>
      <c r="K2384" s="563">
        <v>-112987.2265625</v>
      </c>
      <c r="L2384" s="566">
        <v>-112987.23</v>
      </c>
    </row>
    <row r="2385" spans="1:12" ht="22.5" x14ac:dyDescent="0.2">
      <c r="A2385" s="561" t="s">
        <v>114</v>
      </c>
      <c r="B2385" s="562">
        <v>2021</v>
      </c>
      <c r="C2385" s="561" t="s">
        <v>720</v>
      </c>
      <c r="D2385" s="561" t="s">
        <v>2494</v>
      </c>
      <c r="E2385" s="561" t="s">
        <v>66</v>
      </c>
      <c r="F2385" s="563">
        <v>12942.53</v>
      </c>
      <c r="G2385" s="561" t="s">
        <v>654</v>
      </c>
      <c r="H2385" s="564"/>
      <c r="I2385" s="563">
        <v>10470.83984375</v>
      </c>
      <c r="J2385" s="563">
        <v>2471.68994140625</v>
      </c>
      <c r="K2385" s="563">
        <v>12942.5302734375</v>
      </c>
      <c r="L2385" s="566">
        <v>12942.53</v>
      </c>
    </row>
    <row r="2386" spans="1:12" ht="45" x14ac:dyDescent="0.2">
      <c r="A2386" s="561" t="s">
        <v>114</v>
      </c>
      <c r="B2386" s="562">
        <v>2021</v>
      </c>
      <c r="C2386" s="561" t="s">
        <v>722</v>
      </c>
      <c r="D2386" s="561" t="s">
        <v>2495</v>
      </c>
      <c r="E2386" s="561" t="s">
        <v>724</v>
      </c>
      <c r="F2386" s="563">
        <v>-29050.12</v>
      </c>
      <c r="G2386" s="564"/>
      <c r="H2386" s="561" t="s">
        <v>654</v>
      </c>
      <c r="I2386" s="565"/>
      <c r="J2386" s="565"/>
      <c r="K2386" s="563">
        <v>0</v>
      </c>
      <c r="L2386" s="566">
        <v>-29050.12</v>
      </c>
    </row>
    <row r="2387" spans="1:12" ht="45" x14ac:dyDescent="0.2">
      <c r="A2387" s="561" t="s">
        <v>114</v>
      </c>
      <c r="B2387" s="562">
        <v>2021</v>
      </c>
      <c r="C2387" s="561" t="s">
        <v>725</v>
      </c>
      <c r="D2387" s="561" t="s">
        <v>2496</v>
      </c>
      <c r="E2387" s="561" t="s">
        <v>3024</v>
      </c>
      <c r="F2387" s="563">
        <v>0</v>
      </c>
      <c r="G2387" s="561" t="s">
        <v>654</v>
      </c>
      <c r="H2387" s="564"/>
      <c r="I2387" s="563">
        <v>-2026</v>
      </c>
      <c r="J2387" s="563">
        <v>-61.049999237060497</v>
      </c>
      <c r="K2387" s="563">
        <v>-2087.05004882813</v>
      </c>
      <c r="L2387" s="566">
        <v>-2087.0500000000002</v>
      </c>
    </row>
    <row r="2388" spans="1:12" ht="45" x14ac:dyDescent="0.2">
      <c r="A2388" s="561" t="s">
        <v>114</v>
      </c>
      <c r="B2388" s="562">
        <v>2021</v>
      </c>
      <c r="C2388" s="561" t="s">
        <v>725</v>
      </c>
      <c r="D2388" s="561" t="s">
        <v>2496</v>
      </c>
      <c r="E2388" s="561" t="s">
        <v>3066</v>
      </c>
      <c r="F2388" s="563">
        <v>0</v>
      </c>
      <c r="G2388" s="561" t="s">
        <v>654</v>
      </c>
      <c r="H2388" s="564"/>
      <c r="I2388" s="563">
        <v>-4039.18994140625</v>
      </c>
      <c r="J2388" s="563">
        <v>-5779.009765625</v>
      </c>
      <c r="K2388" s="563">
        <v>-9818.2001953125</v>
      </c>
      <c r="L2388" s="566">
        <v>-9818.2000000000007</v>
      </c>
    </row>
    <row r="2389" spans="1:12" ht="45" x14ac:dyDescent="0.2">
      <c r="A2389" s="561" t="s">
        <v>114</v>
      </c>
      <c r="B2389" s="562">
        <v>2021</v>
      </c>
      <c r="C2389" s="561" t="s">
        <v>725</v>
      </c>
      <c r="D2389" s="561" t="s">
        <v>2497</v>
      </c>
      <c r="E2389" s="561" t="s">
        <v>728</v>
      </c>
      <c r="F2389" s="563">
        <v>0</v>
      </c>
      <c r="G2389" s="561" t="s">
        <v>654</v>
      </c>
      <c r="H2389" s="564"/>
      <c r="I2389" s="565"/>
      <c r="J2389" s="565"/>
      <c r="K2389" s="563">
        <v>0</v>
      </c>
      <c r="L2389" s="566">
        <v>0</v>
      </c>
    </row>
    <row r="2390" spans="1:12" ht="45" x14ac:dyDescent="0.2">
      <c r="A2390" s="561" t="s">
        <v>114</v>
      </c>
      <c r="B2390" s="562">
        <v>2021</v>
      </c>
      <c r="C2390" s="561" t="s">
        <v>725</v>
      </c>
      <c r="D2390" s="561" t="s">
        <v>2498</v>
      </c>
      <c r="E2390" s="561" t="s">
        <v>55</v>
      </c>
      <c r="F2390" s="563">
        <v>0</v>
      </c>
      <c r="G2390" s="561" t="s">
        <v>654</v>
      </c>
      <c r="H2390" s="564"/>
      <c r="I2390" s="565"/>
      <c r="J2390" s="565"/>
      <c r="K2390" s="563">
        <v>0</v>
      </c>
      <c r="L2390" s="566">
        <v>0</v>
      </c>
    </row>
    <row r="2391" spans="1:12" ht="45" x14ac:dyDescent="0.2">
      <c r="A2391" s="561" t="s">
        <v>114</v>
      </c>
      <c r="B2391" s="562">
        <v>2021</v>
      </c>
      <c r="C2391" s="561" t="s">
        <v>725</v>
      </c>
      <c r="D2391" s="561" t="s">
        <v>2499</v>
      </c>
      <c r="E2391" s="561" t="s">
        <v>56</v>
      </c>
      <c r="F2391" s="563">
        <v>0</v>
      </c>
      <c r="G2391" s="561" t="s">
        <v>654</v>
      </c>
      <c r="H2391" s="564"/>
      <c r="I2391" s="565"/>
      <c r="J2391" s="565"/>
      <c r="K2391" s="563">
        <v>0</v>
      </c>
      <c r="L2391" s="566">
        <v>0</v>
      </c>
    </row>
    <row r="2392" spans="1:12" ht="45" x14ac:dyDescent="0.2">
      <c r="A2392" s="561" t="s">
        <v>114</v>
      </c>
      <c r="B2392" s="562">
        <v>2021</v>
      </c>
      <c r="C2392" s="561" t="s">
        <v>725</v>
      </c>
      <c r="D2392" s="561" t="s">
        <v>2500</v>
      </c>
      <c r="E2392" s="561" t="s">
        <v>732</v>
      </c>
      <c r="F2392" s="563">
        <v>0</v>
      </c>
      <c r="G2392" s="561" t="s">
        <v>654</v>
      </c>
      <c r="H2392" s="564"/>
      <c r="I2392" s="565"/>
      <c r="J2392" s="565"/>
      <c r="K2392" s="563">
        <v>0</v>
      </c>
      <c r="L2392" s="566">
        <v>0</v>
      </c>
    </row>
    <row r="2393" spans="1:12" ht="45" x14ac:dyDescent="0.2">
      <c r="A2393" s="561" t="s">
        <v>114</v>
      </c>
      <c r="B2393" s="562">
        <v>2021</v>
      </c>
      <c r="C2393" s="561" t="s">
        <v>725</v>
      </c>
      <c r="D2393" s="561" t="s">
        <v>2501</v>
      </c>
      <c r="E2393" s="561" t="s">
        <v>734</v>
      </c>
      <c r="F2393" s="563">
        <v>0</v>
      </c>
      <c r="G2393" s="561" t="s">
        <v>654</v>
      </c>
      <c r="H2393" s="564"/>
      <c r="I2393" s="565"/>
      <c r="J2393" s="565"/>
      <c r="K2393" s="563">
        <v>0</v>
      </c>
      <c r="L2393" s="566">
        <v>0</v>
      </c>
    </row>
    <row r="2394" spans="1:12" ht="45" x14ac:dyDescent="0.2">
      <c r="A2394" s="561" t="s">
        <v>114</v>
      </c>
      <c r="B2394" s="562">
        <v>2021</v>
      </c>
      <c r="C2394" s="561" t="s">
        <v>725</v>
      </c>
      <c r="D2394" s="561" t="s">
        <v>2502</v>
      </c>
      <c r="E2394" s="561" t="s">
        <v>142</v>
      </c>
      <c r="F2394" s="563">
        <v>0</v>
      </c>
      <c r="G2394" s="561" t="s">
        <v>654</v>
      </c>
      <c r="H2394" s="564"/>
      <c r="I2394" s="565"/>
      <c r="J2394" s="565"/>
      <c r="K2394" s="563">
        <v>0</v>
      </c>
      <c r="L2394" s="566">
        <v>0</v>
      </c>
    </row>
    <row r="2395" spans="1:12" ht="45" x14ac:dyDescent="0.2">
      <c r="A2395" s="561" t="s">
        <v>114</v>
      </c>
      <c r="B2395" s="562">
        <v>2021</v>
      </c>
      <c r="C2395" s="561" t="s">
        <v>725</v>
      </c>
      <c r="D2395" s="561" t="s">
        <v>2503</v>
      </c>
      <c r="E2395" s="561" t="s">
        <v>143</v>
      </c>
      <c r="F2395" s="563">
        <v>0</v>
      </c>
      <c r="G2395" s="561" t="s">
        <v>654</v>
      </c>
      <c r="H2395" s="564"/>
      <c r="I2395" s="565"/>
      <c r="J2395" s="565"/>
      <c r="K2395" s="563">
        <v>0</v>
      </c>
      <c r="L2395" s="566">
        <v>0</v>
      </c>
    </row>
    <row r="2396" spans="1:12" ht="45" x14ac:dyDescent="0.2">
      <c r="A2396" s="561" t="s">
        <v>114</v>
      </c>
      <c r="B2396" s="562">
        <v>2021</v>
      </c>
      <c r="C2396" s="561" t="s">
        <v>725</v>
      </c>
      <c r="D2396" s="561" t="s">
        <v>2504</v>
      </c>
      <c r="E2396" s="561" t="s">
        <v>182</v>
      </c>
      <c r="F2396" s="563">
        <v>0</v>
      </c>
      <c r="G2396" s="561" t="s">
        <v>654</v>
      </c>
      <c r="H2396" s="564"/>
      <c r="I2396" s="565"/>
      <c r="J2396" s="565"/>
      <c r="K2396" s="563">
        <v>0</v>
      </c>
      <c r="L2396" s="566">
        <v>0</v>
      </c>
    </row>
    <row r="2397" spans="1:12" ht="45" x14ac:dyDescent="0.2">
      <c r="A2397" s="561" t="s">
        <v>114</v>
      </c>
      <c r="B2397" s="562">
        <v>2021</v>
      </c>
      <c r="C2397" s="561" t="s">
        <v>725</v>
      </c>
      <c r="D2397" s="561" t="s">
        <v>2505</v>
      </c>
      <c r="E2397" s="561" t="s">
        <v>394</v>
      </c>
      <c r="F2397" s="563">
        <v>0</v>
      </c>
      <c r="G2397" s="561" t="s">
        <v>654</v>
      </c>
      <c r="H2397" s="564"/>
      <c r="I2397" s="565"/>
      <c r="J2397" s="565"/>
      <c r="K2397" s="563">
        <v>0</v>
      </c>
      <c r="L2397" s="566">
        <v>0</v>
      </c>
    </row>
    <row r="2398" spans="1:12" ht="45" x14ac:dyDescent="0.2">
      <c r="A2398" s="561" t="s">
        <v>114</v>
      </c>
      <c r="B2398" s="562">
        <v>2021</v>
      </c>
      <c r="C2398" s="561" t="s">
        <v>725</v>
      </c>
      <c r="D2398" s="561" t="s">
        <v>2506</v>
      </c>
      <c r="E2398" s="561" t="s">
        <v>425</v>
      </c>
      <c r="F2398" s="563">
        <v>0</v>
      </c>
      <c r="G2398" s="561" t="s">
        <v>654</v>
      </c>
      <c r="H2398" s="564"/>
      <c r="I2398" s="565"/>
      <c r="J2398" s="565"/>
      <c r="K2398" s="563">
        <v>0</v>
      </c>
      <c r="L2398" s="566">
        <v>0</v>
      </c>
    </row>
    <row r="2399" spans="1:12" ht="45" x14ac:dyDescent="0.2">
      <c r="A2399" s="561" t="s">
        <v>114</v>
      </c>
      <c r="B2399" s="562">
        <v>2021</v>
      </c>
      <c r="C2399" s="561" t="s">
        <v>725</v>
      </c>
      <c r="D2399" s="561" t="s">
        <v>3291</v>
      </c>
      <c r="E2399" s="561" t="s">
        <v>443</v>
      </c>
      <c r="F2399" s="563">
        <v>0</v>
      </c>
      <c r="G2399" s="561" t="s">
        <v>654</v>
      </c>
      <c r="H2399" s="564"/>
      <c r="I2399" s="565"/>
      <c r="J2399" s="565"/>
      <c r="K2399" s="563">
        <v>0</v>
      </c>
      <c r="L2399" s="566">
        <v>0</v>
      </c>
    </row>
    <row r="2400" spans="1:12" ht="45" x14ac:dyDescent="0.2">
      <c r="A2400" s="561" t="s">
        <v>114</v>
      </c>
      <c r="B2400" s="562">
        <v>2021</v>
      </c>
      <c r="C2400" s="561" t="s">
        <v>725</v>
      </c>
      <c r="D2400" s="561" t="s">
        <v>2507</v>
      </c>
      <c r="E2400" s="561" t="s">
        <v>741</v>
      </c>
      <c r="F2400" s="563">
        <v>-11905.25</v>
      </c>
      <c r="G2400" s="564"/>
      <c r="H2400" s="564"/>
      <c r="I2400" s="565"/>
      <c r="J2400" s="565"/>
      <c r="K2400" s="563">
        <v>0</v>
      </c>
      <c r="L2400" s="566">
        <v>-11905.25</v>
      </c>
    </row>
    <row r="2401" spans="1:12" ht="22.5" x14ac:dyDescent="0.2">
      <c r="A2401" s="561" t="s">
        <v>114</v>
      </c>
      <c r="B2401" s="562">
        <v>2021</v>
      </c>
      <c r="C2401" s="561" t="s">
        <v>742</v>
      </c>
      <c r="D2401" s="561" t="s">
        <v>2508</v>
      </c>
      <c r="E2401" s="561" t="s">
        <v>7</v>
      </c>
      <c r="F2401" s="563">
        <v>0</v>
      </c>
      <c r="G2401" s="564"/>
      <c r="H2401" s="561" t="s">
        <v>654</v>
      </c>
      <c r="I2401" s="565"/>
      <c r="J2401" s="565"/>
      <c r="K2401" s="563">
        <v>0</v>
      </c>
      <c r="L2401" s="566">
        <v>0</v>
      </c>
    </row>
    <row r="2402" spans="1:12" ht="22.5" x14ac:dyDescent="0.2">
      <c r="A2402" s="561" t="s">
        <v>440</v>
      </c>
      <c r="B2402" s="562">
        <v>2021</v>
      </c>
      <c r="C2402" s="561" t="s">
        <v>651</v>
      </c>
      <c r="D2402" s="561" t="s">
        <v>2509</v>
      </c>
      <c r="E2402" s="561" t="s">
        <v>653</v>
      </c>
      <c r="F2402" s="563">
        <v>119669.73</v>
      </c>
      <c r="G2402" s="564"/>
      <c r="H2402" s="561" t="s">
        <v>654</v>
      </c>
      <c r="I2402" s="565"/>
      <c r="J2402" s="565"/>
      <c r="K2402" s="563">
        <v>0</v>
      </c>
      <c r="L2402" s="566">
        <v>119669.73</v>
      </c>
    </row>
    <row r="2403" spans="1:12" ht="22.5" x14ac:dyDescent="0.2">
      <c r="A2403" s="561" t="s">
        <v>440</v>
      </c>
      <c r="B2403" s="562">
        <v>2021</v>
      </c>
      <c r="C2403" s="561" t="s">
        <v>655</v>
      </c>
      <c r="D2403" s="561" t="s">
        <v>2510</v>
      </c>
      <c r="E2403" s="561" t="s">
        <v>657</v>
      </c>
      <c r="F2403" s="563">
        <v>-3522.64</v>
      </c>
      <c r="G2403" s="564"/>
      <c r="H2403" s="561" t="s">
        <v>654</v>
      </c>
      <c r="I2403" s="565"/>
      <c r="J2403" s="565"/>
      <c r="K2403" s="563">
        <v>0</v>
      </c>
      <c r="L2403" s="566">
        <v>-3522.64</v>
      </c>
    </row>
    <row r="2404" spans="1:12" ht="56.25" x14ac:dyDescent="0.2">
      <c r="A2404" s="561" t="s">
        <v>440</v>
      </c>
      <c r="B2404" s="562">
        <v>2021</v>
      </c>
      <c r="C2404" s="561" t="s">
        <v>658</v>
      </c>
      <c r="D2404" s="561" t="s">
        <v>2511</v>
      </c>
      <c r="E2404" s="561" t="s">
        <v>447</v>
      </c>
      <c r="F2404" s="563">
        <v>-61.39</v>
      </c>
      <c r="G2404" s="564"/>
      <c r="H2404" s="561" t="s">
        <v>654</v>
      </c>
      <c r="I2404" s="565"/>
      <c r="J2404" s="565"/>
      <c r="K2404" s="563">
        <v>0</v>
      </c>
      <c r="L2404" s="566">
        <v>-61.39</v>
      </c>
    </row>
    <row r="2405" spans="1:12" ht="22.5" x14ac:dyDescent="0.2">
      <c r="A2405" s="561" t="s">
        <v>440</v>
      </c>
      <c r="B2405" s="562">
        <v>2021</v>
      </c>
      <c r="C2405" s="561" t="s">
        <v>660</v>
      </c>
      <c r="D2405" s="561" t="s">
        <v>2512</v>
      </c>
      <c r="E2405" s="561" t="s">
        <v>662</v>
      </c>
      <c r="F2405" s="563">
        <v>0</v>
      </c>
      <c r="G2405" s="564"/>
      <c r="H2405" s="561" t="s">
        <v>654</v>
      </c>
      <c r="I2405" s="565"/>
      <c r="J2405" s="565"/>
      <c r="K2405" s="563">
        <v>0</v>
      </c>
      <c r="L2405" s="566">
        <v>0</v>
      </c>
    </row>
    <row r="2406" spans="1:12" ht="33.75" x14ac:dyDescent="0.2">
      <c r="A2406" s="561" t="s">
        <v>440</v>
      </c>
      <c r="B2406" s="562">
        <v>2021</v>
      </c>
      <c r="C2406" s="561" t="s">
        <v>663</v>
      </c>
      <c r="D2406" s="561" t="s">
        <v>2513</v>
      </c>
      <c r="E2406" s="561" t="s">
        <v>665</v>
      </c>
      <c r="F2406" s="563">
        <v>0</v>
      </c>
      <c r="G2406" s="564"/>
      <c r="H2406" s="561" t="s">
        <v>654</v>
      </c>
      <c r="I2406" s="565"/>
      <c r="J2406" s="565"/>
      <c r="K2406" s="563">
        <v>0</v>
      </c>
      <c r="L2406" s="566">
        <v>0</v>
      </c>
    </row>
    <row r="2407" spans="1:12" ht="33.75" x14ac:dyDescent="0.2">
      <c r="A2407" s="561" t="s">
        <v>440</v>
      </c>
      <c r="B2407" s="562">
        <v>2021</v>
      </c>
      <c r="C2407" s="561" t="s">
        <v>666</v>
      </c>
      <c r="D2407" s="561" t="s">
        <v>2514</v>
      </c>
      <c r="E2407" s="561" t="s">
        <v>668</v>
      </c>
      <c r="F2407" s="563">
        <v>0</v>
      </c>
      <c r="G2407" s="564"/>
      <c r="H2407" s="561" t="s">
        <v>654</v>
      </c>
      <c r="I2407" s="565"/>
      <c r="J2407" s="565"/>
      <c r="K2407" s="563">
        <v>0</v>
      </c>
      <c r="L2407" s="566">
        <v>0</v>
      </c>
    </row>
    <row r="2408" spans="1:12" ht="56.25" x14ac:dyDescent="0.2">
      <c r="A2408" s="561" t="s">
        <v>440</v>
      </c>
      <c r="B2408" s="562">
        <v>2021</v>
      </c>
      <c r="C2408" s="561" t="s">
        <v>669</v>
      </c>
      <c r="D2408" s="561" t="s">
        <v>2515</v>
      </c>
      <c r="E2408" s="561" t="s">
        <v>671</v>
      </c>
      <c r="F2408" s="563">
        <v>0</v>
      </c>
      <c r="G2408" s="564"/>
      <c r="H2408" s="561" t="s">
        <v>654</v>
      </c>
      <c r="I2408" s="565"/>
      <c r="J2408" s="565"/>
      <c r="K2408" s="563">
        <v>0</v>
      </c>
      <c r="L2408" s="566">
        <v>0</v>
      </c>
    </row>
    <row r="2409" spans="1:12" ht="22.5" x14ac:dyDescent="0.2">
      <c r="A2409" s="561" t="s">
        <v>440</v>
      </c>
      <c r="B2409" s="562">
        <v>2021</v>
      </c>
      <c r="C2409" s="561" t="s">
        <v>672</v>
      </c>
      <c r="D2409" s="561" t="s">
        <v>2516</v>
      </c>
      <c r="E2409" s="561" t="s">
        <v>12</v>
      </c>
      <c r="F2409" s="563">
        <v>0</v>
      </c>
      <c r="G2409" s="564"/>
      <c r="H2409" s="561" t="s">
        <v>654</v>
      </c>
      <c r="I2409" s="565"/>
      <c r="J2409" s="565"/>
      <c r="K2409" s="563">
        <v>0</v>
      </c>
      <c r="L2409" s="566">
        <v>0</v>
      </c>
    </row>
    <row r="2410" spans="1:12" ht="22.5" x14ac:dyDescent="0.2">
      <c r="A2410" s="561" t="s">
        <v>440</v>
      </c>
      <c r="B2410" s="562">
        <v>2021</v>
      </c>
      <c r="C2410" s="561" t="s">
        <v>674</v>
      </c>
      <c r="D2410" s="561" t="s">
        <v>2517</v>
      </c>
      <c r="E2410" s="561" t="s">
        <v>13</v>
      </c>
      <c r="F2410" s="563">
        <v>0</v>
      </c>
      <c r="G2410" s="564"/>
      <c r="H2410" s="561" t="s">
        <v>654</v>
      </c>
      <c r="I2410" s="565"/>
      <c r="J2410" s="565"/>
      <c r="K2410" s="563">
        <v>0</v>
      </c>
      <c r="L2410" s="566">
        <v>0</v>
      </c>
    </row>
    <row r="2411" spans="1:12" ht="33.75" x14ac:dyDescent="0.2">
      <c r="A2411" s="561" t="s">
        <v>440</v>
      </c>
      <c r="B2411" s="562">
        <v>2021</v>
      </c>
      <c r="C2411" s="561" t="s">
        <v>676</v>
      </c>
      <c r="D2411" s="561" t="s">
        <v>2518</v>
      </c>
      <c r="E2411" s="561" t="s">
        <v>15</v>
      </c>
      <c r="F2411" s="563">
        <v>0</v>
      </c>
      <c r="G2411" s="564"/>
      <c r="H2411" s="561" t="s">
        <v>654</v>
      </c>
      <c r="I2411" s="565"/>
      <c r="J2411" s="565"/>
      <c r="K2411" s="563">
        <v>0</v>
      </c>
      <c r="L2411" s="566">
        <v>0</v>
      </c>
    </row>
    <row r="2412" spans="1:12" ht="22.5" x14ac:dyDescent="0.2">
      <c r="A2412" s="561" t="s">
        <v>440</v>
      </c>
      <c r="B2412" s="562">
        <v>2021</v>
      </c>
      <c r="C2412" s="561" t="s">
        <v>678</v>
      </c>
      <c r="D2412" s="561" t="s">
        <v>2519</v>
      </c>
      <c r="E2412" s="561" t="s">
        <v>680</v>
      </c>
      <c r="F2412" s="563">
        <v>1889.17</v>
      </c>
      <c r="G2412" s="564"/>
      <c r="H2412" s="561" t="s">
        <v>654</v>
      </c>
      <c r="I2412" s="565"/>
      <c r="J2412" s="565"/>
      <c r="K2412" s="563">
        <v>0</v>
      </c>
      <c r="L2412" s="566">
        <v>1889.17</v>
      </c>
    </row>
    <row r="2413" spans="1:12" ht="22.5" x14ac:dyDescent="0.2">
      <c r="A2413" s="561" t="s">
        <v>440</v>
      </c>
      <c r="B2413" s="562">
        <v>2021</v>
      </c>
      <c r="C2413" s="561" t="s">
        <v>681</v>
      </c>
      <c r="D2413" s="561" t="s">
        <v>2520</v>
      </c>
      <c r="E2413" s="561" t="s">
        <v>23</v>
      </c>
      <c r="F2413" s="563">
        <v>72080.240000000005</v>
      </c>
      <c r="G2413" s="561" t="s">
        <v>654</v>
      </c>
      <c r="H2413" s="564"/>
      <c r="I2413" s="563">
        <v>72553.9765625</v>
      </c>
      <c r="J2413" s="563">
        <v>-473.739990234375</v>
      </c>
      <c r="K2413" s="563">
        <v>72080.2421875</v>
      </c>
      <c r="L2413" s="566">
        <v>72080.240000000005</v>
      </c>
    </row>
    <row r="2414" spans="1:12" ht="33.75" x14ac:dyDescent="0.2">
      <c r="A2414" s="561" t="s">
        <v>440</v>
      </c>
      <c r="B2414" s="562">
        <v>2021</v>
      </c>
      <c r="C2414" s="561" t="s">
        <v>683</v>
      </c>
      <c r="D2414" s="561" t="s">
        <v>2521</v>
      </c>
      <c r="E2414" s="561" t="s">
        <v>131</v>
      </c>
      <c r="F2414" s="563">
        <v>-817.91</v>
      </c>
      <c r="G2414" s="561" t="s">
        <v>654</v>
      </c>
      <c r="H2414" s="564"/>
      <c r="I2414" s="563">
        <v>-799.530029296875</v>
      </c>
      <c r="J2414" s="563">
        <v>-18.379999160766602</v>
      </c>
      <c r="K2414" s="563">
        <v>-817.90997314453102</v>
      </c>
      <c r="L2414" s="566">
        <v>-817.91</v>
      </c>
    </row>
    <row r="2415" spans="1:12" ht="33.75" x14ac:dyDescent="0.2">
      <c r="A2415" s="561" t="s">
        <v>440</v>
      </c>
      <c r="B2415" s="562">
        <v>2021</v>
      </c>
      <c r="C2415" s="561" t="s">
        <v>685</v>
      </c>
      <c r="D2415" s="561" t="s">
        <v>2522</v>
      </c>
      <c r="E2415" s="561" t="s">
        <v>687</v>
      </c>
      <c r="F2415" s="563">
        <v>0</v>
      </c>
      <c r="G2415" s="564"/>
      <c r="H2415" s="561" t="s">
        <v>654</v>
      </c>
      <c r="I2415" s="565"/>
      <c r="J2415" s="565"/>
      <c r="K2415" s="563">
        <v>0</v>
      </c>
      <c r="L2415" s="566">
        <v>0</v>
      </c>
    </row>
    <row r="2416" spans="1:12" ht="33.75" x14ac:dyDescent="0.2">
      <c r="A2416" s="561" t="s">
        <v>440</v>
      </c>
      <c r="B2416" s="562">
        <v>2021</v>
      </c>
      <c r="C2416" s="561" t="s">
        <v>685</v>
      </c>
      <c r="D2416" s="561" t="s">
        <v>2522</v>
      </c>
      <c r="E2416" s="561" t="s">
        <v>688</v>
      </c>
      <c r="F2416" s="563">
        <v>0</v>
      </c>
      <c r="G2416" s="564"/>
      <c r="H2416" s="561" t="s">
        <v>654</v>
      </c>
      <c r="I2416" s="565"/>
      <c r="J2416" s="565"/>
      <c r="K2416" s="563">
        <v>0</v>
      </c>
      <c r="L2416" s="566">
        <v>0</v>
      </c>
    </row>
    <row r="2417" spans="1:12" ht="22.5" x14ac:dyDescent="0.2">
      <c r="A2417" s="561" t="s">
        <v>440</v>
      </c>
      <c r="B2417" s="562">
        <v>2021</v>
      </c>
      <c r="C2417" s="561" t="s">
        <v>689</v>
      </c>
      <c r="D2417" s="561" t="s">
        <v>2523</v>
      </c>
      <c r="E2417" s="561" t="s">
        <v>691</v>
      </c>
      <c r="F2417" s="563">
        <v>0</v>
      </c>
      <c r="G2417" s="564"/>
      <c r="H2417" s="561" t="s">
        <v>654</v>
      </c>
      <c r="I2417" s="565"/>
      <c r="J2417" s="565"/>
      <c r="K2417" s="563">
        <v>0</v>
      </c>
      <c r="L2417" s="566">
        <v>0</v>
      </c>
    </row>
    <row r="2418" spans="1:12" ht="22.5" x14ac:dyDescent="0.2">
      <c r="A2418" s="561" t="s">
        <v>440</v>
      </c>
      <c r="B2418" s="562">
        <v>2021</v>
      </c>
      <c r="C2418" s="561" t="s">
        <v>692</v>
      </c>
      <c r="D2418" s="561" t="s">
        <v>2524</v>
      </c>
      <c r="E2418" s="561" t="s">
        <v>50</v>
      </c>
      <c r="F2418" s="563">
        <v>41077.919999999998</v>
      </c>
      <c r="G2418" s="564"/>
      <c r="H2418" s="561" t="s">
        <v>654</v>
      </c>
      <c r="I2418" s="565"/>
      <c r="J2418" s="565"/>
      <c r="K2418" s="563">
        <v>0</v>
      </c>
      <c r="L2418" s="566">
        <v>41077.919999999998</v>
      </c>
    </row>
    <row r="2419" spans="1:12" ht="22.5" x14ac:dyDescent="0.2">
      <c r="A2419" s="561" t="s">
        <v>440</v>
      </c>
      <c r="B2419" s="562">
        <v>2021</v>
      </c>
      <c r="C2419" s="561" t="s">
        <v>694</v>
      </c>
      <c r="D2419" s="561" t="s">
        <v>2525</v>
      </c>
      <c r="E2419" s="561" t="s">
        <v>696</v>
      </c>
      <c r="F2419" s="563">
        <v>0</v>
      </c>
      <c r="G2419" s="564"/>
      <c r="H2419" s="561" t="s">
        <v>654</v>
      </c>
      <c r="I2419" s="565"/>
      <c r="J2419" s="565"/>
      <c r="K2419" s="563">
        <v>0</v>
      </c>
      <c r="L2419" s="566">
        <v>0</v>
      </c>
    </row>
    <row r="2420" spans="1:12" ht="22.5" x14ac:dyDescent="0.2">
      <c r="A2420" s="561" t="s">
        <v>440</v>
      </c>
      <c r="B2420" s="562">
        <v>2021</v>
      </c>
      <c r="C2420" s="561" t="s">
        <v>697</v>
      </c>
      <c r="D2420" s="561" t="s">
        <v>2526</v>
      </c>
      <c r="E2420" s="561" t="s">
        <v>6</v>
      </c>
      <c r="F2420" s="563">
        <v>0</v>
      </c>
      <c r="G2420" s="564"/>
      <c r="H2420" s="561" t="s">
        <v>654</v>
      </c>
      <c r="I2420" s="565"/>
      <c r="J2420" s="565"/>
      <c r="K2420" s="563">
        <v>0</v>
      </c>
      <c r="L2420" s="566">
        <v>0</v>
      </c>
    </row>
    <row r="2421" spans="1:12" ht="33.75" x14ac:dyDescent="0.2">
      <c r="A2421" s="561" t="s">
        <v>440</v>
      </c>
      <c r="B2421" s="562">
        <v>2021</v>
      </c>
      <c r="C2421" s="561" t="s">
        <v>699</v>
      </c>
      <c r="D2421" s="561" t="s">
        <v>2527</v>
      </c>
      <c r="E2421" s="561" t="s">
        <v>701</v>
      </c>
      <c r="F2421" s="563">
        <v>0</v>
      </c>
      <c r="G2421" s="564"/>
      <c r="H2421" s="561" t="s">
        <v>654</v>
      </c>
      <c r="I2421" s="565"/>
      <c r="J2421" s="565"/>
      <c r="K2421" s="563">
        <v>0</v>
      </c>
      <c r="L2421" s="566">
        <v>0</v>
      </c>
    </row>
    <row r="2422" spans="1:12" ht="22.5" x14ac:dyDescent="0.2">
      <c r="A2422" s="561" t="s">
        <v>440</v>
      </c>
      <c r="B2422" s="562">
        <v>2021</v>
      </c>
      <c r="C2422" s="561" t="s">
        <v>702</v>
      </c>
      <c r="D2422" s="561" t="s">
        <v>2528</v>
      </c>
      <c r="E2422" s="561" t="s">
        <v>704</v>
      </c>
      <c r="F2422" s="563">
        <v>0</v>
      </c>
      <c r="G2422" s="564"/>
      <c r="H2422" s="561" t="s">
        <v>654</v>
      </c>
      <c r="I2422" s="565"/>
      <c r="J2422" s="565"/>
      <c r="K2422" s="563">
        <v>0</v>
      </c>
      <c r="L2422" s="566">
        <v>0</v>
      </c>
    </row>
    <row r="2423" spans="1:12" ht="33.75" x14ac:dyDescent="0.2">
      <c r="A2423" s="561" t="s">
        <v>440</v>
      </c>
      <c r="B2423" s="562">
        <v>2021</v>
      </c>
      <c r="C2423" s="561" t="s">
        <v>705</v>
      </c>
      <c r="D2423" s="561" t="s">
        <v>2529</v>
      </c>
      <c r="E2423" s="561" t="s">
        <v>1</v>
      </c>
      <c r="F2423" s="563">
        <v>-84162.87</v>
      </c>
      <c r="G2423" s="561" t="s">
        <v>654</v>
      </c>
      <c r="H2423" s="564"/>
      <c r="I2423" s="563">
        <v>-82853.8125</v>
      </c>
      <c r="J2423" s="563">
        <v>-1309.06005859375</v>
      </c>
      <c r="K2423" s="563">
        <v>-84162.8671875</v>
      </c>
      <c r="L2423" s="566">
        <v>-84162.87</v>
      </c>
    </row>
    <row r="2424" spans="1:12" ht="22.5" x14ac:dyDescent="0.2">
      <c r="A2424" s="561" t="s">
        <v>440</v>
      </c>
      <c r="B2424" s="562">
        <v>2021</v>
      </c>
      <c r="C2424" s="561" t="s">
        <v>705</v>
      </c>
      <c r="D2424" s="561" t="s">
        <v>2529</v>
      </c>
      <c r="E2424" s="561" t="s">
        <v>707</v>
      </c>
      <c r="F2424" s="563">
        <v>0</v>
      </c>
      <c r="G2424" s="564"/>
      <c r="H2424" s="564"/>
      <c r="I2424" s="565"/>
      <c r="J2424" s="565"/>
      <c r="K2424" s="563">
        <v>0</v>
      </c>
      <c r="L2424" s="566">
        <v>0</v>
      </c>
    </row>
    <row r="2425" spans="1:12" ht="22.5" x14ac:dyDescent="0.2">
      <c r="A2425" s="561" t="s">
        <v>440</v>
      </c>
      <c r="B2425" s="562">
        <v>2021</v>
      </c>
      <c r="C2425" s="561" t="s">
        <v>705</v>
      </c>
      <c r="D2425" s="561" t="s">
        <v>2529</v>
      </c>
      <c r="E2425" s="561" t="s">
        <v>708</v>
      </c>
      <c r="F2425" s="563">
        <v>0</v>
      </c>
      <c r="G2425" s="564"/>
      <c r="H2425" s="564"/>
      <c r="I2425" s="565"/>
      <c r="J2425" s="565"/>
      <c r="K2425" s="563">
        <v>0</v>
      </c>
      <c r="L2425" s="566">
        <v>0</v>
      </c>
    </row>
    <row r="2426" spans="1:12" ht="22.5" x14ac:dyDescent="0.2">
      <c r="A2426" s="561" t="s">
        <v>440</v>
      </c>
      <c r="B2426" s="562">
        <v>2021</v>
      </c>
      <c r="C2426" s="561" t="s">
        <v>705</v>
      </c>
      <c r="D2426" s="561" t="s">
        <v>2529</v>
      </c>
      <c r="E2426" s="561" t="s">
        <v>709</v>
      </c>
      <c r="F2426" s="563">
        <v>-248.95</v>
      </c>
      <c r="G2426" s="564"/>
      <c r="H2426" s="564"/>
      <c r="I2426" s="565"/>
      <c r="J2426" s="565"/>
      <c r="K2426" s="563">
        <v>0</v>
      </c>
      <c r="L2426" s="566">
        <v>-248.95</v>
      </c>
    </row>
    <row r="2427" spans="1:12" ht="22.5" x14ac:dyDescent="0.2">
      <c r="A2427" s="561" t="s">
        <v>440</v>
      </c>
      <c r="B2427" s="562">
        <v>2021</v>
      </c>
      <c r="C2427" s="561" t="s">
        <v>705</v>
      </c>
      <c r="D2427" s="561" t="s">
        <v>2529</v>
      </c>
      <c r="E2427" s="561" t="s">
        <v>710</v>
      </c>
      <c r="F2427" s="563">
        <v>-11809.17</v>
      </c>
      <c r="G2427" s="564"/>
      <c r="H2427" s="564"/>
      <c r="I2427" s="565"/>
      <c r="J2427" s="565"/>
      <c r="K2427" s="563">
        <v>0</v>
      </c>
      <c r="L2427" s="566">
        <v>-11809.17</v>
      </c>
    </row>
    <row r="2428" spans="1:12" ht="22.5" x14ac:dyDescent="0.2">
      <c r="A2428" s="561" t="s">
        <v>440</v>
      </c>
      <c r="B2428" s="562">
        <v>2021</v>
      </c>
      <c r="C2428" s="561" t="s">
        <v>711</v>
      </c>
      <c r="D2428" s="561" t="s">
        <v>2530</v>
      </c>
      <c r="E2428" s="561" t="s">
        <v>713</v>
      </c>
      <c r="F2428" s="563">
        <v>0</v>
      </c>
      <c r="G2428" s="564"/>
      <c r="H2428" s="561" t="s">
        <v>654</v>
      </c>
      <c r="I2428" s="565"/>
      <c r="J2428" s="565"/>
      <c r="K2428" s="563">
        <v>0</v>
      </c>
      <c r="L2428" s="566">
        <v>0</v>
      </c>
    </row>
    <row r="2429" spans="1:12" ht="33.75" x14ac:dyDescent="0.2">
      <c r="A2429" s="561" t="s">
        <v>440</v>
      </c>
      <c r="B2429" s="562">
        <v>2021</v>
      </c>
      <c r="C2429" s="561" t="s">
        <v>714</v>
      </c>
      <c r="D2429" s="561" t="s">
        <v>2531</v>
      </c>
      <c r="E2429" s="561" t="s">
        <v>2</v>
      </c>
      <c r="F2429" s="563">
        <v>-37117.449999999997</v>
      </c>
      <c r="G2429" s="561" t="s">
        <v>654</v>
      </c>
      <c r="H2429" s="564"/>
      <c r="I2429" s="563">
        <v>-34956.91015625</v>
      </c>
      <c r="J2429" s="563">
        <v>-2160.5400390625</v>
      </c>
      <c r="K2429" s="563">
        <v>-37117.44921875</v>
      </c>
      <c r="L2429" s="566">
        <v>-37117.449999999997</v>
      </c>
    </row>
    <row r="2430" spans="1:12" ht="33.75" x14ac:dyDescent="0.2">
      <c r="A2430" s="561" t="s">
        <v>440</v>
      </c>
      <c r="B2430" s="562">
        <v>2021</v>
      </c>
      <c r="C2430" s="561" t="s">
        <v>716</v>
      </c>
      <c r="D2430" s="561" t="s">
        <v>2532</v>
      </c>
      <c r="E2430" s="561" t="s">
        <v>3</v>
      </c>
      <c r="F2430" s="563">
        <v>33453.519999999997</v>
      </c>
      <c r="G2430" s="561" t="s">
        <v>654</v>
      </c>
      <c r="H2430" s="564"/>
      <c r="I2430" s="563">
        <v>34252.140625</v>
      </c>
      <c r="J2430" s="563">
        <v>-798.61999511718795</v>
      </c>
      <c r="K2430" s="563">
        <v>33453.51953125</v>
      </c>
      <c r="L2430" s="566">
        <v>33453.519999999997</v>
      </c>
    </row>
    <row r="2431" spans="1:12" ht="33.75" x14ac:dyDescent="0.2">
      <c r="A2431" s="561" t="s">
        <v>440</v>
      </c>
      <c r="B2431" s="562">
        <v>2021</v>
      </c>
      <c r="C2431" s="561" t="s">
        <v>718</v>
      </c>
      <c r="D2431" s="561" t="s">
        <v>2533</v>
      </c>
      <c r="E2431" s="561" t="s">
        <v>38</v>
      </c>
      <c r="F2431" s="563">
        <v>105952.13</v>
      </c>
      <c r="G2431" s="561" t="s">
        <v>654</v>
      </c>
      <c r="H2431" s="564"/>
      <c r="I2431" s="563">
        <v>102257.1015625</v>
      </c>
      <c r="J2431" s="563">
        <v>3695.03002929688</v>
      </c>
      <c r="K2431" s="563">
        <v>105952.1328125</v>
      </c>
      <c r="L2431" s="566">
        <v>105952.13</v>
      </c>
    </row>
    <row r="2432" spans="1:12" ht="22.5" x14ac:dyDescent="0.2">
      <c r="A2432" s="561" t="s">
        <v>440</v>
      </c>
      <c r="B2432" s="562">
        <v>2021</v>
      </c>
      <c r="C2432" s="561" t="s">
        <v>720</v>
      </c>
      <c r="D2432" s="561" t="s">
        <v>2534</v>
      </c>
      <c r="E2432" s="561" t="s">
        <v>66</v>
      </c>
      <c r="F2432" s="563">
        <v>128619.75</v>
      </c>
      <c r="G2432" s="561" t="s">
        <v>654</v>
      </c>
      <c r="H2432" s="564"/>
      <c r="I2432" s="563">
        <v>123976.2734375</v>
      </c>
      <c r="J2432" s="563">
        <v>4643.47998046875</v>
      </c>
      <c r="K2432" s="563">
        <v>128619.75</v>
      </c>
      <c r="L2432" s="566">
        <v>128619.75</v>
      </c>
    </row>
    <row r="2433" spans="1:12" ht="45" x14ac:dyDescent="0.2">
      <c r="A2433" s="561" t="s">
        <v>440</v>
      </c>
      <c r="B2433" s="562">
        <v>2021</v>
      </c>
      <c r="C2433" s="561" t="s">
        <v>722</v>
      </c>
      <c r="D2433" s="561" t="s">
        <v>2535</v>
      </c>
      <c r="E2433" s="561" t="s">
        <v>724</v>
      </c>
      <c r="F2433" s="563">
        <v>560.77</v>
      </c>
      <c r="G2433" s="564"/>
      <c r="H2433" s="561" t="s">
        <v>654</v>
      </c>
      <c r="I2433" s="565"/>
      <c r="J2433" s="565"/>
      <c r="K2433" s="563">
        <v>0</v>
      </c>
      <c r="L2433" s="566">
        <v>560.77</v>
      </c>
    </row>
    <row r="2434" spans="1:12" ht="45" x14ac:dyDescent="0.2">
      <c r="A2434" s="561" t="s">
        <v>440</v>
      </c>
      <c r="B2434" s="562">
        <v>2021</v>
      </c>
      <c r="C2434" s="561" t="s">
        <v>725</v>
      </c>
      <c r="D2434" s="561" t="s">
        <v>2536</v>
      </c>
      <c r="E2434" s="561" t="s">
        <v>3024</v>
      </c>
      <c r="F2434" s="563">
        <v>0</v>
      </c>
      <c r="G2434" s="561" t="s">
        <v>654</v>
      </c>
      <c r="H2434" s="564"/>
      <c r="I2434" s="563">
        <v>-9466.48046875</v>
      </c>
      <c r="J2434" s="563">
        <v>12919.919921875</v>
      </c>
      <c r="K2434" s="563">
        <v>3453.43994140625</v>
      </c>
      <c r="L2434" s="566">
        <v>3453.44</v>
      </c>
    </row>
    <row r="2435" spans="1:12" ht="45" x14ac:dyDescent="0.2">
      <c r="A2435" s="561" t="s">
        <v>440</v>
      </c>
      <c r="B2435" s="562">
        <v>2021</v>
      </c>
      <c r="C2435" s="561" t="s">
        <v>725</v>
      </c>
      <c r="D2435" s="561" t="s">
        <v>2536</v>
      </c>
      <c r="E2435" s="561" t="s">
        <v>3066</v>
      </c>
      <c r="F2435" s="563">
        <v>0</v>
      </c>
      <c r="G2435" s="561" t="s">
        <v>654</v>
      </c>
      <c r="H2435" s="564"/>
      <c r="I2435" s="563">
        <v>-268944.09375</v>
      </c>
      <c r="J2435" s="563">
        <v>-14662.6396484375</v>
      </c>
      <c r="K2435" s="563">
        <v>-283606.71875</v>
      </c>
      <c r="L2435" s="566">
        <v>-283606.71999999997</v>
      </c>
    </row>
    <row r="2436" spans="1:12" ht="45" x14ac:dyDescent="0.2">
      <c r="A2436" s="561" t="s">
        <v>440</v>
      </c>
      <c r="B2436" s="562">
        <v>2021</v>
      </c>
      <c r="C2436" s="561" t="s">
        <v>725</v>
      </c>
      <c r="D2436" s="561" t="s">
        <v>2537</v>
      </c>
      <c r="E2436" s="561" t="s">
        <v>728</v>
      </c>
      <c r="F2436" s="563">
        <v>0</v>
      </c>
      <c r="G2436" s="561" t="s">
        <v>654</v>
      </c>
      <c r="H2436" s="564"/>
      <c r="I2436" s="565"/>
      <c r="J2436" s="565"/>
      <c r="K2436" s="563">
        <v>0</v>
      </c>
      <c r="L2436" s="566">
        <v>0</v>
      </c>
    </row>
    <row r="2437" spans="1:12" ht="45" x14ac:dyDescent="0.2">
      <c r="A2437" s="561" t="s">
        <v>440</v>
      </c>
      <c r="B2437" s="562">
        <v>2021</v>
      </c>
      <c r="C2437" s="561" t="s">
        <v>725</v>
      </c>
      <c r="D2437" s="561" t="s">
        <v>2538</v>
      </c>
      <c r="E2437" s="561" t="s">
        <v>55</v>
      </c>
      <c r="F2437" s="563">
        <v>0</v>
      </c>
      <c r="G2437" s="561" t="s">
        <v>654</v>
      </c>
      <c r="H2437" s="564"/>
      <c r="I2437" s="565"/>
      <c r="J2437" s="565"/>
      <c r="K2437" s="563">
        <v>0</v>
      </c>
      <c r="L2437" s="566">
        <v>0</v>
      </c>
    </row>
    <row r="2438" spans="1:12" ht="45" x14ac:dyDescent="0.2">
      <c r="A2438" s="561" t="s">
        <v>440</v>
      </c>
      <c r="B2438" s="562">
        <v>2021</v>
      </c>
      <c r="C2438" s="561" t="s">
        <v>725</v>
      </c>
      <c r="D2438" s="561" t="s">
        <v>2539</v>
      </c>
      <c r="E2438" s="561" t="s">
        <v>56</v>
      </c>
      <c r="F2438" s="563">
        <v>0</v>
      </c>
      <c r="G2438" s="561" t="s">
        <v>654</v>
      </c>
      <c r="H2438" s="564"/>
      <c r="I2438" s="565"/>
      <c r="J2438" s="565"/>
      <c r="K2438" s="563">
        <v>0</v>
      </c>
      <c r="L2438" s="566">
        <v>0</v>
      </c>
    </row>
    <row r="2439" spans="1:12" ht="45" x14ac:dyDescent="0.2">
      <c r="A2439" s="561" t="s">
        <v>440</v>
      </c>
      <c r="B2439" s="562">
        <v>2021</v>
      </c>
      <c r="C2439" s="561" t="s">
        <v>725</v>
      </c>
      <c r="D2439" s="561" t="s">
        <v>2540</v>
      </c>
      <c r="E2439" s="561" t="s">
        <v>732</v>
      </c>
      <c r="F2439" s="563">
        <v>0</v>
      </c>
      <c r="G2439" s="561" t="s">
        <v>654</v>
      </c>
      <c r="H2439" s="564"/>
      <c r="I2439" s="565"/>
      <c r="J2439" s="565"/>
      <c r="K2439" s="563">
        <v>0</v>
      </c>
      <c r="L2439" s="566">
        <v>0</v>
      </c>
    </row>
    <row r="2440" spans="1:12" ht="45" x14ac:dyDescent="0.2">
      <c r="A2440" s="561" t="s">
        <v>440</v>
      </c>
      <c r="B2440" s="562">
        <v>2021</v>
      </c>
      <c r="C2440" s="561" t="s">
        <v>725</v>
      </c>
      <c r="D2440" s="561" t="s">
        <v>2541</v>
      </c>
      <c r="E2440" s="561" t="s">
        <v>734</v>
      </c>
      <c r="F2440" s="563">
        <v>0</v>
      </c>
      <c r="G2440" s="561" t="s">
        <v>654</v>
      </c>
      <c r="H2440" s="564"/>
      <c r="I2440" s="565"/>
      <c r="J2440" s="565"/>
      <c r="K2440" s="563">
        <v>0</v>
      </c>
      <c r="L2440" s="566">
        <v>0</v>
      </c>
    </row>
    <row r="2441" spans="1:12" ht="45" x14ac:dyDescent="0.2">
      <c r="A2441" s="561" t="s">
        <v>440</v>
      </c>
      <c r="B2441" s="562">
        <v>2021</v>
      </c>
      <c r="C2441" s="561" t="s">
        <v>725</v>
      </c>
      <c r="D2441" s="561" t="s">
        <v>2542</v>
      </c>
      <c r="E2441" s="561" t="s">
        <v>142</v>
      </c>
      <c r="F2441" s="563">
        <v>0</v>
      </c>
      <c r="G2441" s="561" t="s">
        <v>654</v>
      </c>
      <c r="H2441" s="564"/>
      <c r="I2441" s="565"/>
      <c r="J2441" s="565"/>
      <c r="K2441" s="563">
        <v>0</v>
      </c>
      <c r="L2441" s="566">
        <v>0</v>
      </c>
    </row>
    <row r="2442" spans="1:12" ht="45" x14ac:dyDescent="0.2">
      <c r="A2442" s="561" t="s">
        <v>440</v>
      </c>
      <c r="B2442" s="562">
        <v>2021</v>
      </c>
      <c r="C2442" s="561" t="s">
        <v>725</v>
      </c>
      <c r="D2442" s="561" t="s">
        <v>2543</v>
      </c>
      <c r="E2442" s="561" t="s">
        <v>143</v>
      </c>
      <c r="F2442" s="563">
        <v>0</v>
      </c>
      <c r="G2442" s="561" t="s">
        <v>654</v>
      </c>
      <c r="H2442" s="564"/>
      <c r="I2442" s="565"/>
      <c r="J2442" s="565"/>
      <c r="K2442" s="563">
        <v>0</v>
      </c>
      <c r="L2442" s="566">
        <v>0</v>
      </c>
    </row>
    <row r="2443" spans="1:12" ht="45" x14ac:dyDescent="0.2">
      <c r="A2443" s="561" t="s">
        <v>440</v>
      </c>
      <c r="B2443" s="562">
        <v>2021</v>
      </c>
      <c r="C2443" s="561" t="s">
        <v>725</v>
      </c>
      <c r="D2443" s="561" t="s">
        <v>2544</v>
      </c>
      <c r="E2443" s="561" t="s">
        <v>182</v>
      </c>
      <c r="F2443" s="563">
        <v>0</v>
      </c>
      <c r="G2443" s="561" t="s">
        <v>654</v>
      </c>
      <c r="H2443" s="564"/>
      <c r="I2443" s="565"/>
      <c r="J2443" s="565"/>
      <c r="K2443" s="563">
        <v>0</v>
      </c>
      <c r="L2443" s="566">
        <v>0</v>
      </c>
    </row>
    <row r="2444" spans="1:12" ht="45" x14ac:dyDescent="0.2">
      <c r="A2444" s="561" t="s">
        <v>440</v>
      </c>
      <c r="B2444" s="562">
        <v>2021</v>
      </c>
      <c r="C2444" s="561" t="s">
        <v>725</v>
      </c>
      <c r="D2444" s="561" t="s">
        <v>2545</v>
      </c>
      <c r="E2444" s="561" t="s">
        <v>394</v>
      </c>
      <c r="F2444" s="563">
        <v>0</v>
      </c>
      <c r="G2444" s="561" t="s">
        <v>654</v>
      </c>
      <c r="H2444" s="564"/>
      <c r="I2444" s="565"/>
      <c r="J2444" s="565"/>
      <c r="K2444" s="563">
        <v>0</v>
      </c>
      <c r="L2444" s="566">
        <v>0</v>
      </c>
    </row>
    <row r="2445" spans="1:12" ht="45" x14ac:dyDescent="0.2">
      <c r="A2445" s="561" t="s">
        <v>440</v>
      </c>
      <c r="B2445" s="562">
        <v>2021</v>
      </c>
      <c r="C2445" s="561" t="s">
        <v>725</v>
      </c>
      <c r="D2445" s="561" t="s">
        <v>2546</v>
      </c>
      <c r="E2445" s="561" t="s">
        <v>425</v>
      </c>
      <c r="F2445" s="563">
        <v>0</v>
      </c>
      <c r="G2445" s="561" t="s">
        <v>654</v>
      </c>
      <c r="H2445" s="564"/>
      <c r="I2445" s="563">
        <v>9096.9501953125</v>
      </c>
      <c r="J2445" s="563">
        <v>-4992.39990234375</v>
      </c>
      <c r="K2445" s="563">
        <v>4104.5498046875</v>
      </c>
      <c r="L2445" s="566">
        <v>4104.55</v>
      </c>
    </row>
    <row r="2446" spans="1:12" ht="45" x14ac:dyDescent="0.2">
      <c r="A2446" s="561" t="s">
        <v>440</v>
      </c>
      <c r="B2446" s="562">
        <v>2021</v>
      </c>
      <c r="C2446" s="561" t="s">
        <v>725</v>
      </c>
      <c r="D2446" s="561" t="s">
        <v>3292</v>
      </c>
      <c r="E2446" s="561" t="s">
        <v>443</v>
      </c>
      <c r="F2446" s="563">
        <v>0</v>
      </c>
      <c r="G2446" s="561" t="s">
        <v>654</v>
      </c>
      <c r="H2446" s="564"/>
      <c r="I2446" s="563">
        <v>2111.6201171875</v>
      </c>
      <c r="J2446" s="563">
        <v>2339.98999023438</v>
      </c>
      <c r="K2446" s="563">
        <v>4451.60986328125</v>
      </c>
      <c r="L2446" s="566">
        <v>4451.6099999999997</v>
      </c>
    </row>
    <row r="2447" spans="1:12" ht="45" x14ac:dyDescent="0.2">
      <c r="A2447" s="561" t="s">
        <v>440</v>
      </c>
      <c r="B2447" s="562">
        <v>2021</v>
      </c>
      <c r="C2447" s="561" t="s">
        <v>725</v>
      </c>
      <c r="D2447" s="561" t="s">
        <v>2547</v>
      </c>
      <c r="E2447" s="561" t="s">
        <v>741</v>
      </c>
      <c r="F2447" s="563">
        <v>-271597.12</v>
      </c>
      <c r="G2447" s="564"/>
      <c r="H2447" s="564"/>
      <c r="I2447" s="565"/>
      <c r="J2447" s="565"/>
      <c r="K2447" s="563">
        <v>0</v>
      </c>
      <c r="L2447" s="566">
        <v>-271597.12</v>
      </c>
    </row>
    <row r="2448" spans="1:12" ht="22.5" x14ac:dyDescent="0.2">
      <c r="A2448" s="561" t="s">
        <v>440</v>
      </c>
      <c r="B2448" s="562">
        <v>2021</v>
      </c>
      <c r="C2448" s="561" t="s">
        <v>742</v>
      </c>
      <c r="D2448" s="561" t="s">
        <v>2548</v>
      </c>
      <c r="E2448" s="561" t="s">
        <v>7</v>
      </c>
      <c r="F2448" s="563">
        <v>0</v>
      </c>
      <c r="G2448" s="564"/>
      <c r="H2448" s="561" t="s">
        <v>654</v>
      </c>
      <c r="I2448" s="565"/>
      <c r="J2448" s="565"/>
      <c r="K2448" s="563">
        <v>0</v>
      </c>
      <c r="L2448" s="566">
        <v>0</v>
      </c>
    </row>
    <row r="2449" spans="1:12" ht="22.5" x14ac:dyDescent="0.2">
      <c r="A2449" s="561" t="s">
        <v>115</v>
      </c>
      <c r="B2449" s="562">
        <v>2021</v>
      </c>
      <c r="C2449" s="561" t="s">
        <v>651</v>
      </c>
      <c r="D2449" s="561" t="s">
        <v>2549</v>
      </c>
      <c r="E2449" s="561" t="s">
        <v>653</v>
      </c>
      <c r="F2449" s="563">
        <v>-83765.759999999995</v>
      </c>
      <c r="G2449" s="564"/>
      <c r="H2449" s="561" t="s">
        <v>654</v>
      </c>
      <c r="I2449" s="565"/>
      <c r="J2449" s="565"/>
      <c r="K2449" s="563">
        <v>0</v>
      </c>
      <c r="L2449" s="566">
        <v>-83765.759999999995</v>
      </c>
    </row>
    <row r="2450" spans="1:12" ht="15" x14ac:dyDescent="0.2">
      <c r="A2450" s="561" t="s">
        <v>115</v>
      </c>
      <c r="B2450" s="562">
        <v>2021</v>
      </c>
      <c r="C2450" s="561" t="s">
        <v>655</v>
      </c>
      <c r="D2450" s="561" t="s">
        <v>2550</v>
      </c>
      <c r="E2450" s="561" t="s">
        <v>657</v>
      </c>
      <c r="F2450" s="563">
        <v>-6354.71</v>
      </c>
      <c r="G2450" s="564"/>
      <c r="H2450" s="561" t="s">
        <v>654</v>
      </c>
      <c r="I2450" s="565"/>
      <c r="J2450" s="565"/>
      <c r="K2450" s="563">
        <v>0</v>
      </c>
      <c r="L2450" s="566">
        <v>-6354.71</v>
      </c>
    </row>
    <row r="2451" spans="1:12" ht="56.25" x14ac:dyDescent="0.2">
      <c r="A2451" s="561" t="s">
        <v>115</v>
      </c>
      <c r="B2451" s="562">
        <v>2021</v>
      </c>
      <c r="C2451" s="561" t="s">
        <v>658</v>
      </c>
      <c r="D2451" s="561" t="s">
        <v>2551</v>
      </c>
      <c r="E2451" s="561" t="s">
        <v>447</v>
      </c>
      <c r="F2451" s="563">
        <v>0</v>
      </c>
      <c r="G2451" s="564"/>
      <c r="H2451" s="561" t="s">
        <v>654</v>
      </c>
      <c r="I2451" s="565"/>
      <c r="J2451" s="565"/>
      <c r="K2451" s="563">
        <v>0</v>
      </c>
      <c r="L2451" s="566">
        <v>0</v>
      </c>
    </row>
    <row r="2452" spans="1:12" ht="22.5" x14ac:dyDescent="0.2">
      <c r="A2452" s="561" t="s">
        <v>115</v>
      </c>
      <c r="B2452" s="562">
        <v>2021</v>
      </c>
      <c r="C2452" s="561" t="s">
        <v>660</v>
      </c>
      <c r="D2452" s="561" t="s">
        <v>2552</v>
      </c>
      <c r="E2452" s="561" t="s">
        <v>662</v>
      </c>
      <c r="F2452" s="563">
        <v>0</v>
      </c>
      <c r="G2452" s="564"/>
      <c r="H2452" s="561" t="s">
        <v>654</v>
      </c>
      <c r="I2452" s="565"/>
      <c r="J2452" s="565"/>
      <c r="K2452" s="563">
        <v>0</v>
      </c>
      <c r="L2452" s="566">
        <v>0</v>
      </c>
    </row>
    <row r="2453" spans="1:12" ht="33.75" x14ac:dyDescent="0.2">
      <c r="A2453" s="561" t="s">
        <v>115</v>
      </c>
      <c r="B2453" s="562">
        <v>2021</v>
      </c>
      <c r="C2453" s="561" t="s">
        <v>663</v>
      </c>
      <c r="D2453" s="561" t="s">
        <v>2553</v>
      </c>
      <c r="E2453" s="561" t="s">
        <v>665</v>
      </c>
      <c r="F2453" s="563">
        <v>0</v>
      </c>
      <c r="G2453" s="564"/>
      <c r="H2453" s="561" t="s">
        <v>654</v>
      </c>
      <c r="I2453" s="565"/>
      <c r="J2453" s="565"/>
      <c r="K2453" s="563">
        <v>0</v>
      </c>
      <c r="L2453" s="566">
        <v>0</v>
      </c>
    </row>
    <row r="2454" spans="1:12" ht="33.75" x14ac:dyDescent="0.2">
      <c r="A2454" s="561" t="s">
        <v>115</v>
      </c>
      <c r="B2454" s="562">
        <v>2021</v>
      </c>
      <c r="C2454" s="561" t="s">
        <v>666</v>
      </c>
      <c r="D2454" s="561" t="s">
        <v>2554</v>
      </c>
      <c r="E2454" s="561" t="s">
        <v>668</v>
      </c>
      <c r="F2454" s="563">
        <v>0</v>
      </c>
      <c r="G2454" s="564"/>
      <c r="H2454" s="561" t="s">
        <v>654</v>
      </c>
      <c r="I2454" s="565"/>
      <c r="J2454" s="565"/>
      <c r="K2454" s="563">
        <v>0</v>
      </c>
      <c r="L2454" s="566">
        <v>0</v>
      </c>
    </row>
    <row r="2455" spans="1:12" ht="56.25" x14ac:dyDescent="0.2">
      <c r="A2455" s="561" t="s">
        <v>115</v>
      </c>
      <c r="B2455" s="562">
        <v>2021</v>
      </c>
      <c r="C2455" s="561" t="s">
        <v>669</v>
      </c>
      <c r="D2455" s="561" t="s">
        <v>2555</v>
      </c>
      <c r="E2455" s="561" t="s">
        <v>671</v>
      </c>
      <c r="F2455" s="563">
        <v>0</v>
      </c>
      <c r="G2455" s="564"/>
      <c r="H2455" s="561" t="s">
        <v>654</v>
      </c>
      <c r="I2455" s="565"/>
      <c r="J2455" s="565"/>
      <c r="K2455" s="563">
        <v>0</v>
      </c>
      <c r="L2455" s="566">
        <v>0</v>
      </c>
    </row>
    <row r="2456" spans="1:12" ht="22.5" x14ac:dyDescent="0.2">
      <c r="A2456" s="561" t="s">
        <v>115</v>
      </c>
      <c r="B2456" s="562">
        <v>2021</v>
      </c>
      <c r="C2456" s="561" t="s">
        <v>672</v>
      </c>
      <c r="D2456" s="561" t="s">
        <v>2556</v>
      </c>
      <c r="E2456" s="561" t="s">
        <v>12</v>
      </c>
      <c r="F2456" s="563">
        <v>0</v>
      </c>
      <c r="G2456" s="564"/>
      <c r="H2456" s="561" t="s">
        <v>654</v>
      </c>
      <c r="I2456" s="565"/>
      <c r="J2456" s="565"/>
      <c r="K2456" s="563">
        <v>0</v>
      </c>
      <c r="L2456" s="566">
        <v>0</v>
      </c>
    </row>
    <row r="2457" spans="1:12" ht="22.5" x14ac:dyDescent="0.2">
      <c r="A2457" s="561" t="s">
        <v>115</v>
      </c>
      <c r="B2457" s="562">
        <v>2021</v>
      </c>
      <c r="C2457" s="561" t="s">
        <v>674</v>
      </c>
      <c r="D2457" s="561" t="s">
        <v>2557</v>
      </c>
      <c r="E2457" s="561" t="s">
        <v>13</v>
      </c>
      <c r="F2457" s="563">
        <v>0</v>
      </c>
      <c r="G2457" s="564"/>
      <c r="H2457" s="561" t="s">
        <v>654</v>
      </c>
      <c r="I2457" s="565"/>
      <c r="J2457" s="565"/>
      <c r="K2457" s="563">
        <v>0</v>
      </c>
      <c r="L2457" s="566">
        <v>0</v>
      </c>
    </row>
    <row r="2458" spans="1:12" ht="33.75" x14ac:dyDescent="0.2">
      <c r="A2458" s="561" t="s">
        <v>115</v>
      </c>
      <c r="B2458" s="562">
        <v>2021</v>
      </c>
      <c r="C2458" s="561" t="s">
        <v>676</v>
      </c>
      <c r="D2458" s="561" t="s">
        <v>2558</v>
      </c>
      <c r="E2458" s="561" t="s">
        <v>15</v>
      </c>
      <c r="F2458" s="563">
        <v>0</v>
      </c>
      <c r="G2458" s="564"/>
      <c r="H2458" s="561" t="s">
        <v>654</v>
      </c>
      <c r="I2458" s="565"/>
      <c r="J2458" s="565"/>
      <c r="K2458" s="563">
        <v>0</v>
      </c>
      <c r="L2458" s="566">
        <v>0</v>
      </c>
    </row>
    <row r="2459" spans="1:12" ht="15" x14ac:dyDescent="0.2">
      <c r="A2459" s="561" t="s">
        <v>115</v>
      </c>
      <c r="B2459" s="562">
        <v>2021</v>
      </c>
      <c r="C2459" s="561" t="s">
        <v>678</v>
      </c>
      <c r="D2459" s="561" t="s">
        <v>2559</v>
      </c>
      <c r="E2459" s="561" t="s">
        <v>680</v>
      </c>
      <c r="F2459" s="563">
        <v>-51.78</v>
      </c>
      <c r="G2459" s="564"/>
      <c r="H2459" s="561" t="s">
        <v>654</v>
      </c>
      <c r="I2459" s="565"/>
      <c r="J2459" s="565"/>
      <c r="K2459" s="563">
        <v>0</v>
      </c>
      <c r="L2459" s="566">
        <v>-51.78</v>
      </c>
    </row>
    <row r="2460" spans="1:12" ht="15" x14ac:dyDescent="0.2">
      <c r="A2460" s="561" t="s">
        <v>115</v>
      </c>
      <c r="B2460" s="562">
        <v>2021</v>
      </c>
      <c r="C2460" s="561" t="s">
        <v>681</v>
      </c>
      <c r="D2460" s="561" t="s">
        <v>2560</v>
      </c>
      <c r="E2460" s="561" t="s">
        <v>23</v>
      </c>
      <c r="F2460" s="563">
        <v>-24851.71</v>
      </c>
      <c r="G2460" s="561" t="s">
        <v>654</v>
      </c>
      <c r="H2460" s="564"/>
      <c r="I2460" s="563">
        <v>-24660.640625</v>
      </c>
      <c r="J2460" s="563">
        <v>-191.07000732421901</v>
      </c>
      <c r="K2460" s="563">
        <v>-24851.7109375</v>
      </c>
      <c r="L2460" s="566">
        <v>-24851.71</v>
      </c>
    </row>
    <row r="2461" spans="1:12" ht="33.75" x14ac:dyDescent="0.2">
      <c r="A2461" s="561" t="s">
        <v>115</v>
      </c>
      <c r="B2461" s="562">
        <v>2021</v>
      </c>
      <c r="C2461" s="561" t="s">
        <v>683</v>
      </c>
      <c r="D2461" s="561" t="s">
        <v>2561</v>
      </c>
      <c r="E2461" s="561" t="s">
        <v>131</v>
      </c>
      <c r="F2461" s="563">
        <v>-233.7</v>
      </c>
      <c r="G2461" s="561" t="s">
        <v>654</v>
      </c>
      <c r="H2461" s="564"/>
      <c r="I2461" s="563">
        <v>-222.14999389648401</v>
      </c>
      <c r="J2461" s="563">
        <v>-11.550000190734901</v>
      </c>
      <c r="K2461" s="563">
        <v>-233.69999694824199</v>
      </c>
      <c r="L2461" s="566">
        <v>-233.7</v>
      </c>
    </row>
    <row r="2462" spans="1:12" ht="33.75" x14ac:dyDescent="0.2">
      <c r="A2462" s="561" t="s">
        <v>115</v>
      </c>
      <c r="B2462" s="562">
        <v>2021</v>
      </c>
      <c r="C2462" s="561" t="s">
        <v>685</v>
      </c>
      <c r="D2462" s="561" t="s">
        <v>2562</v>
      </c>
      <c r="E2462" s="561" t="s">
        <v>687</v>
      </c>
      <c r="F2462" s="563">
        <v>0</v>
      </c>
      <c r="G2462" s="564"/>
      <c r="H2462" s="561" t="s">
        <v>654</v>
      </c>
      <c r="I2462" s="565"/>
      <c r="J2462" s="565"/>
      <c r="K2462" s="563">
        <v>0</v>
      </c>
      <c r="L2462" s="566">
        <v>0</v>
      </c>
    </row>
    <row r="2463" spans="1:12" ht="33.75" x14ac:dyDescent="0.2">
      <c r="A2463" s="561" t="s">
        <v>115</v>
      </c>
      <c r="B2463" s="562">
        <v>2021</v>
      </c>
      <c r="C2463" s="561" t="s">
        <v>685</v>
      </c>
      <c r="D2463" s="561" t="s">
        <v>2562</v>
      </c>
      <c r="E2463" s="561" t="s">
        <v>688</v>
      </c>
      <c r="F2463" s="563">
        <v>0</v>
      </c>
      <c r="G2463" s="564"/>
      <c r="H2463" s="561" t="s">
        <v>654</v>
      </c>
      <c r="I2463" s="565"/>
      <c r="J2463" s="565"/>
      <c r="K2463" s="563">
        <v>0</v>
      </c>
      <c r="L2463" s="566">
        <v>0</v>
      </c>
    </row>
    <row r="2464" spans="1:12" ht="22.5" x14ac:dyDescent="0.2">
      <c r="A2464" s="561" t="s">
        <v>115</v>
      </c>
      <c r="B2464" s="562">
        <v>2021</v>
      </c>
      <c r="C2464" s="561" t="s">
        <v>689</v>
      </c>
      <c r="D2464" s="561" t="s">
        <v>2563</v>
      </c>
      <c r="E2464" s="561" t="s">
        <v>691</v>
      </c>
      <c r="F2464" s="563">
        <v>0</v>
      </c>
      <c r="G2464" s="564"/>
      <c r="H2464" s="561" t="s">
        <v>654</v>
      </c>
      <c r="I2464" s="565"/>
      <c r="J2464" s="565"/>
      <c r="K2464" s="563">
        <v>0</v>
      </c>
      <c r="L2464" s="566">
        <v>0</v>
      </c>
    </row>
    <row r="2465" spans="1:12" ht="22.5" x14ac:dyDescent="0.2">
      <c r="A2465" s="561" t="s">
        <v>115</v>
      </c>
      <c r="B2465" s="562">
        <v>2021</v>
      </c>
      <c r="C2465" s="561" t="s">
        <v>692</v>
      </c>
      <c r="D2465" s="561" t="s">
        <v>2564</v>
      </c>
      <c r="E2465" s="561" t="s">
        <v>50</v>
      </c>
      <c r="F2465" s="563">
        <v>16603</v>
      </c>
      <c r="G2465" s="564"/>
      <c r="H2465" s="561" t="s">
        <v>654</v>
      </c>
      <c r="I2465" s="565"/>
      <c r="J2465" s="565"/>
      <c r="K2465" s="563">
        <v>0</v>
      </c>
      <c r="L2465" s="566">
        <v>16603</v>
      </c>
    </row>
    <row r="2466" spans="1:12" ht="22.5" x14ac:dyDescent="0.2">
      <c r="A2466" s="561" t="s">
        <v>115</v>
      </c>
      <c r="B2466" s="562">
        <v>2021</v>
      </c>
      <c r="C2466" s="561" t="s">
        <v>694</v>
      </c>
      <c r="D2466" s="561" t="s">
        <v>2565</v>
      </c>
      <c r="E2466" s="561" t="s">
        <v>696</v>
      </c>
      <c r="F2466" s="563">
        <v>0</v>
      </c>
      <c r="G2466" s="564"/>
      <c r="H2466" s="561" t="s">
        <v>654</v>
      </c>
      <c r="I2466" s="565"/>
      <c r="J2466" s="565"/>
      <c r="K2466" s="563">
        <v>0</v>
      </c>
      <c r="L2466" s="566">
        <v>0</v>
      </c>
    </row>
    <row r="2467" spans="1:12" ht="22.5" x14ac:dyDescent="0.2">
      <c r="A2467" s="561" t="s">
        <v>115</v>
      </c>
      <c r="B2467" s="562">
        <v>2021</v>
      </c>
      <c r="C2467" s="561" t="s">
        <v>697</v>
      </c>
      <c r="D2467" s="561" t="s">
        <v>2566</v>
      </c>
      <c r="E2467" s="561" t="s">
        <v>6</v>
      </c>
      <c r="F2467" s="563">
        <v>0</v>
      </c>
      <c r="G2467" s="564"/>
      <c r="H2467" s="561" t="s">
        <v>654</v>
      </c>
      <c r="I2467" s="565"/>
      <c r="J2467" s="565"/>
      <c r="K2467" s="563">
        <v>0</v>
      </c>
      <c r="L2467" s="566">
        <v>0</v>
      </c>
    </row>
    <row r="2468" spans="1:12" ht="33.75" x14ac:dyDescent="0.2">
      <c r="A2468" s="561" t="s">
        <v>115</v>
      </c>
      <c r="B2468" s="562">
        <v>2021</v>
      </c>
      <c r="C2468" s="561" t="s">
        <v>699</v>
      </c>
      <c r="D2468" s="561" t="s">
        <v>2567</v>
      </c>
      <c r="E2468" s="561" t="s">
        <v>701</v>
      </c>
      <c r="F2468" s="563">
        <v>29133.75</v>
      </c>
      <c r="G2468" s="564"/>
      <c r="H2468" s="561" t="s">
        <v>654</v>
      </c>
      <c r="I2468" s="565"/>
      <c r="J2468" s="565"/>
      <c r="K2468" s="563">
        <v>0</v>
      </c>
      <c r="L2468" s="566">
        <v>29133.75</v>
      </c>
    </row>
    <row r="2469" spans="1:12" ht="22.5" x14ac:dyDescent="0.2">
      <c r="A2469" s="561" t="s">
        <v>115</v>
      </c>
      <c r="B2469" s="562">
        <v>2021</v>
      </c>
      <c r="C2469" s="561" t="s">
        <v>702</v>
      </c>
      <c r="D2469" s="561" t="s">
        <v>2568</v>
      </c>
      <c r="E2469" s="561" t="s">
        <v>704</v>
      </c>
      <c r="F2469" s="563">
        <v>0</v>
      </c>
      <c r="G2469" s="564"/>
      <c r="H2469" s="561" t="s">
        <v>654</v>
      </c>
      <c r="I2469" s="565"/>
      <c r="J2469" s="565"/>
      <c r="K2469" s="563">
        <v>0</v>
      </c>
      <c r="L2469" s="566">
        <v>0</v>
      </c>
    </row>
    <row r="2470" spans="1:12" ht="33.75" x14ac:dyDescent="0.2">
      <c r="A2470" s="561" t="s">
        <v>115</v>
      </c>
      <c r="B2470" s="562">
        <v>2021</v>
      </c>
      <c r="C2470" s="561" t="s">
        <v>705</v>
      </c>
      <c r="D2470" s="561" t="s">
        <v>2569</v>
      </c>
      <c r="E2470" s="561" t="s">
        <v>1</v>
      </c>
      <c r="F2470" s="563">
        <v>-6639.83</v>
      </c>
      <c r="G2470" s="561" t="s">
        <v>654</v>
      </c>
      <c r="H2470" s="564"/>
      <c r="I2470" s="563">
        <v>-6311.93017578125</v>
      </c>
      <c r="J2470" s="563">
        <v>-327.89999389648398</v>
      </c>
      <c r="K2470" s="563">
        <v>-6639.830078125</v>
      </c>
      <c r="L2470" s="566">
        <v>-6639.83</v>
      </c>
    </row>
    <row r="2471" spans="1:12" ht="22.5" x14ac:dyDescent="0.2">
      <c r="A2471" s="561" t="s">
        <v>115</v>
      </c>
      <c r="B2471" s="562">
        <v>2021</v>
      </c>
      <c r="C2471" s="561" t="s">
        <v>705</v>
      </c>
      <c r="D2471" s="561" t="s">
        <v>2569</v>
      </c>
      <c r="E2471" s="561" t="s">
        <v>707</v>
      </c>
      <c r="F2471" s="563">
        <v>0</v>
      </c>
      <c r="G2471" s="564"/>
      <c r="H2471" s="564"/>
      <c r="I2471" s="565"/>
      <c r="J2471" s="565"/>
      <c r="K2471" s="563">
        <v>0</v>
      </c>
      <c r="L2471" s="566">
        <v>0</v>
      </c>
    </row>
    <row r="2472" spans="1:12" ht="22.5" x14ac:dyDescent="0.2">
      <c r="A2472" s="561" t="s">
        <v>115</v>
      </c>
      <c r="B2472" s="562">
        <v>2021</v>
      </c>
      <c r="C2472" s="561" t="s">
        <v>705</v>
      </c>
      <c r="D2472" s="561" t="s">
        <v>2569</v>
      </c>
      <c r="E2472" s="561" t="s">
        <v>708</v>
      </c>
      <c r="F2472" s="563">
        <v>0</v>
      </c>
      <c r="G2472" s="564"/>
      <c r="H2472" s="564"/>
      <c r="I2472" s="565"/>
      <c r="J2472" s="565"/>
      <c r="K2472" s="563">
        <v>0</v>
      </c>
      <c r="L2472" s="566">
        <v>0</v>
      </c>
    </row>
    <row r="2473" spans="1:12" ht="22.5" x14ac:dyDescent="0.2">
      <c r="A2473" s="561" t="s">
        <v>115</v>
      </c>
      <c r="B2473" s="562">
        <v>2021</v>
      </c>
      <c r="C2473" s="561" t="s">
        <v>705</v>
      </c>
      <c r="D2473" s="561" t="s">
        <v>2569</v>
      </c>
      <c r="E2473" s="561" t="s">
        <v>709</v>
      </c>
      <c r="F2473" s="563">
        <v>0</v>
      </c>
      <c r="G2473" s="564"/>
      <c r="H2473" s="564"/>
      <c r="I2473" s="565"/>
      <c r="J2473" s="565"/>
      <c r="K2473" s="563">
        <v>0</v>
      </c>
      <c r="L2473" s="566">
        <v>0</v>
      </c>
    </row>
    <row r="2474" spans="1:12" ht="22.5" x14ac:dyDescent="0.2">
      <c r="A2474" s="561" t="s">
        <v>115</v>
      </c>
      <c r="B2474" s="562">
        <v>2021</v>
      </c>
      <c r="C2474" s="561" t="s">
        <v>705</v>
      </c>
      <c r="D2474" s="561" t="s">
        <v>2569</v>
      </c>
      <c r="E2474" s="561" t="s">
        <v>710</v>
      </c>
      <c r="F2474" s="563">
        <v>0</v>
      </c>
      <c r="G2474" s="564"/>
      <c r="H2474" s="564"/>
      <c r="I2474" s="565"/>
      <c r="J2474" s="565"/>
      <c r="K2474" s="563">
        <v>0</v>
      </c>
      <c r="L2474" s="566">
        <v>0</v>
      </c>
    </row>
    <row r="2475" spans="1:12" ht="15" x14ac:dyDescent="0.2">
      <c r="A2475" s="561" t="s">
        <v>115</v>
      </c>
      <c r="B2475" s="562">
        <v>2021</v>
      </c>
      <c r="C2475" s="561" t="s">
        <v>711</v>
      </c>
      <c r="D2475" s="561" t="s">
        <v>2570</v>
      </c>
      <c r="E2475" s="561" t="s">
        <v>713</v>
      </c>
      <c r="F2475" s="563">
        <v>0</v>
      </c>
      <c r="G2475" s="564"/>
      <c r="H2475" s="561" t="s">
        <v>654</v>
      </c>
      <c r="I2475" s="565"/>
      <c r="J2475" s="565"/>
      <c r="K2475" s="563">
        <v>0</v>
      </c>
      <c r="L2475" s="566">
        <v>0</v>
      </c>
    </row>
    <row r="2476" spans="1:12" ht="33.75" x14ac:dyDescent="0.2">
      <c r="A2476" s="561" t="s">
        <v>115</v>
      </c>
      <c r="B2476" s="562">
        <v>2021</v>
      </c>
      <c r="C2476" s="561" t="s">
        <v>714</v>
      </c>
      <c r="D2476" s="561" t="s">
        <v>2571</v>
      </c>
      <c r="E2476" s="561" t="s">
        <v>2</v>
      </c>
      <c r="F2476" s="563">
        <v>26261.15</v>
      </c>
      <c r="G2476" s="561" t="s">
        <v>654</v>
      </c>
      <c r="H2476" s="564"/>
      <c r="I2476" s="563">
        <v>25797.9296875</v>
      </c>
      <c r="J2476" s="563">
        <v>463.22000122070301</v>
      </c>
      <c r="K2476" s="563">
        <v>26261.150390625</v>
      </c>
      <c r="L2476" s="566">
        <v>26261.15</v>
      </c>
    </row>
    <row r="2477" spans="1:12" ht="33.75" x14ac:dyDescent="0.2">
      <c r="A2477" s="561" t="s">
        <v>115</v>
      </c>
      <c r="B2477" s="562">
        <v>2021</v>
      </c>
      <c r="C2477" s="561" t="s">
        <v>716</v>
      </c>
      <c r="D2477" s="561" t="s">
        <v>2572</v>
      </c>
      <c r="E2477" s="561" t="s">
        <v>3</v>
      </c>
      <c r="F2477" s="563">
        <v>325.24</v>
      </c>
      <c r="G2477" s="561" t="s">
        <v>654</v>
      </c>
      <c r="H2477" s="564"/>
      <c r="I2477" s="563">
        <v>300.19000244140602</v>
      </c>
      <c r="J2477" s="563">
        <v>25.049999237060501</v>
      </c>
      <c r="K2477" s="563">
        <v>325.239990234375</v>
      </c>
      <c r="L2477" s="566">
        <v>325.24</v>
      </c>
    </row>
    <row r="2478" spans="1:12" ht="33.75" x14ac:dyDescent="0.2">
      <c r="A2478" s="561" t="s">
        <v>115</v>
      </c>
      <c r="B2478" s="562">
        <v>2021</v>
      </c>
      <c r="C2478" s="561" t="s">
        <v>718</v>
      </c>
      <c r="D2478" s="561" t="s">
        <v>2573</v>
      </c>
      <c r="E2478" s="561" t="s">
        <v>38</v>
      </c>
      <c r="F2478" s="563">
        <v>-217474.93</v>
      </c>
      <c r="G2478" s="561" t="s">
        <v>654</v>
      </c>
      <c r="H2478" s="564"/>
      <c r="I2478" s="563">
        <v>-204712.9375</v>
      </c>
      <c r="J2478" s="563">
        <v>-12762</v>
      </c>
      <c r="K2478" s="563">
        <v>-217474.9375</v>
      </c>
      <c r="L2478" s="566">
        <v>-217474.93</v>
      </c>
    </row>
    <row r="2479" spans="1:12" ht="22.5" x14ac:dyDescent="0.2">
      <c r="A2479" s="561" t="s">
        <v>115</v>
      </c>
      <c r="B2479" s="562">
        <v>2021</v>
      </c>
      <c r="C2479" s="561" t="s">
        <v>720</v>
      </c>
      <c r="D2479" s="561" t="s">
        <v>2574</v>
      </c>
      <c r="E2479" s="561" t="s">
        <v>66</v>
      </c>
      <c r="F2479" s="563">
        <v>131540.76999999999</v>
      </c>
      <c r="G2479" s="561" t="s">
        <v>654</v>
      </c>
      <c r="H2479" s="564"/>
      <c r="I2479" s="563">
        <v>133421.546875</v>
      </c>
      <c r="J2479" s="563">
        <v>-1880.77001953125</v>
      </c>
      <c r="K2479" s="563">
        <v>131540.765625</v>
      </c>
      <c r="L2479" s="566">
        <v>131540.76999999999</v>
      </c>
    </row>
    <row r="2480" spans="1:12" ht="45" x14ac:dyDescent="0.2">
      <c r="A2480" s="561" t="s">
        <v>115</v>
      </c>
      <c r="B2480" s="562">
        <v>2021</v>
      </c>
      <c r="C2480" s="561" t="s">
        <v>722</v>
      </c>
      <c r="D2480" s="561" t="s">
        <v>2575</v>
      </c>
      <c r="E2480" s="561" t="s">
        <v>724</v>
      </c>
      <c r="F2480" s="563">
        <v>0</v>
      </c>
      <c r="G2480" s="564"/>
      <c r="H2480" s="561" t="s">
        <v>654</v>
      </c>
      <c r="I2480" s="565"/>
      <c r="J2480" s="565"/>
      <c r="K2480" s="563">
        <v>0</v>
      </c>
      <c r="L2480" s="566">
        <v>0</v>
      </c>
    </row>
    <row r="2481" spans="1:12" ht="45" x14ac:dyDescent="0.2">
      <c r="A2481" s="561" t="s">
        <v>115</v>
      </c>
      <c r="B2481" s="562">
        <v>2021</v>
      </c>
      <c r="C2481" s="561" t="s">
        <v>725</v>
      </c>
      <c r="D2481" s="561" t="s">
        <v>2576</v>
      </c>
      <c r="E2481" s="561" t="s">
        <v>3024</v>
      </c>
      <c r="F2481" s="563">
        <v>0</v>
      </c>
      <c r="G2481" s="561" t="s">
        <v>654</v>
      </c>
      <c r="H2481" s="564"/>
      <c r="I2481" s="563">
        <v>28487.060546875</v>
      </c>
      <c r="J2481" s="563">
        <v>10959.5703125</v>
      </c>
      <c r="K2481" s="563">
        <v>39446.62890625</v>
      </c>
      <c r="L2481" s="566">
        <v>39446.629999999997</v>
      </c>
    </row>
    <row r="2482" spans="1:12" ht="45" x14ac:dyDescent="0.2">
      <c r="A2482" s="561" t="s">
        <v>115</v>
      </c>
      <c r="B2482" s="562">
        <v>2021</v>
      </c>
      <c r="C2482" s="561" t="s">
        <v>725</v>
      </c>
      <c r="D2482" s="561" t="s">
        <v>2576</v>
      </c>
      <c r="E2482" s="561" t="s">
        <v>3066</v>
      </c>
      <c r="F2482" s="563">
        <v>0</v>
      </c>
      <c r="G2482" s="561" t="s">
        <v>654</v>
      </c>
      <c r="H2482" s="564"/>
      <c r="I2482" s="563">
        <v>-235346.15625</v>
      </c>
      <c r="J2482" s="563">
        <v>-1674.69995117188</v>
      </c>
      <c r="K2482" s="563">
        <v>-237020.84375</v>
      </c>
      <c r="L2482" s="566">
        <v>-237020.85</v>
      </c>
    </row>
    <row r="2483" spans="1:12" ht="45" x14ac:dyDescent="0.2">
      <c r="A2483" s="561" t="s">
        <v>115</v>
      </c>
      <c r="B2483" s="562">
        <v>2021</v>
      </c>
      <c r="C2483" s="561" t="s">
        <v>725</v>
      </c>
      <c r="D2483" s="561" t="s">
        <v>2577</v>
      </c>
      <c r="E2483" s="561" t="s">
        <v>728</v>
      </c>
      <c r="F2483" s="563">
        <v>0</v>
      </c>
      <c r="G2483" s="561" t="s">
        <v>654</v>
      </c>
      <c r="H2483" s="564"/>
      <c r="I2483" s="565"/>
      <c r="J2483" s="565"/>
      <c r="K2483" s="563">
        <v>0</v>
      </c>
      <c r="L2483" s="566">
        <v>0</v>
      </c>
    </row>
    <row r="2484" spans="1:12" ht="45" x14ac:dyDescent="0.2">
      <c r="A2484" s="561" t="s">
        <v>115</v>
      </c>
      <c r="B2484" s="562">
        <v>2021</v>
      </c>
      <c r="C2484" s="561" t="s">
        <v>725</v>
      </c>
      <c r="D2484" s="561" t="s">
        <v>2578</v>
      </c>
      <c r="E2484" s="561" t="s">
        <v>55</v>
      </c>
      <c r="F2484" s="563">
        <v>0</v>
      </c>
      <c r="G2484" s="561" t="s">
        <v>654</v>
      </c>
      <c r="H2484" s="564"/>
      <c r="I2484" s="565"/>
      <c r="J2484" s="565"/>
      <c r="K2484" s="563">
        <v>0</v>
      </c>
      <c r="L2484" s="566">
        <v>0</v>
      </c>
    </row>
    <row r="2485" spans="1:12" ht="45" x14ac:dyDescent="0.2">
      <c r="A2485" s="561" t="s">
        <v>115</v>
      </c>
      <c r="B2485" s="562">
        <v>2021</v>
      </c>
      <c r="C2485" s="561" t="s">
        <v>725</v>
      </c>
      <c r="D2485" s="561" t="s">
        <v>2579</v>
      </c>
      <c r="E2485" s="561" t="s">
        <v>56</v>
      </c>
      <c r="F2485" s="563">
        <v>0</v>
      </c>
      <c r="G2485" s="561" t="s">
        <v>654</v>
      </c>
      <c r="H2485" s="564"/>
      <c r="I2485" s="565"/>
      <c r="J2485" s="565"/>
      <c r="K2485" s="563">
        <v>0</v>
      </c>
      <c r="L2485" s="566">
        <v>0</v>
      </c>
    </row>
    <row r="2486" spans="1:12" ht="45" x14ac:dyDescent="0.2">
      <c r="A2486" s="561" t="s">
        <v>115</v>
      </c>
      <c r="B2486" s="562">
        <v>2021</v>
      </c>
      <c r="C2486" s="561" t="s">
        <v>725</v>
      </c>
      <c r="D2486" s="561" t="s">
        <v>2580</v>
      </c>
      <c r="E2486" s="561" t="s">
        <v>732</v>
      </c>
      <c r="F2486" s="563">
        <v>0</v>
      </c>
      <c r="G2486" s="561" t="s">
        <v>654</v>
      </c>
      <c r="H2486" s="564"/>
      <c r="I2486" s="565"/>
      <c r="J2486" s="565"/>
      <c r="K2486" s="563">
        <v>0</v>
      </c>
      <c r="L2486" s="566">
        <v>0</v>
      </c>
    </row>
    <row r="2487" spans="1:12" ht="45" x14ac:dyDescent="0.2">
      <c r="A2487" s="561" t="s">
        <v>115</v>
      </c>
      <c r="B2487" s="562">
        <v>2021</v>
      </c>
      <c r="C2487" s="561" t="s">
        <v>725</v>
      </c>
      <c r="D2487" s="561" t="s">
        <v>2581</v>
      </c>
      <c r="E2487" s="561" t="s">
        <v>734</v>
      </c>
      <c r="F2487" s="563">
        <v>0</v>
      </c>
      <c r="G2487" s="561" t="s">
        <v>654</v>
      </c>
      <c r="H2487" s="564"/>
      <c r="I2487" s="565"/>
      <c r="J2487" s="565"/>
      <c r="K2487" s="563">
        <v>0</v>
      </c>
      <c r="L2487" s="566">
        <v>0</v>
      </c>
    </row>
    <row r="2488" spans="1:12" ht="45" x14ac:dyDescent="0.2">
      <c r="A2488" s="561" t="s">
        <v>115</v>
      </c>
      <c r="B2488" s="562">
        <v>2021</v>
      </c>
      <c r="C2488" s="561" t="s">
        <v>725</v>
      </c>
      <c r="D2488" s="561" t="s">
        <v>2582</v>
      </c>
      <c r="E2488" s="561" t="s">
        <v>142</v>
      </c>
      <c r="F2488" s="563">
        <v>0</v>
      </c>
      <c r="G2488" s="561" t="s">
        <v>654</v>
      </c>
      <c r="H2488" s="564"/>
      <c r="I2488" s="565"/>
      <c r="J2488" s="565"/>
      <c r="K2488" s="563">
        <v>0</v>
      </c>
      <c r="L2488" s="566">
        <v>0</v>
      </c>
    </row>
    <row r="2489" spans="1:12" ht="45" x14ac:dyDescent="0.2">
      <c r="A2489" s="561" t="s">
        <v>115</v>
      </c>
      <c r="B2489" s="562">
        <v>2021</v>
      </c>
      <c r="C2489" s="561" t="s">
        <v>725</v>
      </c>
      <c r="D2489" s="561" t="s">
        <v>2583</v>
      </c>
      <c r="E2489" s="561" t="s">
        <v>143</v>
      </c>
      <c r="F2489" s="563">
        <v>0</v>
      </c>
      <c r="G2489" s="561" t="s">
        <v>654</v>
      </c>
      <c r="H2489" s="564"/>
      <c r="I2489" s="565"/>
      <c r="J2489" s="565"/>
      <c r="K2489" s="563">
        <v>0</v>
      </c>
      <c r="L2489" s="566">
        <v>0</v>
      </c>
    </row>
    <row r="2490" spans="1:12" ht="45" x14ac:dyDescent="0.2">
      <c r="A2490" s="561" t="s">
        <v>115</v>
      </c>
      <c r="B2490" s="562">
        <v>2021</v>
      </c>
      <c r="C2490" s="561" t="s">
        <v>725</v>
      </c>
      <c r="D2490" s="561" t="s">
        <v>2584</v>
      </c>
      <c r="E2490" s="561" t="s">
        <v>182</v>
      </c>
      <c r="F2490" s="563">
        <v>0</v>
      </c>
      <c r="G2490" s="561" t="s">
        <v>654</v>
      </c>
      <c r="H2490" s="564"/>
      <c r="I2490" s="565"/>
      <c r="J2490" s="565"/>
      <c r="K2490" s="563">
        <v>0</v>
      </c>
      <c r="L2490" s="566">
        <v>0</v>
      </c>
    </row>
    <row r="2491" spans="1:12" ht="45" x14ac:dyDescent="0.2">
      <c r="A2491" s="561" t="s">
        <v>115</v>
      </c>
      <c r="B2491" s="562">
        <v>2021</v>
      </c>
      <c r="C2491" s="561" t="s">
        <v>725</v>
      </c>
      <c r="D2491" s="561" t="s">
        <v>2585</v>
      </c>
      <c r="E2491" s="561" t="s">
        <v>394</v>
      </c>
      <c r="F2491" s="563">
        <v>0</v>
      </c>
      <c r="G2491" s="561" t="s">
        <v>654</v>
      </c>
      <c r="H2491" s="564"/>
      <c r="I2491" s="565"/>
      <c r="J2491" s="565"/>
      <c r="K2491" s="563">
        <v>0</v>
      </c>
      <c r="L2491" s="566">
        <v>0</v>
      </c>
    </row>
    <row r="2492" spans="1:12" ht="45" x14ac:dyDescent="0.2">
      <c r="A2492" s="561" t="s">
        <v>115</v>
      </c>
      <c r="B2492" s="562">
        <v>2021</v>
      </c>
      <c r="C2492" s="561" t="s">
        <v>725</v>
      </c>
      <c r="D2492" s="561" t="s">
        <v>2586</v>
      </c>
      <c r="E2492" s="561" t="s">
        <v>425</v>
      </c>
      <c r="F2492" s="563">
        <v>0</v>
      </c>
      <c r="G2492" s="561" t="s">
        <v>654</v>
      </c>
      <c r="H2492" s="564"/>
      <c r="I2492" s="563">
        <v>-3705.40991210938</v>
      </c>
      <c r="J2492" s="563">
        <v>560.21002197265602</v>
      </c>
      <c r="K2492" s="563">
        <v>-3145.19995117188</v>
      </c>
      <c r="L2492" s="566">
        <v>-3145.2</v>
      </c>
    </row>
    <row r="2493" spans="1:12" ht="45" x14ac:dyDescent="0.2">
      <c r="A2493" s="561" t="s">
        <v>115</v>
      </c>
      <c r="B2493" s="562">
        <v>2021</v>
      </c>
      <c r="C2493" s="561" t="s">
        <v>725</v>
      </c>
      <c r="D2493" s="561" t="s">
        <v>3293</v>
      </c>
      <c r="E2493" s="561" t="s">
        <v>443</v>
      </c>
      <c r="F2493" s="563">
        <v>0</v>
      </c>
      <c r="G2493" s="561" t="s">
        <v>654</v>
      </c>
      <c r="H2493" s="564"/>
      <c r="I2493" s="563">
        <v>-73022.328125</v>
      </c>
      <c r="J2493" s="563">
        <v>70513.1484375</v>
      </c>
      <c r="K2493" s="563">
        <v>-2509.17993164063</v>
      </c>
      <c r="L2493" s="566">
        <v>-2509.1800000000098</v>
      </c>
    </row>
    <row r="2494" spans="1:12" ht="45" x14ac:dyDescent="0.2">
      <c r="A2494" s="561" t="s">
        <v>115</v>
      </c>
      <c r="B2494" s="562">
        <v>2021</v>
      </c>
      <c r="C2494" s="561" t="s">
        <v>725</v>
      </c>
      <c r="D2494" s="561" t="s">
        <v>2587</v>
      </c>
      <c r="E2494" s="561" t="s">
        <v>741</v>
      </c>
      <c r="F2494" s="563">
        <v>-203228.6</v>
      </c>
      <c r="G2494" s="564"/>
      <c r="H2494" s="564"/>
      <c r="I2494" s="565"/>
      <c r="J2494" s="565"/>
      <c r="K2494" s="563">
        <v>0</v>
      </c>
      <c r="L2494" s="566">
        <v>-203228.6</v>
      </c>
    </row>
    <row r="2495" spans="1:12" ht="22.5" x14ac:dyDescent="0.2">
      <c r="A2495" s="561" t="s">
        <v>115</v>
      </c>
      <c r="B2495" s="562">
        <v>2021</v>
      </c>
      <c r="C2495" s="561" t="s">
        <v>742</v>
      </c>
      <c r="D2495" s="561" t="s">
        <v>2588</v>
      </c>
      <c r="E2495" s="561" t="s">
        <v>7</v>
      </c>
      <c r="F2495" s="563">
        <v>0</v>
      </c>
      <c r="G2495" s="564"/>
      <c r="H2495" s="561" t="s">
        <v>654</v>
      </c>
      <c r="I2495" s="565"/>
      <c r="J2495" s="565"/>
      <c r="K2495" s="563">
        <v>0</v>
      </c>
      <c r="L2495" s="566">
        <v>0</v>
      </c>
    </row>
    <row r="2496" spans="1:12" ht="22.5" x14ac:dyDescent="0.2">
      <c r="A2496" s="561" t="s">
        <v>3294</v>
      </c>
      <c r="B2496" s="562">
        <v>2021</v>
      </c>
      <c r="C2496" s="561" t="s">
        <v>651</v>
      </c>
      <c r="D2496" s="561" t="s">
        <v>3295</v>
      </c>
      <c r="E2496" s="561" t="s">
        <v>653</v>
      </c>
      <c r="F2496" s="563">
        <v>-1194821.6299999999</v>
      </c>
      <c r="G2496" s="564"/>
      <c r="H2496" s="561" t="s">
        <v>654</v>
      </c>
      <c r="I2496" s="565"/>
      <c r="J2496" s="565"/>
      <c r="K2496" s="563">
        <v>0</v>
      </c>
      <c r="L2496" s="566">
        <v>-1194821.6299999999</v>
      </c>
    </row>
    <row r="2497" spans="1:12" ht="15" x14ac:dyDescent="0.2">
      <c r="A2497" s="561" t="s">
        <v>3294</v>
      </c>
      <c r="B2497" s="562">
        <v>2021</v>
      </c>
      <c r="C2497" s="561" t="s">
        <v>655</v>
      </c>
      <c r="D2497" s="561" t="s">
        <v>3296</v>
      </c>
      <c r="E2497" s="561" t="s">
        <v>657</v>
      </c>
      <c r="F2497" s="563">
        <v>177850.8</v>
      </c>
      <c r="G2497" s="564"/>
      <c r="H2497" s="561" t="s">
        <v>654</v>
      </c>
      <c r="I2497" s="565"/>
      <c r="J2497" s="565"/>
      <c r="K2497" s="563">
        <v>0</v>
      </c>
      <c r="L2497" s="566">
        <v>177850.8</v>
      </c>
    </row>
    <row r="2498" spans="1:12" ht="56.25" x14ac:dyDescent="0.2">
      <c r="A2498" s="561" t="s">
        <v>3294</v>
      </c>
      <c r="B2498" s="562">
        <v>2021</v>
      </c>
      <c r="C2498" s="561" t="s">
        <v>658</v>
      </c>
      <c r="D2498" s="561" t="s">
        <v>3297</v>
      </c>
      <c r="E2498" s="561" t="s">
        <v>447</v>
      </c>
      <c r="F2498" s="563">
        <v>6884.48</v>
      </c>
      <c r="G2498" s="564"/>
      <c r="H2498" s="561" t="s">
        <v>654</v>
      </c>
      <c r="I2498" s="565"/>
      <c r="J2498" s="565"/>
      <c r="K2498" s="563">
        <v>0</v>
      </c>
      <c r="L2498" s="566">
        <v>6884.48</v>
      </c>
    </row>
    <row r="2499" spans="1:12" ht="22.5" x14ac:dyDescent="0.2">
      <c r="A2499" s="561" t="s">
        <v>3294</v>
      </c>
      <c r="B2499" s="562">
        <v>2021</v>
      </c>
      <c r="C2499" s="561" t="s">
        <v>660</v>
      </c>
      <c r="D2499" s="561" t="s">
        <v>3298</v>
      </c>
      <c r="E2499" s="561" t="s">
        <v>662</v>
      </c>
      <c r="F2499" s="563">
        <v>0</v>
      </c>
      <c r="G2499" s="564"/>
      <c r="H2499" s="561" t="s">
        <v>654</v>
      </c>
      <c r="I2499" s="565"/>
      <c r="J2499" s="565"/>
      <c r="K2499" s="563">
        <v>0</v>
      </c>
      <c r="L2499" s="566">
        <v>0</v>
      </c>
    </row>
    <row r="2500" spans="1:12" ht="33.75" x14ac:dyDescent="0.2">
      <c r="A2500" s="561" t="s">
        <v>3294</v>
      </c>
      <c r="B2500" s="562">
        <v>2021</v>
      </c>
      <c r="C2500" s="561" t="s">
        <v>663</v>
      </c>
      <c r="D2500" s="561" t="s">
        <v>3299</v>
      </c>
      <c r="E2500" s="561" t="s">
        <v>665</v>
      </c>
      <c r="F2500" s="563">
        <v>0</v>
      </c>
      <c r="G2500" s="564"/>
      <c r="H2500" s="561" t="s">
        <v>654</v>
      </c>
      <c r="I2500" s="565"/>
      <c r="J2500" s="565"/>
      <c r="K2500" s="563">
        <v>0</v>
      </c>
      <c r="L2500" s="566">
        <v>0</v>
      </c>
    </row>
    <row r="2501" spans="1:12" ht="33.75" x14ac:dyDescent="0.2">
      <c r="A2501" s="561" t="s">
        <v>3294</v>
      </c>
      <c r="B2501" s="562">
        <v>2021</v>
      </c>
      <c r="C2501" s="561" t="s">
        <v>666</v>
      </c>
      <c r="D2501" s="561" t="s">
        <v>3300</v>
      </c>
      <c r="E2501" s="561" t="s">
        <v>668</v>
      </c>
      <c r="F2501" s="563">
        <v>26483.71</v>
      </c>
      <c r="G2501" s="564"/>
      <c r="H2501" s="561" t="s">
        <v>654</v>
      </c>
      <c r="I2501" s="565"/>
      <c r="J2501" s="565"/>
      <c r="K2501" s="563">
        <v>0</v>
      </c>
      <c r="L2501" s="566">
        <v>26483.71</v>
      </c>
    </row>
    <row r="2502" spans="1:12" ht="56.25" x14ac:dyDescent="0.2">
      <c r="A2502" s="561" t="s">
        <v>3294</v>
      </c>
      <c r="B2502" s="562">
        <v>2021</v>
      </c>
      <c r="C2502" s="561" t="s">
        <v>669</v>
      </c>
      <c r="D2502" s="561" t="s">
        <v>3301</v>
      </c>
      <c r="E2502" s="561" t="s">
        <v>671</v>
      </c>
      <c r="F2502" s="563">
        <v>0</v>
      </c>
      <c r="G2502" s="564"/>
      <c r="H2502" s="561" t="s">
        <v>654</v>
      </c>
      <c r="I2502" s="565"/>
      <c r="J2502" s="565"/>
      <c r="K2502" s="563">
        <v>0</v>
      </c>
      <c r="L2502" s="566">
        <v>0</v>
      </c>
    </row>
    <row r="2503" spans="1:12" ht="22.5" x14ac:dyDescent="0.2">
      <c r="A2503" s="561" t="s">
        <v>3294</v>
      </c>
      <c r="B2503" s="562">
        <v>2021</v>
      </c>
      <c r="C2503" s="561" t="s">
        <v>672</v>
      </c>
      <c r="D2503" s="561" t="s">
        <v>3302</v>
      </c>
      <c r="E2503" s="561" t="s">
        <v>12</v>
      </c>
      <c r="F2503" s="563">
        <v>0</v>
      </c>
      <c r="G2503" s="564"/>
      <c r="H2503" s="561" t="s">
        <v>654</v>
      </c>
      <c r="I2503" s="565"/>
      <c r="J2503" s="565"/>
      <c r="K2503" s="563">
        <v>0</v>
      </c>
      <c r="L2503" s="566">
        <v>0</v>
      </c>
    </row>
    <row r="2504" spans="1:12" ht="22.5" x14ac:dyDescent="0.2">
      <c r="A2504" s="561" t="s">
        <v>3294</v>
      </c>
      <c r="B2504" s="562">
        <v>2021</v>
      </c>
      <c r="C2504" s="561" t="s">
        <v>674</v>
      </c>
      <c r="D2504" s="561" t="s">
        <v>3303</v>
      </c>
      <c r="E2504" s="561" t="s">
        <v>13</v>
      </c>
      <c r="F2504" s="563">
        <v>2134.41</v>
      </c>
      <c r="G2504" s="564"/>
      <c r="H2504" s="561" t="s">
        <v>654</v>
      </c>
      <c r="I2504" s="565"/>
      <c r="J2504" s="565"/>
      <c r="K2504" s="563">
        <v>0</v>
      </c>
      <c r="L2504" s="566">
        <v>2134.41</v>
      </c>
    </row>
    <row r="2505" spans="1:12" ht="33.75" x14ac:dyDescent="0.2">
      <c r="A2505" s="561" t="s">
        <v>3294</v>
      </c>
      <c r="B2505" s="562">
        <v>2021</v>
      </c>
      <c r="C2505" s="561" t="s">
        <v>676</v>
      </c>
      <c r="D2505" s="561" t="s">
        <v>3304</v>
      </c>
      <c r="E2505" s="561" t="s">
        <v>15</v>
      </c>
      <c r="F2505" s="563">
        <v>0</v>
      </c>
      <c r="G2505" s="564"/>
      <c r="H2505" s="561" t="s">
        <v>654</v>
      </c>
      <c r="I2505" s="565"/>
      <c r="J2505" s="565"/>
      <c r="K2505" s="563">
        <v>0</v>
      </c>
      <c r="L2505" s="566">
        <v>0</v>
      </c>
    </row>
    <row r="2506" spans="1:12" ht="15" x14ac:dyDescent="0.2">
      <c r="A2506" s="561" t="s">
        <v>3294</v>
      </c>
      <c r="B2506" s="562">
        <v>2021</v>
      </c>
      <c r="C2506" s="561" t="s">
        <v>678</v>
      </c>
      <c r="D2506" s="561" t="s">
        <v>3305</v>
      </c>
      <c r="E2506" s="561" t="s">
        <v>680</v>
      </c>
      <c r="F2506" s="563">
        <v>35335.879999999997</v>
      </c>
      <c r="G2506" s="564"/>
      <c r="H2506" s="561" t="s">
        <v>654</v>
      </c>
      <c r="I2506" s="565"/>
      <c r="J2506" s="565"/>
      <c r="K2506" s="563">
        <v>0</v>
      </c>
      <c r="L2506" s="566">
        <v>35335.879999999997</v>
      </c>
    </row>
    <row r="2507" spans="1:12" ht="15" x14ac:dyDescent="0.2">
      <c r="A2507" s="561" t="s">
        <v>3294</v>
      </c>
      <c r="B2507" s="562">
        <v>2021</v>
      </c>
      <c r="C2507" s="561" t="s">
        <v>681</v>
      </c>
      <c r="D2507" s="561" t="s">
        <v>3306</v>
      </c>
      <c r="E2507" s="561" t="s">
        <v>23</v>
      </c>
      <c r="F2507" s="563">
        <v>0</v>
      </c>
      <c r="G2507" s="561" t="s">
        <v>654</v>
      </c>
      <c r="H2507" s="564"/>
      <c r="I2507" s="563">
        <v>0</v>
      </c>
      <c r="J2507" s="563">
        <v>0</v>
      </c>
      <c r="K2507" s="563">
        <v>0</v>
      </c>
      <c r="L2507" s="566">
        <v>0</v>
      </c>
    </row>
    <row r="2508" spans="1:12" ht="33.75" x14ac:dyDescent="0.2">
      <c r="A2508" s="561" t="s">
        <v>3294</v>
      </c>
      <c r="B2508" s="562">
        <v>2021</v>
      </c>
      <c r="C2508" s="561" t="s">
        <v>683</v>
      </c>
      <c r="D2508" s="561" t="s">
        <v>3307</v>
      </c>
      <c r="E2508" s="561" t="s">
        <v>131</v>
      </c>
      <c r="F2508" s="563">
        <v>-7451.44</v>
      </c>
      <c r="G2508" s="561" t="s">
        <v>654</v>
      </c>
      <c r="H2508" s="564"/>
      <c r="I2508" s="563">
        <v>-7235.5400390625</v>
      </c>
      <c r="J2508" s="563">
        <v>-215.89999389648401</v>
      </c>
      <c r="K2508" s="563">
        <v>-7451.43994140625</v>
      </c>
      <c r="L2508" s="566">
        <v>-7451.44</v>
      </c>
    </row>
    <row r="2509" spans="1:12" ht="33.75" x14ac:dyDescent="0.2">
      <c r="A2509" s="561" t="s">
        <v>3294</v>
      </c>
      <c r="B2509" s="562">
        <v>2021</v>
      </c>
      <c r="C2509" s="561" t="s">
        <v>685</v>
      </c>
      <c r="D2509" s="561" t="s">
        <v>3308</v>
      </c>
      <c r="E2509" s="561" t="s">
        <v>687</v>
      </c>
      <c r="F2509" s="563">
        <v>-113373.92</v>
      </c>
      <c r="G2509" s="564"/>
      <c r="H2509" s="561" t="s">
        <v>654</v>
      </c>
      <c r="I2509" s="565"/>
      <c r="J2509" s="565"/>
      <c r="K2509" s="563">
        <v>0</v>
      </c>
      <c r="L2509" s="566">
        <v>-113373.92</v>
      </c>
    </row>
    <row r="2510" spans="1:12" ht="33.75" x14ac:dyDescent="0.2">
      <c r="A2510" s="561" t="s">
        <v>3294</v>
      </c>
      <c r="B2510" s="562">
        <v>2021</v>
      </c>
      <c r="C2510" s="561" t="s">
        <v>685</v>
      </c>
      <c r="D2510" s="561" t="s">
        <v>3308</v>
      </c>
      <c r="E2510" s="561" t="s">
        <v>688</v>
      </c>
      <c r="F2510" s="563">
        <v>-113373.92</v>
      </c>
      <c r="G2510" s="564"/>
      <c r="H2510" s="561" t="s">
        <v>654</v>
      </c>
      <c r="I2510" s="565"/>
      <c r="J2510" s="565"/>
      <c r="K2510" s="563">
        <v>0</v>
      </c>
      <c r="L2510" s="566">
        <v>-113373.92</v>
      </c>
    </row>
    <row r="2511" spans="1:12" ht="22.5" x14ac:dyDescent="0.2">
      <c r="A2511" s="561" t="s">
        <v>3294</v>
      </c>
      <c r="B2511" s="562">
        <v>2021</v>
      </c>
      <c r="C2511" s="561" t="s">
        <v>689</v>
      </c>
      <c r="D2511" s="561" t="s">
        <v>3309</v>
      </c>
      <c r="E2511" s="561" t="s">
        <v>691</v>
      </c>
      <c r="F2511" s="563">
        <v>0</v>
      </c>
      <c r="G2511" s="564"/>
      <c r="H2511" s="561" t="s">
        <v>654</v>
      </c>
      <c r="I2511" s="565"/>
      <c r="J2511" s="565"/>
      <c r="K2511" s="563">
        <v>0</v>
      </c>
      <c r="L2511" s="566">
        <v>0</v>
      </c>
    </row>
    <row r="2512" spans="1:12" ht="22.5" x14ac:dyDescent="0.2">
      <c r="A2512" s="561" t="s">
        <v>3294</v>
      </c>
      <c r="B2512" s="562">
        <v>2021</v>
      </c>
      <c r="C2512" s="561" t="s">
        <v>692</v>
      </c>
      <c r="D2512" s="561" t="s">
        <v>3310</v>
      </c>
      <c r="E2512" s="561" t="s">
        <v>50</v>
      </c>
      <c r="F2512" s="563">
        <v>221553.69</v>
      </c>
      <c r="G2512" s="564"/>
      <c r="H2512" s="561" t="s">
        <v>654</v>
      </c>
      <c r="I2512" s="565"/>
      <c r="J2512" s="565"/>
      <c r="K2512" s="563">
        <v>0</v>
      </c>
      <c r="L2512" s="566">
        <v>221553.69</v>
      </c>
    </row>
    <row r="2513" spans="1:12" ht="22.5" x14ac:dyDescent="0.2">
      <c r="A2513" s="561" t="s">
        <v>3294</v>
      </c>
      <c r="B2513" s="562">
        <v>2021</v>
      </c>
      <c r="C2513" s="561" t="s">
        <v>694</v>
      </c>
      <c r="D2513" s="561" t="s">
        <v>3311</v>
      </c>
      <c r="E2513" s="561" t="s">
        <v>696</v>
      </c>
      <c r="F2513" s="563">
        <v>0</v>
      </c>
      <c r="G2513" s="564"/>
      <c r="H2513" s="561" t="s">
        <v>654</v>
      </c>
      <c r="I2513" s="565"/>
      <c r="J2513" s="565"/>
      <c r="K2513" s="563">
        <v>0</v>
      </c>
      <c r="L2513" s="566">
        <v>0</v>
      </c>
    </row>
    <row r="2514" spans="1:12" ht="22.5" x14ac:dyDescent="0.2">
      <c r="A2514" s="561" t="s">
        <v>3294</v>
      </c>
      <c r="B2514" s="562">
        <v>2021</v>
      </c>
      <c r="C2514" s="561" t="s">
        <v>697</v>
      </c>
      <c r="D2514" s="561" t="s">
        <v>3312</v>
      </c>
      <c r="E2514" s="561" t="s">
        <v>6</v>
      </c>
      <c r="F2514" s="563">
        <v>0</v>
      </c>
      <c r="G2514" s="564"/>
      <c r="H2514" s="561" t="s">
        <v>654</v>
      </c>
      <c r="I2514" s="565"/>
      <c r="J2514" s="565"/>
      <c r="K2514" s="563">
        <v>0</v>
      </c>
      <c r="L2514" s="566">
        <v>0</v>
      </c>
    </row>
    <row r="2515" spans="1:12" ht="33.75" x14ac:dyDescent="0.2">
      <c r="A2515" s="561" t="s">
        <v>3294</v>
      </c>
      <c r="B2515" s="562">
        <v>2021</v>
      </c>
      <c r="C2515" s="561" t="s">
        <v>699</v>
      </c>
      <c r="D2515" s="561" t="s">
        <v>3313</v>
      </c>
      <c r="E2515" s="561" t="s">
        <v>701</v>
      </c>
      <c r="F2515" s="563">
        <v>-9763.5300000000007</v>
      </c>
      <c r="G2515" s="564"/>
      <c r="H2515" s="561" t="s">
        <v>654</v>
      </c>
      <c r="I2515" s="565"/>
      <c r="J2515" s="565"/>
      <c r="K2515" s="563">
        <v>0</v>
      </c>
      <c r="L2515" s="566">
        <v>-9763.5300000000007</v>
      </c>
    </row>
    <row r="2516" spans="1:12" ht="22.5" x14ac:dyDescent="0.2">
      <c r="A2516" s="561" t="s">
        <v>3294</v>
      </c>
      <c r="B2516" s="562">
        <v>2021</v>
      </c>
      <c r="C2516" s="561" t="s">
        <v>702</v>
      </c>
      <c r="D2516" s="561" t="s">
        <v>3314</v>
      </c>
      <c r="E2516" s="561" t="s">
        <v>704</v>
      </c>
      <c r="F2516" s="563">
        <v>0</v>
      </c>
      <c r="G2516" s="564"/>
      <c r="H2516" s="561" t="s">
        <v>654</v>
      </c>
      <c r="I2516" s="565"/>
      <c r="J2516" s="565"/>
      <c r="K2516" s="563">
        <v>0</v>
      </c>
      <c r="L2516" s="566">
        <v>0</v>
      </c>
    </row>
    <row r="2517" spans="1:12" ht="33.75" x14ac:dyDescent="0.2">
      <c r="A2517" s="561" t="s">
        <v>3294</v>
      </c>
      <c r="B2517" s="562">
        <v>2021</v>
      </c>
      <c r="C2517" s="561" t="s">
        <v>705</v>
      </c>
      <c r="D2517" s="561" t="s">
        <v>3315</v>
      </c>
      <c r="E2517" s="561" t="s">
        <v>1</v>
      </c>
      <c r="F2517" s="563">
        <v>-1014488.67</v>
      </c>
      <c r="G2517" s="561" t="s">
        <v>654</v>
      </c>
      <c r="H2517" s="564"/>
      <c r="I2517" s="563">
        <v>-998834.625</v>
      </c>
      <c r="J2517" s="563">
        <v>-15654.01953125</v>
      </c>
      <c r="K2517" s="563">
        <v>-1014488.6875</v>
      </c>
      <c r="L2517" s="566">
        <v>-1014488.67</v>
      </c>
    </row>
    <row r="2518" spans="1:12" ht="22.5" x14ac:dyDescent="0.2">
      <c r="A2518" s="561" t="s">
        <v>3294</v>
      </c>
      <c r="B2518" s="562">
        <v>2021</v>
      </c>
      <c r="C2518" s="561" t="s">
        <v>705</v>
      </c>
      <c r="D2518" s="561" t="s">
        <v>3315</v>
      </c>
      <c r="E2518" s="561" t="s">
        <v>707</v>
      </c>
      <c r="F2518" s="563">
        <v>0</v>
      </c>
      <c r="G2518" s="564"/>
      <c r="H2518" s="564"/>
      <c r="I2518" s="565"/>
      <c r="J2518" s="565"/>
      <c r="K2518" s="563">
        <v>0</v>
      </c>
      <c r="L2518" s="566">
        <v>0</v>
      </c>
    </row>
    <row r="2519" spans="1:12" ht="22.5" x14ac:dyDescent="0.2">
      <c r="A2519" s="561" t="s">
        <v>3294</v>
      </c>
      <c r="B2519" s="562">
        <v>2021</v>
      </c>
      <c r="C2519" s="561" t="s">
        <v>705</v>
      </c>
      <c r="D2519" s="561" t="s">
        <v>3315</v>
      </c>
      <c r="E2519" s="561" t="s">
        <v>708</v>
      </c>
      <c r="F2519" s="563">
        <v>0</v>
      </c>
      <c r="G2519" s="564"/>
      <c r="H2519" s="564"/>
      <c r="I2519" s="565"/>
      <c r="J2519" s="565"/>
      <c r="K2519" s="563">
        <v>0</v>
      </c>
      <c r="L2519" s="566">
        <v>0</v>
      </c>
    </row>
    <row r="2520" spans="1:12" ht="22.5" x14ac:dyDescent="0.2">
      <c r="A2520" s="561" t="s">
        <v>3294</v>
      </c>
      <c r="B2520" s="562">
        <v>2021</v>
      </c>
      <c r="C2520" s="561" t="s">
        <v>705</v>
      </c>
      <c r="D2520" s="561" t="s">
        <v>3315</v>
      </c>
      <c r="E2520" s="561" t="s">
        <v>709</v>
      </c>
      <c r="F2520" s="563">
        <v>-2449.39</v>
      </c>
      <c r="G2520" s="564"/>
      <c r="H2520" s="564"/>
      <c r="I2520" s="565"/>
      <c r="J2520" s="565"/>
      <c r="K2520" s="563">
        <v>0</v>
      </c>
      <c r="L2520" s="566">
        <v>-2449.39</v>
      </c>
    </row>
    <row r="2521" spans="1:12" ht="22.5" x14ac:dyDescent="0.2">
      <c r="A2521" s="561" t="s">
        <v>3294</v>
      </c>
      <c r="B2521" s="562">
        <v>2021</v>
      </c>
      <c r="C2521" s="561" t="s">
        <v>705</v>
      </c>
      <c r="D2521" s="561" t="s">
        <v>3315</v>
      </c>
      <c r="E2521" s="561" t="s">
        <v>710</v>
      </c>
      <c r="F2521" s="563">
        <v>-114053.25</v>
      </c>
      <c r="G2521" s="564"/>
      <c r="H2521" s="564"/>
      <c r="I2521" s="565"/>
      <c r="J2521" s="565"/>
      <c r="K2521" s="563">
        <v>0</v>
      </c>
      <c r="L2521" s="566">
        <v>-114053.25</v>
      </c>
    </row>
    <row r="2522" spans="1:12" ht="15" x14ac:dyDescent="0.2">
      <c r="A2522" s="561" t="s">
        <v>3294</v>
      </c>
      <c r="B2522" s="562">
        <v>2021</v>
      </c>
      <c r="C2522" s="561" t="s">
        <v>711</v>
      </c>
      <c r="D2522" s="561" t="s">
        <v>3316</v>
      </c>
      <c r="E2522" s="561" t="s">
        <v>713</v>
      </c>
      <c r="F2522" s="563">
        <v>0</v>
      </c>
      <c r="G2522" s="564"/>
      <c r="H2522" s="561" t="s">
        <v>654</v>
      </c>
      <c r="I2522" s="565"/>
      <c r="J2522" s="565"/>
      <c r="K2522" s="563">
        <v>0</v>
      </c>
      <c r="L2522" s="566">
        <v>0</v>
      </c>
    </row>
    <row r="2523" spans="1:12" ht="33.75" x14ac:dyDescent="0.2">
      <c r="A2523" s="561" t="s">
        <v>3294</v>
      </c>
      <c r="B2523" s="562">
        <v>2021</v>
      </c>
      <c r="C2523" s="561" t="s">
        <v>714</v>
      </c>
      <c r="D2523" s="561" t="s">
        <v>3317</v>
      </c>
      <c r="E2523" s="561" t="s">
        <v>2</v>
      </c>
      <c r="F2523" s="563">
        <v>358708.28</v>
      </c>
      <c r="G2523" s="561" t="s">
        <v>654</v>
      </c>
      <c r="H2523" s="564"/>
      <c r="I2523" s="563">
        <v>352717.59375</v>
      </c>
      <c r="J2523" s="563">
        <v>5990.7001953125</v>
      </c>
      <c r="K2523" s="563">
        <v>358708.28125</v>
      </c>
      <c r="L2523" s="566">
        <v>358708.28</v>
      </c>
    </row>
    <row r="2524" spans="1:12" ht="33.75" x14ac:dyDescent="0.2">
      <c r="A2524" s="561" t="s">
        <v>3294</v>
      </c>
      <c r="B2524" s="562">
        <v>2021</v>
      </c>
      <c r="C2524" s="561" t="s">
        <v>716</v>
      </c>
      <c r="D2524" s="561" t="s">
        <v>3318</v>
      </c>
      <c r="E2524" s="561" t="s">
        <v>3</v>
      </c>
      <c r="F2524" s="563">
        <v>98496.89</v>
      </c>
      <c r="G2524" s="561" t="s">
        <v>654</v>
      </c>
      <c r="H2524" s="564"/>
      <c r="I2524" s="563">
        <v>96021.609375</v>
      </c>
      <c r="J2524" s="563">
        <v>2475.28002929688</v>
      </c>
      <c r="K2524" s="563">
        <v>98496.890625</v>
      </c>
      <c r="L2524" s="566">
        <v>98496.89</v>
      </c>
    </row>
    <row r="2525" spans="1:12" ht="33.75" x14ac:dyDescent="0.2">
      <c r="A2525" s="561" t="s">
        <v>3294</v>
      </c>
      <c r="B2525" s="562">
        <v>2021</v>
      </c>
      <c r="C2525" s="561" t="s">
        <v>718</v>
      </c>
      <c r="D2525" s="561" t="s">
        <v>3319</v>
      </c>
      <c r="E2525" s="561" t="s">
        <v>38</v>
      </c>
      <c r="F2525" s="563">
        <v>-164784.79</v>
      </c>
      <c r="G2525" s="561" t="s">
        <v>654</v>
      </c>
      <c r="H2525" s="564"/>
      <c r="I2525" s="563">
        <v>-150761.15625</v>
      </c>
      <c r="J2525" s="563">
        <v>-14023.6298828125</v>
      </c>
      <c r="K2525" s="563">
        <v>-164784.796875</v>
      </c>
      <c r="L2525" s="566">
        <v>-164784.79</v>
      </c>
    </row>
    <row r="2526" spans="1:12" ht="22.5" x14ac:dyDescent="0.2">
      <c r="A2526" s="561" t="s">
        <v>3294</v>
      </c>
      <c r="B2526" s="562">
        <v>2021</v>
      </c>
      <c r="C2526" s="561" t="s">
        <v>720</v>
      </c>
      <c r="D2526" s="561" t="s">
        <v>3320</v>
      </c>
      <c r="E2526" s="561" t="s">
        <v>66</v>
      </c>
      <c r="F2526" s="563">
        <v>1126692.1100000001</v>
      </c>
      <c r="G2526" s="561" t="s">
        <v>654</v>
      </c>
      <c r="H2526" s="564"/>
      <c r="I2526" s="563">
        <v>1085512.125</v>
      </c>
      <c r="J2526" s="563">
        <v>41180</v>
      </c>
      <c r="K2526" s="563">
        <v>1126692.125</v>
      </c>
      <c r="L2526" s="566">
        <v>1126692.1100000001</v>
      </c>
    </row>
    <row r="2527" spans="1:12" ht="45" x14ac:dyDescent="0.2">
      <c r="A2527" s="561" t="s">
        <v>3294</v>
      </c>
      <c r="B2527" s="562">
        <v>2021</v>
      </c>
      <c r="C2527" s="561" t="s">
        <v>722</v>
      </c>
      <c r="D2527" s="561" t="s">
        <v>3321</v>
      </c>
      <c r="E2527" s="561" t="s">
        <v>724</v>
      </c>
      <c r="F2527" s="563">
        <v>-6354.88</v>
      </c>
      <c r="G2527" s="564"/>
      <c r="H2527" s="561" t="s">
        <v>654</v>
      </c>
      <c r="I2527" s="565"/>
      <c r="J2527" s="565"/>
      <c r="K2527" s="563">
        <v>0</v>
      </c>
      <c r="L2527" s="566">
        <v>-6354.88</v>
      </c>
    </row>
    <row r="2528" spans="1:12" ht="45" x14ac:dyDescent="0.2">
      <c r="A2528" s="561" t="s">
        <v>3294</v>
      </c>
      <c r="B2528" s="562">
        <v>2021</v>
      </c>
      <c r="C2528" s="561" t="s">
        <v>725</v>
      </c>
      <c r="D2528" s="561" t="s">
        <v>3322</v>
      </c>
      <c r="E2528" s="561" t="s">
        <v>3024</v>
      </c>
      <c r="F2528" s="563">
        <v>0</v>
      </c>
      <c r="G2528" s="561" t="s">
        <v>654</v>
      </c>
      <c r="H2528" s="564"/>
      <c r="I2528" s="563">
        <v>382488.71875</v>
      </c>
      <c r="J2528" s="563">
        <v>-444223.03125</v>
      </c>
      <c r="K2528" s="563">
        <v>-61734.30859375</v>
      </c>
      <c r="L2528" s="566">
        <v>-61734.31</v>
      </c>
    </row>
    <row r="2529" spans="1:12" ht="45" x14ac:dyDescent="0.2">
      <c r="A2529" s="561" t="s">
        <v>3294</v>
      </c>
      <c r="B2529" s="562">
        <v>2021</v>
      </c>
      <c r="C2529" s="561" t="s">
        <v>725</v>
      </c>
      <c r="D2529" s="561" t="s">
        <v>3322</v>
      </c>
      <c r="E2529" s="561" t="s">
        <v>3066</v>
      </c>
      <c r="F2529" s="563">
        <v>0</v>
      </c>
      <c r="G2529" s="561" t="s">
        <v>654</v>
      </c>
      <c r="H2529" s="564"/>
      <c r="I2529" s="563">
        <v>88097.3515625</v>
      </c>
      <c r="J2529" s="563">
        <v>2963.93994140625</v>
      </c>
      <c r="K2529" s="563">
        <v>91061.2890625</v>
      </c>
      <c r="L2529" s="566">
        <v>91061.29</v>
      </c>
    </row>
    <row r="2530" spans="1:12" ht="45" x14ac:dyDescent="0.2">
      <c r="A2530" s="561" t="s">
        <v>3294</v>
      </c>
      <c r="B2530" s="562">
        <v>2021</v>
      </c>
      <c r="C2530" s="561" t="s">
        <v>725</v>
      </c>
      <c r="D2530" s="561" t="s">
        <v>3323</v>
      </c>
      <c r="E2530" s="561" t="s">
        <v>728</v>
      </c>
      <c r="F2530" s="563">
        <v>0</v>
      </c>
      <c r="G2530" s="561" t="s">
        <v>654</v>
      </c>
      <c r="H2530" s="564"/>
      <c r="I2530" s="565"/>
      <c r="J2530" s="565"/>
      <c r="K2530" s="563">
        <v>0</v>
      </c>
      <c r="L2530" s="566">
        <v>0</v>
      </c>
    </row>
    <row r="2531" spans="1:12" ht="45" x14ac:dyDescent="0.2">
      <c r="A2531" s="561" t="s">
        <v>3294</v>
      </c>
      <c r="B2531" s="562">
        <v>2021</v>
      </c>
      <c r="C2531" s="561" t="s">
        <v>725</v>
      </c>
      <c r="D2531" s="561" t="s">
        <v>3324</v>
      </c>
      <c r="E2531" s="561" t="s">
        <v>55</v>
      </c>
      <c r="F2531" s="563">
        <v>0</v>
      </c>
      <c r="G2531" s="561" t="s">
        <v>654</v>
      </c>
      <c r="H2531" s="564"/>
      <c r="I2531" s="565"/>
      <c r="J2531" s="565"/>
      <c r="K2531" s="563">
        <v>0</v>
      </c>
      <c r="L2531" s="566">
        <v>0</v>
      </c>
    </row>
    <row r="2532" spans="1:12" ht="45" x14ac:dyDescent="0.2">
      <c r="A2532" s="561" t="s">
        <v>3294</v>
      </c>
      <c r="B2532" s="562">
        <v>2021</v>
      </c>
      <c r="C2532" s="561" t="s">
        <v>725</v>
      </c>
      <c r="D2532" s="561" t="s">
        <v>3325</v>
      </c>
      <c r="E2532" s="561" t="s">
        <v>56</v>
      </c>
      <c r="F2532" s="563">
        <v>0</v>
      </c>
      <c r="G2532" s="561" t="s">
        <v>654</v>
      </c>
      <c r="H2532" s="564"/>
      <c r="I2532" s="565"/>
      <c r="J2532" s="565"/>
      <c r="K2532" s="563">
        <v>0</v>
      </c>
      <c r="L2532" s="566">
        <v>0</v>
      </c>
    </row>
    <row r="2533" spans="1:12" ht="45" x14ac:dyDescent="0.2">
      <c r="A2533" s="561" t="s">
        <v>3294</v>
      </c>
      <c r="B2533" s="562">
        <v>2021</v>
      </c>
      <c r="C2533" s="561" t="s">
        <v>725</v>
      </c>
      <c r="D2533" s="561" t="s">
        <v>3326</v>
      </c>
      <c r="E2533" s="561" t="s">
        <v>732</v>
      </c>
      <c r="F2533" s="563">
        <v>0</v>
      </c>
      <c r="G2533" s="561" t="s">
        <v>654</v>
      </c>
      <c r="H2533" s="564"/>
      <c r="I2533" s="565"/>
      <c r="J2533" s="565"/>
      <c r="K2533" s="563">
        <v>0</v>
      </c>
      <c r="L2533" s="566">
        <v>0</v>
      </c>
    </row>
    <row r="2534" spans="1:12" ht="45" x14ac:dyDescent="0.2">
      <c r="A2534" s="561" t="s">
        <v>3294</v>
      </c>
      <c r="B2534" s="562">
        <v>2021</v>
      </c>
      <c r="C2534" s="561" t="s">
        <v>725</v>
      </c>
      <c r="D2534" s="561" t="s">
        <v>3327</v>
      </c>
      <c r="E2534" s="561" t="s">
        <v>734</v>
      </c>
      <c r="F2534" s="563">
        <v>0</v>
      </c>
      <c r="G2534" s="561" t="s">
        <v>654</v>
      </c>
      <c r="H2534" s="564"/>
      <c r="I2534" s="565"/>
      <c r="J2534" s="565"/>
      <c r="K2534" s="563">
        <v>0</v>
      </c>
      <c r="L2534" s="566">
        <v>0</v>
      </c>
    </row>
    <row r="2535" spans="1:12" ht="45" x14ac:dyDescent="0.2">
      <c r="A2535" s="561" t="s">
        <v>3294</v>
      </c>
      <c r="B2535" s="562">
        <v>2021</v>
      </c>
      <c r="C2535" s="561" t="s">
        <v>725</v>
      </c>
      <c r="D2535" s="561" t="s">
        <v>3328</v>
      </c>
      <c r="E2535" s="561" t="s">
        <v>142</v>
      </c>
      <c r="F2535" s="563">
        <v>0</v>
      </c>
      <c r="G2535" s="561" t="s">
        <v>654</v>
      </c>
      <c r="H2535" s="564"/>
      <c r="I2535" s="565"/>
      <c r="J2535" s="565"/>
      <c r="K2535" s="563">
        <v>0</v>
      </c>
      <c r="L2535" s="566">
        <v>0</v>
      </c>
    </row>
    <row r="2536" spans="1:12" ht="45" x14ac:dyDescent="0.2">
      <c r="A2536" s="561" t="s">
        <v>3294</v>
      </c>
      <c r="B2536" s="562">
        <v>2021</v>
      </c>
      <c r="C2536" s="561" t="s">
        <v>725</v>
      </c>
      <c r="D2536" s="561" t="s">
        <v>3329</v>
      </c>
      <c r="E2536" s="561" t="s">
        <v>143</v>
      </c>
      <c r="F2536" s="563">
        <v>0</v>
      </c>
      <c r="G2536" s="561" t="s">
        <v>654</v>
      </c>
      <c r="H2536" s="564"/>
      <c r="I2536" s="565"/>
      <c r="J2536" s="565"/>
      <c r="K2536" s="563">
        <v>0</v>
      </c>
      <c r="L2536" s="566">
        <v>0</v>
      </c>
    </row>
    <row r="2537" spans="1:12" ht="45" x14ac:dyDescent="0.2">
      <c r="A2537" s="561" t="s">
        <v>3294</v>
      </c>
      <c r="B2537" s="562">
        <v>2021</v>
      </c>
      <c r="C2537" s="561" t="s">
        <v>725</v>
      </c>
      <c r="D2537" s="561" t="s">
        <v>3330</v>
      </c>
      <c r="E2537" s="561" t="s">
        <v>182</v>
      </c>
      <c r="F2537" s="563">
        <v>0</v>
      </c>
      <c r="G2537" s="561" t="s">
        <v>654</v>
      </c>
      <c r="H2537" s="564"/>
      <c r="I2537" s="565"/>
      <c r="J2537" s="563">
        <v>-1368.06994628906</v>
      </c>
      <c r="K2537" s="563">
        <v>-1368.06994628906</v>
      </c>
      <c r="L2537" s="566">
        <v>-1368.07</v>
      </c>
    </row>
    <row r="2538" spans="1:12" ht="45" x14ac:dyDescent="0.2">
      <c r="A2538" s="561" t="s">
        <v>3294</v>
      </c>
      <c r="B2538" s="562">
        <v>2021</v>
      </c>
      <c r="C2538" s="561" t="s">
        <v>725</v>
      </c>
      <c r="D2538" s="561" t="s">
        <v>3331</v>
      </c>
      <c r="E2538" s="561" t="s">
        <v>394</v>
      </c>
      <c r="F2538" s="563">
        <v>0</v>
      </c>
      <c r="G2538" s="561" t="s">
        <v>654</v>
      </c>
      <c r="H2538" s="564"/>
      <c r="I2538" s="563">
        <v>47.259998321533203</v>
      </c>
      <c r="J2538" s="563">
        <v>-2552.93994140625</v>
      </c>
      <c r="K2538" s="563">
        <v>-2505.67993164063</v>
      </c>
      <c r="L2538" s="566">
        <v>-2505.6799999999998</v>
      </c>
    </row>
    <row r="2539" spans="1:12" ht="45" x14ac:dyDescent="0.2">
      <c r="A2539" s="561" t="s">
        <v>3294</v>
      </c>
      <c r="B2539" s="562">
        <v>2021</v>
      </c>
      <c r="C2539" s="561" t="s">
        <v>725</v>
      </c>
      <c r="D2539" s="561" t="s">
        <v>3332</v>
      </c>
      <c r="E2539" s="561" t="s">
        <v>425</v>
      </c>
      <c r="F2539" s="563">
        <v>0</v>
      </c>
      <c r="G2539" s="561" t="s">
        <v>654</v>
      </c>
      <c r="H2539" s="564"/>
      <c r="I2539" s="563">
        <v>175994.0625</v>
      </c>
      <c r="J2539" s="563">
        <v>-37681.19140625</v>
      </c>
      <c r="K2539" s="563">
        <v>138312.875</v>
      </c>
      <c r="L2539" s="566">
        <v>138312.87</v>
      </c>
    </row>
    <row r="2540" spans="1:12" ht="45" x14ac:dyDescent="0.2">
      <c r="A2540" s="561" t="s">
        <v>3294</v>
      </c>
      <c r="B2540" s="562">
        <v>2021</v>
      </c>
      <c r="C2540" s="561" t="s">
        <v>725</v>
      </c>
      <c r="D2540" s="561" t="s">
        <v>3333</v>
      </c>
      <c r="E2540" s="561" t="s">
        <v>443</v>
      </c>
      <c r="F2540" s="563">
        <v>0</v>
      </c>
      <c r="G2540" s="561" t="s">
        <v>654</v>
      </c>
      <c r="H2540" s="564"/>
      <c r="I2540" s="563">
        <v>150700.03125</v>
      </c>
      <c r="J2540" s="563">
        <v>-146619.546875</v>
      </c>
      <c r="K2540" s="563">
        <v>4080.48999023438</v>
      </c>
      <c r="L2540" s="566">
        <v>4080.4899999999898</v>
      </c>
    </row>
    <row r="2541" spans="1:12" ht="45" x14ac:dyDescent="0.2">
      <c r="A2541" s="561" t="s">
        <v>3294</v>
      </c>
      <c r="B2541" s="562">
        <v>2021</v>
      </c>
      <c r="C2541" s="561" t="s">
        <v>725</v>
      </c>
      <c r="D2541" s="561" t="s">
        <v>3334</v>
      </c>
      <c r="E2541" s="561" t="s">
        <v>741</v>
      </c>
      <c r="F2541" s="563">
        <v>167846.59</v>
      </c>
      <c r="G2541" s="564"/>
      <c r="H2541" s="564"/>
      <c r="I2541" s="565"/>
      <c r="J2541" s="565"/>
      <c r="K2541" s="563">
        <v>0</v>
      </c>
      <c r="L2541" s="566">
        <v>167846.59</v>
      </c>
    </row>
    <row r="2542" spans="1:12" ht="22.5" x14ac:dyDescent="0.2">
      <c r="A2542" s="561" t="s">
        <v>3294</v>
      </c>
      <c r="B2542" s="562">
        <v>2021</v>
      </c>
      <c r="C2542" s="561" t="s">
        <v>742</v>
      </c>
      <c r="D2542" s="561" t="s">
        <v>3335</v>
      </c>
      <c r="E2542" s="561" t="s">
        <v>7</v>
      </c>
      <c r="F2542" s="563">
        <v>0</v>
      </c>
      <c r="G2542" s="564"/>
      <c r="H2542" s="561" t="s">
        <v>654</v>
      </c>
      <c r="I2542" s="565"/>
      <c r="J2542" s="565"/>
      <c r="K2542" s="563">
        <v>0</v>
      </c>
      <c r="L2542" s="566">
        <v>0</v>
      </c>
    </row>
    <row r="2543" spans="1:12" ht="22.5" x14ac:dyDescent="0.2">
      <c r="A2543" s="561" t="s">
        <v>116</v>
      </c>
      <c r="B2543" s="562">
        <v>2021</v>
      </c>
      <c r="C2543" s="561" t="s">
        <v>651</v>
      </c>
      <c r="D2543" s="561" t="s">
        <v>2589</v>
      </c>
      <c r="E2543" s="561" t="s">
        <v>653</v>
      </c>
      <c r="F2543" s="563">
        <v>0</v>
      </c>
      <c r="G2543" s="564"/>
      <c r="H2543" s="561" t="s">
        <v>654</v>
      </c>
      <c r="I2543" s="565"/>
      <c r="J2543" s="565"/>
      <c r="K2543" s="563">
        <v>0</v>
      </c>
      <c r="L2543" s="566">
        <v>0</v>
      </c>
    </row>
    <row r="2544" spans="1:12" ht="15" x14ac:dyDescent="0.2">
      <c r="A2544" s="561" t="s">
        <v>116</v>
      </c>
      <c r="B2544" s="562">
        <v>2021</v>
      </c>
      <c r="C2544" s="561" t="s">
        <v>655</v>
      </c>
      <c r="D2544" s="561" t="s">
        <v>2590</v>
      </c>
      <c r="E2544" s="561" t="s">
        <v>657</v>
      </c>
      <c r="F2544" s="563">
        <v>0</v>
      </c>
      <c r="G2544" s="564"/>
      <c r="H2544" s="561" t="s">
        <v>654</v>
      </c>
      <c r="I2544" s="565"/>
      <c r="J2544" s="565"/>
      <c r="K2544" s="563">
        <v>0</v>
      </c>
      <c r="L2544" s="566">
        <v>0</v>
      </c>
    </row>
    <row r="2545" spans="1:12" ht="56.25" x14ac:dyDescent="0.2">
      <c r="A2545" s="561" t="s">
        <v>116</v>
      </c>
      <c r="B2545" s="562">
        <v>2021</v>
      </c>
      <c r="C2545" s="561" t="s">
        <v>658</v>
      </c>
      <c r="D2545" s="561" t="s">
        <v>2591</v>
      </c>
      <c r="E2545" s="561" t="s">
        <v>447</v>
      </c>
      <c r="F2545" s="563">
        <v>0</v>
      </c>
      <c r="G2545" s="564"/>
      <c r="H2545" s="561" t="s">
        <v>654</v>
      </c>
      <c r="I2545" s="565"/>
      <c r="J2545" s="565"/>
      <c r="K2545" s="563">
        <v>0</v>
      </c>
      <c r="L2545" s="566">
        <v>0</v>
      </c>
    </row>
    <row r="2546" spans="1:12" ht="22.5" x14ac:dyDescent="0.2">
      <c r="A2546" s="561" t="s">
        <v>116</v>
      </c>
      <c r="B2546" s="562">
        <v>2021</v>
      </c>
      <c r="C2546" s="561" t="s">
        <v>660</v>
      </c>
      <c r="D2546" s="561" t="s">
        <v>2592</v>
      </c>
      <c r="E2546" s="561" t="s">
        <v>662</v>
      </c>
      <c r="F2546" s="563">
        <v>0</v>
      </c>
      <c r="G2546" s="564"/>
      <c r="H2546" s="561" t="s">
        <v>654</v>
      </c>
      <c r="I2546" s="565"/>
      <c r="J2546" s="565"/>
      <c r="K2546" s="563">
        <v>0</v>
      </c>
      <c r="L2546" s="566">
        <v>0</v>
      </c>
    </row>
    <row r="2547" spans="1:12" ht="33.75" x14ac:dyDescent="0.2">
      <c r="A2547" s="561" t="s">
        <v>116</v>
      </c>
      <c r="B2547" s="562">
        <v>2021</v>
      </c>
      <c r="C2547" s="561" t="s">
        <v>663</v>
      </c>
      <c r="D2547" s="561" t="s">
        <v>2593</v>
      </c>
      <c r="E2547" s="561" t="s">
        <v>665</v>
      </c>
      <c r="F2547" s="563">
        <v>0</v>
      </c>
      <c r="G2547" s="564"/>
      <c r="H2547" s="561" t="s">
        <v>654</v>
      </c>
      <c r="I2547" s="565"/>
      <c r="J2547" s="565"/>
      <c r="K2547" s="563">
        <v>0</v>
      </c>
      <c r="L2547" s="566">
        <v>0</v>
      </c>
    </row>
    <row r="2548" spans="1:12" ht="33.75" x14ac:dyDescent="0.2">
      <c r="A2548" s="561" t="s">
        <v>116</v>
      </c>
      <c r="B2548" s="562">
        <v>2021</v>
      </c>
      <c r="C2548" s="561" t="s">
        <v>666</v>
      </c>
      <c r="D2548" s="561" t="s">
        <v>2594</v>
      </c>
      <c r="E2548" s="561" t="s">
        <v>668</v>
      </c>
      <c r="F2548" s="563">
        <v>0</v>
      </c>
      <c r="G2548" s="564"/>
      <c r="H2548" s="561" t="s">
        <v>654</v>
      </c>
      <c r="I2548" s="565"/>
      <c r="J2548" s="565"/>
      <c r="K2548" s="563">
        <v>0</v>
      </c>
      <c r="L2548" s="566">
        <v>0</v>
      </c>
    </row>
    <row r="2549" spans="1:12" ht="56.25" x14ac:dyDescent="0.2">
      <c r="A2549" s="561" t="s">
        <v>116</v>
      </c>
      <c r="B2549" s="562">
        <v>2021</v>
      </c>
      <c r="C2549" s="561" t="s">
        <v>669</v>
      </c>
      <c r="D2549" s="561" t="s">
        <v>2595</v>
      </c>
      <c r="E2549" s="561" t="s">
        <v>671</v>
      </c>
      <c r="F2549" s="563">
        <v>0</v>
      </c>
      <c r="G2549" s="564"/>
      <c r="H2549" s="561" t="s">
        <v>654</v>
      </c>
      <c r="I2549" s="565"/>
      <c r="J2549" s="565"/>
      <c r="K2549" s="563">
        <v>0</v>
      </c>
      <c r="L2549" s="566">
        <v>0</v>
      </c>
    </row>
    <row r="2550" spans="1:12" ht="22.5" x14ac:dyDescent="0.2">
      <c r="A2550" s="561" t="s">
        <v>116</v>
      </c>
      <c r="B2550" s="562">
        <v>2021</v>
      </c>
      <c r="C2550" s="561" t="s">
        <v>672</v>
      </c>
      <c r="D2550" s="561" t="s">
        <v>2596</v>
      </c>
      <c r="E2550" s="561" t="s">
        <v>12</v>
      </c>
      <c r="F2550" s="563">
        <v>0</v>
      </c>
      <c r="G2550" s="564"/>
      <c r="H2550" s="561" t="s">
        <v>654</v>
      </c>
      <c r="I2550" s="565"/>
      <c r="J2550" s="565"/>
      <c r="K2550" s="563">
        <v>0</v>
      </c>
      <c r="L2550" s="566">
        <v>0</v>
      </c>
    </row>
    <row r="2551" spans="1:12" ht="22.5" x14ac:dyDescent="0.2">
      <c r="A2551" s="561" t="s">
        <v>116</v>
      </c>
      <c r="B2551" s="562">
        <v>2021</v>
      </c>
      <c r="C2551" s="561" t="s">
        <v>674</v>
      </c>
      <c r="D2551" s="561" t="s">
        <v>2597</v>
      </c>
      <c r="E2551" s="561" t="s">
        <v>13</v>
      </c>
      <c r="F2551" s="563">
        <v>0</v>
      </c>
      <c r="G2551" s="564"/>
      <c r="H2551" s="561" t="s">
        <v>654</v>
      </c>
      <c r="I2551" s="565"/>
      <c r="J2551" s="565"/>
      <c r="K2551" s="563">
        <v>0</v>
      </c>
      <c r="L2551" s="566">
        <v>0</v>
      </c>
    </row>
    <row r="2552" spans="1:12" ht="33.75" x14ac:dyDescent="0.2">
      <c r="A2552" s="561" t="s">
        <v>116</v>
      </c>
      <c r="B2552" s="562">
        <v>2021</v>
      </c>
      <c r="C2552" s="561" t="s">
        <v>676</v>
      </c>
      <c r="D2552" s="561" t="s">
        <v>2598</v>
      </c>
      <c r="E2552" s="561" t="s">
        <v>15</v>
      </c>
      <c r="F2552" s="563">
        <v>0</v>
      </c>
      <c r="G2552" s="564"/>
      <c r="H2552" s="561" t="s">
        <v>654</v>
      </c>
      <c r="I2552" s="565"/>
      <c r="J2552" s="565"/>
      <c r="K2552" s="563">
        <v>0</v>
      </c>
      <c r="L2552" s="566">
        <v>0</v>
      </c>
    </row>
    <row r="2553" spans="1:12" ht="15" x14ac:dyDescent="0.2">
      <c r="A2553" s="561" t="s">
        <v>116</v>
      </c>
      <c r="B2553" s="562">
        <v>2021</v>
      </c>
      <c r="C2553" s="561" t="s">
        <v>678</v>
      </c>
      <c r="D2553" s="561" t="s">
        <v>2599</v>
      </c>
      <c r="E2553" s="561" t="s">
        <v>680</v>
      </c>
      <c r="F2553" s="563">
        <v>0</v>
      </c>
      <c r="G2553" s="564"/>
      <c r="H2553" s="561" t="s">
        <v>654</v>
      </c>
      <c r="I2553" s="565"/>
      <c r="J2553" s="565"/>
      <c r="K2553" s="563">
        <v>0</v>
      </c>
      <c r="L2553" s="566">
        <v>0</v>
      </c>
    </row>
    <row r="2554" spans="1:12" ht="15" x14ac:dyDescent="0.2">
      <c r="A2554" s="561" t="s">
        <v>116</v>
      </c>
      <c r="B2554" s="562">
        <v>2021</v>
      </c>
      <c r="C2554" s="561" t="s">
        <v>681</v>
      </c>
      <c r="D2554" s="561" t="s">
        <v>2600</v>
      </c>
      <c r="E2554" s="561" t="s">
        <v>23</v>
      </c>
      <c r="F2554" s="563">
        <v>0</v>
      </c>
      <c r="G2554" s="561" t="s">
        <v>654</v>
      </c>
      <c r="H2554" s="564"/>
      <c r="I2554" s="565"/>
      <c r="J2554" s="565"/>
      <c r="K2554" s="563">
        <v>0</v>
      </c>
      <c r="L2554" s="566">
        <v>0</v>
      </c>
    </row>
    <row r="2555" spans="1:12" ht="33.75" x14ac:dyDescent="0.2">
      <c r="A2555" s="561" t="s">
        <v>116</v>
      </c>
      <c r="B2555" s="562">
        <v>2021</v>
      </c>
      <c r="C2555" s="561" t="s">
        <v>683</v>
      </c>
      <c r="D2555" s="561" t="s">
        <v>2601</v>
      </c>
      <c r="E2555" s="561" t="s">
        <v>131</v>
      </c>
      <c r="F2555" s="563">
        <v>-20699.669999999998</v>
      </c>
      <c r="G2555" s="561" t="s">
        <v>654</v>
      </c>
      <c r="H2555" s="564"/>
      <c r="I2555" s="563">
        <v>-19884.009765625</v>
      </c>
      <c r="J2555" s="563">
        <v>-815.65997314453102</v>
      </c>
      <c r="K2555" s="563">
        <v>-20699.669921875</v>
      </c>
      <c r="L2555" s="566">
        <v>-20699.669999999998</v>
      </c>
    </row>
    <row r="2556" spans="1:12" ht="33.75" x14ac:dyDescent="0.2">
      <c r="A2556" s="561" t="s">
        <v>116</v>
      </c>
      <c r="B2556" s="562">
        <v>2021</v>
      </c>
      <c r="C2556" s="561" t="s">
        <v>685</v>
      </c>
      <c r="D2556" s="561" t="s">
        <v>2602</v>
      </c>
      <c r="E2556" s="561" t="s">
        <v>687</v>
      </c>
      <c r="F2556" s="563">
        <v>-315.91000000000003</v>
      </c>
      <c r="G2556" s="564"/>
      <c r="H2556" s="561" t="s">
        <v>654</v>
      </c>
      <c r="I2556" s="565"/>
      <c r="J2556" s="565"/>
      <c r="K2556" s="563">
        <v>0</v>
      </c>
      <c r="L2556" s="566">
        <v>-315.91000000000003</v>
      </c>
    </row>
    <row r="2557" spans="1:12" ht="33.75" x14ac:dyDescent="0.2">
      <c r="A2557" s="561" t="s">
        <v>116</v>
      </c>
      <c r="B2557" s="562">
        <v>2021</v>
      </c>
      <c r="C2557" s="561" t="s">
        <v>685</v>
      </c>
      <c r="D2557" s="561" t="s">
        <v>2602</v>
      </c>
      <c r="E2557" s="561" t="s">
        <v>688</v>
      </c>
      <c r="F2557" s="563">
        <v>-351.91</v>
      </c>
      <c r="G2557" s="564"/>
      <c r="H2557" s="561" t="s">
        <v>654</v>
      </c>
      <c r="I2557" s="565"/>
      <c r="J2557" s="565"/>
      <c r="K2557" s="563">
        <v>0</v>
      </c>
      <c r="L2557" s="566">
        <v>-351.91</v>
      </c>
    </row>
    <row r="2558" spans="1:12" ht="22.5" x14ac:dyDescent="0.2">
      <c r="A2558" s="561" t="s">
        <v>116</v>
      </c>
      <c r="B2558" s="562">
        <v>2021</v>
      </c>
      <c r="C2558" s="561" t="s">
        <v>689</v>
      </c>
      <c r="D2558" s="561" t="s">
        <v>2603</v>
      </c>
      <c r="E2558" s="561" t="s">
        <v>691</v>
      </c>
      <c r="F2558" s="563">
        <v>0</v>
      </c>
      <c r="G2558" s="564"/>
      <c r="H2558" s="561" t="s">
        <v>654</v>
      </c>
      <c r="I2558" s="565"/>
      <c r="J2558" s="565"/>
      <c r="K2558" s="563">
        <v>0</v>
      </c>
      <c r="L2558" s="566">
        <v>0</v>
      </c>
    </row>
    <row r="2559" spans="1:12" ht="22.5" x14ac:dyDescent="0.2">
      <c r="A2559" s="561" t="s">
        <v>116</v>
      </c>
      <c r="B2559" s="562">
        <v>2021</v>
      </c>
      <c r="C2559" s="561" t="s">
        <v>692</v>
      </c>
      <c r="D2559" s="561" t="s">
        <v>2604</v>
      </c>
      <c r="E2559" s="561" t="s">
        <v>50</v>
      </c>
      <c r="F2559" s="563">
        <v>21762.79</v>
      </c>
      <c r="G2559" s="564"/>
      <c r="H2559" s="561" t="s">
        <v>654</v>
      </c>
      <c r="I2559" s="565"/>
      <c r="J2559" s="565"/>
      <c r="K2559" s="563">
        <v>0</v>
      </c>
      <c r="L2559" s="566">
        <v>21762.79</v>
      </c>
    </row>
    <row r="2560" spans="1:12" ht="22.5" x14ac:dyDescent="0.2">
      <c r="A2560" s="561" t="s">
        <v>116</v>
      </c>
      <c r="B2560" s="562">
        <v>2021</v>
      </c>
      <c r="C2560" s="561" t="s">
        <v>694</v>
      </c>
      <c r="D2560" s="561" t="s">
        <v>2605</v>
      </c>
      <c r="E2560" s="561" t="s">
        <v>696</v>
      </c>
      <c r="F2560" s="563">
        <v>0</v>
      </c>
      <c r="G2560" s="564"/>
      <c r="H2560" s="561" t="s">
        <v>654</v>
      </c>
      <c r="I2560" s="565"/>
      <c r="J2560" s="565"/>
      <c r="K2560" s="563">
        <v>0</v>
      </c>
      <c r="L2560" s="566">
        <v>0</v>
      </c>
    </row>
    <row r="2561" spans="1:12" ht="22.5" x14ac:dyDescent="0.2">
      <c r="A2561" s="561" t="s">
        <v>116</v>
      </c>
      <c r="B2561" s="562">
        <v>2021</v>
      </c>
      <c r="C2561" s="561" t="s">
        <v>697</v>
      </c>
      <c r="D2561" s="561" t="s">
        <v>2606</v>
      </c>
      <c r="E2561" s="561" t="s">
        <v>6</v>
      </c>
      <c r="F2561" s="563">
        <v>0</v>
      </c>
      <c r="G2561" s="564"/>
      <c r="H2561" s="561" t="s">
        <v>654</v>
      </c>
      <c r="I2561" s="565"/>
      <c r="J2561" s="565"/>
      <c r="K2561" s="563">
        <v>0</v>
      </c>
      <c r="L2561" s="566">
        <v>0</v>
      </c>
    </row>
    <row r="2562" spans="1:12" ht="33.75" x14ac:dyDescent="0.2">
      <c r="A2562" s="561" t="s">
        <v>116</v>
      </c>
      <c r="B2562" s="562">
        <v>2021</v>
      </c>
      <c r="C2562" s="561" t="s">
        <v>699</v>
      </c>
      <c r="D2562" s="561" t="s">
        <v>2607</v>
      </c>
      <c r="E2562" s="561" t="s">
        <v>701</v>
      </c>
      <c r="F2562" s="563">
        <v>0</v>
      </c>
      <c r="G2562" s="564"/>
      <c r="H2562" s="561" t="s">
        <v>654</v>
      </c>
      <c r="I2562" s="565"/>
      <c r="J2562" s="565"/>
      <c r="K2562" s="563">
        <v>0</v>
      </c>
      <c r="L2562" s="566">
        <v>0</v>
      </c>
    </row>
    <row r="2563" spans="1:12" ht="22.5" x14ac:dyDescent="0.2">
      <c r="A2563" s="561" t="s">
        <v>116</v>
      </c>
      <c r="B2563" s="562">
        <v>2021</v>
      </c>
      <c r="C2563" s="561" t="s">
        <v>702</v>
      </c>
      <c r="D2563" s="561" t="s">
        <v>2608</v>
      </c>
      <c r="E2563" s="561" t="s">
        <v>704</v>
      </c>
      <c r="F2563" s="563">
        <v>0</v>
      </c>
      <c r="G2563" s="564"/>
      <c r="H2563" s="561" t="s">
        <v>654</v>
      </c>
      <c r="I2563" s="565"/>
      <c r="J2563" s="565"/>
      <c r="K2563" s="563">
        <v>0</v>
      </c>
      <c r="L2563" s="566">
        <v>0</v>
      </c>
    </row>
    <row r="2564" spans="1:12" ht="33.75" x14ac:dyDescent="0.2">
      <c r="A2564" s="561" t="s">
        <v>116</v>
      </c>
      <c r="B2564" s="562">
        <v>2021</v>
      </c>
      <c r="C2564" s="561" t="s">
        <v>705</v>
      </c>
      <c r="D2564" s="561" t="s">
        <v>2609</v>
      </c>
      <c r="E2564" s="561" t="s">
        <v>1</v>
      </c>
      <c r="F2564" s="563">
        <v>-553532.49</v>
      </c>
      <c r="G2564" s="561" t="s">
        <v>654</v>
      </c>
      <c r="H2564" s="564"/>
      <c r="I2564" s="563">
        <v>-522151.875</v>
      </c>
      <c r="J2564" s="563">
        <v>-31380.609375</v>
      </c>
      <c r="K2564" s="563">
        <v>-553532.5</v>
      </c>
      <c r="L2564" s="566">
        <v>-553532.49</v>
      </c>
    </row>
    <row r="2565" spans="1:12" ht="22.5" x14ac:dyDescent="0.2">
      <c r="A2565" s="561" t="s">
        <v>116</v>
      </c>
      <c r="B2565" s="562">
        <v>2021</v>
      </c>
      <c r="C2565" s="561" t="s">
        <v>705</v>
      </c>
      <c r="D2565" s="561" t="s">
        <v>2609</v>
      </c>
      <c r="E2565" s="561" t="s">
        <v>707</v>
      </c>
      <c r="F2565" s="563">
        <v>-31380.61</v>
      </c>
      <c r="G2565" s="564"/>
      <c r="H2565" s="564"/>
      <c r="I2565" s="565"/>
      <c r="J2565" s="565"/>
      <c r="K2565" s="563">
        <v>0</v>
      </c>
      <c r="L2565" s="566">
        <v>-31380.61</v>
      </c>
    </row>
    <row r="2566" spans="1:12" ht="22.5" x14ac:dyDescent="0.2">
      <c r="A2566" s="561" t="s">
        <v>116</v>
      </c>
      <c r="B2566" s="562">
        <v>2021</v>
      </c>
      <c r="C2566" s="561" t="s">
        <v>705</v>
      </c>
      <c r="D2566" s="561" t="s">
        <v>2609</v>
      </c>
      <c r="E2566" s="561" t="s">
        <v>708</v>
      </c>
      <c r="F2566" s="563">
        <v>-522151.88</v>
      </c>
      <c r="G2566" s="564"/>
      <c r="H2566" s="564"/>
      <c r="I2566" s="565"/>
      <c r="J2566" s="565"/>
      <c r="K2566" s="563">
        <v>0</v>
      </c>
      <c r="L2566" s="566">
        <v>-522151.88</v>
      </c>
    </row>
    <row r="2567" spans="1:12" ht="22.5" x14ac:dyDescent="0.2">
      <c r="A2567" s="561" t="s">
        <v>116</v>
      </c>
      <c r="B2567" s="562">
        <v>2021</v>
      </c>
      <c r="C2567" s="561" t="s">
        <v>705</v>
      </c>
      <c r="D2567" s="561" t="s">
        <v>2609</v>
      </c>
      <c r="E2567" s="561" t="s">
        <v>709</v>
      </c>
      <c r="F2567" s="563">
        <v>0</v>
      </c>
      <c r="G2567" s="564"/>
      <c r="H2567" s="564"/>
      <c r="I2567" s="565"/>
      <c r="J2567" s="565"/>
      <c r="K2567" s="563">
        <v>0</v>
      </c>
      <c r="L2567" s="566">
        <v>0</v>
      </c>
    </row>
    <row r="2568" spans="1:12" ht="22.5" x14ac:dyDescent="0.2">
      <c r="A2568" s="561" t="s">
        <v>116</v>
      </c>
      <c r="B2568" s="562">
        <v>2021</v>
      </c>
      <c r="C2568" s="561" t="s">
        <v>705</v>
      </c>
      <c r="D2568" s="561" t="s">
        <v>2609</v>
      </c>
      <c r="E2568" s="561" t="s">
        <v>710</v>
      </c>
      <c r="F2568" s="563">
        <v>0</v>
      </c>
      <c r="G2568" s="564"/>
      <c r="H2568" s="564"/>
      <c r="I2568" s="565"/>
      <c r="J2568" s="565"/>
      <c r="K2568" s="563">
        <v>0</v>
      </c>
      <c r="L2568" s="566">
        <v>0</v>
      </c>
    </row>
    <row r="2569" spans="1:12" ht="15" x14ac:dyDescent="0.2">
      <c r="A2569" s="561" t="s">
        <v>116</v>
      </c>
      <c r="B2569" s="562">
        <v>2021</v>
      </c>
      <c r="C2569" s="561" t="s">
        <v>711</v>
      </c>
      <c r="D2569" s="561" t="s">
        <v>2610</v>
      </c>
      <c r="E2569" s="561" t="s">
        <v>713</v>
      </c>
      <c r="F2569" s="563">
        <v>0</v>
      </c>
      <c r="G2569" s="564"/>
      <c r="H2569" s="561" t="s">
        <v>654</v>
      </c>
      <c r="I2569" s="565"/>
      <c r="J2569" s="565"/>
      <c r="K2569" s="563">
        <v>0</v>
      </c>
      <c r="L2569" s="566">
        <v>0</v>
      </c>
    </row>
    <row r="2570" spans="1:12" ht="33.75" x14ac:dyDescent="0.2">
      <c r="A2570" s="561" t="s">
        <v>116</v>
      </c>
      <c r="B2570" s="562">
        <v>2021</v>
      </c>
      <c r="C2570" s="561" t="s">
        <v>714</v>
      </c>
      <c r="D2570" s="561" t="s">
        <v>2611</v>
      </c>
      <c r="E2570" s="561" t="s">
        <v>2</v>
      </c>
      <c r="F2570" s="563">
        <v>-59813.79</v>
      </c>
      <c r="G2570" s="561" t="s">
        <v>654</v>
      </c>
      <c r="H2570" s="564"/>
      <c r="I2570" s="563">
        <v>-48216.3984375</v>
      </c>
      <c r="J2570" s="563">
        <v>-11597.3896484375</v>
      </c>
      <c r="K2570" s="563">
        <v>-59813.7890625</v>
      </c>
      <c r="L2570" s="566">
        <v>-59813.79</v>
      </c>
    </row>
    <row r="2571" spans="1:12" ht="33.75" x14ac:dyDescent="0.2">
      <c r="A2571" s="561" t="s">
        <v>116</v>
      </c>
      <c r="B2571" s="562">
        <v>2021</v>
      </c>
      <c r="C2571" s="561" t="s">
        <v>716</v>
      </c>
      <c r="D2571" s="561" t="s">
        <v>2612</v>
      </c>
      <c r="E2571" s="561" t="s">
        <v>3</v>
      </c>
      <c r="F2571" s="563">
        <v>83084.59</v>
      </c>
      <c r="G2571" s="561" t="s">
        <v>654</v>
      </c>
      <c r="H2571" s="564"/>
      <c r="I2571" s="563">
        <v>83359.8515625</v>
      </c>
      <c r="J2571" s="563">
        <v>-275.260009765625</v>
      </c>
      <c r="K2571" s="563">
        <v>83084.59375</v>
      </c>
      <c r="L2571" s="566">
        <v>83084.59</v>
      </c>
    </row>
    <row r="2572" spans="1:12" ht="33.75" x14ac:dyDescent="0.2">
      <c r="A2572" s="561" t="s">
        <v>116</v>
      </c>
      <c r="B2572" s="562">
        <v>2021</v>
      </c>
      <c r="C2572" s="561" t="s">
        <v>718</v>
      </c>
      <c r="D2572" s="561" t="s">
        <v>2613</v>
      </c>
      <c r="E2572" s="561" t="s">
        <v>38</v>
      </c>
      <c r="F2572" s="563">
        <v>3979342.24</v>
      </c>
      <c r="G2572" s="561" t="s">
        <v>654</v>
      </c>
      <c r="H2572" s="564"/>
      <c r="I2572" s="563">
        <v>3799704</v>
      </c>
      <c r="J2572" s="563">
        <v>179638.203125</v>
      </c>
      <c r="K2572" s="563">
        <v>3979342.25</v>
      </c>
      <c r="L2572" s="566">
        <v>3979342.24</v>
      </c>
    </row>
    <row r="2573" spans="1:12" ht="22.5" x14ac:dyDescent="0.2">
      <c r="A2573" s="561" t="s">
        <v>116</v>
      </c>
      <c r="B2573" s="562">
        <v>2021</v>
      </c>
      <c r="C2573" s="561" t="s">
        <v>720</v>
      </c>
      <c r="D2573" s="561" t="s">
        <v>2614</v>
      </c>
      <c r="E2573" s="561" t="s">
        <v>66</v>
      </c>
      <c r="F2573" s="563">
        <v>-2879370.78</v>
      </c>
      <c r="G2573" s="561" t="s">
        <v>654</v>
      </c>
      <c r="H2573" s="564"/>
      <c r="I2573" s="563">
        <v>-2736173.25</v>
      </c>
      <c r="J2573" s="563">
        <v>-143197.53125</v>
      </c>
      <c r="K2573" s="563">
        <v>-2879370.75</v>
      </c>
      <c r="L2573" s="566">
        <v>-2879370.78</v>
      </c>
    </row>
    <row r="2574" spans="1:12" ht="45" x14ac:dyDescent="0.2">
      <c r="A2574" s="561" t="s">
        <v>116</v>
      </c>
      <c r="B2574" s="562">
        <v>2021</v>
      </c>
      <c r="C2574" s="561" t="s">
        <v>722</v>
      </c>
      <c r="D2574" s="561" t="s">
        <v>2615</v>
      </c>
      <c r="E2574" s="561" t="s">
        <v>724</v>
      </c>
      <c r="F2574" s="563">
        <v>0</v>
      </c>
      <c r="G2574" s="564"/>
      <c r="H2574" s="561" t="s">
        <v>654</v>
      </c>
      <c r="I2574" s="565"/>
      <c r="J2574" s="565"/>
      <c r="K2574" s="563">
        <v>0</v>
      </c>
      <c r="L2574" s="566">
        <v>0</v>
      </c>
    </row>
    <row r="2575" spans="1:12" ht="45" x14ac:dyDescent="0.2">
      <c r="A2575" s="561" t="s">
        <v>116</v>
      </c>
      <c r="B2575" s="562">
        <v>2021</v>
      </c>
      <c r="C2575" s="561" t="s">
        <v>725</v>
      </c>
      <c r="D2575" s="561" t="s">
        <v>2616</v>
      </c>
      <c r="E2575" s="561" t="s">
        <v>3024</v>
      </c>
      <c r="F2575" s="563">
        <v>0</v>
      </c>
      <c r="G2575" s="561" t="s">
        <v>654</v>
      </c>
      <c r="H2575" s="564"/>
      <c r="I2575" s="565"/>
      <c r="J2575" s="565"/>
      <c r="K2575" s="563">
        <v>0</v>
      </c>
      <c r="L2575" s="566">
        <v>0</v>
      </c>
    </row>
    <row r="2576" spans="1:12" ht="45" x14ac:dyDescent="0.2">
      <c r="A2576" s="561" t="s">
        <v>116</v>
      </c>
      <c r="B2576" s="562">
        <v>2021</v>
      </c>
      <c r="C2576" s="561" t="s">
        <v>725</v>
      </c>
      <c r="D2576" s="561" t="s">
        <v>2616</v>
      </c>
      <c r="E2576" s="561" t="s">
        <v>3066</v>
      </c>
      <c r="F2576" s="563">
        <v>0</v>
      </c>
      <c r="G2576" s="561" t="s">
        <v>654</v>
      </c>
      <c r="H2576" s="564"/>
      <c r="I2576" s="565"/>
      <c r="J2576" s="565"/>
      <c r="K2576" s="563">
        <v>0</v>
      </c>
      <c r="L2576" s="566">
        <v>0</v>
      </c>
    </row>
    <row r="2577" spans="1:12" ht="45" x14ac:dyDescent="0.2">
      <c r="A2577" s="561" t="s">
        <v>116</v>
      </c>
      <c r="B2577" s="562">
        <v>2021</v>
      </c>
      <c r="C2577" s="561" t="s">
        <v>725</v>
      </c>
      <c r="D2577" s="561" t="s">
        <v>2617</v>
      </c>
      <c r="E2577" s="561" t="s">
        <v>728</v>
      </c>
      <c r="F2577" s="563">
        <v>0</v>
      </c>
      <c r="G2577" s="561" t="s">
        <v>654</v>
      </c>
      <c r="H2577" s="564"/>
      <c r="I2577" s="565"/>
      <c r="J2577" s="565"/>
      <c r="K2577" s="563">
        <v>0</v>
      </c>
      <c r="L2577" s="566">
        <v>0</v>
      </c>
    </row>
    <row r="2578" spans="1:12" ht="45" x14ac:dyDescent="0.2">
      <c r="A2578" s="561" t="s">
        <v>116</v>
      </c>
      <c r="B2578" s="562">
        <v>2021</v>
      </c>
      <c r="C2578" s="561" t="s">
        <v>725</v>
      </c>
      <c r="D2578" s="561" t="s">
        <v>2618</v>
      </c>
      <c r="E2578" s="561" t="s">
        <v>55</v>
      </c>
      <c r="F2578" s="563">
        <v>0</v>
      </c>
      <c r="G2578" s="561" t="s">
        <v>654</v>
      </c>
      <c r="H2578" s="564"/>
      <c r="I2578" s="565"/>
      <c r="J2578" s="565"/>
      <c r="K2578" s="563">
        <v>0</v>
      </c>
      <c r="L2578" s="566">
        <v>0</v>
      </c>
    </row>
    <row r="2579" spans="1:12" ht="45" x14ac:dyDescent="0.2">
      <c r="A2579" s="561" t="s">
        <v>116</v>
      </c>
      <c r="B2579" s="562">
        <v>2021</v>
      </c>
      <c r="C2579" s="561" t="s">
        <v>725</v>
      </c>
      <c r="D2579" s="561" t="s">
        <v>2619</v>
      </c>
      <c r="E2579" s="561" t="s">
        <v>56</v>
      </c>
      <c r="F2579" s="563">
        <v>0</v>
      </c>
      <c r="G2579" s="561" t="s">
        <v>654</v>
      </c>
      <c r="H2579" s="564"/>
      <c r="I2579" s="565"/>
      <c r="J2579" s="565"/>
      <c r="K2579" s="563">
        <v>0</v>
      </c>
      <c r="L2579" s="566">
        <v>0</v>
      </c>
    </row>
    <row r="2580" spans="1:12" ht="45" x14ac:dyDescent="0.2">
      <c r="A2580" s="561" t="s">
        <v>116</v>
      </c>
      <c r="B2580" s="562">
        <v>2021</v>
      </c>
      <c r="C2580" s="561" t="s">
        <v>725</v>
      </c>
      <c r="D2580" s="561" t="s">
        <v>2620</v>
      </c>
      <c r="E2580" s="561" t="s">
        <v>732</v>
      </c>
      <c r="F2580" s="563">
        <v>0</v>
      </c>
      <c r="G2580" s="561" t="s">
        <v>654</v>
      </c>
      <c r="H2580" s="564"/>
      <c r="I2580" s="565"/>
      <c r="J2580" s="565"/>
      <c r="K2580" s="563">
        <v>0</v>
      </c>
      <c r="L2580" s="566">
        <v>0</v>
      </c>
    </row>
    <row r="2581" spans="1:12" ht="45" x14ac:dyDescent="0.2">
      <c r="A2581" s="561" t="s">
        <v>116</v>
      </c>
      <c r="B2581" s="562">
        <v>2021</v>
      </c>
      <c r="C2581" s="561" t="s">
        <v>725</v>
      </c>
      <c r="D2581" s="561" t="s">
        <v>2621</v>
      </c>
      <c r="E2581" s="561" t="s">
        <v>734</v>
      </c>
      <c r="F2581" s="563">
        <v>0</v>
      </c>
      <c r="G2581" s="561" t="s">
        <v>654</v>
      </c>
      <c r="H2581" s="564"/>
      <c r="I2581" s="565"/>
      <c r="J2581" s="565"/>
      <c r="K2581" s="563">
        <v>0</v>
      </c>
      <c r="L2581" s="566">
        <v>0</v>
      </c>
    </row>
    <row r="2582" spans="1:12" ht="45" x14ac:dyDescent="0.2">
      <c r="A2582" s="561" t="s">
        <v>116</v>
      </c>
      <c r="B2582" s="562">
        <v>2021</v>
      </c>
      <c r="C2582" s="561" t="s">
        <v>725</v>
      </c>
      <c r="D2582" s="561" t="s">
        <v>2622</v>
      </c>
      <c r="E2582" s="561" t="s">
        <v>142</v>
      </c>
      <c r="F2582" s="563">
        <v>0</v>
      </c>
      <c r="G2582" s="561" t="s">
        <v>654</v>
      </c>
      <c r="H2582" s="564"/>
      <c r="I2582" s="565"/>
      <c r="J2582" s="565"/>
      <c r="K2582" s="563">
        <v>0</v>
      </c>
      <c r="L2582" s="566">
        <v>0</v>
      </c>
    </row>
    <row r="2583" spans="1:12" ht="45" x14ac:dyDescent="0.2">
      <c r="A2583" s="561" t="s">
        <v>116</v>
      </c>
      <c r="B2583" s="562">
        <v>2021</v>
      </c>
      <c r="C2583" s="561" t="s">
        <v>725</v>
      </c>
      <c r="D2583" s="561" t="s">
        <v>2623</v>
      </c>
      <c r="E2583" s="561" t="s">
        <v>143</v>
      </c>
      <c r="F2583" s="563">
        <v>0</v>
      </c>
      <c r="G2583" s="561" t="s">
        <v>654</v>
      </c>
      <c r="H2583" s="564"/>
      <c r="I2583" s="565"/>
      <c r="J2583" s="565"/>
      <c r="K2583" s="563">
        <v>0</v>
      </c>
      <c r="L2583" s="566">
        <v>0</v>
      </c>
    </row>
    <row r="2584" spans="1:12" ht="45" x14ac:dyDescent="0.2">
      <c r="A2584" s="561" t="s">
        <v>116</v>
      </c>
      <c r="B2584" s="562">
        <v>2021</v>
      </c>
      <c r="C2584" s="561" t="s">
        <v>725</v>
      </c>
      <c r="D2584" s="561" t="s">
        <v>2624</v>
      </c>
      <c r="E2584" s="561" t="s">
        <v>182</v>
      </c>
      <c r="F2584" s="563">
        <v>0</v>
      </c>
      <c r="G2584" s="561" t="s">
        <v>654</v>
      </c>
      <c r="H2584" s="564"/>
      <c r="I2584" s="563">
        <v>-94631.8984375</v>
      </c>
      <c r="J2584" s="563">
        <v>-21423.669921875</v>
      </c>
      <c r="K2584" s="563">
        <v>-116055.5703125</v>
      </c>
      <c r="L2584" s="566">
        <v>-116055.57</v>
      </c>
    </row>
    <row r="2585" spans="1:12" ht="45" x14ac:dyDescent="0.2">
      <c r="A2585" s="561" t="s">
        <v>116</v>
      </c>
      <c r="B2585" s="562">
        <v>2021</v>
      </c>
      <c r="C2585" s="561" t="s">
        <v>725</v>
      </c>
      <c r="D2585" s="561" t="s">
        <v>2625</v>
      </c>
      <c r="E2585" s="561" t="s">
        <v>394</v>
      </c>
      <c r="F2585" s="563">
        <v>0</v>
      </c>
      <c r="G2585" s="561" t="s">
        <v>654</v>
      </c>
      <c r="H2585" s="564"/>
      <c r="I2585" s="563">
        <v>54541.0390625</v>
      </c>
      <c r="J2585" s="563">
        <v>-31634.880859375</v>
      </c>
      <c r="K2585" s="563">
        <v>22906.16015625</v>
      </c>
      <c r="L2585" s="566">
        <v>22906.16</v>
      </c>
    </row>
    <row r="2586" spans="1:12" ht="45" x14ac:dyDescent="0.2">
      <c r="A2586" s="561" t="s">
        <v>116</v>
      </c>
      <c r="B2586" s="562">
        <v>2021</v>
      </c>
      <c r="C2586" s="561" t="s">
        <v>725</v>
      </c>
      <c r="D2586" s="561" t="s">
        <v>2626</v>
      </c>
      <c r="E2586" s="561" t="s">
        <v>425</v>
      </c>
      <c r="F2586" s="563">
        <v>0</v>
      </c>
      <c r="G2586" s="561" t="s">
        <v>654</v>
      </c>
      <c r="H2586" s="564"/>
      <c r="I2586" s="563">
        <v>111181.03125</v>
      </c>
      <c r="J2586" s="563">
        <v>-2911.669921875</v>
      </c>
      <c r="K2586" s="563">
        <v>108269.359375</v>
      </c>
      <c r="L2586" s="566">
        <v>108269.36</v>
      </c>
    </row>
    <row r="2587" spans="1:12" ht="45" x14ac:dyDescent="0.2">
      <c r="A2587" s="561" t="s">
        <v>116</v>
      </c>
      <c r="B2587" s="562">
        <v>2021</v>
      </c>
      <c r="C2587" s="561" t="s">
        <v>725</v>
      </c>
      <c r="D2587" s="561" t="s">
        <v>3336</v>
      </c>
      <c r="E2587" s="561" t="s">
        <v>443</v>
      </c>
      <c r="F2587" s="563">
        <v>0</v>
      </c>
      <c r="G2587" s="561" t="s">
        <v>654</v>
      </c>
      <c r="H2587" s="564"/>
      <c r="I2587" s="565"/>
      <c r="J2587" s="565"/>
      <c r="K2587" s="563">
        <v>0</v>
      </c>
      <c r="L2587" s="566">
        <v>0</v>
      </c>
    </row>
    <row r="2588" spans="1:12" ht="45" x14ac:dyDescent="0.2">
      <c r="A2588" s="561" t="s">
        <v>116</v>
      </c>
      <c r="B2588" s="562">
        <v>2021</v>
      </c>
      <c r="C2588" s="561" t="s">
        <v>725</v>
      </c>
      <c r="D2588" s="561" t="s">
        <v>2627</v>
      </c>
      <c r="E2588" s="561" t="s">
        <v>741</v>
      </c>
      <c r="F2588" s="563">
        <v>15119.95</v>
      </c>
      <c r="G2588" s="564"/>
      <c r="H2588" s="564"/>
      <c r="I2588" s="565"/>
      <c r="J2588" s="565"/>
      <c r="K2588" s="563">
        <v>0</v>
      </c>
      <c r="L2588" s="566">
        <v>15119.95</v>
      </c>
    </row>
    <row r="2589" spans="1:12" ht="22.5" x14ac:dyDescent="0.2">
      <c r="A2589" s="561" t="s">
        <v>116</v>
      </c>
      <c r="B2589" s="562">
        <v>2021</v>
      </c>
      <c r="C2589" s="561" t="s">
        <v>742</v>
      </c>
      <c r="D2589" s="561" t="s">
        <v>2628</v>
      </c>
      <c r="E2589" s="561" t="s">
        <v>7</v>
      </c>
      <c r="F2589" s="563">
        <v>0</v>
      </c>
      <c r="G2589" s="564"/>
      <c r="H2589" s="561" t="s">
        <v>654</v>
      </c>
      <c r="I2589" s="565"/>
      <c r="J2589" s="565"/>
      <c r="K2589" s="563">
        <v>0</v>
      </c>
      <c r="L2589" s="566">
        <v>0</v>
      </c>
    </row>
    <row r="2590" spans="1:12" ht="22.5" x14ac:dyDescent="0.2">
      <c r="A2590" s="561" t="s">
        <v>117</v>
      </c>
      <c r="B2590" s="562">
        <v>2021</v>
      </c>
      <c r="C2590" s="561" t="s">
        <v>651</v>
      </c>
      <c r="D2590" s="561" t="s">
        <v>2629</v>
      </c>
      <c r="E2590" s="561" t="s">
        <v>653</v>
      </c>
      <c r="F2590" s="563">
        <v>-42838440.189999998</v>
      </c>
      <c r="G2590" s="564"/>
      <c r="H2590" s="561" t="s">
        <v>654</v>
      </c>
      <c r="I2590" s="565"/>
      <c r="J2590" s="565"/>
      <c r="K2590" s="563">
        <v>0</v>
      </c>
      <c r="L2590" s="566">
        <v>-42838440.189999998</v>
      </c>
    </row>
    <row r="2591" spans="1:12" ht="22.5" x14ac:dyDescent="0.2">
      <c r="A2591" s="561" t="s">
        <v>117</v>
      </c>
      <c r="B2591" s="562">
        <v>2021</v>
      </c>
      <c r="C2591" s="561" t="s">
        <v>655</v>
      </c>
      <c r="D2591" s="561" t="s">
        <v>2630</v>
      </c>
      <c r="E2591" s="561" t="s">
        <v>657</v>
      </c>
      <c r="F2591" s="563">
        <v>0</v>
      </c>
      <c r="G2591" s="564"/>
      <c r="H2591" s="561" t="s">
        <v>654</v>
      </c>
      <c r="I2591" s="565"/>
      <c r="J2591" s="565"/>
      <c r="K2591" s="563">
        <v>0</v>
      </c>
      <c r="L2591" s="566">
        <v>0</v>
      </c>
    </row>
    <row r="2592" spans="1:12" ht="56.25" x14ac:dyDescent="0.2">
      <c r="A2592" s="561" t="s">
        <v>117</v>
      </c>
      <c r="B2592" s="562">
        <v>2021</v>
      </c>
      <c r="C2592" s="561" t="s">
        <v>658</v>
      </c>
      <c r="D2592" s="561" t="s">
        <v>2631</v>
      </c>
      <c r="E2592" s="561" t="s">
        <v>447</v>
      </c>
      <c r="F2592" s="563">
        <v>-27266.36</v>
      </c>
      <c r="G2592" s="564"/>
      <c r="H2592" s="561" t="s">
        <v>654</v>
      </c>
      <c r="I2592" s="565"/>
      <c r="J2592" s="565"/>
      <c r="K2592" s="563">
        <v>0</v>
      </c>
      <c r="L2592" s="566">
        <v>-27266.36</v>
      </c>
    </row>
    <row r="2593" spans="1:12" ht="22.5" x14ac:dyDescent="0.2">
      <c r="A2593" s="561" t="s">
        <v>117</v>
      </c>
      <c r="B2593" s="562">
        <v>2021</v>
      </c>
      <c r="C2593" s="561" t="s">
        <v>660</v>
      </c>
      <c r="D2593" s="561" t="s">
        <v>2632</v>
      </c>
      <c r="E2593" s="561" t="s">
        <v>662</v>
      </c>
      <c r="F2593" s="563">
        <v>0</v>
      </c>
      <c r="G2593" s="564"/>
      <c r="H2593" s="561" t="s">
        <v>654</v>
      </c>
      <c r="I2593" s="565"/>
      <c r="J2593" s="565"/>
      <c r="K2593" s="563">
        <v>0</v>
      </c>
      <c r="L2593" s="566">
        <v>0</v>
      </c>
    </row>
    <row r="2594" spans="1:12" ht="33.75" x14ac:dyDescent="0.2">
      <c r="A2594" s="561" t="s">
        <v>117</v>
      </c>
      <c r="B2594" s="562">
        <v>2021</v>
      </c>
      <c r="C2594" s="561" t="s">
        <v>663</v>
      </c>
      <c r="D2594" s="561" t="s">
        <v>2633</v>
      </c>
      <c r="E2594" s="561" t="s">
        <v>665</v>
      </c>
      <c r="F2594" s="563">
        <v>0</v>
      </c>
      <c r="G2594" s="564"/>
      <c r="H2594" s="561" t="s">
        <v>654</v>
      </c>
      <c r="I2594" s="565"/>
      <c r="J2594" s="565"/>
      <c r="K2594" s="563">
        <v>0</v>
      </c>
      <c r="L2594" s="566">
        <v>0</v>
      </c>
    </row>
    <row r="2595" spans="1:12" ht="33.75" x14ac:dyDescent="0.2">
      <c r="A2595" s="561" t="s">
        <v>117</v>
      </c>
      <c r="B2595" s="562">
        <v>2021</v>
      </c>
      <c r="C2595" s="561" t="s">
        <v>666</v>
      </c>
      <c r="D2595" s="561" t="s">
        <v>2634</v>
      </c>
      <c r="E2595" s="561" t="s">
        <v>668</v>
      </c>
      <c r="F2595" s="563">
        <v>0</v>
      </c>
      <c r="G2595" s="564"/>
      <c r="H2595" s="561" t="s">
        <v>654</v>
      </c>
      <c r="I2595" s="565"/>
      <c r="J2595" s="565"/>
      <c r="K2595" s="563">
        <v>0</v>
      </c>
      <c r="L2595" s="566">
        <v>0</v>
      </c>
    </row>
    <row r="2596" spans="1:12" ht="56.25" x14ac:dyDescent="0.2">
      <c r="A2596" s="561" t="s">
        <v>117</v>
      </c>
      <c r="B2596" s="562">
        <v>2021</v>
      </c>
      <c r="C2596" s="561" t="s">
        <v>669</v>
      </c>
      <c r="D2596" s="561" t="s">
        <v>2635</v>
      </c>
      <c r="E2596" s="561" t="s">
        <v>671</v>
      </c>
      <c r="F2596" s="563">
        <v>-770714.44</v>
      </c>
      <c r="G2596" s="564"/>
      <c r="H2596" s="561" t="s">
        <v>654</v>
      </c>
      <c r="I2596" s="565"/>
      <c r="J2596" s="565"/>
      <c r="K2596" s="563">
        <v>0</v>
      </c>
      <c r="L2596" s="566">
        <v>-770714.44</v>
      </c>
    </row>
    <row r="2597" spans="1:12" ht="22.5" x14ac:dyDescent="0.2">
      <c r="A2597" s="561" t="s">
        <v>117</v>
      </c>
      <c r="B2597" s="562">
        <v>2021</v>
      </c>
      <c r="C2597" s="561" t="s">
        <v>672</v>
      </c>
      <c r="D2597" s="561" t="s">
        <v>2636</v>
      </c>
      <c r="E2597" s="561" t="s">
        <v>12</v>
      </c>
      <c r="F2597" s="563">
        <v>0</v>
      </c>
      <c r="G2597" s="564"/>
      <c r="H2597" s="561" t="s">
        <v>654</v>
      </c>
      <c r="I2597" s="565"/>
      <c r="J2597" s="565"/>
      <c r="K2597" s="563">
        <v>0</v>
      </c>
      <c r="L2597" s="566">
        <v>0</v>
      </c>
    </row>
    <row r="2598" spans="1:12" ht="22.5" x14ac:dyDescent="0.2">
      <c r="A2598" s="561" t="s">
        <v>117</v>
      </c>
      <c r="B2598" s="562">
        <v>2021</v>
      </c>
      <c r="C2598" s="561" t="s">
        <v>674</v>
      </c>
      <c r="D2598" s="561" t="s">
        <v>2637</v>
      </c>
      <c r="E2598" s="561" t="s">
        <v>13</v>
      </c>
      <c r="F2598" s="563">
        <v>0</v>
      </c>
      <c r="G2598" s="564"/>
      <c r="H2598" s="561" t="s">
        <v>654</v>
      </c>
      <c r="I2598" s="565"/>
      <c r="J2598" s="565"/>
      <c r="K2598" s="563">
        <v>0</v>
      </c>
      <c r="L2598" s="566">
        <v>0</v>
      </c>
    </row>
    <row r="2599" spans="1:12" ht="33.75" x14ac:dyDescent="0.2">
      <c r="A2599" s="561" t="s">
        <v>117</v>
      </c>
      <c r="B2599" s="562">
        <v>2021</v>
      </c>
      <c r="C2599" s="561" t="s">
        <v>676</v>
      </c>
      <c r="D2599" s="561" t="s">
        <v>2638</v>
      </c>
      <c r="E2599" s="561" t="s">
        <v>15</v>
      </c>
      <c r="F2599" s="563">
        <v>0</v>
      </c>
      <c r="G2599" s="564"/>
      <c r="H2599" s="561" t="s">
        <v>654</v>
      </c>
      <c r="I2599" s="565"/>
      <c r="J2599" s="565"/>
      <c r="K2599" s="563">
        <v>0</v>
      </c>
      <c r="L2599" s="566">
        <v>0</v>
      </c>
    </row>
    <row r="2600" spans="1:12" ht="22.5" x14ac:dyDescent="0.2">
      <c r="A2600" s="561" t="s">
        <v>117</v>
      </c>
      <c r="B2600" s="562">
        <v>2021</v>
      </c>
      <c r="C2600" s="561" t="s">
        <v>678</v>
      </c>
      <c r="D2600" s="561" t="s">
        <v>2639</v>
      </c>
      <c r="E2600" s="561" t="s">
        <v>680</v>
      </c>
      <c r="F2600" s="563">
        <v>0</v>
      </c>
      <c r="G2600" s="564"/>
      <c r="H2600" s="561" t="s">
        <v>654</v>
      </c>
      <c r="I2600" s="565"/>
      <c r="J2600" s="565"/>
      <c r="K2600" s="563">
        <v>0</v>
      </c>
      <c r="L2600" s="566">
        <v>0</v>
      </c>
    </row>
    <row r="2601" spans="1:12" ht="22.5" x14ac:dyDescent="0.2">
      <c r="A2601" s="561" t="s">
        <v>117</v>
      </c>
      <c r="B2601" s="562">
        <v>2021</v>
      </c>
      <c r="C2601" s="561" t="s">
        <v>681</v>
      </c>
      <c r="D2601" s="561" t="s">
        <v>2640</v>
      </c>
      <c r="E2601" s="561" t="s">
        <v>23</v>
      </c>
      <c r="F2601" s="563">
        <v>947490.65</v>
      </c>
      <c r="G2601" s="561" t="s">
        <v>654</v>
      </c>
      <c r="H2601" s="564"/>
      <c r="I2601" s="563">
        <v>935785</v>
      </c>
      <c r="J2601" s="563">
        <v>11705.66015625</v>
      </c>
      <c r="K2601" s="563">
        <v>947490.625</v>
      </c>
      <c r="L2601" s="566">
        <v>947490.65</v>
      </c>
    </row>
    <row r="2602" spans="1:12" ht="33.75" x14ac:dyDescent="0.2">
      <c r="A2602" s="561" t="s">
        <v>117</v>
      </c>
      <c r="B2602" s="562">
        <v>2021</v>
      </c>
      <c r="C2602" s="561" t="s">
        <v>683</v>
      </c>
      <c r="D2602" s="561" t="s">
        <v>2641</v>
      </c>
      <c r="E2602" s="561" t="s">
        <v>131</v>
      </c>
      <c r="F2602" s="563">
        <v>-496714.22</v>
      </c>
      <c r="G2602" s="561" t="s">
        <v>654</v>
      </c>
      <c r="H2602" s="564"/>
      <c r="I2602" s="563">
        <v>-457750.9375</v>
      </c>
      <c r="J2602" s="563">
        <v>-38963.2890625</v>
      </c>
      <c r="K2602" s="563">
        <v>-496714.21875</v>
      </c>
      <c r="L2602" s="566">
        <v>-496714.22</v>
      </c>
    </row>
    <row r="2603" spans="1:12" ht="33.75" x14ac:dyDescent="0.2">
      <c r="A2603" s="561" t="s">
        <v>117</v>
      </c>
      <c r="B2603" s="562">
        <v>2021</v>
      </c>
      <c r="C2603" s="561" t="s">
        <v>685</v>
      </c>
      <c r="D2603" s="561" t="s">
        <v>2642</v>
      </c>
      <c r="E2603" s="561" t="s">
        <v>687</v>
      </c>
      <c r="F2603" s="563">
        <v>-665316.04</v>
      </c>
      <c r="G2603" s="564"/>
      <c r="H2603" s="561" t="s">
        <v>654</v>
      </c>
      <c r="I2603" s="565"/>
      <c r="J2603" s="565"/>
      <c r="K2603" s="563">
        <v>0</v>
      </c>
      <c r="L2603" s="566">
        <v>-665316.04</v>
      </c>
    </row>
    <row r="2604" spans="1:12" ht="33.75" x14ac:dyDescent="0.2">
      <c r="A2604" s="561" t="s">
        <v>117</v>
      </c>
      <c r="B2604" s="562">
        <v>2021</v>
      </c>
      <c r="C2604" s="561" t="s">
        <v>685</v>
      </c>
      <c r="D2604" s="561" t="s">
        <v>2642</v>
      </c>
      <c r="E2604" s="561" t="s">
        <v>688</v>
      </c>
      <c r="F2604" s="563">
        <v>-665316.04</v>
      </c>
      <c r="G2604" s="564"/>
      <c r="H2604" s="561" t="s">
        <v>654</v>
      </c>
      <c r="I2604" s="565"/>
      <c r="J2604" s="565"/>
      <c r="K2604" s="563">
        <v>0</v>
      </c>
      <c r="L2604" s="566">
        <v>-665316.04</v>
      </c>
    </row>
    <row r="2605" spans="1:12" ht="22.5" x14ac:dyDescent="0.2">
      <c r="A2605" s="561" t="s">
        <v>117</v>
      </c>
      <c r="B2605" s="562">
        <v>2021</v>
      </c>
      <c r="C2605" s="561" t="s">
        <v>689</v>
      </c>
      <c r="D2605" s="561" t="s">
        <v>2643</v>
      </c>
      <c r="E2605" s="561" t="s">
        <v>691</v>
      </c>
      <c r="F2605" s="563">
        <v>0</v>
      </c>
      <c r="G2605" s="564"/>
      <c r="H2605" s="561" t="s">
        <v>654</v>
      </c>
      <c r="I2605" s="565"/>
      <c r="J2605" s="565"/>
      <c r="K2605" s="563">
        <v>0</v>
      </c>
      <c r="L2605" s="566">
        <v>0</v>
      </c>
    </row>
    <row r="2606" spans="1:12" ht="22.5" x14ac:dyDescent="0.2">
      <c r="A2606" s="561" t="s">
        <v>117</v>
      </c>
      <c r="B2606" s="562">
        <v>2021</v>
      </c>
      <c r="C2606" s="561" t="s">
        <v>692</v>
      </c>
      <c r="D2606" s="561" t="s">
        <v>2644</v>
      </c>
      <c r="E2606" s="561" t="s">
        <v>50</v>
      </c>
      <c r="F2606" s="563">
        <v>33114589.510000002</v>
      </c>
      <c r="G2606" s="564"/>
      <c r="H2606" s="561" t="s">
        <v>654</v>
      </c>
      <c r="I2606" s="565"/>
      <c r="J2606" s="565"/>
      <c r="K2606" s="563">
        <v>0</v>
      </c>
      <c r="L2606" s="566">
        <v>33114589.510000002</v>
      </c>
    </row>
    <row r="2607" spans="1:12" ht="22.5" x14ac:dyDescent="0.2">
      <c r="A2607" s="561" t="s">
        <v>117</v>
      </c>
      <c r="B2607" s="562">
        <v>2021</v>
      </c>
      <c r="C2607" s="561" t="s">
        <v>694</v>
      </c>
      <c r="D2607" s="561" t="s">
        <v>2645</v>
      </c>
      <c r="E2607" s="561" t="s">
        <v>696</v>
      </c>
      <c r="F2607" s="563">
        <v>0</v>
      </c>
      <c r="G2607" s="564"/>
      <c r="H2607" s="561" t="s">
        <v>654</v>
      </c>
      <c r="I2607" s="565"/>
      <c r="J2607" s="565"/>
      <c r="K2607" s="563">
        <v>0</v>
      </c>
      <c r="L2607" s="566">
        <v>0</v>
      </c>
    </row>
    <row r="2608" spans="1:12" ht="22.5" x14ac:dyDescent="0.2">
      <c r="A2608" s="561" t="s">
        <v>117</v>
      </c>
      <c r="B2608" s="562">
        <v>2021</v>
      </c>
      <c r="C2608" s="561" t="s">
        <v>697</v>
      </c>
      <c r="D2608" s="561" t="s">
        <v>2646</v>
      </c>
      <c r="E2608" s="561" t="s">
        <v>6</v>
      </c>
      <c r="F2608" s="563">
        <v>0</v>
      </c>
      <c r="G2608" s="564"/>
      <c r="H2608" s="561" t="s">
        <v>654</v>
      </c>
      <c r="I2608" s="565"/>
      <c r="J2608" s="565"/>
      <c r="K2608" s="563">
        <v>0</v>
      </c>
      <c r="L2608" s="566">
        <v>0</v>
      </c>
    </row>
    <row r="2609" spans="1:12" ht="33.75" x14ac:dyDescent="0.2">
      <c r="A2609" s="561" t="s">
        <v>117</v>
      </c>
      <c r="B2609" s="562">
        <v>2021</v>
      </c>
      <c r="C2609" s="561" t="s">
        <v>699</v>
      </c>
      <c r="D2609" s="561" t="s">
        <v>2647</v>
      </c>
      <c r="E2609" s="561" t="s">
        <v>701</v>
      </c>
      <c r="F2609" s="563">
        <v>80970.570000000007</v>
      </c>
      <c r="G2609" s="564"/>
      <c r="H2609" s="561" t="s">
        <v>654</v>
      </c>
      <c r="I2609" s="565"/>
      <c r="J2609" s="565"/>
      <c r="K2609" s="563">
        <v>0</v>
      </c>
      <c r="L2609" s="566">
        <v>80970.570000000007</v>
      </c>
    </row>
    <row r="2610" spans="1:12" ht="22.5" x14ac:dyDescent="0.2">
      <c r="A2610" s="561" t="s">
        <v>117</v>
      </c>
      <c r="B2610" s="562">
        <v>2021</v>
      </c>
      <c r="C2610" s="561" t="s">
        <v>702</v>
      </c>
      <c r="D2610" s="561" t="s">
        <v>2648</v>
      </c>
      <c r="E2610" s="561" t="s">
        <v>704</v>
      </c>
      <c r="F2610" s="563">
        <v>0</v>
      </c>
      <c r="G2610" s="564"/>
      <c r="H2610" s="561" t="s">
        <v>654</v>
      </c>
      <c r="I2610" s="565"/>
      <c r="J2610" s="565"/>
      <c r="K2610" s="563">
        <v>0</v>
      </c>
      <c r="L2610" s="566">
        <v>0</v>
      </c>
    </row>
    <row r="2611" spans="1:12" ht="33.75" x14ac:dyDescent="0.2">
      <c r="A2611" s="561" t="s">
        <v>117</v>
      </c>
      <c r="B2611" s="562">
        <v>2021</v>
      </c>
      <c r="C2611" s="561" t="s">
        <v>705</v>
      </c>
      <c r="D2611" s="561" t="s">
        <v>2649</v>
      </c>
      <c r="E2611" s="561" t="s">
        <v>1</v>
      </c>
      <c r="F2611" s="563">
        <v>-18614524.670000002</v>
      </c>
      <c r="G2611" s="561" t="s">
        <v>654</v>
      </c>
      <c r="H2611" s="564"/>
      <c r="I2611" s="563">
        <v>-18500150</v>
      </c>
      <c r="J2611" s="563">
        <v>-114375.4375</v>
      </c>
      <c r="K2611" s="563">
        <v>-18614524</v>
      </c>
      <c r="L2611" s="566">
        <v>-18614524.670000002</v>
      </c>
    </row>
    <row r="2612" spans="1:12" ht="22.5" x14ac:dyDescent="0.2">
      <c r="A2612" s="561" t="s">
        <v>117</v>
      </c>
      <c r="B2612" s="562">
        <v>2021</v>
      </c>
      <c r="C2612" s="561" t="s">
        <v>705</v>
      </c>
      <c r="D2612" s="561" t="s">
        <v>2649</v>
      </c>
      <c r="E2612" s="561" t="s">
        <v>707</v>
      </c>
      <c r="F2612" s="563">
        <v>0</v>
      </c>
      <c r="G2612" s="564"/>
      <c r="H2612" s="564"/>
      <c r="I2612" s="565"/>
      <c r="J2612" s="565"/>
      <c r="K2612" s="563">
        <v>0</v>
      </c>
      <c r="L2612" s="566">
        <v>0</v>
      </c>
    </row>
    <row r="2613" spans="1:12" ht="22.5" x14ac:dyDescent="0.2">
      <c r="A2613" s="561" t="s">
        <v>117</v>
      </c>
      <c r="B2613" s="562">
        <v>2021</v>
      </c>
      <c r="C2613" s="561" t="s">
        <v>705</v>
      </c>
      <c r="D2613" s="561" t="s">
        <v>2649</v>
      </c>
      <c r="E2613" s="561" t="s">
        <v>708</v>
      </c>
      <c r="F2613" s="563">
        <v>0</v>
      </c>
      <c r="G2613" s="564"/>
      <c r="H2613" s="564"/>
      <c r="I2613" s="565"/>
      <c r="J2613" s="565"/>
      <c r="K2613" s="563">
        <v>0</v>
      </c>
      <c r="L2613" s="566">
        <v>0</v>
      </c>
    </row>
    <row r="2614" spans="1:12" ht="22.5" x14ac:dyDescent="0.2">
      <c r="A2614" s="561" t="s">
        <v>117</v>
      </c>
      <c r="B2614" s="562">
        <v>2021</v>
      </c>
      <c r="C2614" s="561" t="s">
        <v>705</v>
      </c>
      <c r="D2614" s="561" t="s">
        <v>2649</v>
      </c>
      <c r="E2614" s="561" t="s">
        <v>709</v>
      </c>
      <c r="F2614" s="563">
        <v>49963.77</v>
      </c>
      <c r="G2614" s="564"/>
      <c r="H2614" s="564"/>
      <c r="I2614" s="565"/>
      <c r="J2614" s="565"/>
      <c r="K2614" s="563">
        <v>0</v>
      </c>
      <c r="L2614" s="566">
        <v>49963.77</v>
      </c>
    </row>
    <row r="2615" spans="1:12" ht="22.5" x14ac:dyDescent="0.2">
      <c r="A2615" s="561" t="s">
        <v>117</v>
      </c>
      <c r="B2615" s="562">
        <v>2021</v>
      </c>
      <c r="C2615" s="561" t="s">
        <v>705</v>
      </c>
      <c r="D2615" s="561" t="s">
        <v>2649</v>
      </c>
      <c r="E2615" s="561" t="s">
        <v>710</v>
      </c>
      <c r="F2615" s="563">
        <v>-2085797.53</v>
      </c>
      <c r="G2615" s="564"/>
      <c r="H2615" s="564"/>
      <c r="I2615" s="565"/>
      <c r="J2615" s="565"/>
      <c r="K2615" s="563">
        <v>0</v>
      </c>
      <c r="L2615" s="566">
        <v>-2085797.53</v>
      </c>
    </row>
    <row r="2616" spans="1:12" ht="22.5" x14ac:dyDescent="0.2">
      <c r="A2616" s="561" t="s">
        <v>117</v>
      </c>
      <c r="B2616" s="562">
        <v>2021</v>
      </c>
      <c r="C2616" s="561" t="s">
        <v>711</v>
      </c>
      <c r="D2616" s="561" t="s">
        <v>2650</v>
      </c>
      <c r="E2616" s="561" t="s">
        <v>713</v>
      </c>
      <c r="F2616" s="563">
        <v>0</v>
      </c>
      <c r="G2616" s="564"/>
      <c r="H2616" s="561" t="s">
        <v>654</v>
      </c>
      <c r="I2616" s="565"/>
      <c r="J2616" s="565"/>
      <c r="K2616" s="563">
        <v>0</v>
      </c>
      <c r="L2616" s="566">
        <v>0</v>
      </c>
    </row>
    <row r="2617" spans="1:12" ht="33.75" x14ac:dyDescent="0.2">
      <c r="A2617" s="561" t="s">
        <v>117</v>
      </c>
      <c r="B2617" s="562">
        <v>2021</v>
      </c>
      <c r="C2617" s="561" t="s">
        <v>714</v>
      </c>
      <c r="D2617" s="561" t="s">
        <v>2651</v>
      </c>
      <c r="E2617" s="561" t="s">
        <v>2</v>
      </c>
      <c r="F2617" s="563">
        <v>9209642.1999999993</v>
      </c>
      <c r="G2617" s="561" t="s">
        <v>654</v>
      </c>
      <c r="H2617" s="564"/>
      <c r="I2617" s="563">
        <v>9014598</v>
      </c>
      <c r="J2617" s="563">
        <v>195044.09375</v>
      </c>
      <c r="K2617" s="563">
        <v>9209642</v>
      </c>
      <c r="L2617" s="566">
        <v>9209642.1999999993</v>
      </c>
    </row>
    <row r="2618" spans="1:12" ht="33.75" x14ac:dyDescent="0.2">
      <c r="A2618" s="561" t="s">
        <v>117</v>
      </c>
      <c r="B2618" s="562">
        <v>2021</v>
      </c>
      <c r="C2618" s="561" t="s">
        <v>716</v>
      </c>
      <c r="D2618" s="561" t="s">
        <v>2652</v>
      </c>
      <c r="E2618" s="561" t="s">
        <v>3</v>
      </c>
      <c r="F2618" s="563">
        <v>-12701446</v>
      </c>
      <c r="G2618" s="561" t="s">
        <v>654</v>
      </c>
      <c r="H2618" s="564"/>
      <c r="I2618" s="563">
        <v>-12550995</v>
      </c>
      <c r="J2618" s="563">
        <v>-150451.34375</v>
      </c>
      <c r="K2618" s="563">
        <v>-12701446</v>
      </c>
      <c r="L2618" s="566">
        <v>-12701446</v>
      </c>
    </row>
    <row r="2619" spans="1:12" ht="33.75" x14ac:dyDescent="0.2">
      <c r="A2619" s="561" t="s">
        <v>117</v>
      </c>
      <c r="B2619" s="562">
        <v>2021</v>
      </c>
      <c r="C2619" s="561" t="s">
        <v>718</v>
      </c>
      <c r="D2619" s="561" t="s">
        <v>2653</v>
      </c>
      <c r="E2619" s="561" t="s">
        <v>38</v>
      </c>
      <c r="F2619" s="563">
        <v>9734669.3499999996</v>
      </c>
      <c r="G2619" s="561" t="s">
        <v>654</v>
      </c>
      <c r="H2619" s="564"/>
      <c r="I2619" s="563">
        <v>9759905</v>
      </c>
      <c r="J2619" s="563">
        <v>-25235.810546875</v>
      </c>
      <c r="K2619" s="563">
        <v>9734669</v>
      </c>
      <c r="L2619" s="566">
        <v>9734669.3499999996</v>
      </c>
    </row>
    <row r="2620" spans="1:12" ht="22.5" x14ac:dyDescent="0.2">
      <c r="A2620" s="561" t="s">
        <v>117</v>
      </c>
      <c r="B2620" s="562">
        <v>2021</v>
      </c>
      <c r="C2620" s="561" t="s">
        <v>720</v>
      </c>
      <c r="D2620" s="561" t="s">
        <v>2654</v>
      </c>
      <c r="E2620" s="561" t="s">
        <v>66</v>
      </c>
      <c r="F2620" s="563">
        <v>20295855.77</v>
      </c>
      <c r="G2620" s="561" t="s">
        <v>654</v>
      </c>
      <c r="H2620" s="564"/>
      <c r="I2620" s="563">
        <v>19179366</v>
      </c>
      <c r="J2620" s="563">
        <v>1116490.375</v>
      </c>
      <c r="K2620" s="563">
        <v>20295856</v>
      </c>
      <c r="L2620" s="566">
        <v>20295855.77</v>
      </c>
    </row>
    <row r="2621" spans="1:12" ht="45" x14ac:dyDescent="0.2">
      <c r="A2621" s="561" t="s">
        <v>117</v>
      </c>
      <c r="B2621" s="562">
        <v>2021</v>
      </c>
      <c r="C2621" s="561" t="s">
        <v>722</v>
      </c>
      <c r="D2621" s="561" t="s">
        <v>2655</v>
      </c>
      <c r="E2621" s="561" t="s">
        <v>724</v>
      </c>
      <c r="F2621" s="563">
        <v>-21933048.710000001</v>
      </c>
      <c r="G2621" s="564"/>
      <c r="H2621" s="561" t="s">
        <v>654</v>
      </c>
      <c r="I2621" s="565"/>
      <c r="J2621" s="565"/>
      <c r="K2621" s="563">
        <v>0</v>
      </c>
      <c r="L2621" s="566">
        <v>-21933048.710000001</v>
      </c>
    </row>
    <row r="2622" spans="1:12" ht="45" x14ac:dyDescent="0.2">
      <c r="A2622" s="561" t="s">
        <v>117</v>
      </c>
      <c r="B2622" s="562">
        <v>2021</v>
      </c>
      <c r="C2622" s="561" t="s">
        <v>725</v>
      </c>
      <c r="D2622" s="561" t="s">
        <v>2656</v>
      </c>
      <c r="E2622" s="561" t="s">
        <v>3024</v>
      </c>
      <c r="F2622" s="563">
        <v>0</v>
      </c>
      <c r="G2622" s="561" t="s">
        <v>654</v>
      </c>
      <c r="H2622" s="564"/>
      <c r="I2622" s="563">
        <v>-542693.875</v>
      </c>
      <c r="J2622" s="563">
        <v>-77301.4921875</v>
      </c>
      <c r="K2622" s="563">
        <v>-619995.375</v>
      </c>
      <c r="L2622" s="566">
        <v>-619995.35</v>
      </c>
    </row>
    <row r="2623" spans="1:12" ht="45" x14ac:dyDescent="0.2">
      <c r="A2623" s="561" t="s">
        <v>117</v>
      </c>
      <c r="B2623" s="562">
        <v>2021</v>
      </c>
      <c r="C2623" s="561" t="s">
        <v>725</v>
      </c>
      <c r="D2623" s="561" t="s">
        <v>2656</v>
      </c>
      <c r="E2623" s="561" t="s">
        <v>3066</v>
      </c>
      <c r="F2623" s="563">
        <v>0</v>
      </c>
      <c r="G2623" s="561" t="s">
        <v>654</v>
      </c>
      <c r="H2623" s="564"/>
      <c r="I2623" s="563">
        <v>-46495864</v>
      </c>
      <c r="J2623" s="563">
        <v>-712046.9375</v>
      </c>
      <c r="K2623" s="563">
        <v>-47207912</v>
      </c>
      <c r="L2623" s="566">
        <v>-47207912.799999997</v>
      </c>
    </row>
    <row r="2624" spans="1:12" ht="45" x14ac:dyDescent="0.2">
      <c r="A2624" s="561" t="s">
        <v>117</v>
      </c>
      <c r="B2624" s="562">
        <v>2021</v>
      </c>
      <c r="C2624" s="561" t="s">
        <v>725</v>
      </c>
      <c r="D2624" s="561" t="s">
        <v>2657</v>
      </c>
      <c r="E2624" s="561" t="s">
        <v>728</v>
      </c>
      <c r="F2624" s="563">
        <v>0</v>
      </c>
      <c r="G2624" s="561" t="s">
        <v>654</v>
      </c>
      <c r="H2624" s="564"/>
      <c r="I2624" s="565"/>
      <c r="J2624" s="565"/>
      <c r="K2624" s="563">
        <v>0</v>
      </c>
      <c r="L2624" s="566">
        <v>0</v>
      </c>
    </row>
    <row r="2625" spans="1:12" ht="45" x14ac:dyDescent="0.2">
      <c r="A2625" s="561" t="s">
        <v>117</v>
      </c>
      <c r="B2625" s="562">
        <v>2021</v>
      </c>
      <c r="C2625" s="561" t="s">
        <v>725</v>
      </c>
      <c r="D2625" s="561" t="s">
        <v>2658</v>
      </c>
      <c r="E2625" s="561" t="s">
        <v>55</v>
      </c>
      <c r="F2625" s="563">
        <v>0</v>
      </c>
      <c r="G2625" s="561" t="s">
        <v>654</v>
      </c>
      <c r="H2625" s="564"/>
      <c r="I2625" s="565"/>
      <c r="J2625" s="565"/>
      <c r="K2625" s="563">
        <v>0</v>
      </c>
      <c r="L2625" s="566">
        <v>0</v>
      </c>
    </row>
    <row r="2626" spans="1:12" ht="45" x14ac:dyDescent="0.2">
      <c r="A2626" s="561" t="s">
        <v>117</v>
      </c>
      <c r="B2626" s="562">
        <v>2021</v>
      </c>
      <c r="C2626" s="561" t="s">
        <v>725</v>
      </c>
      <c r="D2626" s="561" t="s">
        <v>2659</v>
      </c>
      <c r="E2626" s="561" t="s">
        <v>56</v>
      </c>
      <c r="F2626" s="563">
        <v>0</v>
      </c>
      <c r="G2626" s="561" t="s">
        <v>654</v>
      </c>
      <c r="H2626" s="564"/>
      <c r="I2626" s="565"/>
      <c r="J2626" s="565"/>
      <c r="K2626" s="563">
        <v>0</v>
      </c>
      <c r="L2626" s="566">
        <v>0</v>
      </c>
    </row>
    <row r="2627" spans="1:12" ht="45" x14ac:dyDescent="0.2">
      <c r="A2627" s="561" t="s">
        <v>117</v>
      </c>
      <c r="B2627" s="562">
        <v>2021</v>
      </c>
      <c r="C2627" s="561" t="s">
        <v>725</v>
      </c>
      <c r="D2627" s="561" t="s">
        <v>2660</v>
      </c>
      <c r="E2627" s="561" t="s">
        <v>732</v>
      </c>
      <c r="F2627" s="563">
        <v>0</v>
      </c>
      <c r="G2627" s="561" t="s">
        <v>654</v>
      </c>
      <c r="H2627" s="564"/>
      <c r="I2627" s="565"/>
      <c r="J2627" s="565"/>
      <c r="K2627" s="563">
        <v>0</v>
      </c>
      <c r="L2627" s="566">
        <v>0</v>
      </c>
    </row>
    <row r="2628" spans="1:12" ht="45" x14ac:dyDescent="0.2">
      <c r="A2628" s="561" t="s">
        <v>117</v>
      </c>
      <c r="B2628" s="562">
        <v>2021</v>
      </c>
      <c r="C2628" s="561" t="s">
        <v>725</v>
      </c>
      <c r="D2628" s="561" t="s">
        <v>2661</v>
      </c>
      <c r="E2628" s="561" t="s">
        <v>734</v>
      </c>
      <c r="F2628" s="563">
        <v>0</v>
      </c>
      <c r="G2628" s="561" t="s">
        <v>654</v>
      </c>
      <c r="H2628" s="564"/>
      <c r="I2628" s="565"/>
      <c r="J2628" s="565"/>
      <c r="K2628" s="563">
        <v>0</v>
      </c>
      <c r="L2628" s="566">
        <v>0</v>
      </c>
    </row>
    <row r="2629" spans="1:12" ht="45" x14ac:dyDescent="0.2">
      <c r="A2629" s="561" t="s">
        <v>117</v>
      </c>
      <c r="B2629" s="562">
        <v>2021</v>
      </c>
      <c r="C2629" s="561" t="s">
        <v>725</v>
      </c>
      <c r="D2629" s="561" t="s">
        <v>2662</v>
      </c>
      <c r="E2629" s="561" t="s">
        <v>142</v>
      </c>
      <c r="F2629" s="563">
        <v>0</v>
      </c>
      <c r="G2629" s="561" t="s">
        <v>654</v>
      </c>
      <c r="H2629" s="564"/>
      <c r="I2629" s="565"/>
      <c r="J2629" s="565"/>
      <c r="K2629" s="563">
        <v>0</v>
      </c>
      <c r="L2629" s="566">
        <v>0</v>
      </c>
    </row>
    <row r="2630" spans="1:12" ht="45" x14ac:dyDescent="0.2">
      <c r="A2630" s="561" t="s">
        <v>117</v>
      </c>
      <c r="B2630" s="562">
        <v>2021</v>
      </c>
      <c r="C2630" s="561" t="s">
        <v>725</v>
      </c>
      <c r="D2630" s="561" t="s">
        <v>2663</v>
      </c>
      <c r="E2630" s="561" t="s">
        <v>143</v>
      </c>
      <c r="F2630" s="563">
        <v>0</v>
      </c>
      <c r="G2630" s="561" t="s">
        <v>654</v>
      </c>
      <c r="H2630" s="564"/>
      <c r="I2630" s="565"/>
      <c r="J2630" s="565"/>
      <c r="K2630" s="563">
        <v>0</v>
      </c>
      <c r="L2630" s="566">
        <v>0</v>
      </c>
    </row>
    <row r="2631" spans="1:12" ht="45" x14ac:dyDescent="0.2">
      <c r="A2631" s="561" t="s">
        <v>117</v>
      </c>
      <c r="B2631" s="562">
        <v>2021</v>
      </c>
      <c r="C2631" s="561" t="s">
        <v>725</v>
      </c>
      <c r="D2631" s="561" t="s">
        <v>2664</v>
      </c>
      <c r="E2631" s="561" t="s">
        <v>182</v>
      </c>
      <c r="F2631" s="563">
        <v>0</v>
      </c>
      <c r="G2631" s="561" t="s">
        <v>654</v>
      </c>
      <c r="H2631" s="564"/>
      <c r="I2631" s="565"/>
      <c r="J2631" s="565"/>
      <c r="K2631" s="563">
        <v>0</v>
      </c>
      <c r="L2631" s="566">
        <v>0</v>
      </c>
    </row>
    <row r="2632" spans="1:12" ht="45" x14ac:dyDescent="0.2">
      <c r="A2632" s="561" t="s">
        <v>117</v>
      </c>
      <c r="B2632" s="562">
        <v>2021</v>
      </c>
      <c r="C2632" s="561" t="s">
        <v>725</v>
      </c>
      <c r="D2632" s="561" t="s">
        <v>2665</v>
      </c>
      <c r="E2632" s="561" t="s">
        <v>394</v>
      </c>
      <c r="F2632" s="563">
        <v>0</v>
      </c>
      <c r="G2632" s="561" t="s">
        <v>654</v>
      </c>
      <c r="H2632" s="564"/>
      <c r="I2632" s="563">
        <v>1318833.875</v>
      </c>
      <c r="J2632" s="563">
        <v>-467683.875</v>
      </c>
      <c r="K2632" s="563">
        <v>851150</v>
      </c>
      <c r="L2632" s="566">
        <v>851149.97</v>
      </c>
    </row>
    <row r="2633" spans="1:12" ht="45" x14ac:dyDescent="0.2">
      <c r="A2633" s="561" t="s">
        <v>117</v>
      </c>
      <c r="B2633" s="562">
        <v>2021</v>
      </c>
      <c r="C2633" s="561" t="s">
        <v>725</v>
      </c>
      <c r="D2633" s="561" t="s">
        <v>2666</v>
      </c>
      <c r="E2633" s="561" t="s">
        <v>425</v>
      </c>
      <c r="F2633" s="563">
        <v>0</v>
      </c>
      <c r="G2633" s="561" t="s">
        <v>654</v>
      </c>
      <c r="H2633" s="564"/>
      <c r="I2633" s="563">
        <v>141711.203125</v>
      </c>
      <c r="J2633" s="563">
        <v>33239.80078125</v>
      </c>
      <c r="K2633" s="563">
        <v>174951</v>
      </c>
      <c r="L2633" s="566">
        <v>174951</v>
      </c>
    </row>
    <row r="2634" spans="1:12" ht="45" x14ac:dyDescent="0.2">
      <c r="A2634" s="561" t="s">
        <v>117</v>
      </c>
      <c r="B2634" s="562">
        <v>2021</v>
      </c>
      <c r="C2634" s="561" t="s">
        <v>725</v>
      </c>
      <c r="D2634" s="561" t="s">
        <v>3337</v>
      </c>
      <c r="E2634" s="561" t="s">
        <v>443</v>
      </c>
      <c r="F2634" s="563">
        <v>0</v>
      </c>
      <c r="G2634" s="561" t="s">
        <v>654</v>
      </c>
      <c r="H2634" s="564"/>
      <c r="I2634" s="563">
        <v>-117494.84375</v>
      </c>
      <c r="J2634" s="563">
        <v>-815769</v>
      </c>
      <c r="K2634" s="563">
        <v>-933263.875</v>
      </c>
      <c r="L2634" s="566">
        <v>-933263.85</v>
      </c>
    </row>
    <row r="2635" spans="1:12" ht="45" x14ac:dyDescent="0.2">
      <c r="A2635" s="561" t="s">
        <v>117</v>
      </c>
      <c r="B2635" s="562">
        <v>2021</v>
      </c>
      <c r="C2635" s="561" t="s">
        <v>725</v>
      </c>
      <c r="D2635" s="561" t="s">
        <v>2667</v>
      </c>
      <c r="E2635" s="561" t="s">
        <v>741</v>
      </c>
      <c r="F2635" s="563">
        <v>-47735071.030000001</v>
      </c>
      <c r="G2635" s="564"/>
      <c r="H2635" s="564"/>
      <c r="I2635" s="565"/>
      <c r="J2635" s="565"/>
      <c r="K2635" s="563">
        <v>0</v>
      </c>
      <c r="L2635" s="566">
        <v>-47735071.030000001</v>
      </c>
    </row>
    <row r="2636" spans="1:12" ht="22.5" x14ac:dyDescent="0.2">
      <c r="A2636" s="561" t="s">
        <v>117</v>
      </c>
      <c r="B2636" s="562">
        <v>2021</v>
      </c>
      <c r="C2636" s="561" t="s">
        <v>742</v>
      </c>
      <c r="D2636" s="561" t="s">
        <v>2668</v>
      </c>
      <c r="E2636" s="561" t="s">
        <v>7</v>
      </c>
      <c r="F2636" s="563">
        <v>0</v>
      </c>
      <c r="G2636" s="564"/>
      <c r="H2636" s="561" t="s">
        <v>654</v>
      </c>
      <c r="I2636" s="565"/>
      <c r="J2636" s="565"/>
      <c r="K2636" s="563">
        <v>0</v>
      </c>
      <c r="L2636" s="566">
        <v>0</v>
      </c>
    </row>
    <row r="2637" spans="1:12" ht="22.5" x14ac:dyDescent="0.2">
      <c r="A2637" s="561" t="s">
        <v>118</v>
      </c>
      <c r="B2637" s="562">
        <v>2021</v>
      </c>
      <c r="C2637" s="561" t="s">
        <v>651</v>
      </c>
      <c r="D2637" s="561" t="s">
        <v>2669</v>
      </c>
      <c r="E2637" s="561" t="s">
        <v>653</v>
      </c>
      <c r="F2637" s="563">
        <v>-103322.97</v>
      </c>
      <c r="G2637" s="564"/>
      <c r="H2637" s="561" t="s">
        <v>654</v>
      </c>
      <c r="I2637" s="565"/>
      <c r="J2637" s="565"/>
      <c r="K2637" s="563">
        <v>0</v>
      </c>
      <c r="L2637" s="566">
        <v>-103322.97</v>
      </c>
    </row>
    <row r="2638" spans="1:12" ht="15" x14ac:dyDescent="0.2">
      <c r="A2638" s="561" t="s">
        <v>118</v>
      </c>
      <c r="B2638" s="562">
        <v>2021</v>
      </c>
      <c r="C2638" s="561" t="s">
        <v>655</v>
      </c>
      <c r="D2638" s="561" t="s">
        <v>2670</v>
      </c>
      <c r="E2638" s="561" t="s">
        <v>657</v>
      </c>
      <c r="F2638" s="563">
        <v>0</v>
      </c>
      <c r="G2638" s="564"/>
      <c r="H2638" s="561" t="s">
        <v>654</v>
      </c>
      <c r="I2638" s="565"/>
      <c r="J2638" s="565"/>
      <c r="K2638" s="563">
        <v>0</v>
      </c>
      <c r="L2638" s="566">
        <v>0</v>
      </c>
    </row>
    <row r="2639" spans="1:12" ht="56.25" x14ac:dyDescent="0.2">
      <c r="A2639" s="561" t="s">
        <v>118</v>
      </c>
      <c r="B2639" s="562">
        <v>2021</v>
      </c>
      <c r="C2639" s="561" t="s">
        <v>658</v>
      </c>
      <c r="D2639" s="561" t="s">
        <v>2671</v>
      </c>
      <c r="E2639" s="561" t="s">
        <v>447</v>
      </c>
      <c r="F2639" s="563">
        <v>0</v>
      </c>
      <c r="G2639" s="564"/>
      <c r="H2639" s="561" t="s">
        <v>654</v>
      </c>
      <c r="I2639" s="565"/>
      <c r="J2639" s="565"/>
      <c r="K2639" s="563">
        <v>0</v>
      </c>
      <c r="L2639" s="566">
        <v>0</v>
      </c>
    </row>
    <row r="2640" spans="1:12" ht="22.5" x14ac:dyDescent="0.2">
      <c r="A2640" s="561" t="s">
        <v>118</v>
      </c>
      <c r="B2640" s="562">
        <v>2021</v>
      </c>
      <c r="C2640" s="561" t="s">
        <v>660</v>
      </c>
      <c r="D2640" s="561" t="s">
        <v>2672</v>
      </c>
      <c r="E2640" s="561" t="s">
        <v>662</v>
      </c>
      <c r="F2640" s="563">
        <v>0</v>
      </c>
      <c r="G2640" s="564"/>
      <c r="H2640" s="561" t="s">
        <v>654</v>
      </c>
      <c r="I2640" s="565"/>
      <c r="J2640" s="565"/>
      <c r="K2640" s="563">
        <v>0</v>
      </c>
      <c r="L2640" s="566">
        <v>0</v>
      </c>
    </row>
    <row r="2641" spans="1:12" ht="33.75" x14ac:dyDescent="0.2">
      <c r="A2641" s="561" t="s">
        <v>118</v>
      </c>
      <c r="B2641" s="562">
        <v>2021</v>
      </c>
      <c r="C2641" s="561" t="s">
        <v>663</v>
      </c>
      <c r="D2641" s="561" t="s">
        <v>2673</v>
      </c>
      <c r="E2641" s="561" t="s">
        <v>665</v>
      </c>
      <c r="F2641" s="563">
        <v>0</v>
      </c>
      <c r="G2641" s="564"/>
      <c r="H2641" s="561" t="s">
        <v>654</v>
      </c>
      <c r="I2641" s="565"/>
      <c r="J2641" s="565"/>
      <c r="K2641" s="563">
        <v>0</v>
      </c>
      <c r="L2641" s="566">
        <v>0</v>
      </c>
    </row>
    <row r="2642" spans="1:12" ht="33.75" x14ac:dyDescent="0.2">
      <c r="A2642" s="561" t="s">
        <v>118</v>
      </c>
      <c r="B2642" s="562">
        <v>2021</v>
      </c>
      <c r="C2642" s="561" t="s">
        <v>666</v>
      </c>
      <c r="D2642" s="561" t="s">
        <v>2674</v>
      </c>
      <c r="E2642" s="561" t="s">
        <v>668</v>
      </c>
      <c r="F2642" s="563">
        <v>0</v>
      </c>
      <c r="G2642" s="564"/>
      <c r="H2642" s="561" t="s">
        <v>654</v>
      </c>
      <c r="I2642" s="565"/>
      <c r="J2642" s="565"/>
      <c r="K2642" s="563">
        <v>0</v>
      </c>
      <c r="L2642" s="566">
        <v>0</v>
      </c>
    </row>
    <row r="2643" spans="1:12" ht="56.25" x14ac:dyDescent="0.2">
      <c r="A2643" s="561" t="s">
        <v>118</v>
      </c>
      <c r="B2643" s="562">
        <v>2021</v>
      </c>
      <c r="C2643" s="561" t="s">
        <v>669</v>
      </c>
      <c r="D2643" s="561" t="s">
        <v>2675</v>
      </c>
      <c r="E2643" s="561" t="s">
        <v>671</v>
      </c>
      <c r="F2643" s="563">
        <v>0</v>
      </c>
      <c r="G2643" s="564"/>
      <c r="H2643" s="561" t="s">
        <v>654</v>
      </c>
      <c r="I2643" s="565"/>
      <c r="J2643" s="565"/>
      <c r="K2643" s="563">
        <v>0</v>
      </c>
      <c r="L2643" s="566">
        <v>0</v>
      </c>
    </row>
    <row r="2644" spans="1:12" ht="22.5" x14ac:dyDescent="0.2">
      <c r="A2644" s="561" t="s">
        <v>118</v>
      </c>
      <c r="B2644" s="562">
        <v>2021</v>
      </c>
      <c r="C2644" s="561" t="s">
        <v>672</v>
      </c>
      <c r="D2644" s="561" t="s">
        <v>2676</v>
      </c>
      <c r="E2644" s="561" t="s">
        <v>12</v>
      </c>
      <c r="F2644" s="563">
        <v>0</v>
      </c>
      <c r="G2644" s="564"/>
      <c r="H2644" s="561" t="s">
        <v>654</v>
      </c>
      <c r="I2644" s="565"/>
      <c r="J2644" s="565"/>
      <c r="K2644" s="563">
        <v>0</v>
      </c>
      <c r="L2644" s="566">
        <v>0</v>
      </c>
    </row>
    <row r="2645" spans="1:12" ht="22.5" x14ac:dyDescent="0.2">
      <c r="A2645" s="561" t="s">
        <v>118</v>
      </c>
      <c r="B2645" s="562">
        <v>2021</v>
      </c>
      <c r="C2645" s="561" t="s">
        <v>674</v>
      </c>
      <c r="D2645" s="561" t="s">
        <v>2677</v>
      </c>
      <c r="E2645" s="561" t="s">
        <v>13</v>
      </c>
      <c r="F2645" s="563">
        <v>0</v>
      </c>
      <c r="G2645" s="564"/>
      <c r="H2645" s="561" t="s">
        <v>654</v>
      </c>
      <c r="I2645" s="565"/>
      <c r="J2645" s="565"/>
      <c r="K2645" s="563">
        <v>0</v>
      </c>
      <c r="L2645" s="566">
        <v>0</v>
      </c>
    </row>
    <row r="2646" spans="1:12" ht="33.75" x14ac:dyDescent="0.2">
      <c r="A2646" s="561" t="s">
        <v>118</v>
      </c>
      <c r="B2646" s="562">
        <v>2021</v>
      </c>
      <c r="C2646" s="561" t="s">
        <v>676</v>
      </c>
      <c r="D2646" s="561" t="s">
        <v>2678</v>
      </c>
      <c r="E2646" s="561" t="s">
        <v>15</v>
      </c>
      <c r="F2646" s="563">
        <v>0</v>
      </c>
      <c r="G2646" s="564"/>
      <c r="H2646" s="561" t="s">
        <v>654</v>
      </c>
      <c r="I2646" s="565"/>
      <c r="J2646" s="565"/>
      <c r="K2646" s="563">
        <v>0</v>
      </c>
      <c r="L2646" s="566">
        <v>0</v>
      </c>
    </row>
    <row r="2647" spans="1:12" ht="15" x14ac:dyDescent="0.2">
      <c r="A2647" s="561" t="s">
        <v>118</v>
      </c>
      <c r="B2647" s="562">
        <v>2021</v>
      </c>
      <c r="C2647" s="561" t="s">
        <v>678</v>
      </c>
      <c r="D2647" s="561" t="s">
        <v>2679</v>
      </c>
      <c r="E2647" s="561" t="s">
        <v>680</v>
      </c>
      <c r="F2647" s="563">
        <v>0</v>
      </c>
      <c r="G2647" s="564"/>
      <c r="H2647" s="561" t="s">
        <v>654</v>
      </c>
      <c r="I2647" s="565"/>
      <c r="J2647" s="565"/>
      <c r="K2647" s="563">
        <v>0</v>
      </c>
      <c r="L2647" s="566">
        <v>0</v>
      </c>
    </row>
    <row r="2648" spans="1:12" ht="15" x14ac:dyDescent="0.2">
      <c r="A2648" s="561" t="s">
        <v>118</v>
      </c>
      <c r="B2648" s="562">
        <v>2021</v>
      </c>
      <c r="C2648" s="561" t="s">
        <v>681</v>
      </c>
      <c r="D2648" s="561" t="s">
        <v>2680</v>
      </c>
      <c r="E2648" s="561" t="s">
        <v>23</v>
      </c>
      <c r="F2648" s="563">
        <v>831821.03</v>
      </c>
      <c r="G2648" s="561" t="s">
        <v>654</v>
      </c>
      <c r="H2648" s="564"/>
      <c r="I2648" s="563">
        <v>817537.625</v>
      </c>
      <c r="J2648" s="563">
        <v>14283.419921875</v>
      </c>
      <c r="K2648" s="563">
        <v>831821</v>
      </c>
      <c r="L2648" s="566">
        <v>831821.03</v>
      </c>
    </row>
    <row r="2649" spans="1:12" ht="33.75" x14ac:dyDescent="0.2">
      <c r="A2649" s="561" t="s">
        <v>118</v>
      </c>
      <c r="B2649" s="562">
        <v>2021</v>
      </c>
      <c r="C2649" s="561" t="s">
        <v>683</v>
      </c>
      <c r="D2649" s="561" t="s">
        <v>2681</v>
      </c>
      <c r="E2649" s="561" t="s">
        <v>131</v>
      </c>
      <c r="F2649" s="563">
        <v>-24673.14</v>
      </c>
      <c r="G2649" s="561" t="s">
        <v>654</v>
      </c>
      <c r="H2649" s="564"/>
      <c r="I2649" s="563">
        <v>-23764.2109375</v>
      </c>
      <c r="J2649" s="563">
        <v>-908.92999267578102</v>
      </c>
      <c r="K2649" s="563">
        <v>-24673.140625</v>
      </c>
      <c r="L2649" s="566">
        <v>-24673.14</v>
      </c>
    </row>
    <row r="2650" spans="1:12" ht="33.75" x14ac:dyDescent="0.2">
      <c r="A2650" s="561" t="s">
        <v>118</v>
      </c>
      <c r="B2650" s="562">
        <v>2021</v>
      </c>
      <c r="C2650" s="561" t="s">
        <v>685</v>
      </c>
      <c r="D2650" s="561" t="s">
        <v>2682</v>
      </c>
      <c r="E2650" s="561" t="s">
        <v>687</v>
      </c>
      <c r="F2650" s="563">
        <v>0</v>
      </c>
      <c r="G2650" s="564"/>
      <c r="H2650" s="561" t="s">
        <v>654</v>
      </c>
      <c r="I2650" s="565"/>
      <c r="J2650" s="565"/>
      <c r="K2650" s="563">
        <v>0</v>
      </c>
      <c r="L2650" s="566">
        <v>0</v>
      </c>
    </row>
    <row r="2651" spans="1:12" ht="33.75" x14ac:dyDescent="0.2">
      <c r="A2651" s="561" t="s">
        <v>118</v>
      </c>
      <c r="B2651" s="562">
        <v>2021</v>
      </c>
      <c r="C2651" s="561" t="s">
        <v>685</v>
      </c>
      <c r="D2651" s="561" t="s">
        <v>2682</v>
      </c>
      <c r="E2651" s="561" t="s">
        <v>688</v>
      </c>
      <c r="F2651" s="563">
        <v>0</v>
      </c>
      <c r="G2651" s="564"/>
      <c r="H2651" s="561" t="s">
        <v>654</v>
      </c>
      <c r="I2651" s="565"/>
      <c r="J2651" s="565"/>
      <c r="K2651" s="563">
        <v>0</v>
      </c>
      <c r="L2651" s="566">
        <v>0</v>
      </c>
    </row>
    <row r="2652" spans="1:12" ht="22.5" x14ac:dyDescent="0.2">
      <c r="A2652" s="561" t="s">
        <v>118</v>
      </c>
      <c r="B2652" s="562">
        <v>2021</v>
      </c>
      <c r="C2652" s="561" t="s">
        <v>689</v>
      </c>
      <c r="D2652" s="561" t="s">
        <v>2683</v>
      </c>
      <c r="E2652" s="561" t="s">
        <v>691</v>
      </c>
      <c r="F2652" s="563">
        <v>0</v>
      </c>
      <c r="G2652" s="564"/>
      <c r="H2652" s="561" t="s">
        <v>654</v>
      </c>
      <c r="I2652" s="565"/>
      <c r="J2652" s="565"/>
      <c r="K2652" s="563">
        <v>0</v>
      </c>
      <c r="L2652" s="566">
        <v>0</v>
      </c>
    </row>
    <row r="2653" spans="1:12" ht="22.5" x14ac:dyDescent="0.2">
      <c r="A2653" s="561" t="s">
        <v>118</v>
      </c>
      <c r="B2653" s="562">
        <v>2021</v>
      </c>
      <c r="C2653" s="561" t="s">
        <v>692</v>
      </c>
      <c r="D2653" s="561" t="s">
        <v>2684</v>
      </c>
      <c r="E2653" s="561" t="s">
        <v>50</v>
      </c>
      <c r="F2653" s="563">
        <v>46177.79</v>
      </c>
      <c r="G2653" s="564"/>
      <c r="H2653" s="561" t="s">
        <v>654</v>
      </c>
      <c r="I2653" s="565"/>
      <c r="J2653" s="565"/>
      <c r="K2653" s="563">
        <v>0</v>
      </c>
      <c r="L2653" s="566">
        <v>46177.79</v>
      </c>
    </row>
    <row r="2654" spans="1:12" ht="22.5" x14ac:dyDescent="0.2">
      <c r="A2654" s="561" t="s">
        <v>118</v>
      </c>
      <c r="B2654" s="562">
        <v>2021</v>
      </c>
      <c r="C2654" s="561" t="s">
        <v>694</v>
      </c>
      <c r="D2654" s="561" t="s">
        <v>2685</v>
      </c>
      <c r="E2654" s="561" t="s">
        <v>696</v>
      </c>
      <c r="F2654" s="563">
        <v>0</v>
      </c>
      <c r="G2654" s="564"/>
      <c r="H2654" s="561" t="s">
        <v>654</v>
      </c>
      <c r="I2654" s="565"/>
      <c r="J2654" s="565"/>
      <c r="K2654" s="563">
        <v>0</v>
      </c>
      <c r="L2654" s="566">
        <v>0</v>
      </c>
    </row>
    <row r="2655" spans="1:12" ht="22.5" x14ac:dyDescent="0.2">
      <c r="A2655" s="561" t="s">
        <v>118</v>
      </c>
      <c r="B2655" s="562">
        <v>2021</v>
      </c>
      <c r="C2655" s="561" t="s">
        <v>697</v>
      </c>
      <c r="D2655" s="561" t="s">
        <v>2686</v>
      </c>
      <c r="E2655" s="561" t="s">
        <v>6</v>
      </c>
      <c r="F2655" s="563">
        <v>0</v>
      </c>
      <c r="G2655" s="564"/>
      <c r="H2655" s="561" t="s">
        <v>654</v>
      </c>
      <c r="I2655" s="565"/>
      <c r="J2655" s="565"/>
      <c r="K2655" s="563">
        <v>0</v>
      </c>
      <c r="L2655" s="566">
        <v>0</v>
      </c>
    </row>
    <row r="2656" spans="1:12" ht="33.75" x14ac:dyDescent="0.2">
      <c r="A2656" s="561" t="s">
        <v>118</v>
      </c>
      <c r="B2656" s="562">
        <v>2021</v>
      </c>
      <c r="C2656" s="561" t="s">
        <v>699</v>
      </c>
      <c r="D2656" s="561" t="s">
        <v>2687</v>
      </c>
      <c r="E2656" s="561" t="s">
        <v>701</v>
      </c>
      <c r="F2656" s="563">
        <v>0</v>
      </c>
      <c r="G2656" s="564"/>
      <c r="H2656" s="561" t="s">
        <v>654</v>
      </c>
      <c r="I2656" s="565"/>
      <c r="J2656" s="565"/>
      <c r="K2656" s="563">
        <v>0</v>
      </c>
      <c r="L2656" s="566">
        <v>0</v>
      </c>
    </row>
    <row r="2657" spans="1:12" ht="22.5" x14ac:dyDescent="0.2">
      <c r="A2657" s="561" t="s">
        <v>118</v>
      </c>
      <c r="B2657" s="562">
        <v>2021</v>
      </c>
      <c r="C2657" s="561" t="s">
        <v>702</v>
      </c>
      <c r="D2657" s="561" t="s">
        <v>2688</v>
      </c>
      <c r="E2657" s="561" t="s">
        <v>704</v>
      </c>
      <c r="F2657" s="563">
        <v>0</v>
      </c>
      <c r="G2657" s="564"/>
      <c r="H2657" s="561" t="s">
        <v>654</v>
      </c>
      <c r="I2657" s="565"/>
      <c r="J2657" s="565"/>
      <c r="K2657" s="563">
        <v>0</v>
      </c>
      <c r="L2657" s="566">
        <v>0</v>
      </c>
    </row>
    <row r="2658" spans="1:12" ht="33.75" x14ac:dyDescent="0.2">
      <c r="A2658" s="561" t="s">
        <v>118</v>
      </c>
      <c r="B2658" s="562">
        <v>2021</v>
      </c>
      <c r="C2658" s="561" t="s">
        <v>705</v>
      </c>
      <c r="D2658" s="561" t="s">
        <v>2689</v>
      </c>
      <c r="E2658" s="561" t="s">
        <v>1</v>
      </c>
      <c r="F2658" s="563">
        <v>-135511.51</v>
      </c>
      <c r="G2658" s="561" t="s">
        <v>654</v>
      </c>
      <c r="H2658" s="564"/>
      <c r="I2658" s="563">
        <v>-132779.96875</v>
      </c>
      <c r="J2658" s="563">
        <v>-2731.5400390625</v>
      </c>
      <c r="K2658" s="563">
        <v>-135511.515625</v>
      </c>
      <c r="L2658" s="566">
        <v>-135511.51</v>
      </c>
    </row>
    <row r="2659" spans="1:12" ht="22.5" x14ac:dyDescent="0.2">
      <c r="A2659" s="561" t="s">
        <v>118</v>
      </c>
      <c r="B2659" s="562">
        <v>2021</v>
      </c>
      <c r="C2659" s="561" t="s">
        <v>705</v>
      </c>
      <c r="D2659" s="561" t="s">
        <v>2689</v>
      </c>
      <c r="E2659" s="561" t="s">
        <v>707</v>
      </c>
      <c r="F2659" s="563">
        <v>0</v>
      </c>
      <c r="G2659" s="564"/>
      <c r="H2659" s="564"/>
      <c r="I2659" s="565"/>
      <c r="J2659" s="565"/>
      <c r="K2659" s="563">
        <v>0</v>
      </c>
      <c r="L2659" s="566">
        <v>0</v>
      </c>
    </row>
    <row r="2660" spans="1:12" ht="22.5" x14ac:dyDescent="0.2">
      <c r="A2660" s="561" t="s">
        <v>118</v>
      </c>
      <c r="B2660" s="562">
        <v>2021</v>
      </c>
      <c r="C2660" s="561" t="s">
        <v>705</v>
      </c>
      <c r="D2660" s="561" t="s">
        <v>2689</v>
      </c>
      <c r="E2660" s="561" t="s">
        <v>708</v>
      </c>
      <c r="F2660" s="563">
        <v>0</v>
      </c>
      <c r="G2660" s="564"/>
      <c r="H2660" s="564"/>
      <c r="I2660" s="565"/>
      <c r="J2660" s="565"/>
      <c r="K2660" s="563">
        <v>0</v>
      </c>
      <c r="L2660" s="566">
        <v>0</v>
      </c>
    </row>
    <row r="2661" spans="1:12" ht="22.5" x14ac:dyDescent="0.2">
      <c r="A2661" s="561" t="s">
        <v>118</v>
      </c>
      <c r="B2661" s="562">
        <v>2021</v>
      </c>
      <c r="C2661" s="561" t="s">
        <v>705</v>
      </c>
      <c r="D2661" s="561" t="s">
        <v>2689</v>
      </c>
      <c r="E2661" s="561" t="s">
        <v>709</v>
      </c>
      <c r="F2661" s="563">
        <v>-343.38</v>
      </c>
      <c r="G2661" s="564"/>
      <c r="H2661" s="564"/>
      <c r="I2661" s="565"/>
      <c r="J2661" s="565"/>
      <c r="K2661" s="563">
        <v>0</v>
      </c>
      <c r="L2661" s="566">
        <v>-343.38</v>
      </c>
    </row>
    <row r="2662" spans="1:12" ht="22.5" x14ac:dyDescent="0.2">
      <c r="A2662" s="561" t="s">
        <v>118</v>
      </c>
      <c r="B2662" s="562">
        <v>2021</v>
      </c>
      <c r="C2662" s="561" t="s">
        <v>705</v>
      </c>
      <c r="D2662" s="561" t="s">
        <v>2689</v>
      </c>
      <c r="E2662" s="561" t="s">
        <v>710</v>
      </c>
      <c r="F2662" s="563">
        <v>-20188.04</v>
      </c>
      <c r="G2662" s="564"/>
      <c r="H2662" s="564"/>
      <c r="I2662" s="565"/>
      <c r="J2662" s="565"/>
      <c r="K2662" s="563">
        <v>0</v>
      </c>
      <c r="L2662" s="566">
        <v>-20188.04</v>
      </c>
    </row>
    <row r="2663" spans="1:12" ht="15" x14ac:dyDescent="0.2">
      <c r="A2663" s="561" t="s">
        <v>118</v>
      </c>
      <c r="B2663" s="562">
        <v>2021</v>
      </c>
      <c r="C2663" s="561" t="s">
        <v>711</v>
      </c>
      <c r="D2663" s="561" t="s">
        <v>2690</v>
      </c>
      <c r="E2663" s="561" t="s">
        <v>713</v>
      </c>
      <c r="F2663" s="563">
        <v>0</v>
      </c>
      <c r="G2663" s="564"/>
      <c r="H2663" s="561" t="s">
        <v>654</v>
      </c>
      <c r="I2663" s="565"/>
      <c r="J2663" s="565"/>
      <c r="K2663" s="563">
        <v>0</v>
      </c>
      <c r="L2663" s="566">
        <v>0</v>
      </c>
    </row>
    <row r="2664" spans="1:12" ht="33.75" x14ac:dyDescent="0.2">
      <c r="A2664" s="561" t="s">
        <v>118</v>
      </c>
      <c r="B2664" s="562">
        <v>2021</v>
      </c>
      <c r="C2664" s="561" t="s">
        <v>714</v>
      </c>
      <c r="D2664" s="561" t="s">
        <v>2691</v>
      </c>
      <c r="E2664" s="561" t="s">
        <v>2</v>
      </c>
      <c r="F2664" s="563">
        <v>121121.15</v>
      </c>
      <c r="G2664" s="561" t="s">
        <v>654</v>
      </c>
      <c r="H2664" s="564"/>
      <c r="I2664" s="563">
        <v>118725.609375</v>
      </c>
      <c r="J2664" s="563">
        <v>2395.5400390625</v>
      </c>
      <c r="K2664" s="563">
        <v>121121.1484375</v>
      </c>
      <c r="L2664" s="566">
        <v>121121.15</v>
      </c>
    </row>
    <row r="2665" spans="1:12" ht="33.75" x14ac:dyDescent="0.2">
      <c r="A2665" s="561" t="s">
        <v>118</v>
      </c>
      <c r="B2665" s="562">
        <v>2021</v>
      </c>
      <c r="C2665" s="561" t="s">
        <v>716</v>
      </c>
      <c r="D2665" s="561" t="s">
        <v>2692</v>
      </c>
      <c r="E2665" s="561" t="s">
        <v>3</v>
      </c>
      <c r="F2665" s="563">
        <v>126532.56</v>
      </c>
      <c r="G2665" s="561" t="s">
        <v>654</v>
      </c>
      <c r="H2665" s="564"/>
      <c r="I2665" s="563">
        <v>126295.0625</v>
      </c>
      <c r="J2665" s="563">
        <v>237.5</v>
      </c>
      <c r="K2665" s="563">
        <v>126532.5625</v>
      </c>
      <c r="L2665" s="566">
        <v>126532.56</v>
      </c>
    </row>
    <row r="2666" spans="1:12" ht="33.75" x14ac:dyDescent="0.2">
      <c r="A2666" s="561" t="s">
        <v>118</v>
      </c>
      <c r="B2666" s="562">
        <v>2021</v>
      </c>
      <c r="C2666" s="561" t="s">
        <v>718</v>
      </c>
      <c r="D2666" s="561" t="s">
        <v>2693</v>
      </c>
      <c r="E2666" s="561" t="s">
        <v>38</v>
      </c>
      <c r="F2666" s="563">
        <v>-2074.23</v>
      </c>
      <c r="G2666" s="561" t="s">
        <v>654</v>
      </c>
      <c r="H2666" s="564"/>
      <c r="I2666" s="563">
        <v>4194.39990234375</v>
      </c>
      <c r="J2666" s="563">
        <v>-6268.6298828125</v>
      </c>
      <c r="K2666" s="563">
        <v>-2074.22998046875</v>
      </c>
      <c r="L2666" s="566">
        <v>-2074.23</v>
      </c>
    </row>
    <row r="2667" spans="1:12" ht="22.5" x14ac:dyDescent="0.2">
      <c r="A2667" s="561" t="s">
        <v>118</v>
      </c>
      <c r="B2667" s="562">
        <v>2021</v>
      </c>
      <c r="C2667" s="561" t="s">
        <v>720</v>
      </c>
      <c r="D2667" s="561" t="s">
        <v>2694</v>
      </c>
      <c r="E2667" s="561" t="s">
        <v>66</v>
      </c>
      <c r="F2667" s="563">
        <v>40480.17</v>
      </c>
      <c r="G2667" s="561" t="s">
        <v>654</v>
      </c>
      <c r="H2667" s="564"/>
      <c r="I2667" s="563">
        <v>39132.44140625</v>
      </c>
      <c r="J2667" s="563">
        <v>1347.72998046875</v>
      </c>
      <c r="K2667" s="563">
        <v>40480.171875</v>
      </c>
      <c r="L2667" s="566">
        <v>40480.17</v>
      </c>
    </row>
    <row r="2668" spans="1:12" ht="45" x14ac:dyDescent="0.2">
      <c r="A2668" s="561" t="s">
        <v>118</v>
      </c>
      <c r="B2668" s="562">
        <v>2021</v>
      </c>
      <c r="C2668" s="561" t="s">
        <v>722</v>
      </c>
      <c r="D2668" s="561" t="s">
        <v>2695</v>
      </c>
      <c r="E2668" s="561" t="s">
        <v>724</v>
      </c>
      <c r="F2668" s="563">
        <v>0</v>
      </c>
      <c r="G2668" s="564"/>
      <c r="H2668" s="561" t="s">
        <v>654</v>
      </c>
      <c r="I2668" s="565"/>
      <c r="J2668" s="565"/>
      <c r="K2668" s="563">
        <v>0</v>
      </c>
      <c r="L2668" s="566">
        <v>0</v>
      </c>
    </row>
    <row r="2669" spans="1:12" ht="45" x14ac:dyDescent="0.2">
      <c r="A2669" s="561" t="s">
        <v>118</v>
      </c>
      <c r="B2669" s="562">
        <v>2021</v>
      </c>
      <c r="C2669" s="561" t="s">
        <v>725</v>
      </c>
      <c r="D2669" s="561" t="s">
        <v>2696</v>
      </c>
      <c r="E2669" s="561" t="s">
        <v>3024</v>
      </c>
      <c r="F2669" s="563">
        <v>0</v>
      </c>
      <c r="G2669" s="561" t="s">
        <v>654</v>
      </c>
      <c r="H2669" s="564"/>
      <c r="I2669" s="563">
        <v>-99614.9765625</v>
      </c>
      <c r="J2669" s="563">
        <v>53244.2109375</v>
      </c>
      <c r="K2669" s="563">
        <v>-46370.76953125</v>
      </c>
      <c r="L2669" s="566">
        <v>-46370.77</v>
      </c>
    </row>
    <row r="2670" spans="1:12" ht="45" x14ac:dyDescent="0.2">
      <c r="A2670" s="561" t="s">
        <v>118</v>
      </c>
      <c r="B2670" s="562">
        <v>2021</v>
      </c>
      <c r="C2670" s="561" t="s">
        <v>725</v>
      </c>
      <c r="D2670" s="561" t="s">
        <v>2696</v>
      </c>
      <c r="E2670" s="561" t="s">
        <v>3066</v>
      </c>
      <c r="F2670" s="563">
        <v>0</v>
      </c>
      <c r="G2670" s="561" t="s">
        <v>654</v>
      </c>
      <c r="H2670" s="564"/>
      <c r="I2670" s="563">
        <v>-4213</v>
      </c>
      <c r="J2670" s="563">
        <v>-107.26999664306599</v>
      </c>
      <c r="K2670" s="563">
        <v>-4320.27001953125</v>
      </c>
      <c r="L2670" s="566">
        <v>-4320.2700000000004</v>
      </c>
    </row>
    <row r="2671" spans="1:12" ht="45" x14ac:dyDescent="0.2">
      <c r="A2671" s="561" t="s">
        <v>118</v>
      </c>
      <c r="B2671" s="562">
        <v>2021</v>
      </c>
      <c r="C2671" s="561" t="s">
        <v>725</v>
      </c>
      <c r="D2671" s="561" t="s">
        <v>2697</v>
      </c>
      <c r="E2671" s="561" t="s">
        <v>728</v>
      </c>
      <c r="F2671" s="563">
        <v>0</v>
      </c>
      <c r="G2671" s="561" t="s">
        <v>654</v>
      </c>
      <c r="H2671" s="564"/>
      <c r="I2671" s="565"/>
      <c r="J2671" s="565"/>
      <c r="K2671" s="563">
        <v>0</v>
      </c>
      <c r="L2671" s="566">
        <v>0</v>
      </c>
    </row>
    <row r="2672" spans="1:12" ht="45" x14ac:dyDescent="0.2">
      <c r="A2672" s="561" t="s">
        <v>118</v>
      </c>
      <c r="B2672" s="562">
        <v>2021</v>
      </c>
      <c r="C2672" s="561" t="s">
        <v>725</v>
      </c>
      <c r="D2672" s="561" t="s">
        <v>2698</v>
      </c>
      <c r="E2672" s="561" t="s">
        <v>55</v>
      </c>
      <c r="F2672" s="563">
        <v>0</v>
      </c>
      <c r="G2672" s="561" t="s">
        <v>654</v>
      </c>
      <c r="H2672" s="564"/>
      <c r="I2672" s="565"/>
      <c r="J2672" s="565"/>
      <c r="K2672" s="563">
        <v>0</v>
      </c>
      <c r="L2672" s="566">
        <v>0</v>
      </c>
    </row>
    <row r="2673" spans="1:12" ht="45" x14ac:dyDescent="0.2">
      <c r="A2673" s="561" t="s">
        <v>118</v>
      </c>
      <c r="B2673" s="562">
        <v>2021</v>
      </c>
      <c r="C2673" s="561" t="s">
        <v>725</v>
      </c>
      <c r="D2673" s="561" t="s">
        <v>2699</v>
      </c>
      <c r="E2673" s="561" t="s">
        <v>56</v>
      </c>
      <c r="F2673" s="563">
        <v>0</v>
      </c>
      <c r="G2673" s="561" t="s">
        <v>654</v>
      </c>
      <c r="H2673" s="564"/>
      <c r="I2673" s="565"/>
      <c r="J2673" s="565"/>
      <c r="K2673" s="563">
        <v>0</v>
      </c>
      <c r="L2673" s="566">
        <v>0</v>
      </c>
    </row>
    <row r="2674" spans="1:12" ht="45" x14ac:dyDescent="0.2">
      <c r="A2674" s="561" t="s">
        <v>118</v>
      </c>
      <c r="B2674" s="562">
        <v>2021</v>
      </c>
      <c r="C2674" s="561" t="s">
        <v>725</v>
      </c>
      <c r="D2674" s="561" t="s">
        <v>2700</v>
      </c>
      <c r="E2674" s="561" t="s">
        <v>732</v>
      </c>
      <c r="F2674" s="563">
        <v>0</v>
      </c>
      <c r="G2674" s="561" t="s">
        <v>654</v>
      </c>
      <c r="H2674" s="564"/>
      <c r="I2674" s="565"/>
      <c r="J2674" s="565"/>
      <c r="K2674" s="563">
        <v>0</v>
      </c>
      <c r="L2674" s="566">
        <v>0</v>
      </c>
    </row>
    <row r="2675" spans="1:12" ht="45" x14ac:dyDescent="0.2">
      <c r="A2675" s="561" t="s">
        <v>118</v>
      </c>
      <c r="B2675" s="562">
        <v>2021</v>
      </c>
      <c r="C2675" s="561" t="s">
        <v>725</v>
      </c>
      <c r="D2675" s="561" t="s">
        <v>2701</v>
      </c>
      <c r="E2675" s="561" t="s">
        <v>734</v>
      </c>
      <c r="F2675" s="563">
        <v>0</v>
      </c>
      <c r="G2675" s="561" t="s">
        <v>654</v>
      </c>
      <c r="H2675" s="564"/>
      <c r="I2675" s="565"/>
      <c r="J2675" s="565"/>
      <c r="K2675" s="563">
        <v>0</v>
      </c>
      <c r="L2675" s="566">
        <v>0</v>
      </c>
    </row>
    <row r="2676" spans="1:12" ht="45" x14ac:dyDescent="0.2">
      <c r="A2676" s="561" t="s">
        <v>118</v>
      </c>
      <c r="B2676" s="562">
        <v>2021</v>
      </c>
      <c r="C2676" s="561" t="s">
        <v>725</v>
      </c>
      <c r="D2676" s="561" t="s">
        <v>2702</v>
      </c>
      <c r="E2676" s="561" t="s">
        <v>142</v>
      </c>
      <c r="F2676" s="563">
        <v>0</v>
      </c>
      <c r="G2676" s="561" t="s">
        <v>654</v>
      </c>
      <c r="H2676" s="564"/>
      <c r="I2676" s="565"/>
      <c r="J2676" s="565"/>
      <c r="K2676" s="563">
        <v>0</v>
      </c>
      <c r="L2676" s="566">
        <v>0</v>
      </c>
    </row>
    <row r="2677" spans="1:12" ht="45" x14ac:dyDescent="0.2">
      <c r="A2677" s="561" t="s">
        <v>118</v>
      </c>
      <c r="B2677" s="562">
        <v>2021</v>
      </c>
      <c r="C2677" s="561" t="s">
        <v>725</v>
      </c>
      <c r="D2677" s="561" t="s">
        <v>2703</v>
      </c>
      <c r="E2677" s="561" t="s">
        <v>143</v>
      </c>
      <c r="F2677" s="563">
        <v>0</v>
      </c>
      <c r="G2677" s="561" t="s">
        <v>654</v>
      </c>
      <c r="H2677" s="564"/>
      <c r="I2677" s="565"/>
      <c r="J2677" s="565"/>
      <c r="K2677" s="563">
        <v>0</v>
      </c>
      <c r="L2677" s="566">
        <v>0</v>
      </c>
    </row>
    <row r="2678" spans="1:12" ht="45" x14ac:dyDescent="0.2">
      <c r="A2678" s="561" t="s">
        <v>118</v>
      </c>
      <c r="B2678" s="562">
        <v>2021</v>
      </c>
      <c r="C2678" s="561" t="s">
        <v>725</v>
      </c>
      <c r="D2678" s="561" t="s">
        <v>2704</v>
      </c>
      <c r="E2678" s="561" t="s">
        <v>182</v>
      </c>
      <c r="F2678" s="563">
        <v>0</v>
      </c>
      <c r="G2678" s="561" t="s">
        <v>654</v>
      </c>
      <c r="H2678" s="564"/>
      <c r="I2678" s="565"/>
      <c r="J2678" s="565"/>
      <c r="K2678" s="563">
        <v>0</v>
      </c>
      <c r="L2678" s="566">
        <v>0</v>
      </c>
    </row>
    <row r="2679" spans="1:12" ht="45" x14ac:dyDescent="0.2">
      <c r="A2679" s="561" t="s">
        <v>118</v>
      </c>
      <c r="B2679" s="562">
        <v>2021</v>
      </c>
      <c r="C2679" s="561" t="s">
        <v>725</v>
      </c>
      <c r="D2679" s="561" t="s">
        <v>2705</v>
      </c>
      <c r="E2679" s="561" t="s">
        <v>394</v>
      </c>
      <c r="F2679" s="563">
        <v>0</v>
      </c>
      <c r="G2679" s="561" t="s">
        <v>654</v>
      </c>
      <c r="H2679" s="564"/>
      <c r="I2679" s="565"/>
      <c r="J2679" s="565"/>
      <c r="K2679" s="563">
        <v>0</v>
      </c>
      <c r="L2679" s="566">
        <v>0</v>
      </c>
    </row>
    <row r="2680" spans="1:12" ht="45" x14ac:dyDescent="0.2">
      <c r="A2680" s="561" t="s">
        <v>118</v>
      </c>
      <c r="B2680" s="562">
        <v>2021</v>
      </c>
      <c r="C2680" s="561" t="s">
        <v>725</v>
      </c>
      <c r="D2680" s="561" t="s">
        <v>2706</v>
      </c>
      <c r="E2680" s="561" t="s">
        <v>425</v>
      </c>
      <c r="F2680" s="563">
        <v>0</v>
      </c>
      <c r="G2680" s="561" t="s">
        <v>654</v>
      </c>
      <c r="H2680" s="564"/>
      <c r="I2680" s="565"/>
      <c r="J2680" s="565"/>
      <c r="K2680" s="563">
        <v>0</v>
      </c>
      <c r="L2680" s="566">
        <v>0</v>
      </c>
    </row>
    <row r="2681" spans="1:12" ht="45" x14ac:dyDescent="0.2">
      <c r="A2681" s="561" t="s">
        <v>118</v>
      </c>
      <c r="B2681" s="562">
        <v>2021</v>
      </c>
      <c r="C2681" s="561" t="s">
        <v>725</v>
      </c>
      <c r="D2681" s="561" t="s">
        <v>3338</v>
      </c>
      <c r="E2681" s="561" t="s">
        <v>443</v>
      </c>
      <c r="F2681" s="563">
        <v>0</v>
      </c>
      <c r="G2681" s="561" t="s">
        <v>654</v>
      </c>
      <c r="H2681" s="564"/>
      <c r="I2681" s="563">
        <v>21088.380859375</v>
      </c>
      <c r="J2681" s="563">
        <v>14.3999996185303</v>
      </c>
      <c r="K2681" s="563">
        <v>21102.779296875</v>
      </c>
      <c r="L2681" s="566">
        <v>21102.78</v>
      </c>
    </row>
    <row r="2682" spans="1:12" ht="45" x14ac:dyDescent="0.2">
      <c r="A2682" s="561" t="s">
        <v>118</v>
      </c>
      <c r="B2682" s="562">
        <v>2021</v>
      </c>
      <c r="C2682" s="561" t="s">
        <v>725</v>
      </c>
      <c r="D2682" s="561" t="s">
        <v>2707</v>
      </c>
      <c r="E2682" s="561" t="s">
        <v>741</v>
      </c>
      <c r="F2682" s="563">
        <v>-29588.26</v>
      </c>
      <c r="G2682" s="564"/>
      <c r="H2682" s="564"/>
      <c r="I2682" s="565"/>
      <c r="J2682" s="565"/>
      <c r="K2682" s="563">
        <v>0</v>
      </c>
      <c r="L2682" s="566">
        <v>-29588.26</v>
      </c>
    </row>
    <row r="2683" spans="1:12" ht="22.5" x14ac:dyDescent="0.2">
      <c r="A2683" s="561" t="s">
        <v>118</v>
      </c>
      <c r="B2683" s="562">
        <v>2021</v>
      </c>
      <c r="C2683" s="561" t="s">
        <v>742</v>
      </c>
      <c r="D2683" s="561" t="s">
        <v>2708</v>
      </c>
      <c r="E2683" s="561" t="s">
        <v>7</v>
      </c>
      <c r="F2683" s="563">
        <v>0</v>
      </c>
      <c r="G2683" s="564"/>
      <c r="H2683" s="561" t="s">
        <v>654</v>
      </c>
      <c r="I2683" s="565"/>
      <c r="J2683" s="565"/>
      <c r="K2683" s="563">
        <v>0</v>
      </c>
      <c r="L2683" s="566">
        <v>0</v>
      </c>
    </row>
    <row r="2684" spans="1:12" ht="22.5" x14ac:dyDescent="0.2">
      <c r="A2684" s="561" t="s">
        <v>119</v>
      </c>
      <c r="B2684" s="562">
        <v>2021</v>
      </c>
      <c r="C2684" s="561" t="s">
        <v>651</v>
      </c>
      <c r="D2684" s="561" t="s">
        <v>2709</v>
      </c>
      <c r="E2684" s="561" t="s">
        <v>653</v>
      </c>
      <c r="F2684" s="563">
        <v>-128863</v>
      </c>
      <c r="G2684" s="564"/>
      <c r="H2684" s="561" t="s">
        <v>654</v>
      </c>
      <c r="I2684" s="565"/>
      <c r="J2684" s="565"/>
      <c r="K2684" s="563">
        <v>0</v>
      </c>
      <c r="L2684" s="566">
        <v>-128863</v>
      </c>
    </row>
    <row r="2685" spans="1:12" ht="15" x14ac:dyDescent="0.2">
      <c r="A2685" s="561" t="s">
        <v>119</v>
      </c>
      <c r="B2685" s="562">
        <v>2021</v>
      </c>
      <c r="C2685" s="561" t="s">
        <v>655</v>
      </c>
      <c r="D2685" s="561" t="s">
        <v>2710</v>
      </c>
      <c r="E2685" s="561" t="s">
        <v>657</v>
      </c>
      <c r="F2685" s="563">
        <v>-72822</v>
      </c>
      <c r="G2685" s="564"/>
      <c r="H2685" s="561" t="s">
        <v>654</v>
      </c>
      <c r="I2685" s="565"/>
      <c r="J2685" s="565"/>
      <c r="K2685" s="563">
        <v>0</v>
      </c>
      <c r="L2685" s="566">
        <v>-72822</v>
      </c>
    </row>
    <row r="2686" spans="1:12" ht="56.25" x14ac:dyDescent="0.2">
      <c r="A2686" s="561" t="s">
        <v>119</v>
      </c>
      <c r="B2686" s="562">
        <v>2021</v>
      </c>
      <c r="C2686" s="561" t="s">
        <v>658</v>
      </c>
      <c r="D2686" s="561" t="s">
        <v>2711</v>
      </c>
      <c r="E2686" s="561" t="s">
        <v>447</v>
      </c>
      <c r="F2686" s="563">
        <v>0</v>
      </c>
      <c r="G2686" s="564"/>
      <c r="H2686" s="561" t="s">
        <v>654</v>
      </c>
      <c r="I2686" s="565"/>
      <c r="J2686" s="565"/>
      <c r="K2686" s="563">
        <v>0</v>
      </c>
      <c r="L2686" s="566">
        <v>0</v>
      </c>
    </row>
    <row r="2687" spans="1:12" ht="22.5" x14ac:dyDescent="0.2">
      <c r="A2687" s="561" t="s">
        <v>119</v>
      </c>
      <c r="B2687" s="562">
        <v>2021</v>
      </c>
      <c r="C2687" s="561" t="s">
        <v>660</v>
      </c>
      <c r="D2687" s="561" t="s">
        <v>2712</v>
      </c>
      <c r="E2687" s="561" t="s">
        <v>662</v>
      </c>
      <c r="F2687" s="563">
        <v>0</v>
      </c>
      <c r="G2687" s="564"/>
      <c r="H2687" s="561" t="s">
        <v>654</v>
      </c>
      <c r="I2687" s="565"/>
      <c r="J2687" s="565"/>
      <c r="K2687" s="563">
        <v>0</v>
      </c>
      <c r="L2687" s="566">
        <v>0</v>
      </c>
    </row>
    <row r="2688" spans="1:12" ht="33.75" x14ac:dyDescent="0.2">
      <c r="A2688" s="561" t="s">
        <v>119</v>
      </c>
      <c r="B2688" s="562">
        <v>2021</v>
      </c>
      <c r="C2688" s="561" t="s">
        <v>663</v>
      </c>
      <c r="D2688" s="561" t="s">
        <v>2713</v>
      </c>
      <c r="E2688" s="561" t="s">
        <v>665</v>
      </c>
      <c r="F2688" s="563">
        <v>-8700</v>
      </c>
      <c r="G2688" s="564"/>
      <c r="H2688" s="561" t="s">
        <v>654</v>
      </c>
      <c r="I2688" s="565"/>
      <c r="J2688" s="565"/>
      <c r="K2688" s="563">
        <v>0</v>
      </c>
      <c r="L2688" s="566">
        <v>-8700</v>
      </c>
    </row>
    <row r="2689" spans="1:12" ht="33.75" x14ac:dyDescent="0.2">
      <c r="A2689" s="561" t="s">
        <v>119</v>
      </c>
      <c r="B2689" s="562">
        <v>2021</v>
      </c>
      <c r="C2689" s="561" t="s">
        <v>666</v>
      </c>
      <c r="D2689" s="561" t="s">
        <v>2714</v>
      </c>
      <c r="E2689" s="561" t="s">
        <v>668</v>
      </c>
      <c r="F2689" s="563">
        <v>0</v>
      </c>
      <c r="G2689" s="564"/>
      <c r="H2689" s="561" t="s">
        <v>654</v>
      </c>
      <c r="I2689" s="565"/>
      <c r="J2689" s="565"/>
      <c r="K2689" s="563">
        <v>0</v>
      </c>
      <c r="L2689" s="566">
        <v>0</v>
      </c>
    </row>
    <row r="2690" spans="1:12" ht="56.25" x14ac:dyDescent="0.2">
      <c r="A2690" s="561" t="s">
        <v>119</v>
      </c>
      <c r="B2690" s="562">
        <v>2021</v>
      </c>
      <c r="C2690" s="561" t="s">
        <v>669</v>
      </c>
      <c r="D2690" s="561" t="s">
        <v>2715</v>
      </c>
      <c r="E2690" s="561" t="s">
        <v>671</v>
      </c>
      <c r="F2690" s="563">
        <v>0</v>
      </c>
      <c r="G2690" s="564"/>
      <c r="H2690" s="561" t="s">
        <v>654</v>
      </c>
      <c r="I2690" s="565"/>
      <c r="J2690" s="565"/>
      <c r="K2690" s="563">
        <v>0</v>
      </c>
      <c r="L2690" s="566">
        <v>0</v>
      </c>
    </row>
    <row r="2691" spans="1:12" ht="22.5" x14ac:dyDescent="0.2">
      <c r="A2691" s="561" t="s">
        <v>119</v>
      </c>
      <c r="B2691" s="562">
        <v>2021</v>
      </c>
      <c r="C2691" s="561" t="s">
        <v>672</v>
      </c>
      <c r="D2691" s="561" t="s">
        <v>2716</v>
      </c>
      <c r="E2691" s="561" t="s">
        <v>12</v>
      </c>
      <c r="F2691" s="563">
        <v>0</v>
      </c>
      <c r="G2691" s="564"/>
      <c r="H2691" s="561" t="s">
        <v>654</v>
      </c>
      <c r="I2691" s="565"/>
      <c r="J2691" s="565"/>
      <c r="K2691" s="563">
        <v>0</v>
      </c>
      <c r="L2691" s="566">
        <v>0</v>
      </c>
    </row>
    <row r="2692" spans="1:12" ht="22.5" x14ac:dyDescent="0.2">
      <c r="A2692" s="561" t="s">
        <v>119</v>
      </c>
      <c r="B2692" s="562">
        <v>2021</v>
      </c>
      <c r="C2692" s="561" t="s">
        <v>674</v>
      </c>
      <c r="D2692" s="561" t="s">
        <v>2717</v>
      </c>
      <c r="E2692" s="561" t="s">
        <v>13</v>
      </c>
      <c r="F2692" s="563">
        <v>0</v>
      </c>
      <c r="G2692" s="564"/>
      <c r="H2692" s="561" t="s">
        <v>654</v>
      </c>
      <c r="I2692" s="565"/>
      <c r="J2692" s="565"/>
      <c r="K2692" s="563">
        <v>0</v>
      </c>
      <c r="L2692" s="566">
        <v>0</v>
      </c>
    </row>
    <row r="2693" spans="1:12" ht="33.75" x14ac:dyDescent="0.2">
      <c r="A2693" s="561" t="s">
        <v>119</v>
      </c>
      <c r="B2693" s="562">
        <v>2021</v>
      </c>
      <c r="C2693" s="561" t="s">
        <v>676</v>
      </c>
      <c r="D2693" s="561" t="s">
        <v>2718</v>
      </c>
      <c r="E2693" s="561" t="s">
        <v>15</v>
      </c>
      <c r="F2693" s="563">
        <v>0</v>
      </c>
      <c r="G2693" s="564"/>
      <c r="H2693" s="561" t="s">
        <v>654</v>
      </c>
      <c r="I2693" s="565"/>
      <c r="J2693" s="565"/>
      <c r="K2693" s="563">
        <v>0</v>
      </c>
      <c r="L2693" s="566">
        <v>0</v>
      </c>
    </row>
    <row r="2694" spans="1:12" ht="15" x14ac:dyDescent="0.2">
      <c r="A2694" s="561" t="s">
        <v>119</v>
      </c>
      <c r="B2694" s="562">
        <v>2021</v>
      </c>
      <c r="C2694" s="561" t="s">
        <v>678</v>
      </c>
      <c r="D2694" s="561" t="s">
        <v>2719</v>
      </c>
      <c r="E2694" s="561" t="s">
        <v>680</v>
      </c>
      <c r="F2694" s="563">
        <v>-2220</v>
      </c>
      <c r="G2694" s="564"/>
      <c r="H2694" s="561" t="s">
        <v>654</v>
      </c>
      <c r="I2694" s="565"/>
      <c r="J2694" s="565"/>
      <c r="K2694" s="563">
        <v>0</v>
      </c>
      <c r="L2694" s="566">
        <v>-2220</v>
      </c>
    </row>
    <row r="2695" spans="1:12" ht="15" x14ac:dyDescent="0.2">
      <c r="A2695" s="561" t="s">
        <v>119</v>
      </c>
      <c r="B2695" s="562">
        <v>2021</v>
      </c>
      <c r="C2695" s="561" t="s">
        <v>681</v>
      </c>
      <c r="D2695" s="561" t="s">
        <v>2720</v>
      </c>
      <c r="E2695" s="561" t="s">
        <v>23</v>
      </c>
      <c r="F2695" s="563">
        <v>214468</v>
      </c>
      <c r="G2695" s="561" t="s">
        <v>654</v>
      </c>
      <c r="H2695" s="564"/>
      <c r="I2695" s="563">
        <v>213348</v>
      </c>
      <c r="J2695" s="563">
        <v>1120</v>
      </c>
      <c r="K2695" s="563">
        <v>214468</v>
      </c>
      <c r="L2695" s="566">
        <v>214468</v>
      </c>
    </row>
    <row r="2696" spans="1:12" ht="33.75" x14ac:dyDescent="0.2">
      <c r="A2696" s="561" t="s">
        <v>119</v>
      </c>
      <c r="B2696" s="562">
        <v>2021</v>
      </c>
      <c r="C2696" s="561" t="s">
        <v>683</v>
      </c>
      <c r="D2696" s="561" t="s">
        <v>2721</v>
      </c>
      <c r="E2696" s="561" t="s">
        <v>131</v>
      </c>
      <c r="F2696" s="563">
        <v>1006</v>
      </c>
      <c r="G2696" s="561" t="s">
        <v>654</v>
      </c>
      <c r="H2696" s="564"/>
      <c r="I2696" s="563">
        <v>947</v>
      </c>
      <c r="J2696" s="563">
        <v>59</v>
      </c>
      <c r="K2696" s="563">
        <v>1006</v>
      </c>
      <c r="L2696" s="566">
        <v>1006</v>
      </c>
    </row>
    <row r="2697" spans="1:12" ht="33.75" x14ac:dyDescent="0.2">
      <c r="A2697" s="561" t="s">
        <v>119</v>
      </c>
      <c r="B2697" s="562">
        <v>2021</v>
      </c>
      <c r="C2697" s="561" t="s">
        <v>685</v>
      </c>
      <c r="D2697" s="561" t="s">
        <v>2722</v>
      </c>
      <c r="E2697" s="561" t="s">
        <v>687</v>
      </c>
      <c r="F2697" s="563">
        <v>-26528</v>
      </c>
      <c r="G2697" s="564"/>
      <c r="H2697" s="561" t="s">
        <v>654</v>
      </c>
      <c r="I2697" s="565"/>
      <c r="J2697" s="565"/>
      <c r="K2697" s="563">
        <v>0</v>
      </c>
      <c r="L2697" s="566">
        <v>-26528</v>
      </c>
    </row>
    <row r="2698" spans="1:12" ht="33.75" x14ac:dyDescent="0.2">
      <c r="A2698" s="561" t="s">
        <v>119</v>
      </c>
      <c r="B2698" s="562">
        <v>2021</v>
      </c>
      <c r="C2698" s="561" t="s">
        <v>685</v>
      </c>
      <c r="D2698" s="561" t="s">
        <v>2722</v>
      </c>
      <c r="E2698" s="561" t="s">
        <v>688</v>
      </c>
      <c r="F2698" s="563">
        <v>-26528</v>
      </c>
      <c r="G2698" s="564"/>
      <c r="H2698" s="561" t="s">
        <v>654</v>
      </c>
      <c r="I2698" s="565"/>
      <c r="J2698" s="565"/>
      <c r="K2698" s="563">
        <v>0</v>
      </c>
      <c r="L2698" s="566">
        <v>-26528</v>
      </c>
    </row>
    <row r="2699" spans="1:12" ht="22.5" x14ac:dyDescent="0.2">
      <c r="A2699" s="561" t="s">
        <v>119</v>
      </c>
      <c r="B2699" s="562">
        <v>2021</v>
      </c>
      <c r="C2699" s="561" t="s">
        <v>689</v>
      </c>
      <c r="D2699" s="561" t="s">
        <v>2723</v>
      </c>
      <c r="E2699" s="561" t="s">
        <v>691</v>
      </c>
      <c r="F2699" s="563">
        <v>0</v>
      </c>
      <c r="G2699" s="564"/>
      <c r="H2699" s="561" t="s">
        <v>654</v>
      </c>
      <c r="I2699" s="565"/>
      <c r="J2699" s="565"/>
      <c r="K2699" s="563">
        <v>0</v>
      </c>
      <c r="L2699" s="566">
        <v>0</v>
      </c>
    </row>
    <row r="2700" spans="1:12" ht="22.5" x14ac:dyDescent="0.2">
      <c r="A2700" s="561" t="s">
        <v>119</v>
      </c>
      <c r="B2700" s="562">
        <v>2021</v>
      </c>
      <c r="C2700" s="561" t="s">
        <v>692</v>
      </c>
      <c r="D2700" s="561" t="s">
        <v>2724</v>
      </c>
      <c r="E2700" s="561" t="s">
        <v>50</v>
      </c>
      <c r="F2700" s="563">
        <v>332283</v>
      </c>
      <c r="G2700" s="564"/>
      <c r="H2700" s="561" t="s">
        <v>654</v>
      </c>
      <c r="I2700" s="565"/>
      <c r="J2700" s="565"/>
      <c r="K2700" s="563">
        <v>0</v>
      </c>
      <c r="L2700" s="566">
        <v>332283</v>
      </c>
    </row>
    <row r="2701" spans="1:12" ht="22.5" x14ac:dyDescent="0.2">
      <c r="A2701" s="561" t="s">
        <v>119</v>
      </c>
      <c r="B2701" s="562">
        <v>2021</v>
      </c>
      <c r="C2701" s="561" t="s">
        <v>694</v>
      </c>
      <c r="D2701" s="561" t="s">
        <v>2725</v>
      </c>
      <c r="E2701" s="561" t="s">
        <v>696</v>
      </c>
      <c r="F2701" s="563">
        <v>0</v>
      </c>
      <c r="G2701" s="564"/>
      <c r="H2701" s="561" t="s">
        <v>654</v>
      </c>
      <c r="I2701" s="565"/>
      <c r="J2701" s="565"/>
      <c r="K2701" s="563">
        <v>0</v>
      </c>
      <c r="L2701" s="566">
        <v>0</v>
      </c>
    </row>
    <row r="2702" spans="1:12" ht="22.5" x14ac:dyDescent="0.2">
      <c r="A2702" s="561" t="s">
        <v>119</v>
      </c>
      <c r="B2702" s="562">
        <v>2021</v>
      </c>
      <c r="C2702" s="561" t="s">
        <v>697</v>
      </c>
      <c r="D2702" s="561" t="s">
        <v>2726</v>
      </c>
      <c r="E2702" s="561" t="s">
        <v>6</v>
      </c>
      <c r="F2702" s="563">
        <v>0</v>
      </c>
      <c r="G2702" s="564"/>
      <c r="H2702" s="561" t="s">
        <v>654</v>
      </c>
      <c r="I2702" s="565"/>
      <c r="J2702" s="565"/>
      <c r="K2702" s="563">
        <v>0</v>
      </c>
      <c r="L2702" s="566">
        <v>0</v>
      </c>
    </row>
    <row r="2703" spans="1:12" ht="33.75" x14ac:dyDescent="0.2">
      <c r="A2703" s="561" t="s">
        <v>119</v>
      </c>
      <c r="B2703" s="562">
        <v>2021</v>
      </c>
      <c r="C2703" s="561" t="s">
        <v>699</v>
      </c>
      <c r="D2703" s="561" t="s">
        <v>2727</v>
      </c>
      <c r="E2703" s="561" t="s">
        <v>701</v>
      </c>
      <c r="F2703" s="563">
        <v>0</v>
      </c>
      <c r="G2703" s="564"/>
      <c r="H2703" s="561" t="s">
        <v>654</v>
      </c>
      <c r="I2703" s="565"/>
      <c r="J2703" s="565"/>
      <c r="K2703" s="563">
        <v>0</v>
      </c>
      <c r="L2703" s="566">
        <v>0</v>
      </c>
    </row>
    <row r="2704" spans="1:12" ht="22.5" x14ac:dyDescent="0.2">
      <c r="A2704" s="561" t="s">
        <v>119</v>
      </c>
      <c r="B2704" s="562">
        <v>2021</v>
      </c>
      <c r="C2704" s="561" t="s">
        <v>702</v>
      </c>
      <c r="D2704" s="561" t="s">
        <v>2728</v>
      </c>
      <c r="E2704" s="561" t="s">
        <v>704</v>
      </c>
      <c r="F2704" s="563">
        <v>34187</v>
      </c>
      <c r="G2704" s="564"/>
      <c r="H2704" s="561" t="s">
        <v>654</v>
      </c>
      <c r="I2704" s="565"/>
      <c r="J2704" s="565"/>
      <c r="K2704" s="563">
        <v>0</v>
      </c>
      <c r="L2704" s="566">
        <v>34187</v>
      </c>
    </row>
    <row r="2705" spans="1:12" ht="33.75" x14ac:dyDescent="0.2">
      <c r="A2705" s="561" t="s">
        <v>119</v>
      </c>
      <c r="B2705" s="562">
        <v>2021</v>
      </c>
      <c r="C2705" s="561" t="s">
        <v>705</v>
      </c>
      <c r="D2705" s="561" t="s">
        <v>2729</v>
      </c>
      <c r="E2705" s="561" t="s">
        <v>1</v>
      </c>
      <c r="F2705" s="563">
        <v>-1245300</v>
      </c>
      <c r="G2705" s="561" t="s">
        <v>654</v>
      </c>
      <c r="H2705" s="564"/>
      <c r="I2705" s="563">
        <v>-1240344</v>
      </c>
      <c r="J2705" s="563">
        <v>-4956</v>
      </c>
      <c r="K2705" s="563">
        <v>-1245300</v>
      </c>
      <c r="L2705" s="566">
        <v>-1245300</v>
      </c>
    </row>
    <row r="2706" spans="1:12" ht="22.5" x14ac:dyDescent="0.2">
      <c r="A2706" s="561" t="s">
        <v>119</v>
      </c>
      <c r="B2706" s="562">
        <v>2021</v>
      </c>
      <c r="C2706" s="561" t="s">
        <v>705</v>
      </c>
      <c r="D2706" s="561" t="s">
        <v>2729</v>
      </c>
      <c r="E2706" s="561" t="s">
        <v>707</v>
      </c>
      <c r="F2706" s="563">
        <v>0</v>
      </c>
      <c r="G2706" s="564"/>
      <c r="H2706" s="564"/>
      <c r="I2706" s="565"/>
      <c r="J2706" s="565"/>
      <c r="K2706" s="563">
        <v>0</v>
      </c>
      <c r="L2706" s="566">
        <v>0</v>
      </c>
    </row>
    <row r="2707" spans="1:12" ht="22.5" x14ac:dyDescent="0.2">
      <c r="A2707" s="561" t="s">
        <v>119</v>
      </c>
      <c r="B2707" s="562">
        <v>2021</v>
      </c>
      <c r="C2707" s="561" t="s">
        <v>705</v>
      </c>
      <c r="D2707" s="561" t="s">
        <v>2729</v>
      </c>
      <c r="E2707" s="561" t="s">
        <v>708</v>
      </c>
      <c r="F2707" s="563">
        <v>0</v>
      </c>
      <c r="G2707" s="564"/>
      <c r="H2707" s="564"/>
      <c r="I2707" s="565"/>
      <c r="J2707" s="565"/>
      <c r="K2707" s="563">
        <v>0</v>
      </c>
      <c r="L2707" s="566">
        <v>0</v>
      </c>
    </row>
    <row r="2708" spans="1:12" ht="22.5" x14ac:dyDescent="0.2">
      <c r="A2708" s="561" t="s">
        <v>119</v>
      </c>
      <c r="B2708" s="562">
        <v>2021</v>
      </c>
      <c r="C2708" s="561" t="s">
        <v>705</v>
      </c>
      <c r="D2708" s="561" t="s">
        <v>2729</v>
      </c>
      <c r="E2708" s="561" t="s">
        <v>709</v>
      </c>
      <c r="F2708" s="563">
        <v>-1099</v>
      </c>
      <c r="G2708" s="564"/>
      <c r="H2708" s="564"/>
      <c r="I2708" s="565"/>
      <c r="J2708" s="565"/>
      <c r="K2708" s="563">
        <v>0</v>
      </c>
      <c r="L2708" s="566">
        <v>-1099</v>
      </c>
    </row>
    <row r="2709" spans="1:12" ht="22.5" x14ac:dyDescent="0.2">
      <c r="A2709" s="561" t="s">
        <v>119</v>
      </c>
      <c r="B2709" s="562">
        <v>2021</v>
      </c>
      <c r="C2709" s="561" t="s">
        <v>705</v>
      </c>
      <c r="D2709" s="561" t="s">
        <v>2729</v>
      </c>
      <c r="E2709" s="561" t="s">
        <v>710</v>
      </c>
      <c r="F2709" s="563">
        <v>-191739</v>
      </c>
      <c r="G2709" s="564"/>
      <c r="H2709" s="564"/>
      <c r="I2709" s="565"/>
      <c r="J2709" s="565"/>
      <c r="K2709" s="563">
        <v>0</v>
      </c>
      <c r="L2709" s="566">
        <v>-191739</v>
      </c>
    </row>
    <row r="2710" spans="1:12" ht="15" x14ac:dyDescent="0.2">
      <c r="A2710" s="561" t="s">
        <v>119</v>
      </c>
      <c r="B2710" s="562">
        <v>2021</v>
      </c>
      <c r="C2710" s="561" t="s">
        <v>711</v>
      </c>
      <c r="D2710" s="561" t="s">
        <v>2730</v>
      </c>
      <c r="E2710" s="561" t="s">
        <v>713</v>
      </c>
      <c r="F2710" s="563">
        <v>0</v>
      </c>
      <c r="G2710" s="564"/>
      <c r="H2710" s="561" t="s">
        <v>654</v>
      </c>
      <c r="I2710" s="565"/>
      <c r="J2710" s="565"/>
      <c r="K2710" s="563">
        <v>0</v>
      </c>
      <c r="L2710" s="566">
        <v>0</v>
      </c>
    </row>
    <row r="2711" spans="1:12" ht="33.75" x14ac:dyDescent="0.2">
      <c r="A2711" s="561" t="s">
        <v>119</v>
      </c>
      <c r="B2711" s="562">
        <v>2021</v>
      </c>
      <c r="C2711" s="561" t="s">
        <v>714</v>
      </c>
      <c r="D2711" s="561" t="s">
        <v>2731</v>
      </c>
      <c r="E2711" s="561" t="s">
        <v>2</v>
      </c>
      <c r="F2711" s="563">
        <v>229500</v>
      </c>
      <c r="G2711" s="561" t="s">
        <v>654</v>
      </c>
      <c r="H2711" s="564"/>
      <c r="I2711" s="563">
        <v>226714</v>
      </c>
      <c r="J2711" s="563">
        <v>2786</v>
      </c>
      <c r="K2711" s="563">
        <v>229500</v>
      </c>
      <c r="L2711" s="566">
        <v>229500</v>
      </c>
    </row>
    <row r="2712" spans="1:12" ht="33.75" x14ac:dyDescent="0.2">
      <c r="A2712" s="561" t="s">
        <v>119</v>
      </c>
      <c r="B2712" s="562">
        <v>2021</v>
      </c>
      <c r="C2712" s="561" t="s">
        <v>716</v>
      </c>
      <c r="D2712" s="561" t="s">
        <v>2732</v>
      </c>
      <c r="E2712" s="561" t="s">
        <v>3</v>
      </c>
      <c r="F2712" s="563">
        <v>-102838</v>
      </c>
      <c r="G2712" s="561" t="s">
        <v>654</v>
      </c>
      <c r="H2712" s="564"/>
      <c r="I2712" s="563">
        <v>-102566</v>
      </c>
      <c r="J2712" s="563">
        <v>-272</v>
      </c>
      <c r="K2712" s="563">
        <v>-102838</v>
      </c>
      <c r="L2712" s="566">
        <v>-102838</v>
      </c>
    </row>
    <row r="2713" spans="1:12" ht="33.75" x14ac:dyDescent="0.2">
      <c r="A2713" s="561" t="s">
        <v>119</v>
      </c>
      <c r="B2713" s="562">
        <v>2021</v>
      </c>
      <c r="C2713" s="561" t="s">
        <v>718</v>
      </c>
      <c r="D2713" s="561" t="s">
        <v>2733</v>
      </c>
      <c r="E2713" s="561" t="s">
        <v>38</v>
      </c>
      <c r="F2713" s="563">
        <v>-636825</v>
      </c>
      <c r="G2713" s="561" t="s">
        <v>654</v>
      </c>
      <c r="H2713" s="564"/>
      <c r="I2713" s="563">
        <v>-635007</v>
      </c>
      <c r="J2713" s="563">
        <v>-1818</v>
      </c>
      <c r="K2713" s="563">
        <v>-636825</v>
      </c>
      <c r="L2713" s="566">
        <v>-636825</v>
      </c>
    </row>
    <row r="2714" spans="1:12" ht="22.5" x14ac:dyDescent="0.2">
      <c r="A2714" s="561" t="s">
        <v>119</v>
      </c>
      <c r="B2714" s="562">
        <v>2021</v>
      </c>
      <c r="C2714" s="561" t="s">
        <v>720</v>
      </c>
      <c r="D2714" s="561" t="s">
        <v>2734</v>
      </c>
      <c r="E2714" s="561" t="s">
        <v>66</v>
      </c>
      <c r="F2714" s="563">
        <v>64259</v>
      </c>
      <c r="G2714" s="561" t="s">
        <v>654</v>
      </c>
      <c r="H2714" s="564"/>
      <c r="I2714" s="563">
        <v>56351</v>
      </c>
      <c r="J2714" s="563">
        <v>7908</v>
      </c>
      <c r="K2714" s="563">
        <v>64259</v>
      </c>
      <c r="L2714" s="566">
        <v>64259</v>
      </c>
    </row>
    <row r="2715" spans="1:12" ht="45" x14ac:dyDescent="0.2">
      <c r="A2715" s="561" t="s">
        <v>119</v>
      </c>
      <c r="B2715" s="562">
        <v>2021</v>
      </c>
      <c r="C2715" s="561" t="s">
        <v>722</v>
      </c>
      <c r="D2715" s="561" t="s">
        <v>2735</v>
      </c>
      <c r="E2715" s="561" t="s">
        <v>724</v>
      </c>
      <c r="F2715" s="563">
        <v>-1342832</v>
      </c>
      <c r="G2715" s="564"/>
      <c r="H2715" s="561" t="s">
        <v>654</v>
      </c>
      <c r="I2715" s="565"/>
      <c r="J2715" s="565"/>
      <c r="K2715" s="563">
        <v>0</v>
      </c>
      <c r="L2715" s="566">
        <v>-1342832</v>
      </c>
    </row>
    <row r="2716" spans="1:12" ht="45" x14ac:dyDescent="0.2">
      <c r="A2716" s="561" t="s">
        <v>119</v>
      </c>
      <c r="B2716" s="562">
        <v>2021</v>
      </c>
      <c r="C2716" s="561" t="s">
        <v>725</v>
      </c>
      <c r="D2716" s="561" t="s">
        <v>2736</v>
      </c>
      <c r="E2716" s="561" t="s">
        <v>3024</v>
      </c>
      <c r="F2716" s="563">
        <v>0</v>
      </c>
      <c r="G2716" s="561" t="s">
        <v>654</v>
      </c>
      <c r="H2716" s="564"/>
      <c r="I2716" s="563">
        <v>1459901</v>
      </c>
      <c r="J2716" s="563">
        <v>-1463541</v>
      </c>
      <c r="K2716" s="563">
        <v>-3640</v>
      </c>
      <c r="L2716" s="566">
        <v>-3640</v>
      </c>
    </row>
    <row r="2717" spans="1:12" ht="45" x14ac:dyDescent="0.2">
      <c r="A2717" s="561" t="s">
        <v>119</v>
      </c>
      <c r="B2717" s="562">
        <v>2021</v>
      </c>
      <c r="C2717" s="561" t="s">
        <v>725</v>
      </c>
      <c r="D2717" s="561" t="s">
        <v>2736</v>
      </c>
      <c r="E2717" s="561" t="s">
        <v>3066</v>
      </c>
      <c r="F2717" s="563">
        <v>0</v>
      </c>
      <c r="G2717" s="561" t="s">
        <v>654</v>
      </c>
      <c r="H2717" s="564"/>
      <c r="I2717" s="563">
        <v>164570</v>
      </c>
      <c r="J2717" s="563">
        <v>-118695</v>
      </c>
      <c r="K2717" s="563">
        <v>45875</v>
      </c>
      <c r="L2717" s="566">
        <v>45875</v>
      </c>
    </row>
    <row r="2718" spans="1:12" ht="45" x14ac:dyDescent="0.2">
      <c r="A2718" s="561" t="s">
        <v>119</v>
      </c>
      <c r="B2718" s="562">
        <v>2021</v>
      </c>
      <c r="C2718" s="561" t="s">
        <v>725</v>
      </c>
      <c r="D2718" s="561" t="s">
        <v>2737</v>
      </c>
      <c r="E2718" s="561" t="s">
        <v>728</v>
      </c>
      <c r="F2718" s="563">
        <v>0</v>
      </c>
      <c r="G2718" s="561" t="s">
        <v>654</v>
      </c>
      <c r="H2718" s="564"/>
      <c r="I2718" s="565"/>
      <c r="J2718" s="565"/>
      <c r="K2718" s="563">
        <v>0</v>
      </c>
      <c r="L2718" s="566">
        <v>0</v>
      </c>
    </row>
    <row r="2719" spans="1:12" ht="45" x14ac:dyDescent="0.2">
      <c r="A2719" s="561" t="s">
        <v>119</v>
      </c>
      <c r="B2719" s="562">
        <v>2021</v>
      </c>
      <c r="C2719" s="561" t="s">
        <v>725</v>
      </c>
      <c r="D2719" s="561" t="s">
        <v>2738</v>
      </c>
      <c r="E2719" s="561" t="s">
        <v>55</v>
      </c>
      <c r="F2719" s="563">
        <v>0</v>
      </c>
      <c r="G2719" s="561" t="s">
        <v>654</v>
      </c>
      <c r="H2719" s="564"/>
      <c r="I2719" s="565"/>
      <c r="J2719" s="565"/>
      <c r="K2719" s="563">
        <v>0</v>
      </c>
      <c r="L2719" s="566">
        <v>0</v>
      </c>
    </row>
    <row r="2720" spans="1:12" ht="45" x14ac:dyDescent="0.2">
      <c r="A2720" s="561" t="s">
        <v>119</v>
      </c>
      <c r="B2720" s="562">
        <v>2021</v>
      </c>
      <c r="C2720" s="561" t="s">
        <v>725</v>
      </c>
      <c r="D2720" s="561" t="s">
        <v>2739</v>
      </c>
      <c r="E2720" s="561" t="s">
        <v>56</v>
      </c>
      <c r="F2720" s="563">
        <v>0</v>
      </c>
      <c r="G2720" s="561" t="s">
        <v>654</v>
      </c>
      <c r="H2720" s="564"/>
      <c r="I2720" s="565"/>
      <c r="J2720" s="565"/>
      <c r="K2720" s="563">
        <v>0</v>
      </c>
      <c r="L2720" s="566">
        <v>0</v>
      </c>
    </row>
    <row r="2721" spans="1:12" ht="45" x14ac:dyDescent="0.2">
      <c r="A2721" s="561" t="s">
        <v>119</v>
      </c>
      <c r="B2721" s="562">
        <v>2021</v>
      </c>
      <c r="C2721" s="561" t="s">
        <v>725</v>
      </c>
      <c r="D2721" s="561" t="s">
        <v>2740</v>
      </c>
      <c r="E2721" s="561" t="s">
        <v>732</v>
      </c>
      <c r="F2721" s="563">
        <v>0</v>
      </c>
      <c r="G2721" s="561" t="s">
        <v>654</v>
      </c>
      <c r="H2721" s="564"/>
      <c r="I2721" s="565"/>
      <c r="J2721" s="565"/>
      <c r="K2721" s="563">
        <v>0</v>
      </c>
      <c r="L2721" s="566">
        <v>0</v>
      </c>
    </row>
    <row r="2722" spans="1:12" ht="45" x14ac:dyDescent="0.2">
      <c r="A2722" s="561" t="s">
        <v>119</v>
      </c>
      <c r="B2722" s="562">
        <v>2021</v>
      </c>
      <c r="C2722" s="561" t="s">
        <v>725</v>
      </c>
      <c r="D2722" s="561" t="s">
        <v>2741</v>
      </c>
      <c r="E2722" s="561" t="s">
        <v>734</v>
      </c>
      <c r="F2722" s="563">
        <v>0</v>
      </c>
      <c r="G2722" s="561" t="s">
        <v>654</v>
      </c>
      <c r="H2722" s="564"/>
      <c r="I2722" s="565"/>
      <c r="J2722" s="565"/>
      <c r="K2722" s="563">
        <v>0</v>
      </c>
      <c r="L2722" s="566">
        <v>0</v>
      </c>
    </row>
    <row r="2723" spans="1:12" ht="45" x14ac:dyDescent="0.2">
      <c r="A2723" s="561" t="s">
        <v>119</v>
      </c>
      <c r="B2723" s="562">
        <v>2021</v>
      </c>
      <c r="C2723" s="561" t="s">
        <v>725</v>
      </c>
      <c r="D2723" s="561" t="s">
        <v>2742</v>
      </c>
      <c r="E2723" s="561" t="s">
        <v>142</v>
      </c>
      <c r="F2723" s="563">
        <v>0</v>
      </c>
      <c r="G2723" s="561" t="s">
        <v>654</v>
      </c>
      <c r="H2723" s="564"/>
      <c r="I2723" s="565"/>
      <c r="J2723" s="565"/>
      <c r="K2723" s="563">
        <v>0</v>
      </c>
      <c r="L2723" s="566">
        <v>0</v>
      </c>
    </row>
    <row r="2724" spans="1:12" ht="45" x14ac:dyDescent="0.2">
      <c r="A2724" s="561" t="s">
        <v>119</v>
      </c>
      <c r="B2724" s="562">
        <v>2021</v>
      </c>
      <c r="C2724" s="561" t="s">
        <v>725</v>
      </c>
      <c r="D2724" s="561" t="s">
        <v>2743</v>
      </c>
      <c r="E2724" s="561" t="s">
        <v>143</v>
      </c>
      <c r="F2724" s="563">
        <v>0</v>
      </c>
      <c r="G2724" s="561" t="s">
        <v>654</v>
      </c>
      <c r="H2724" s="564"/>
      <c r="I2724" s="565"/>
      <c r="J2724" s="565"/>
      <c r="K2724" s="563">
        <v>0</v>
      </c>
      <c r="L2724" s="566">
        <v>0</v>
      </c>
    </row>
    <row r="2725" spans="1:12" ht="45" x14ac:dyDescent="0.2">
      <c r="A2725" s="561" t="s">
        <v>119</v>
      </c>
      <c r="B2725" s="562">
        <v>2021</v>
      </c>
      <c r="C2725" s="561" t="s">
        <v>725</v>
      </c>
      <c r="D2725" s="561" t="s">
        <v>2744</v>
      </c>
      <c r="E2725" s="561" t="s">
        <v>182</v>
      </c>
      <c r="F2725" s="563">
        <v>0</v>
      </c>
      <c r="G2725" s="561" t="s">
        <v>654</v>
      </c>
      <c r="H2725" s="564"/>
      <c r="I2725" s="565"/>
      <c r="J2725" s="565"/>
      <c r="K2725" s="563">
        <v>0</v>
      </c>
      <c r="L2725" s="566">
        <v>0</v>
      </c>
    </row>
    <row r="2726" spans="1:12" ht="45" x14ac:dyDescent="0.2">
      <c r="A2726" s="561" t="s">
        <v>119</v>
      </c>
      <c r="B2726" s="562">
        <v>2021</v>
      </c>
      <c r="C2726" s="561" t="s">
        <v>725</v>
      </c>
      <c r="D2726" s="561" t="s">
        <v>2745</v>
      </c>
      <c r="E2726" s="561" t="s">
        <v>394</v>
      </c>
      <c r="F2726" s="563">
        <v>0</v>
      </c>
      <c r="G2726" s="561" t="s">
        <v>654</v>
      </c>
      <c r="H2726" s="564"/>
      <c r="I2726" s="563">
        <v>-24273</v>
      </c>
      <c r="J2726" s="565"/>
      <c r="K2726" s="563">
        <v>-24273</v>
      </c>
      <c r="L2726" s="566">
        <v>-24273</v>
      </c>
    </row>
    <row r="2727" spans="1:12" ht="45" x14ac:dyDescent="0.2">
      <c r="A2727" s="561" t="s">
        <v>119</v>
      </c>
      <c r="B2727" s="562">
        <v>2021</v>
      </c>
      <c r="C2727" s="561" t="s">
        <v>725</v>
      </c>
      <c r="D2727" s="561" t="s">
        <v>2746</v>
      </c>
      <c r="E2727" s="561" t="s">
        <v>425</v>
      </c>
      <c r="F2727" s="563">
        <v>0</v>
      </c>
      <c r="G2727" s="561" t="s">
        <v>654</v>
      </c>
      <c r="H2727" s="564"/>
      <c r="I2727" s="565"/>
      <c r="J2727" s="565"/>
      <c r="K2727" s="563">
        <v>0</v>
      </c>
      <c r="L2727" s="566">
        <v>0</v>
      </c>
    </row>
    <row r="2728" spans="1:12" ht="45" x14ac:dyDescent="0.2">
      <c r="A2728" s="561" t="s">
        <v>119</v>
      </c>
      <c r="B2728" s="562">
        <v>2021</v>
      </c>
      <c r="C2728" s="561" t="s">
        <v>725</v>
      </c>
      <c r="D2728" s="561" t="s">
        <v>3339</v>
      </c>
      <c r="E2728" s="561" t="s">
        <v>443</v>
      </c>
      <c r="F2728" s="563">
        <v>0</v>
      </c>
      <c r="G2728" s="561" t="s">
        <v>654</v>
      </c>
      <c r="H2728" s="564"/>
      <c r="I2728" s="563">
        <v>60544</v>
      </c>
      <c r="J2728" s="563">
        <v>-62426</v>
      </c>
      <c r="K2728" s="563">
        <v>-1882</v>
      </c>
      <c r="L2728" s="566">
        <v>-1882</v>
      </c>
    </row>
    <row r="2729" spans="1:12" ht="45" x14ac:dyDescent="0.2">
      <c r="A2729" s="561" t="s">
        <v>119</v>
      </c>
      <c r="B2729" s="562">
        <v>2021</v>
      </c>
      <c r="C2729" s="561" t="s">
        <v>725</v>
      </c>
      <c r="D2729" s="561" t="s">
        <v>2747</v>
      </c>
      <c r="E2729" s="561" t="s">
        <v>741</v>
      </c>
      <c r="F2729" s="563">
        <v>16080</v>
      </c>
      <c r="G2729" s="564"/>
      <c r="H2729" s="564"/>
      <c r="I2729" s="565"/>
      <c r="J2729" s="565"/>
      <c r="K2729" s="563">
        <v>0</v>
      </c>
      <c r="L2729" s="566">
        <v>16080</v>
      </c>
    </row>
    <row r="2730" spans="1:12" ht="22.5" x14ac:dyDescent="0.2">
      <c r="A2730" s="561" t="s">
        <v>119</v>
      </c>
      <c r="B2730" s="562">
        <v>2021</v>
      </c>
      <c r="C2730" s="561" t="s">
        <v>742</v>
      </c>
      <c r="D2730" s="561" t="s">
        <v>2748</v>
      </c>
      <c r="E2730" s="561" t="s">
        <v>7</v>
      </c>
      <c r="F2730" s="563">
        <v>0</v>
      </c>
      <c r="G2730" s="564"/>
      <c r="H2730" s="561" t="s">
        <v>654</v>
      </c>
      <c r="I2730" s="565"/>
      <c r="J2730" s="565"/>
      <c r="K2730" s="563">
        <v>0</v>
      </c>
      <c r="L2730" s="566">
        <v>0</v>
      </c>
    </row>
    <row r="2731" spans="1:12" ht="22.5" x14ac:dyDescent="0.2">
      <c r="A2731" s="561" t="s">
        <v>201</v>
      </c>
      <c r="B2731" s="562">
        <v>2021</v>
      </c>
      <c r="C2731" s="561" t="s">
        <v>651</v>
      </c>
      <c r="D2731" s="561" t="s">
        <v>2749</v>
      </c>
      <c r="E2731" s="561" t="s">
        <v>653</v>
      </c>
      <c r="F2731" s="563">
        <v>-396883.04</v>
      </c>
      <c r="G2731" s="564"/>
      <c r="H2731" s="561" t="s">
        <v>654</v>
      </c>
      <c r="I2731" s="565"/>
      <c r="J2731" s="565"/>
      <c r="K2731" s="563">
        <v>0</v>
      </c>
      <c r="L2731" s="566">
        <v>-396883.04</v>
      </c>
    </row>
    <row r="2732" spans="1:12" ht="22.5" x14ac:dyDescent="0.2">
      <c r="A2732" s="561" t="s">
        <v>201</v>
      </c>
      <c r="B2732" s="562">
        <v>2021</v>
      </c>
      <c r="C2732" s="561" t="s">
        <v>655</v>
      </c>
      <c r="D2732" s="561" t="s">
        <v>2750</v>
      </c>
      <c r="E2732" s="561" t="s">
        <v>657</v>
      </c>
      <c r="F2732" s="563">
        <v>0</v>
      </c>
      <c r="G2732" s="564"/>
      <c r="H2732" s="561" t="s">
        <v>654</v>
      </c>
      <c r="I2732" s="565"/>
      <c r="J2732" s="565"/>
      <c r="K2732" s="563">
        <v>0</v>
      </c>
      <c r="L2732" s="566">
        <v>0</v>
      </c>
    </row>
    <row r="2733" spans="1:12" ht="56.25" x14ac:dyDescent="0.2">
      <c r="A2733" s="561" t="s">
        <v>201</v>
      </c>
      <c r="B2733" s="562">
        <v>2021</v>
      </c>
      <c r="C2733" s="561" t="s">
        <v>658</v>
      </c>
      <c r="D2733" s="561" t="s">
        <v>2751</v>
      </c>
      <c r="E2733" s="561" t="s">
        <v>447</v>
      </c>
      <c r="F2733" s="563">
        <v>0</v>
      </c>
      <c r="G2733" s="564"/>
      <c r="H2733" s="561" t="s">
        <v>654</v>
      </c>
      <c r="I2733" s="565"/>
      <c r="J2733" s="565"/>
      <c r="K2733" s="563">
        <v>0</v>
      </c>
      <c r="L2733" s="566">
        <v>0</v>
      </c>
    </row>
    <row r="2734" spans="1:12" ht="22.5" x14ac:dyDescent="0.2">
      <c r="A2734" s="561" t="s">
        <v>201</v>
      </c>
      <c r="B2734" s="562">
        <v>2021</v>
      </c>
      <c r="C2734" s="561" t="s">
        <v>660</v>
      </c>
      <c r="D2734" s="561" t="s">
        <v>2752</v>
      </c>
      <c r="E2734" s="561" t="s">
        <v>662</v>
      </c>
      <c r="F2734" s="563">
        <v>0</v>
      </c>
      <c r="G2734" s="564"/>
      <c r="H2734" s="561" t="s">
        <v>654</v>
      </c>
      <c r="I2734" s="565"/>
      <c r="J2734" s="565"/>
      <c r="K2734" s="563">
        <v>0</v>
      </c>
      <c r="L2734" s="566">
        <v>0</v>
      </c>
    </row>
    <row r="2735" spans="1:12" ht="33.75" x14ac:dyDescent="0.2">
      <c r="A2735" s="561" t="s">
        <v>201</v>
      </c>
      <c r="B2735" s="562">
        <v>2021</v>
      </c>
      <c r="C2735" s="561" t="s">
        <v>663</v>
      </c>
      <c r="D2735" s="561" t="s">
        <v>2753</v>
      </c>
      <c r="E2735" s="561" t="s">
        <v>665</v>
      </c>
      <c r="F2735" s="563">
        <v>0</v>
      </c>
      <c r="G2735" s="564"/>
      <c r="H2735" s="561" t="s">
        <v>654</v>
      </c>
      <c r="I2735" s="565"/>
      <c r="J2735" s="565"/>
      <c r="K2735" s="563">
        <v>0</v>
      </c>
      <c r="L2735" s="566">
        <v>0</v>
      </c>
    </row>
    <row r="2736" spans="1:12" ht="33.75" x14ac:dyDescent="0.2">
      <c r="A2736" s="561" t="s">
        <v>201</v>
      </c>
      <c r="B2736" s="562">
        <v>2021</v>
      </c>
      <c r="C2736" s="561" t="s">
        <v>666</v>
      </c>
      <c r="D2736" s="561" t="s">
        <v>2754</v>
      </c>
      <c r="E2736" s="561" t="s">
        <v>668</v>
      </c>
      <c r="F2736" s="563">
        <v>0</v>
      </c>
      <c r="G2736" s="564"/>
      <c r="H2736" s="561" t="s">
        <v>654</v>
      </c>
      <c r="I2736" s="565"/>
      <c r="J2736" s="565"/>
      <c r="K2736" s="563">
        <v>0</v>
      </c>
      <c r="L2736" s="566">
        <v>0</v>
      </c>
    </row>
    <row r="2737" spans="1:12" ht="56.25" x14ac:dyDescent="0.2">
      <c r="A2737" s="561" t="s">
        <v>201</v>
      </c>
      <c r="B2737" s="562">
        <v>2021</v>
      </c>
      <c r="C2737" s="561" t="s">
        <v>669</v>
      </c>
      <c r="D2737" s="561" t="s">
        <v>2755</v>
      </c>
      <c r="E2737" s="561" t="s">
        <v>671</v>
      </c>
      <c r="F2737" s="563">
        <v>0</v>
      </c>
      <c r="G2737" s="564"/>
      <c r="H2737" s="561" t="s">
        <v>654</v>
      </c>
      <c r="I2737" s="565"/>
      <c r="J2737" s="565"/>
      <c r="K2737" s="563">
        <v>0</v>
      </c>
      <c r="L2737" s="566">
        <v>0</v>
      </c>
    </row>
    <row r="2738" spans="1:12" ht="22.5" x14ac:dyDescent="0.2">
      <c r="A2738" s="561" t="s">
        <v>201</v>
      </c>
      <c r="B2738" s="562">
        <v>2021</v>
      </c>
      <c r="C2738" s="561" t="s">
        <v>672</v>
      </c>
      <c r="D2738" s="561" t="s">
        <v>2756</v>
      </c>
      <c r="E2738" s="561" t="s">
        <v>12</v>
      </c>
      <c r="F2738" s="563">
        <v>0</v>
      </c>
      <c r="G2738" s="564"/>
      <c r="H2738" s="561" t="s">
        <v>654</v>
      </c>
      <c r="I2738" s="565"/>
      <c r="J2738" s="565"/>
      <c r="K2738" s="563">
        <v>0</v>
      </c>
      <c r="L2738" s="566">
        <v>0</v>
      </c>
    </row>
    <row r="2739" spans="1:12" ht="22.5" x14ac:dyDescent="0.2">
      <c r="A2739" s="561" t="s">
        <v>201</v>
      </c>
      <c r="B2739" s="562">
        <v>2021</v>
      </c>
      <c r="C2739" s="561" t="s">
        <v>674</v>
      </c>
      <c r="D2739" s="561" t="s">
        <v>2757</v>
      </c>
      <c r="E2739" s="561" t="s">
        <v>13</v>
      </c>
      <c r="F2739" s="563">
        <v>0</v>
      </c>
      <c r="G2739" s="564"/>
      <c r="H2739" s="561" t="s">
        <v>654</v>
      </c>
      <c r="I2739" s="565"/>
      <c r="J2739" s="565"/>
      <c r="K2739" s="563">
        <v>0</v>
      </c>
      <c r="L2739" s="566">
        <v>0</v>
      </c>
    </row>
    <row r="2740" spans="1:12" ht="33.75" x14ac:dyDescent="0.2">
      <c r="A2740" s="561" t="s">
        <v>201</v>
      </c>
      <c r="B2740" s="562">
        <v>2021</v>
      </c>
      <c r="C2740" s="561" t="s">
        <v>676</v>
      </c>
      <c r="D2740" s="561" t="s">
        <v>2758</v>
      </c>
      <c r="E2740" s="561" t="s">
        <v>15</v>
      </c>
      <c r="F2740" s="563">
        <v>0</v>
      </c>
      <c r="G2740" s="564"/>
      <c r="H2740" s="561" t="s">
        <v>654</v>
      </c>
      <c r="I2740" s="565"/>
      <c r="J2740" s="565"/>
      <c r="K2740" s="563">
        <v>0</v>
      </c>
      <c r="L2740" s="566">
        <v>0</v>
      </c>
    </row>
    <row r="2741" spans="1:12" ht="22.5" x14ac:dyDescent="0.2">
      <c r="A2741" s="561" t="s">
        <v>201</v>
      </c>
      <c r="B2741" s="562">
        <v>2021</v>
      </c>
      <c r="C2741" s="561" t="s">
        <v>678</v>
      </c>
      <c r="D2741" s="561" t="s">
        <v>2759</v>
      </c>
      <c r="E2741" s="561" t="s">
        <v>680</v>
      </c>
      <c r="F2741" s="563">
        <v>0</v>
      </c>
      <c r="G2741" s="564"/>
      <c r="H2741" s="561" t="s">
        <v>654</v>
      </c>
      <c r="I2741" s="565"/>
      <c r="J2741" s="565"/>
      <c r="K2741" s="563">
        <v>0</v>
      </c>
      <c r="L2741" s="566">
        <v>0</v>
      </c>
    </row>
    <row r="2742" spans="1:12" ht="22.5" x14ac:dyDescent="0.2">
      <c r="A2742" s="561" t="s">
        <v>201</v>
      </c>
      <c r="B2742" s="562">
        <v>2021</v>
      </c>
      <c r="C2742" s="561" t="s">
        <v>681</v>
      </c>
      <c r="D2742" s="561" t="s">
        <v>2760</v>
      </c>
      <c r="E2742" s="561" t="s">
        <v>23</v>
      </c>
      <c r="F2742" s="563">
        <v>0</v>
      </c>
      <c r="G2742" s="561" t="s">
        <v>654</v>
      </c>
      <c r="H2742" s="564"/>
      <c r="I2742" s="565"/>
      <c r="J2742" s="565"/>
      <c r="K2742" s="563">
        <v>0</v>
      </c>
      <c r="L2742" s="566">
        <v>0</v>
      </c>
    </row>
    <row r="2743" spans="1:12" ht="33.75" x14ac:dyDescent="0.2">
      <c r="A2743" s="561" t="s">
        <v>201</v>
      </c>
      <c r="B2743" s="562">
        <v>2021</v>
      </c>
      <c r="C2743" s="561" t="s">
        <v>683</v>
      </c>
      <c r="D2743" s="561" t="s">
        <v>2761</v>
      </c>
      <c r="E2743" s="561" t="s">
        <v>131</v>
      </c>
      <c r="F2743" s="563">
        <v>-7813.73</v>
      </c>
      <c r="G2743" s="561" t="s">
        <v>654</v>
      </c>
      <c r="H2743" s="564"/>
      <c r="I2743" s="563">
        <v>-7616.169921875</v>
      </c>
      <c r="J2743" s="563">
        <v>-197.55999755859401</v>
      </c>
      <c r="K2743" s="563">
        <v>-7813.72998046875</v>
      </c>
      <c r="L2743" s="566">
        <v>-7813.73</v>
      </c>
    </row>
    <row r="2744" spans="1:12" ht="33.75" x14ac:dyDescent="0.2">
      <c r="A2744" s="561" t="s">
        <v>201</v>
      </c>
      <c r="B2744" s="562">
        <v>2021</v>
      </c>
      <c r="C2744" s="561" t="s">
        <v>685</v>
      </c>
      <c r="D2744" s="561" t="s">
        <v>2762</v>
      </c>
      <c r="E2744" s="561" t="s">
        <v>687</v>
      </c>
      <c r="F2744" s="563">
        <v>25495.18</v>
      </c>
      <c r="G2744" s="564"/>
      <c r="H2744" s="561" t="s">
        <v>654</v>
      </c>
      <c r="I2744" s="565"/>
      <c r="J2744" s="565"/>
      <c r="K2744" s="563">
        <v>0</v>
      </c>
      <c r="L2744" s="566">
        <v>25495.18</v>
      </c>
    </row>
    <row r="2745" spans="1:12" ht="33.75" x14ac:dyDescent="0.2">
      <c r="A2745" s="561" t="s">
        <v>201</v>
      </c>
      <c r="B2745" s="562">
        <v>2021</v>
      </c>
      <c r="C2745" s="561" t="s">
        <v>685</v>
      </c>
      <c r="D2745" s="561" t="s">
        <v>2762</v>
      </c>
      <c r="E2745" s="561" t="s">
        <v>688</v>
      </c>
      <c r="F2745" s="563">
        <v>25495.18</v>
      </c>
      <c r="G2745" s="564"/>
      <c r="H2745" s="561" t="s">
        <v>654</v>
      </c>
      <c r="I2745" s="565"/>
      <c r="J2745" s="565"/>
      <c r="K2745" s="563">
        <v>0</v>
      </c>
      <c r="L2745" s="566">
        <v>25495.18</v>
      </c>
    </row>
    <row r="2746" spans="1:12" ht="22.5" x14ac:dyDescent="0.2">
      <c r="A2746" s="561" t="s">
        <v>201</v>
      </c>
      <c r="B2746" s="562">
        <v>2021</v>
      </c>
      <c r="C2746" s="561" t="s">
        <v>689</v>
      </c>
      <c r="D2746" s="561" t="s">
        <v>2763</v>
      </c>
      <c r="E2746" s="561" t="s">
        <v>691</v>
      </c>
      <c r="F2746" s="563">
        <v>159323.21</v>
      </c>
      <c r="G2746" s="564"/>
      <c r="H2746" s="561" t="s">
        <v>654</v>
      </c>
      <c r="I2746" s="565"/>
      <c r="J2746" s="565"/>
      <c r="K2746" s="563">
        <v>0</v>
      </c>
      <c r="L2746" s="566">
        <v>159323.21</v>
      </c>
    </row>
    <row r="2747" spans="1:12" ht="22.5" x14ac:dyDescent="0.2">
      <c r="A2747" s="561" t="s">
        <v>201</v>
      </c>
      <c r="B2747" s="562">
        <v>2021</v>
      </c>
      <c r="C2747" s="561" t="s">
        <v>692</v>
      </c>
      <c r="D2747" s="561" t="s">
        <v>2764</v>
      </c>
      <c r="E2747" s="561" t="s">
        <v>50</v>
      </c>
      <c r="F2747" s="563">
        <v>0</v>
      </c>
      <c r="G2747" s="564"/>
      <c r="H2747" s="561" t="s">
        <v>654</v>
      </c>
      <c r="I2747" s="565"/>
      <c r="J2747" s="565"/>
      <c r="K2747" s="563">
        <v>0</v>
      </c>
      <c r="L2747" s="566">
        <v>0</v>
      </c>
    </row>
    <row r="2748" spans="1:12" ht="22.5" x14ac:dyDescent="0.2">
      <c r="A2748" s="561" t="s">
        <v>201</v>
      </c>
      <c r="B2748" s="562">
        <v>2021</v>
      </c>
      <c r="C2748" s="561" t="s">
        <v>694</v>
      </c>
      <c r="D2748" s="561" t="s">
        <v>2765</v>
      </c>
      <c r="E2748" s="561" t="s">
        <v>696</v>
      </c>
      <c r="F2748" s="563">
        <v>0</v>
      </c>
      <c r="G2748" s="564"/>
      <c r="H2748" s="561" t="s">
        <v>654</v>
      </c>
      <c r="I2748" s="565"/>
      <c r="J2748" s="565"/>
      <c r="K2748" s="563">
        <v>0</v>
      </c>
      <c r="L2748" s="566">
        <v>0</v>
      </c>
    </row>
    <row r="2749" spans="1:12" ht="22.5" x14ac:dyDescent="0.2">
      <c r="A2749" s="561" t="s">
        <v>201</v>
      </c>
      <c r="B2749" s="562">
        <v>2021</v>
      </c>
      <c r="C2749" s="561" t="s">
        <v>697</v>
      </c>
      <c r="D2749" s="561" t="s">
        <v>2766</v>
      </c>
      <c r="E2749" s="561" t="s">
        <v>6</v>
      </c>
      <c r="F2749" s="563">
        <v>0</v>
      </c>
      <c r="G2749" s="564"/>
      <c r="H2749" s="561" t="s">
        <v>654</v>
      </c>
      <c r="I2749" s="565"/>
      <c r="J2749" s="565"/>
      <c r="K2749" s="563">
        <v>0</v>
      </c>
      <c r="L2749" s="566">
        <v>0</v>
      </c>
    </row>
    <row r="2750" spans="1:12" ht="33.75" x14ac:dyDescent="0.2">
      <c r="A2750" s="561" t="s">
        <v>201</v>
      </c>
      <c r="B2750" s="562">
        <v>2021</v>
      </c>
      <c r="C2750" s="561" t="s">
        <v>699</v>
      </c>
      <c r="D2750" s="561" t="s">
        <v>2767</v>
      </c>
      <c r="E2750" s="561" t="s">
        <v>701</v>
      </c>
      <c r="F2750" s="563">
        <v>0</v>
      </c>
      <c r="G2750" s="564"/>
      <c r="H2750" s="561" t="s">
        <v>654</v>
      </c>
      <c r="I2750" s="565"/>
      <c r="J2750" s="565"/>
      <c r="K2750" s="563">
        <v>0</v>
      </c>
      <c r="L2750" s="566">
        <v>0</v>
      </c>
    </row>
    <row r="2751" spans="1:12" ht="22.5" x14ac:dyDescent="0.2">
      <c r="A2751" s="561" t="s">
        <v>201</v>
      </c>
      <c r="B2751" s="562">
        <v>2021</v>
      </c>
      <c r="C2751" s="561" t="s">
        <v>702</v>
      </c>
      <c r="D2751" s="561" t="s">
        <v>2768</v>
      </c>
      <c r="E2751" s="561" t="s">
        <v>704</v>
      </c>
      <c r="F2751" s="563">
        <v>0</v>
      </c>
      <c r="G2751" s="564"/>
      <c r="H2751" s="561" t="s">
        <v>654</v>
      </c>
      <c r="I2751" s="565"/>
      <c r="J2751" s="565"/>
      <c r="K2751" s="563">
        <v>0</v>
      </c>
      <c r="L2751" s="566">
        <v>0</v>
      </c>
    </row>
    <row r="2752" spans="1:12" ht="33.75" x14ac:dyDescent="0.2">
      <c r="A2752" s="561" t="s">
        <v>201</v>
      </c>
      <c r="B2752" s="562">
        <v>2021</v>
      </c>
      <c r="C2752" s="561" t="s">
        <v>705</v>
      </c>
      <c r="D2752" s="561" t="s">
        <v>2769</v>
      </c>
      <c r="E2752" s="561" t="s">
        <v>1</v>
      </c>
      <c r="F2752" s="563">
        <v>-410962.65</v>
      </c>
      <c r="G2752" s="561" t="s">
        <v>654</v>
      </c>
      <c r="H2752" s="564"/>
      <c r="I2752" s="563">
        <v>-402961.40625</v>
      </c>
      <c r="J2752" s="563">
        <v>-8001.240234375</v>
      </c>
      <c r="K2752" s="563">
        <v>-410962.65625</v>
      </c>
      <c r="L2752" s="566">
        <v>-410962.65</v>
      </c>
    </row>
    <row r="2753" spans="1:12" ht="22.5" x14ac:dyDescent="0.2">
      <c r="A2753" s="561" t="s">
        <v>201</v>
      </c>
      <c r="B2753" s="562">
        <v>2021</v>
      </c>
      <c r="C2753" s="561" t="s">
        <v>705</v>
      </c>
      <c r="D2753" s="561" t="s">
        <v>2769</v>
      </c>
      <c r="E2753" s="561" t="s">
        <v>707</v>
      </c>
      <c r="F2753" s="563">
        <v>0</v>
      </c>
      <c r="G2753" s="564"/>
      <c r="H2753" s="564"/>
      <c r="I2753" s="565"/>
      <c r="J2753" s="565"/>
      <c r="K2753" s="563">
        <v>0</v>
      </c>
      <c r="L2753" s="566">
        <v>0</v>
      </c>
    </row>
    <row r="2754" spans="1:12" ht="22.5" x14ac:dyDescent="0.2">
      <c r="A2754" s="561" t="s">
        <v>201</v>
      </c>
      <c r="B2754" s="562">
        <v>2021</v>
      </c>
      <c r="C2754" s="561" t="s">
        <v>705</v>
      </c>
      <c r="D2754" s="561" t="s">
        <v>2769</v>
      </c>
      <c r="E2754" s="561" t="s">
        <v>708</v>
      </c>
      <c r="F2754" s="563">
        <v>0</v>
      </c>
      <c r="G2754" s="564"/>
      <c r="H2754" s="564"/>
      <c r="I2754" s="565"/>
      <c r="J2754" s="565"/>
      <c r="K2754" s="563">
        <v>0</v>
      </c>
      <c r="L2754" s="566">
        <v>0</v>
      </c>
    </row>
    <row r="2755" spans="1:12" ht="22.5" x14ac:dyDescent="0.2">
      <c r="A2755" s="561" t="s">
        <v>201</v>
      </c>
      <c r="B2755" s="562">
        <v>2021</v>
      </c>
      <c r="C2755" s="561" t="s">
        <v>705</v>
      </c>
      <c r="D2755" s="561" t="s">
        <v>2769</v>
      </c>
      <c r="E2755" s="561" t="s">
        <v>709</v>
      </c>
      <c r="F2755" s="563">
        <v>-955.33</v>
      </c>
      <c r="G2755" s="564"/>
      <c r="H2755" s="564"/>
      <c r="I2755" s="565"/>
      <c r="J2755" s="565"/>
      <c r="K2755" s="563">
        <v>0</v>
      </c>
      <c r="L2755" s="566">
        <v>-955.33</v>
      </c>
    </row>
    <row r="2756" spans="1:12" ht="22.5" x14ac:dyDescent="0.2">
      <c r="A2756" s="561" t="s">
        <v>201</v>
      </c>
      <c r="B2756" s="562">
        <v>2021</v>
      </c>
      <c r="C2756" s="561" t="s">
        <v>705</v>
      </c>
      <c r="D2756" s="561" t="s">
        <v>2769</v>
      </c>
      <c r="E2756" s="561" t="s">
        <v>710</v>
      </c>
      <c r="F2756" s="563">
        <v>-42062.7</v>
      </c>
      <c r="G2756" s="564"/>
      <c r="H2756" s="564"/>
      <c r="I2756" s="565"/>
      <c r="J2756" s="565"/>
      <c r="K2756" s="563">
        <v>0</v>
      </c>
      <c r="L2756" s="566">
        <v>-42062.7</v>
      </c>
    </row>
    <row r="2757" spans="1:12" ht="22.5" x14ac:dyDescent="0.2">
      <c r="A2757" s="561" t="s">
        <v>201</v>
      </c>
      <c r="B2757" s="562">
        <v>2021</v>
      </c>
      <c r="C2757" s="561" t="s">
        <v>711</v>
      </c>
      <c r="D2757" s="561" t="s">
        <v>2770</v>
      </c>
      <c r="E2757" s="561" t="s">
        <v>713</v>
      </c>
      <c r="F2757" s="563">
        <v>0</v>
      </c>
      <c r="G2757" s="564"/>
      <c r="H2757" s="561" t="s">
        <v>654</v>
      </c>
      <c r="I2757" s="565"/>
      <c r="J2757" s="565"/>
      <c r="K2757" s="563">
        <v>0</v>
      </c>
      <c r="L2757" s="566">
        <v>0</v>
      </c>
    </row>
    <row r="2758" spans="1:12" ht="33.75" x14ac:dyDescent="0.2">
      <c r="A2758" s="561" t="s">
        <v>201</v>
      </c>
      <c r="B2758" s="562">
        <v>2021</v>
      </c>
      <c r="C2758" s="561" t="s">
        <v>714</v>
      </c>
      <c r="D2758" s="561" t="s">
        <v>2771</v>
      </c>
      <c r="E2758" s="561" t="s">
        <v>2</v>
      </c>
      <c r="F2758" s="563">
        <v>49954.78</v>
      </c>
      <c r="G2758" s="561" t="s">
        <v>654</v>
      </c>
      <c r="H2758" s="564"/>
      <c r="I2758" s="563">
        <v>50916.5390625</v>
      </c>
      <c r="J2758" s="563">
        <v>-961.760009765625</v>
      </c>
      <c r="K2758" s="563">
        <v>49954.78125</v>
      </c>
      <c r="L2758" s="566">
        <v>49954.78</v>
      </c>
    </row>
    <row r="2759" spans="1:12" ht="33.75" x14ac:dyDescent="0.2">
      <c r="A2759" s="561" t="s">
        <v>201</v>
      </c>
      <c r="B2759" s="562">
        <v>2021</v>
      </c>
      <c r="C2759" s="561" t="s">
        <v>716</v>
      </c>
      <c r="D2759" s="561" t="s">
        <v>2772</v>
      </c>
      <c r="E2759" s="561" t="s">
        <v>3</v>
      </c>
      <c r="F2759" s="563">
        <v>-80513.67</v>
      </c>
      <c r="G2759" s="561" t="s">
        <v>654</v>
      </c>
      <c r="H2759" s="564"/>
      <c r="I2759" s="563">
        <v>-77766.3125</v>
      </c>
      <c r="J2759" s="563">
        <v>-2747.36010742188</v>
      </c>
      <c r="K2759" s="563">
        <v>-80513.671875</v>
      </c>
      <c r="L2759" s="566">
        <v>-80513.67</v>
      </c>
    </row>
    <row r="2760" spans="1:12" ht="33.75" x14ac:dyDescent="0.2">
      <c r="A2760" s="561" t="s">
        <v>201</v>
      </c>
      <c r="B2760" s="562">
        <v>2021</v>
      </c>
      <c r="C2760" s="561" t="s">
        <v>718</v>
      </c>
      <c r="D2760" s="561" t="s">
        <v>2773</v>
      </c>
      <c r="E2760" s="561" t="s">
        <v>38</v>
      </c>
      <c r="F2760" s="563">
        <v>-302900.36</v>
      </c>
      <c r="G2760" s="561" t="s">
        <v>654</v>
      </c>
      <c r="H2760" s="564"/>
      <c r="I2760" s="563">
        <v>-294352.5</v>
      </c>
      <c r="J2760" s="563">
        <v>-8547.8701171875</v>
      </c>
      <c r="K2760" s="563">
        <v>-302900.375</v>
      </c>
      <c r="L2760" s="566">
        <v>-302900.36</v>
      </c>
    </row>
    <row r="2761" spans="1:12" ht="22.5" x14ac:dyDescent="0.2">
      <c r="A2761" s="561" t="s">
        <v>201</v>
      </c>
      <c r="B2761" s="562">
        <v>2021</v>
      </c>
      <c r="C2761" s="561" t="s">
        <v>720</v>
      </c>
      <c r="D2761" s="561" t="s">
        <v>2774</v>
      </c>
      <c r="E2761" s="561" t="s">
        <v>66</v>
      </c>
      <c r="F2761" s="563">
        <v>63458.82</v>
      </c>
      <c r="G2761" s="561" t="s">
        <v>654</v>
      </c>
      <c r="H2761" s="564"/>
      <c r="I2761" s="563">
        <v>55618.62109375</v>
      </c>
      <c r="J2761" s="563">
        <v>7840.2001953125</v>
      </c>
      <c r="K2761" s="563">
        <v>63458.8203125</v>
      </c>
      <c r="L2761" s="566">
        <v>63458.82</v>
      </c>
    </row>
    <row r="2762" spans="1:12" ht="45" x14ac:dyDescent="0.2">
      <c r="A2762" s="561" t="s">
        <v>201</v>
      </c>
      <c r="B2762" s="562">
        <v>2021</v>
      </c>
      <c r="C2762" s="561" t="s">
        <v>722</v>
      </c>
      <c r="D2762" s="561" t="s">
        <v>2775</v>
      </c>
      <c r="E2762" s="561" t="s">
        <v>724</v>
      </c>
      <c r="F2762" s="563">
        <v>-160442</v>
      </c>
      <c r="G2762" s="564"/>
      <c r="H2762" s="561" t="s">
        <v>654</v>
      </c>
      <c r="I2762" s="565"/>
      <c r="J2762" s="565"/>
      <c r="K2762" s="563">
        <v>0</v>
      </c>
      <c r="L2762" s="566">
        <v>-160442</v>
      </c>
    </row>
    <row r="2763" spans="1:12" ht="45" x14ac:dyDescent="0.2">
      <c r="A2763" s="561" t="s">
        <v>201</v>
      </c>
      <c r="B2763" s="562">
        <v>2021</v>
      </c>
      <c r="C2763" s="561" t="s">
        <v>725</v>
      </c>
      <c r="D2763" s="561" t="s">
        <v>2776</v>
      </c>
      <c r="E2763" s="561" t="s">
        <v>3024</v>
      </c>
      <c r="F2763" s="563">
        <v>0</v>
      </c>
      <c r="G2763" s="561" t="s">
        <v>654</v>
      </c>
      <c r="H2763" s="564"/>
      <c r="I2763" s="563">
        <v>22222.2890625</v>
      </c>
      <c r="J2763" s="563">
        <v>34.830001831054702</v>
      </c>
      <c r="K2763" s="563">
        <v>22257.119140625</v>
      </c>
      <c r="L2763" s="566">
        <v>22257.119999999999</v>
      </c>
    </row>
    <row r="2764" spans="1:12" ht="45" x14ac:dyDescent="0.2">
      <c r="A2764" s="561" t="s">
        <v>201</v>
      </c>
      <c r="B2764" s="562">
        <v>2021</v>
      </c>
      <c r="C2764" s="561" t="s">
        <v>725</v>
      </c>
      <c r="D2764" s="561" t="s">
        <v>2776</v>
      </c>
      <c r="E2764" s="561" t="s">
        <v>3066</v>
      </c>
      <c r="F2764" s="563">
        <v>0</v>
      </c>
      <c r="G2764" s="561" t="s">
        <v>654</v>
      </c>
      <c r="H2764" s="564"/>
      <c r="I2764" s="563">
        <v>-269039.84375</v>
      </c>
      <c r="J2764" s="563">
        <v>-62619.19921875</v>
      </c>
      <c r="K2764" s="563">
        <v>-331659.03125</v>
      </c>
      <c r="L2764" s="566">
        <v>-331659.03999999998</v>
      </c>
    </row>
    <row r="2765" spans="1:12" ht="45" x14ac:dyDescent="0.2">
      <c r="A2765" s="561" t="s">
        <v>201</v>
      </c>
      <c r="B2765" s="562">
        <v>2021</v>
      </c>
      <c r="C2765" s="561" t="s">
        <v>725</v>
      </c>
      <c r="D2765" s="561" t="s">
        <v>2777</v>
      </c>
      <c r="E2765" s="561" t="s">
        <v>728</v>
      </c>
      <c r="F2765" s="563">
        <v>0</v>
      </c>
      <c r="G2765" s="561" t="s">
        <v>654</v>
      </c>
      <c r="H2765" s="564"/>
      <c r="I2765" s="565"/>
      <c r="J2765" s="565"/>
      <c r="K2765" s="563">
        <v>0</v>
      </c>
      <c r="L2765" s="566">
        <v>0</v>
      </c>
    </row>
    <row r="2766" spans="1:12" ht="45" x14ac:dyDescent="0.2">
      <c r="A2766" s="561" t="s">
        <v>201</v>
      </c>
      <c r="B2766" s="562">
        <v>2021</v>
      </c>
      <c r="C2766" s="561" t="s">
        <v>725</v>
      </c>
      <c r="D2766" s="561" t="s">
        <v>2778</v>
      </c>
      <c r="E2766" s="561" t="s">
        <v>55</v>
      </c>
      <c r="F2766" s="563">
        <v>0</v>
      </c>
      <c r="G2766" s="561" t="s">
        <v>654</v>
      </c>
      <c r="H2766" s="564"/>
      <c r="I2766" s="565"/>
      <c r="J2766" s="565"/>
      <c r="K2766" s="563">
        <v>0</v>
      </c>
      <c r="L2766" s="566">
        <v>0</v>
      </c>
    </row>
    <row r="2767" spans="1:12" ht="45" x14ac:dyDescent="0.2">
      <c r="A2767" s="561" t="s">
        <v>201</v>
      </c>
      <c r="B2767" s="562">
        <v>2021</v>
      </c>
      <c r="C2767" s="561" t="s">
        <v>725</v>
      </c>
      <c r="D2767" s="561" t="s">
        <v>2779</v>
      </c>
      <c r="E2767" s="561" t="s">
        <v>56</v>
      </c>
      <c r="F2767" s="563">
        <v>0</v>
      </c>
      <c r="G2767" s="561" t="s">
        <v>654</v>
      </c>
      <c r="H2767" s="564"/>
      <c r="I2767" s="565"/>
      <c r="J2767" s="565"/>
      <c r="K2767" s="563">
        <v>0</v>
      </c>
      <c r="L2767" s="566">
        <v>0</v>
      </c>
    </row>
    <row r="2768" spans="1:12" ht="45" x14ac:dyDescent="0.2">
      <c r="A2768" s="561" t="s">
        <v>201</v>
      </c>
      <c r="B2768" s="562">
        <v>2021</v>
      </c>
      <c r="C2768" s="561" t="s">
        <v>725</v>
      </c>
      <c r="D2768" s="561" t="s">
        <v>2780</v>
      </c>
      <c r="E2768" s="561" t="s">
        <v>732</v>
      </c>
      <c r="F2768" s="563">
        <v>0</v>
      </c>
      <c r="G2768" s="561" t="s">
        <v>654</v>
      </c>
      <c r="H2768" s="564"/>
      <c r="I2768" s="565"/>
      <c r="J2768" s="565"/>
      <c r="K2768" s="563">
        <v>0</v>
      </c>
      <c r="L2768" s="566">
        <v>0</v>
      </c>
    </row>
    <row r="2769" spans="1:12" ht="45" x14ac:dyDescent="0.2">
      <c r="A2769" s="561" t="s">
        <v>201</v>
      </c>
      <c r="B2769" s="562">
        <v>2021</v>
      </c>
      <c r="C2769" s="561" t="s">
        <v>725</v>
      </c>
      <c r="D2769" s="561" t="s">
        <v>2781</v>
      </c>
      <c r="E2769" s="561" t="s">
        <v>734</v>
      </c>
      <c r="F2769" s="563">
        <v>0</v>
      </c>
      <c r="G2769" s="561" t="s">
        <v>654</v>
      </c>
      <c r="H2769" s="564"/>
      <c r="I2769" s="565"/>
      <c r="J2769" s="565"/>
      <c r="K2769" s="563">
        <v>0</v>
      </c>
      <c r="L2769" s="566">
        <v>0</v>
      </c>
    </row>
    <row r="2770" spans="1:12" ht="45" x14ac:dyDescent="0.2">
      <c r="A2770" s="561" t="s">
        <v>201</v>
      </c>
      <c r="B2770" s="562">
        <v>2021</v>
      </c>
      <c r="C2770" s="561" t="s">
        <v>725</v>
      </c>
      <c r="D2770" s="561" t="s">
        <v>2782</v>
      </c>
      <c r="E2770" s="561" t="s">
        <v>142</v>
      </c>
      <c r="F2770" s="563">
        <v>0</v>
      </c>
      <c r="G2770" s="561" t="s">
        <v>654</v>
      </c>
      <c r="H2770" s="564"/>
      <c r="I2770" s="565"/>
      <c r="J2770" s="565"/>
      <c r="K2770" s="563">
        <v>0</v>
      </c>
      <c r="L2770" s="566">
        <v>0</v>
      </c>
    </row>
    <row r="2771" spans="1:12" ht="45" x14ac:dyDescent="0.2">
      <c r="A2771" s="561" t="s">
        <v>201</v>
      </c>
      <c r="B2771" s="562">
        <v>2021</v>
      </c>
      <c r="C2771" s="561" t="s">
        <v>725</v>
      </c>
      <c r="D2771" s="561" t="s">
        <v>2783</v>
      </c>
      <c r="E2771" s="561" t="s">
        <v>143</v>
      </c>
      <c r="F2771" s="563">
        <v>0</v>
      </c>
      <c r="G2771" s="561" t="s">
        <v>654</v>
      </c>
      <c r="H2771" s="564"/>
      <c r="I2771" s="565"/>
      <c r="J2771" s="565"/>
      <c r="K2771" s="563">
        <v>0</v>
      </c>
      <c r="L2771" s="566">
        <v>0</v>
      </c>
    </row>
    <row r="2772" spans="1:12" ht="45" x14ac:dyDescent="0.2">
      <c r="A2772" s="561" t="s">
        <v>201</v>
      </c>
      <c r="B2772" s="562">
        <v>2021</v>
      </c>
      <c r="C2772" s="561" t="s">
        <v>725</v>
      </c>
      <c r="D2772" s="561" t="s">
        <v>2784</v>
      </c>
      <c r="E2772" s="561" t="s">
        <v>182</v>
      </c>
      <c r="F2772" s="563">
        <v>0</v>
      </c>
      <c r="G2772" s="561" t="s">
        <v>654</v>
      </c>
      <c r="H2772" s="564"/>
      <c r="I2772" s="565"/>
      <c r="J2772" s="565"/>
      <c r="K2772" s="563">
        <v>0</v>
      </c>
      <c r="L2772" s="566">
        <v>0</v>
      </c>
    </row>
    <row r="2773" spans="1:12" ht="45" x14ac:dyDescent="0.2">
      <c r="A2773" s="561" t="s">
        <v>201</v>
      </c>
      <c r="B2773" s="562">
        <v>2021</v>
      </c>
      <c r="C2773" s="561" t="s">
        <v>725</v>
      </c>
      <c r="D2773" s="561" t="s">
        <v>2785</v>
      </c>
      <c r="E2773" s="561" t="s">
        <v>394</v>
      </c>
      <c r="F2773" s="563">
        <v>0</v>
      </c>
      <c r="G2773" s="561" t="s">
        <v>654</v>
      </c>
      <c r="H2773" s="564"/>
      <c r="I2773" s="565"/>
      <c r="J2773" s="565"/>
      <c r="K2773" s="563">
        <v>0</v>
      </c>
      <c r="L2773" s="566">
        <v>0</v>
      </c>
    </row>
    <row r="2774" spans="1:12" ht="45" x14ac:dyDescent="0.2">
      <c r="A2774" s="561" t="s">
        <v>201</v>
      </c>
      <c r="B2774" s="562">
        <v>2021</v>
      </c>
      <c r="C2774" s="561" t="s">
        <v>725</v>
      </c>
      <c r="D2774" s="561" t="s">
        <v>2786</v>
      </c>
      <c r="E2774" s="561" t="s">
        <v>425</v>
      </c>
      <c r="F2774" s="563">
        <v>0</v>
      </c>
      <c r="G2774" s="561" t="s">
        <v>654</v>
      </c>
      <c r="H2774" s="564"/>
      <c r="I2774" s="565"/>
      <c r="J2774" s="565"/>
      <c r="K2774" s="563">
        <v>0</v>
      </c>
      <c r="L2774" s="566">
        <v>0</v>
      </c>
    </row>
    <row r="2775" spans="1:12" ht="45" x14ac:dyDescent="0.2">
      <c r="A2775" s="561" t="s">
        <v>201</v>
      </c>
      <c r="B2775" s="562">
        <v>2021</v>
      </c>
      <c r="C2775" s="561" t="s">
        <v>725</v>
      </c>
      <c r="D2775" s="561" t="s">
        <v>3340</v>
      </c>
      <c r="E2775" s="561" t="s">
        <v>443</v>
      </c>
      <c r="F2775" s="563">
        <v>0</v>
      </c>
      <c r="G2775" s="561" t="s">
        <v>654</v>
      </c>
      <c r="H2775" s="564"/>
      <c r="I2775" s="563">
        <v>49997.3984375</v>
      </c>
      <c r="J2775" s="563">
        <v>-5780.89990234375</v>
      </c>
      <c r="K2775" s="563">
        <v>44216.5</v>
      </c>
      <c r="L2775" s="566">
        <v>44216.5</v>
      </c>
    </row>
    <row r="2776" spans="1:12" ht="45" x14ac:dyDescent="0.2">
      <c r="A2776" s="561" t="s">
        <v>201</v>
      </c>
      <c r="B2776" s="562">
        <v>2021</v>
      </c>
      <c r="C2776" s="561" t="s">
        <v>725</v>
      </c>
      <c r="D2776" s="561" t="s">
        <v>2787</v>
      </c>
      <c r="E2776" s="561" t="s">
        <v>741</v>
      </c>
      <c r="F2776" s="563">
        <v>-265185.42</v>
      </c>
      <c r="G2776" s="564"/>
      <c r="H2776" s="564"/>
      <c r="I2776" s="565"/>
      <c r="J2776" s="565"/>
      <c r="K2776" s="563">
        <v>0</v>
      </c>
      <c r="L2776" s="566">
        <v>-265185.42</v>
      </c>
    </row>
    <row r="2777" spans="1:12" ht="22.5" x14ac:dyDescent="0.2">
      <c r="A2777" s="561" t="s">
        <v>201</v>
      </c>
      <c r="B2777" s="562">
        <v>2021</v>
      </c>
      <c r="C2777" s="561" t="s">
        <v>742</v>
      </c>
      <c r="D2777" s="561" t="s">
        <v>2788</v>
      </c>
      <c r="E2777" s="561" t="s">
        <v>7</v>
      </c>
      <c r="F2777" s="563">
        <v>0</v>
      </c>
      <c r="G2777" s="564"/>
      <c r="H2777" s="561" t="s">
        <v>654</v>
      </c>
      <c r="I2777" s="565"/>
      <c r="J2777" s="565"/>
      <c r="K2777" s="563">
        <v>0</v>
      </c>
      <c r="L2777" s="566">
        <v>0</v>
      </c>
    </row>
    <row r="2778" spans="1:12" ht="22.5" x14ac:dyDescent="0.2">
      <c r="A2778" s="561" t="s">
        <v>120</v>
      </c>
      <c r="B2778" s="562">
        <v>2021</v>
      </c>
      <c r="C2778" s="561" t="s">
        <v>651</v>
      </c>
      <c r="D2778" s="561" t="s">
        <v>2789</v>
      </c>
      <c r="E2778" s="561" t="s">
        <v>653</v>
      </c>
      <c r="F2778" s="563">
        <v>1503372.9</v>
      </c>
      <c r="G2778" s="564"/>
      <c r="H2778" s="561" t="s">
        <v>654</v>
      </c>
      <c r="I2778" s="565"/>
      <c r="J2778" s="565"/>
      <c r="K2778" s="563">
        <v>0</v>
      </c>
      <c r="L2778" s="566">
        <v>1503372.9</v>
      </c>
    </row>
    <row r="2779" spans="1:12" ht="15" x14ac:dyDescent="0.2">
      <c r="A2779" s="561" t="s">
        <v>120</v>
      </c>
      <c r="B2779" s="562">
        <v>2021</v>
      </c>
      <c r="C2779" s="561" t="s">
        <v>655</v>
      </c>
      <c r="D2779" s="561" t="s">
        <v>2790</v>
      </c>
      <c r="E2779" s="561" t="s">
        <v>657</v>
      </c>
      <c r="F2779" s="563">
        <v>92720.1</v>
      </c>
      <c r="G2779" s="564"/>
      <c r="H2779" s="561" t="s">
        <v>654</v>
      </c>
      <c r="I2779" s="565"/>
      <c r="J2779" s="565"/>
      <c r="K2779" s="563">
        <v>0</v>
      </c>
      <c r="L2779" s="566">
        <v>92720.1</v>
      </c>
    </row>
    <row r="2780" spans="1:12" ht="56.25" x14ac:dyDescent="0.2">
      <c r="A2780" s="561" t="s">
        <v>120</v>
      </c>
      <c r="B2780" s="562">
        <v>2021</v>
      </c>
      <c r="C2780" s="561" t="s">
        <v>658</v>
      </c>
      <c r="D2780" s="561" t="s">
        <v>2791</v>
      </c>
      <c r="E2780" s="561" t="s">
        <v>447</v>
      </c>
      <c r="F2780" s="563">
        <v>0</v>
      </c>
      <c r="G2780" s="564"/>
      <c r="H2780" s="561" t="s">
        <v>654</v>
      </c>
      <c r="I2780" s="565"/>
      <c r="J2780" s="565"/>
      <c r="K2780" s="563">
        <v>0</v>
      </c>
      <c r="L2780" s="566">
        <v>0</v>
      </c>
    </row>
    <row r="2781" spans="1:12" ht="22.5" x14ac:dyDescent="0.2">
      <c r="A2781" s="561" t="s">
        <v>120</v>
      </c>
      <c r="B2781" s="562">
        <v>2021</v>
      </c>
      <c r="C2781" s="561" t="s">
        <v>660</v>
      </c>
      <c r="D2781" s="561" t="s">
        <v>2792</v>
      </c>
      <c r="E2781" s="561" t="s">
        <v>662</v>
      </c>
      <c r="F2781" s="563">
        <v>0</v>
      </c>
      <c r="G2781" s="564"/>
      <c r="H2781" s="561" t="s">
        <v>654</v>
      </c>
      <c r="I2781" s="565"/>
      <c r="J2781" s="565"/>
      <c r="K2781" s="563">
        <v>0</v>
      </c>
      <c r="L2781" s="566">
        <v>0</v>
      </c>
    </row>
    <row r="2782" spans="1:12" ht="33.75" x14ac:dyDescent="0.2">
      <c r="A2782" s="561" t="s">
        <v>120</v>
      </c>
      <c r="B2782" s="562">
        <v>2021</v>
      </c>
      <c r="C2782" s="561" t="s">
        <v>663</v>
      </c>
      <c r="D2782" s="561" t="s">
        <v>2793</v>
      </c>
      <c r="E2782" s="561" t="s">
        <v>665</v>
      </c>
      <c r="F2782" s="563">
        <v>0</v>
      </c>
      <c r="G2782" s="564"/>
      <c r="H2782" s="561" t="s">
        <v>654</v>
      </c>
      <c r="I2782" s="565"/>
      <c r="J2782" s="565"/>
      <c r="K2782" s="563">
        <v>0</v>
      </c>
      <c r="L2782" s="566">
        <v>0</v>
      </c>
    </row>
    <row r="2783" spans="1:12" ht="33.75" x14ac:dyDescent="0.2">
      <c r="A2783" s="561" t="s">
        <v>120</v>
      </c>
      <c r="B2783" s="562">
        <v>2021</v>
      </c>
      <c r="C2783" s="561" t="s">
        <v>666</v>
      </c>
      <c r="D2783" s="561" t="s">
        <v>2794</v>
      </c>
      <c r="E2783" s="561" t="s">
        <v>668</v>
      </c>
      <c r="F2783" s="563">
        <v>0</v>
      </c>
      <c r="G2783" s="564"/>
      <c r="H2783" s="561" t="s">
        <v>654</v>
      </c>
      <c r="I2783" s="565"/>
      <c r="J2783" s="565"/>
      <c r="K2783" s="563">
        <v>0</v>
      </c>
      <c r="L2783" s="566">
        <v>0</v>
      </c>
    </row>
    <row r="2784" spans="1:12" ht="56.25" x14ac:dyDescent="0.2">
      <c r="A2784" s="561" t="s">
        <v>120</v>
      </c>
      <c r="B2784" s="562">
        <v>2021</v>
      </c>
      <c r="C2784" s="561" t="s">
        <v>669</v>
      </c>
      <c r="D2784" s="561" t="s">
        <v>2795</v>
      </c>
      <c r="E2784" s="561" t="s">
        <v>671</v>
      </c>
      <c r="F2784" s="563">
        <v>0</v>
      </c>
      <c r="G2784" s="564"/>
      <c r="H2784" s="561" t="s">
        <v>654</v>
      </c>
      <c r="I2784" s="565"/>
      <c r="J2784" s="565"/>
      <c r="K2784" s="563">
        <v>0</v>
      </c>
      <c r="L2784" s="566">
        <v>0</v>
      </c>
    </row>
    <row r="2785" spans="1:12" ht="22.5" x14ac:dyDescent="0.2">
      <c r="A2785" s="561" t="s">
        <v>120</v>
      </c>
      <c r="B2785" s="562">
        <v>2021</v>
      </c>
      <c r="C2785" s="561" t="s">
        <v>672</v>
      </c>
      <c r="D2785" s="561" t="s">
        <v>2796</v>
      </c>
      <c r="E2785" s="561" t="s">
        <v>12</v>
      </c>
      <c r="F2785" s="563">
        <v>0</v>
      </c>
      <c r="G2785" s="564"/>
      <c r="H2785" s="561" t="s">
        <v>654</v>
      </c>
      <c r="I2785" s="565"/>
      <c r="J2785" s="565"/>
      <c r="K2785" s="563">
        <v>0</v>
      </c>
      <c r="L2785" s="566">
        <v>0</v>
      </c>
    </row>
    <row r="2786" spans="1:12" ht="22.5" x14ac:dyDescent="0.2">
      <c r="A2786" s="561" t="s">
        <v>120</v>
      </c>
      <c r="B2786" s="562">
        <v>2021</v>
      </c>
      <c r="C2786" s="561" t="s">
        <v>674</v>
      </c>
      <c r="D2786" s="561" t="s">
        <v>2797</v>
      </c>
      <c r="E2786" s="561" t="s">
        <v>13</v>
      </c>
      <c r="F2786" s="563">
        <v>0</v>
      </c>
      <c r="G2786" s="564"/>
      <c r="H2786" s="561" t="s">
        <v>654</v>
      </c>
      <c r="I2786" s="565"/>
      <c r="J2786" s="565"/>
      <c r="K2786" s="563">
        <v>0</v>
      </c>
      <c r="L2786" s="566">
        <v>0</v>
      </c>
    </row>
    <row r="2787" spans="1:12" ht="33.75" x14ac:dyDescent="0.2">
      <c r="A2787" s="561" t="s">
        <v>120</v>
      </c>
      <c r="B2787" s="562">
        <v>2021</v>
      </c>
      <c r="C2787" s="561" t="s">
        <v>676</v>
      </c>
      <c r="D2787" s="561" t="s">
        <v>2798</v>
      </c>
      <c r="E2787" s="561" t="s">
        <v>15</v>
      </c>
      <c r="F2787" s="563">
        <v>0</v>
      </c>
      <c r="G2787" s="564"/>
      <c r="H2787" s="561" t="s">
        <v>654</v>
      </c>
      <c r="I2787" s="565"/>
      <c r="J2787" s="565"/>
      <c r="K2787" s="563">
        <v>0</v>
      </c>
      <c r="L2787" s="566">
        <v>0</v>
      </c>
    </row>
    <row r="2788" spans="1:12" ht="15" x14ac:dyDescent="0.2">
      <c r="A2788" s="561" t="s">
        <v>120</v>
      </c>
      <c r="B2788" s="562">
        <v>2021</v>
      </c>
      <c r="C2788" s="561" t="s">
        <v>678</v>
      </c>
      <c r="D2788" s="561" t="s">
        <v>2799</v>
      </c>
      <c r="E2788" s="561" t="s">
        <v>680</v>
      </c>
      <c r="F2788" s="563">
        <v>3737.41</v>
      </c>
      <c r="G2788" s="564"/>
      <c r="H2788" s="561" t="s">
        <v>654</v>
      </c>
      <c r="I2788" s="565"/>
      <c r="J2788" s="565"/>
      <c r="K2788" s="563">
        <v>0</v>
      </c>
      <c r="L2788" s="566">
        <v>3737.41</v>
      </c>
    </row>
    <row r="2789" spans="1:12" ht="15" x14ac:dyDescent="0.2">
      <c r="A2789" s="561" t="s">
        <v>120</v>
      </c>
      <c r="B2789" s="562">
        <v>2021</v>
      </c>
      <c r="C2789" s="561" t="s">
        <v>681</v>
      </c>
      <c r="D2789" s="561" t="s">
        <v>2800</v>
      </c>
      <c r="E2789" s="561" t="s">
        <v>23</v>
      </c>
      <c r="F2789" s="563">
        <v>648466.65</v>
      </c>
      <c r="G2789" s="561" t="s">
        <v>654</v>
      </c>
      <c r="H2789" s="564"/>
      <c r="I2789" s="563">
        <v>624801.1875</v>
      </c>
      <c r="J2789" s="563">
        <v>23665.490234375</v>
      </c>
      <c r="K2789" s="563">
        <v>648466.625</v>
      </c>
      <c r="L2789" s="566">
        <v>648466.65</v>
      </c>
    </row>
    <row r="2790" spans="1:12" ht="33.75" x14ac:dyDescent="0.2">
      <c r="A2790" s="561" t="s">
        <v>120</v>
      </c>
      <c r="B2790" s="562">
        <v>2021</v>
      </c>
      <c r="C2790" s="561" t="s">
        <v>683</v>
      </c>
      <c r="D2790" s="561" t="s">
        <v>2801</v>
      </c>
      <c r="E2790" s="561" t="s">
        <v>131</v>
      </c>
      <c r="F2790" s="563">
        <v>-5636.61</v>
      </c>
      <c r="G2790" s="561" t="s">
        <v>654</v>
      </c>
      <c r="H2790" s="564"/>
      <c r="I2790" s="563">
        <v>-5376.91015625</v>
      </c>
      <c r="J2790" s="563">
        <v>-259.70001220703102</v>
      </c>
      <c r="K2790" s="563">
        <v>-5636.60986328125</v>
      </c>
      <c r="L2790" s="566">
        <v>-5636.61</v>
      </c>
    </row>
    <row r="2791" spans="1:12" ht="33.75" x14ac:dyDescent="0.2">
      <c r="A2791" s="561" t="s">
        <v>120</v>
      </c>
      <c r="B2791" s="562">
        <v>2021</v>
      </c>
      <c r="C2791" s="561" t="s">
        <v>685</v>
      </c>
      <c r="D2791" s="561" t="s">
        <v>2802</v>
      </c>
      <c r="E2791" s="561" t="s">
        <v>687</v>
      </c>
      <c r="F2791" s="563">
        <v>0</v>
      </c>
      <c r="G2791" s="564"/>
      <c r="H2791" s="561" t="s">
        <v>654</v>
      </c>
      <c r="I2791" s="565"/>
      <c r="J2791" s="565"/>
      <c r="K2791" s="563">
        <v>0</v>
      </c>
      <c r="L2791" s="566">
        <v>0</v>
      </c>
    </row>
    <row r="2792" spans="1:12" ht="33.75" x14ac:dyDescent="0.2">
      <c r="A2792" s="561" t="s">
        <v>120</v>
      </c>
      <c r="B2792" s="562">
        <v>2021</v>
      </c>
      <c r="C2792" s="561" t="s">
        <v>685</v>
      </c>
      <c r="D2792" s="561" t="s">
        <v>2802</v>
      </c>
      <c r="E2792" s="561" t="s">
        <v>688</v>
      </c>
      <c r="F2792" s="563">
        <v>0</v>
      </c>
      <c r="G2792" s="564"/>
      <c r="H2792" s="561" t="s">
        <v>654</v>
      </c>
      <c r="I2792" s="565"/>
      <c r="J2792" s="565"/>
      <c r="K2792" s="563">
        <v>0</v>
      </c>
      <c r="L2792" s="566">
        <v>0</v>
      </c>
    </row>
    <row r="2793" spans="1:12" ht="22.5" x14ac:dyDescent="0.2">
      <c r="A2793" s="561" t="s">
        <v>120</v>
      </c>
      <c r="B2793" s="562">
        <v>2021</v>
      </c>
      <c r="C2793" s="561" t="s">
        <v>689</v>
      </c>
      <c r="D2793" s="561" t="s">
        <v>2803</v>
      </c>
      <c r="E2793" s="561" t="s">
        <v>691</v>
      </c>
      <c r="F2793" s="563">
        <v>8021.72</v>
      </c>
      <c r="G2793" s="564"/>
      <c r="H2793" s="561" t="s">
        <v>654</v>
      </c>
      <c r="I2793" s="565"/>
      <c r="J2793" s="565"/>
      <c r="K2793" s="563">
        <v>0</v>
      </c>
      <c r="L2793" s="566">
        <v>8021.72</v>
      </c>
    </row>
    <row r="2794" spans="1:12" ht="22.5" x14ac:dyDescent="0.2">
      <c r="A2794" s="561" t="s">
        <v>120</v>
      </c>
      <c r="B2794" s="562">
        <v>2021</v>
      </c>
      <c r="C2794" s="561" t="s">
        <v>692</v>
      </c>
      <c r="D2794" s="561" t="s">
        <v>2804</v>
      </c>
      <c r="E2794" s="561" t="s">
        <v>50</v>
      </c>
      <c r="F2794" s="563">
        <v>66990.759999999995</v>
      </c>
      <c r="G2794" s="564"/>
      <c r="H2794" s="561" t="s">
        <v>654</v>
      </c>
      <c r="I2794" s="565"/>
      <c r="J2794" s="565"/>
      <c r="K2794" s="563">
        <v>0</v>
      </c>
      <c r="L2794" s="566">
        <v>66990.759999999995</v>
      </c>
    </row>
    <row r="2795" spans="1:12" ht="22.5" x14ac:dyDescent="0.2">
      <c r="A2795" s="561" t="s">
        <v>120</v>
      </c>
      <c r="B2795" s="562">
        <v>2021</v>
      </c>
      <c r="C2795" s="561" t="s">
        <v>694</v>
      </c>
      <c r="D2795" s="561" t="s">
        <v>2805</v>
      </c>
      <c r="E2795" s="561" t="s">
        <v>696</v>
      </c>
      <c r="F2795" s="563">
        <v>0</v>
      </c>
      <c r="G2795" s="564"/>
      <c r="H2795" s="561" t="s">
        <v>654</v>
      </c>
      <c r="I2795" s="565"/>
      <c r="J2795" s="565"/>
      <c r="K2795" s="563">
        <v>0</v>
      </c>
      <c r="L2795" s="566">
        <v>0</v>
      </c>
    </row>
    <row r="2796" spans="1:12" ht="22.5" x14ac:dyDescent="0.2">
      <c r="A2796" s="561" t="s">
        <v>120</v>
      </c>
      <c r="B2796" s="562">
        <v>2021</v>
      </c>
      <c r="C2796" s="561" t="s">
        <v>697</v>
      </c>
      <c r="D2796" s="561" t="s">
        <v>2806</v>
      </c>
      <c r="E2796" s="561" t="s">
        <v>6</v>
      </c>
      <c r="F2796" s="563">
        <v>0</v>
      </c>
      <c r="G2796" s="564"/>
      <c r="H2796" s="561" t="s">
        <v>654</v>
      </c>
      <c r="I2796" s="565"/>
      <c r="J2796" s="565"/>
      <c r="K2796" s="563">
        <v>0</v>
      </c>
      <c r="L2796" s="566">
        <v>0</v>
      </c>
    </row>
    <row r="2797" spans="1:12" ht="33.75" x14ac:dyDescent="0.2">
      <c r="A2797" s="561" t="s">
        <v>120</v>
      </c>
      <c r="B2797" s="562">
        <v>2021</v>
      </c>
      <c r="C2797" s="561" t="s">
        <v>699</v>
      </c>
      <c r="D2797" s="561" t="s">
        <v>2807</v>
      </c>
      <c r="E2797" s="561" t="s">
        <v>701</v>
      </c>
      <c r="F2797" s="563">
        <v>0</v>
      </c>
      <c r="G2797" s="564"/>
      <c r="H2797" s="561" t="s">
        <v>654</v>
      </c>
      <c r="I2797" s="565"/>
      <c r="J2797" s="565"/>
      <c r="K2797" s="563">
        <v>0</v>
      </c>
      <c r="L2797" s="566">
        <v>0</v>
      </c>
    </row>
    <row r="2798" spans="1:12" ht="22.5" x14ac:dyDescent="0.2">
      <c r="A2798" s="561" t="s">
        <v>120</v>
      </c>
      <c r="B2798" s="562">
        <v>2021</v>
      </c>
      <c r="C2798" s="561" t="s">
        <v>702</v>
      </c>
      <c r="D2798" s="561" t="s">
        <v>2808</v>
      </c>
      <c r="E2798" s="561" t="s">
        <v>704</v>
      </c>
      <c r="F2798" s="563">
        <v>0</v>
      </c>
      <c r="G2798" s="564"/>
      <c r="H2798" s="561" t="s">
        <v>654</v>
      </c>
      <c r="I2798" s="565"/>
      <c r="J2798" s="565"/>
      <c r="K2798" s="563">
        <v>0</v>
      </c>
      <c r="L2798" s="566">
        <v>0</v>
      </c>
    </row>
    <row r="2799" spans="1:12" ht="33.75" x14ac:dyDescent="0.2">
      <c r="A2799" s="561" t="s">
        <v>120</v>
      </c>
      <c r="B2799" s="562">
        <v>2021</v>
      </c>
      <c r="C2799" s="561" t="s">
        <v>705</v>
      </c>
      <c r="D2799" s="561" t="s">
        <v>2809</v>
      </c>
      <c r="E2799" s="561" t="s">
        <v>1</v>
      </c>
      <c r="F2799" s="563">
        <v>-566883.76</v>
      </c>
      <c r="G2799" s="561" t="s">
        <v>654</v>
      </c>
      <c r="H2799" s="564"/>
      <c r="I2799" s="563">
        <v>-533838</v>
      </c>
      <c r="J2799" s="563">
        <v>-33045.73046875</v>
      </c>
      <c r="K2799" s="563">
        <v>-566883.75</v>
      </c>
      <c r="L2799" s="566">
        <v>-566883.76</v>
      </c>
    </row>
    <row r="2800" spans="1:12" ht="22.5" x14ac:dyDescent="0.2">
      <c r="A2800" s="561" t="s">
        <v>120</v>
      </c>
      <c r="B2800" s="562">
        <v>2021</v>
      </c>
      <c r="C2800" s="561" t="s">
        <v>705</v>
      </c>
      <c r="D2800" s="561" t="s">
        <v>2809</v>
      </c>
      <c r="E2800" s="561" t="s">
        <v>707</v>
      </c>
      <c r="F2800" s="563">
        <v>0</v>
      </c>
      <c r="G2800" s="564"/>
      <c r="H2800" s="564"/>
      <c r="I2800" s="565"/>
      <c r="J2800" s="565"/>
      <c r="K2800" s="563">
        <v>0</v>
      </c>
      <c r="L2800" s="566">
        <v>0</v>
      </c>
    </row>
    <row r="2801" spans="1:12" ht="22.5" x14ac:dyDescent="0.2">
      <c r="A2801" s="561" t="s">
        <v>120</v>
      </c>
      <c r="B2801" s="562">
        <v>2021</v>
      </c>
      <c r="C2801" s="561" t="s">
        <v>705</v>
      </c>
      <c r="D2801" s="561" t="s">
        <v>2809</v>
      </c>
      <c r="E2801" s="561" t="s">
        <v>708</v>
      </c>
      <c r="F2801" s="563">
        <v>0</v>
      </c>
      <c r="G2801" s="564"/>
      <c r="H2801" s="564"/>
      <c r="I2801" s="565"/>
      <c r="J2801" s="565"/>
      <c r="K2801" s="563">
        <v>0</v>
      </c>
      <c r="L2801" s="566">
        <v>0</v>
      </c>
    </row>
    <row r="2802" spans="1:12" ht="22.5" x14ac:dyDescent="0.2">
      <c r="A2802" s="561" t="s">
        <v>120</v>
      </c>
      <c r="B2802" s="562">
        <v>2021</v>
      </c>
      <c r="C2802" s="561" t="s">
        <v>705</v>
      </c>
      <c r="D2802" s="561" t="s">
        <v>2809</v>
      </c>
      <c r="E2802" s="561" t="s">
        <v>709</v>
      </c>
      <c r="F2802" s="563">
        <v>1634.75</v>
      </c>
      <c r="G2802" s="564"/>
      <c r="H2802" s="564"/>
      <c r="I2802" s="565"/>
      <c r="J2802" s="565"/>
      <c r="K2802" s="563">
        <v>0</v>
      </c>
      <c r="L2802" s="566">
        <v>1634.75</v>
      </c>
    </row>
    <row r="2803" spans="1:12" ht="22.5" x14ac:dyDescent="0.2">
      <c r="A2803" s="561" t="s">
        <v>120</v>
      </c>
      <c r="B2803" s="562">
        <v>2021</v>
      </c>
      <c r="C2803" s="561" t="s">
        <v>705</v>
      </c>
      <c r="D2803" s="561" t="s">
        <v>2809</v>
      </c>
      <c r="E2803" s="561" t="s">
        <v>710</v>
      </c>
      <c r="F2803" s="563">
        <v>14846.98</v>
      </c>
      <c r="G2803" s="564"/>
      <c r="H2803" s="564"/>
      <c r="I2803" s="565"/>
      <c r="J2803" s="565"/>
      <c r="K2803" s="563">
        <v>0</v>
      </c>
      <c r="L2803" s="566">
        <v>14846.98</v>
      </c>
    </row>
    <row r="2804" spans="1:12" ht="15" x14ac:dyDescent="0.2">
      <c r="A2804" s="561" t="s">
        <v>120</v>
      </c>
      <c r="B2804" s="562">
        <v>2021</v>
      </c>
      <c r="C2804" s="561" t="s">
        <v>711</v>
      </c>
      <c r="D2804" s="561" t="s">
        <v>2810</v>
      </c>
      <c r="E2804" s="561" t="s">
        <v>713</v>
      </c>
      <c r="F2804" s="563">
        <v>0</v>
      </c>
      <c r="G2804" s="564"/>
      <c r="H2804" s="561" t="s">
        <v>654</v>
      </c>
      <c r="I2804" s="565"/>
      <c r="J2804" s="565"/>
      <c r="K2804" s="563">
        <v>0</v>
      </c>
      <c r="L2804" s="566">
        <v>0</v>
      </c>
    </row>
    <row r="2805" spans="1:12" ht="33.75" x14ac:dyDescent="0.2">
      <c r="A2805" s="561" t="s">
        <v>120</v>
      </c>
      <c r="B2805" s="562">
        <v>2021</v>
      </c>
      <c r="C2805" s="561" t="s">
        <v>714</v>
      </c>
      <c r="D2805" s="561" t="s">
        <v>2811</v>
      </c>
      <c r="E2805" s="561" t="s">
        <v>2</v>
      </c>
      <c r="F2805" s="563">
        <v>47335.39</v>
      </c>
      <c r="G2805" s="561" t="s">
        <v>654</v>
      </c>
      <c r="H2805" s="564"/>
      <c r="I2805" s="563">
        <v>44045.5703125</v>
      </c>
      <c r="J2805" s="563">
        <v>3289.82006835938</v>
      </c>
      <c r="K2805" s="563">
        <v>47335.390625</v>
      </c>
      <c r="L2805" s="566">
        <v>47335.39</v>
      </c>
    </row>
    <row r="2806" spans="1:12" ht="33.75" x14ac:dyDescent="0.2">
      <c r="A2806" s="561" t="s">
        <v>120</v>
      </c>
      <c r="B2806" s="562">
        <v>2021</v>
      </c>
      <c r="C2806" s="561" t="s">
        <v>716</v>
      </c>
      <c r="D2806" s="561" t="s">
        <v>2812</v>
      </c>
      <c r="E2806" s="561" t="s">
        <v>3</v>
      </c>
      <c r="F2806" s="563">
        <v>256133.27</v>
      </c>
      <c r="G2806" s="561" t="s">
        <v>654</v>
      </c>
      <c r="H2806" s="564"/>
      <c r="I2806" s="563">
        <v>245683.125</v>
      </c>
      <c r="J2806" s="563">
        <v>10450.150390625</v>
      </c>
      <c r="K2806" s="563">
        <v>256133.265625</v>
      </c>
      <c r="L2806" s="566">
        <v>256133.27</v>
      </c>
    </row>
    <row r="2807" spans="1:12" ht="33.75" x14ac:dyDescent="0.2">
      <c r="A2807" s="561" t="s">
        <v>120</v>
      </c>
      <c r="B2807" s="562">
        <v>2021</v>
      </c>
      <c r="C2807" s="561" t="s">
        <v>718</v>
      </c>
      <c r="D2807" s="561" t="s">
        <v>2813</v>
      </c>
      <c r="E2807" s="561" t="s">
        <v>38</v>
      </c>
      <c r="F2807" s="563">
        <v>76739.77</v>
      </c>
      <c r="G2807" s="561" t="s">
        <v>654</v>
      </c>
      <c r="H2807" s="564"/>
      <c r="I2807" s="563">
        <v>75812.828125</v>
      </c>
      <c r="J2807" s="563">
        <v>926.94000244140602</v>
      </c>
      <c r="K2807" s="563">
        <v>76739.7734375</v>
      </c>
      <c r="L2807" s="566">
        <v>76739.77</v>
      </c>
    </row>
    <row r="2808" spans="1:12" ht="22.5" x14ac:dyDescent="0.2">
      <c r="A2808" s="561" t="s">
        <v>120</v>
      </c>
      <c r="B2808" s="562">
        <v>2021</v>
      </c>
      <c r="C2808" s="561" t="s">
        <v>720</v>
      </c>
      <c r="D2808" s="561" t="s">
        <v>2814</v>
      </c>
      <c r="E2808" s="561" t="s">
        <v>66</v>
      </c>
      <c r="F2808" s="563">
        <v>-36075.199999999997</v>
      </c>
      <c r="G2808" s="561" t="s">
        <v>654</v>
      </c>
      <c r="H2808" s="564"/>
      <c r="I2808" s="563">
        <v>-37179.3203125</v>
      </c>
      <c r="J2808" s="563">
        <v>1104.11999511719</v>
      </c>
      <c r="K2808" s="563">
        <v>-36075.19921875</v>
      </c>
      <c r="L2808" s="566">
        <v>-36075.199999999997</v>
      </c>
    </row>
    <row r="2809" spans="1:12" ht="45" x14ac:dyDescent="0.2">
      <c r="A2809" s="561" t="s">
        <v>120</v>
      </c>
      <c r="B2809" s="562">
        <v>2021</v>
      </c>
      <c r="C2809" s="561" t="s">
        <v>722</v>
      </c>
      <c r="D2809" s="561" t="s">
        <v>2815</v>
      </c>
      <c r="E2809" s="561" t="s">
        <v>724</v>
      </c>
      <c r="F2809" s="563">
        <v>-37966.99</v>
      </c>
      <c r="G2809" s="564"/>
      <c r="H2809" s="561" t="s">
        <v>654</v>
      </c>
      <c r="I2809" s="565"/>
      <c r="J2809" s="565"/>
      <c r="K2809" s="563">
        <v>0</v>
      </c>
      <c r="L2809" s="566">
        <v>-37966.99</v>
      </c>
    </row>
    <row r="2810" spans="1:12" ht="45" x14ac:dyDescent="0.2">
      <c r="A2810" s="561" t="s">
        <v>120</v>
      </c>
      <c r="B2810" s="562">
        <v>2021</v>
      </c>
      <c r="C2810" s="561" t="s">
        <v>725</v>
      </c>
      <c r="D2810" s="561" t="s">
        <v>2816</v>
      </c>
      <c r="E2810" s="561" t="s">
        <v>3024</v>
      </c>
      <c r="F2810" s="563">
        <v>0</v>
      </c>
      <c r="G2810" s="561" t="s">
        <v>654</v>
      </c>
      <c r="H2810" s="564"/>
      <c r="I2810" s="565"/>
      <c r="J2810" s="565"/>
      <c r="K2810" s="563">
        <v>0</v>
      </c>
      <c r="L2810" s="566">
        <v>0</v>
      </c>
    </row>
    <row r="2811" spans="1:12" ht="45" x14ac:dyDescent="0.2">
      <c r="A2811" s="561" t="s">
        <v>120</v>
      </c>
      <c r="B2811" s="562">
        <v>2021</v>
      </c>
      <c r="C2811" s="561" t="s">
        <v>725</v>
      </c>
      <c r="D2811" s="561" t="s">
        <v>2816</v>
      </c>
      <c r="E2811" s="561" t="s">
        <v>3066</v>
      </c>
      <c r="F2811" s="563">
        <v>0</v>
      </c>
      <c r="G2811" s="561" t="s">
        <v>654</v>
      </c>
      <c r="H2811" s="564"/>
      <c r="I2811" s="565"/>
      <c r="J2811" s="565"/>
      <c r="K2811" s="563">
        <v>0</v>
      </c>
      <c r="L2811" s="566">
        <v>0</v>
      </c>
    </row>
    <row r="2812" spans="1:12" ht="45" x14ac:dyDescent="0.2">
      <c r="A2812" s="561" t="s">
        <v>120</v>
      </c>
      <c r="B2812" s="562">
        <v>2021</v>
      </c>
      <c r="C2812" s="561" t="s">
        <v>725</v>
      </c>
      <c r="D2812" s="561" t="s">
        <v>2817</v>
      </c>
      <c r="E2812" s="561" t="s">
        <v>728</v>
      </c>
      <c r="F2812" s="563">
        <v>0</v>
      </c>
      <c r="G2812" s="561" t="s">
        <v>654</v>
      </c>
      <c r="H2812" s="564"/>
      <c r="I2812" s="565"/>
      <c r="J2812" s="565"/>
      <c r="K2812" s="563">
        <v>0</v>
      </c>
      <c r="L2812" s="566">
        <v>0</v>
      </c>
    </row>
    <row r="2813" spans="1:12" ht="45" x14ac:dyDescent="0.2">
      <c r="A2813" s="561" t="s">
        <v>120</v>
      </c>
      <c r="B2813" s="562">
        <v>2021</v>
      </c>
      <c r="C2813" s="561" t="s">
        <v>725</v>
      </c>
      <c r="D2813" s="561" t="s">
        <v>2818</v>
      </c>
      <c r="E2813" s="561" t="s">
        <v>55</v>
      </c>
      <c r="F2813" s="563">
        <v>0</v>
      </c>
      <c r="G2813" s="561" t="s">
        <v>654</v>
      </c>
      <c r="H2813" s="564"/>
      <c r="I2813" s="565"/>
      <c r="J2813" s="565"/>
      <c r="K2813" s="563">
        <v>0</v>
      </c>
      <c r="L2813" s="566">
        <v>0</v>
      </c>
    </row>
    <row r="2814" spans="1:12" ht="45" x14ac:dyDescent="0.2">
      <c r="A2814" s="561" t="s">
        <v>120</v>
      </c>
      <c r="B2814" s="562">
        <v>2021</v>
      </c>
      <c r="C2814" s="561" t="s">
        <v>725</v>
      </c>
      <c r="D2814" s="561" t="s">
        <v>2819</v>
      </c>
      <c r="E2814" s="561" t="s">
        <v>56</v>
      </c>
      <c r="F2814" s="563">
        <v>0</v>
      </c>
      <c r="G2814" s="561" t="s">
        <v>654</v>
      </c>
      <c r="H2814" s="564"/>
      <c r="I2814" s="565"/>
      <c r="J2814" s="565"/>
      <c r="K2814" s="563">
        <v>0</v>
      </c>
      <c r="L2814" s="566">
        <v>0</v>
      </c>
    </row>
    <row r="2815" spans="1:12" ht="45" x14ac:dyDescent="0.2">
      <c r="A2815" s="561" t="s">
        <v>120</v>
      </c>
      <c r="B2815" s="562">
        <v>2021</v>
      </c>
      <c r="C2815" s="561" t="s">
        <v>725</v>
      </c>
      <c r="D2815" s="561" t="s">
        <v>2820</v>
      </c>
      <c r="E2815" s="561" t="s">
        <v>732</v>
      </c>
      <c r="F2815" s="563">
        <v>0</v>
      </c>
      <c r="G2815" s="561" t="s">
        <v>654</v>
      </c>
      <c r="H2815" s="564"/>
      <c r="I2815" s="565"/>
      <c r="J2815" s="565"/>
      <c r="K2815" s="563">
        <v>0</v>
      </c>
      <c r="L2815" s="566">
        <v>0</v>
      </c>
    </row>
    <row r="2816" spans="1:12" ht="45" x14ac:dyDescent="0.2">
      <c r="A2816" s="561" t="s">
        <v>120</v>
      </c>
      <c r="B2816" s="562">
        <v>2021</v>
      </c>
      <c r="C2816" s="561" t="s">
        <v>725</v>
      </c>
      <c r="D2816" s="561" t="s">
        <v>2821</v>
      </c>
      <c r="E2816" s="561" t="s">
        <v>734</v>
      </c>
      <c r="F2816" s="563">
        <v>0</v>
      </c>
      <c r="G2816" s="561" t="s">
        <v>654</v>
      </c>
      <c r="H2816" s="564"/>
      <c r="I2816" s="565"/>
      <c r="J2816" s="565"/>
      <c r="K2816" s="563">
        <v>0</v>
      </c>
      <c r="L2816" s="566">
        <v>0</v>
      </c>
    </row>
    <row r="2817" spans="1:12" ht="45" x14ac:dyDescent="0.2">
      <c r="A2817" s="561" t="s">
        <v>120</v>
      </c>
      <c r="B2817" s="562">
        <v>2021</v>
      </c>
      <c r="C2817" s="561" t="s">
        <v>725</v>
      </c>
      <c r="D2817" s="561" t="s">
        <v>2822</v>
      </c>
      <c r="E2817" s="561" t="s">
        <v>142</v>
      </c>
      <c r="F2817" s="563">
        <v>0</v>
      </c>
      <c r="G2817" s="561" t="s">
        <v>654</v>
      </c>
      <c r="H2817" s="564"/>
      <c r="I2817" s="565"/>
      <c r="J2817" s="565"/>
      <c r="K2817" s="563">
        <v>0</v>
      </c>
      <c r="L2817" s="566">
        <v>0</v>
      </c>
    </row>
    <row r="2818" spans="1:12" ht="45" x14ac:dyDescent="0.2">
      <c r="A2818" s="561" t="s">
        <v>120</v>
      </c>
      <c r="B2818" s="562">
        <v>2021</v>
      </c>
      <c r="C2818" s="561" t="s">
        <v>725</v>
      </c>
      <c r="D2818" s="561" t="s">
        <v>2823</v>
      </c>
      <c r="E2818" s="561" t="s">
        <v>143</v>
      </c>
      <c r="F2818" s="563">
        <v>0</v>
      </c>
      <c r="G2818" s="561" t="s">
        <v>654</v>
      </c>
      <c r="H2818" s="564"/>
      <c r="I2818" s="563">
        <v>30631.8203125</v>
      </c>
      <c r="J2818" s="563">
        <v>1041.38000488281</v>
      </c>
      <c r="K2818" s="563">
        <v>31673.19921875</v>
      </c>
      <c r="L2818" s="566">
        <v>31673.200000000001</v>
      </c>
    </row>
    <row r="2819" spans="1:12" ht="45" x14ac:dyDescent="0.2">
      <c r="A2819" s="561" t="s">
        <v>120</v>
      </c>
      <c r="B2819" s="562">
        <v>2021</v>
      </c>
      <c r="C2819" s="561" t="s">
        <v>725</v>
      </c>
      <c r="D2819" s="561" t="s">
        <v>2824</v>
      </c>
      <c r="E2819" s="561" t="s">
        <v>182</v>
      </c>
      <c r="F2819" s="563">
        <v>0</v>
      </c>
      <c r="G2819" s="561" t="s">
        <v>654</v>
      </c>
      <c r="H2819" s="564"/>
      <c r="I2819" s="565"/>
      <c r="J2819" s="565"/>
      <c r="K2819" s="563">
        <v>0</v>
      </c>
      <c r="L2819" s="566">
        <v>0</v>
      </c>
    </row>
    <row r="2820" spans="1:12" ht="45" x14ac:dyDescent="0.2">
      <c r="A2820" s="561" t="s">
        <v>120</v>
      </c>
      <c r="B2820" s="562">
        <v>2021</v>
      </c>
      <c r="C2820" s="561" t="s">
        <v>725</v>
      </c>
      <c r="D2820" s="561" t="s">
        <v>2825</v>
      </c>
      <c r="E2820" s="561" t="s">
        <v>394</v>
      </c>
      <c r="F2820" s="563">
        <v>0</v>
      </c>
      <c r="G2820" s="561" t="s">
        <v>654</v>
      </c>
      <c r="H2820" s="564"/>
      <c r="I2820" s="563">
        <v>18315.720703125</v>
      </c>
      <c r="J2820" s="563">
        <v>2521.94995117188</v>
      </c>
      <c r="K2820" s="563">
        <v>20837.669921875</v>
      </c>
      <c r="L2820" s="566">
        <v>20837.669999999998</v>
      </c>
    </row>
    <row r="2821" spans="1:12" ht="45" x14ac:dyDescent="0.2">
      <c r="A2821" s="561" t="s">
        <v>120</v>
      </c>
      <c r="B2821" s="562">
        <v>2021</v>
      </c>
      <c r="C2821" s="561" t="s">
        <v>725</v>
      </c>
      <c r="D2821" s="561" t="s">
        <v>2826</v>
      </c>
      <c r="E2821" s="561" t="s">
        <v>425</v>
      </c>
      <c r="F2821" s="563">
        <v>0</v>
      </c>
      <c r="G2821" s="561" t="s">
        <v>654</v>
      </c>
      <c r="H2821" s="564"/>
      <c r="I2821" s="565"/>
      <c r="J2821" s="565"/>
      <c r="K2821" s="563">
        <v>0</v>
      </c>
      <c r="L2821" s="566">
        <v>0</v>
      </c>
    </row>
    <row r="2822" spans="1:12" ht="45" x14ac:dyDescent="0.2">
      <c r="A2822" s="561" t="s">
        <v>120</v>
      </c>
      <c r="B2822" s="562">
        <v>2021</v>
      </c>
      <c r="C2822" s="561" t="s">
        <v>725</v>
      </c>
      <c r="D2822" s="561" t="s">
        <v>3341</v>
      </c>
      <c r="E2822" s="561" t="s">
        <v>443</v>
      </c>
      <c r="F2822" s="563">
        <v>0</v>
      </c>
      <c r="G2822" s="561" t="s">
        <v>654</v>
      </c>
      <c r="H2822" s="564"/>
      <c r="I2822" s="565"/>
      <c r="J2822" s="565"/>
      <c r="K2822" s="563">
        <v>0</v>
      </c>
      <c r="L2822" s="566">
        <v>0</v>
      </c>
    </row>
    <row r="2823" spans="1:12" ht="45" x14ac:dyDescent="0.2">
      <c r="A2823" s="561" t="s">
        <v>120</v>
      </c>
      <c r="B2823" s="562">
        <v>2021</v>
      </c>
      <c r="C2823" s="561" t="s">
        <v>725</v>
      </c>
      <c r="D2823" s="561" t="s">
        <v>2827</v>
      </c>
      <c r="E2823" s="561" t="s">
        <v>741</v>
      </c>
      <c r="F2823" s="563">
        <v>52510.87</v>
      </c>
      <c r="G2823" s="564"/>
      <c r="H2823" s="564"/>
      <c r="I2823" s="565"/>
      <c r="J2823" s="565"/>
      <c r="K2823" s="563">
        <v>0</v>
      </c>
      <c r="L2823" s="566">
        <v>52510.87</v>
      </c>
    </row>
    <row r="2824" spans="1:12" ht="22.5" x14ac:dyDescent="0.2">
      <c r="A2824" s="561" t="s">
        <v>120</v>
      </c>
      <c r="B2824" s="562">
        <v>2021</v>
      </c>
      <c r="C2824" s="561" t="s">
        <v>742</v>
      </c>
      <c r="D2824" s="561" t="s">
        <v>2828</v>
      </c>
      <c r="E2824" s="561" t="s">
        <v>7</v>
      </c>
      <c r="F2824" s="563">
        <v>0</v>
      </c>
      <c r="G2824" s="564"/>
      <c r="H2824" s="561" t="s">
        <v>654</v>
      </c>
      <c r="I2824" s="565"/>
      <c r="J2824" s="565"/>
      <c r="K2824" s="563">
        <v>0</v>
      </c>
      <c r="L2824" s="566">
        <v>0</v>
      </c>
    </row>
    <row r="2825" spans="1:12" ht="22.5" x14ac:dyDescent="0.2">
      <c r="A2825" s="561" t="s">
        <v>121</v>
      </c>
      <c r="B2825" s="562">
        <v>2021</v>
      </c>
      <c r="C2825" s="561" t="s">
        <v>651</v>
      </c>
      <c r="D2825" s="561" t="s">
        <v>2829</v>
      </c>
      <c r="E2825" s="561" t="s">
        <v>653</v>
      </c>
      <c r="F2825" s="563">
        <v>-191613.37</v>
      </c>
      <c r="G2825" s="564"/>
      <c r="H2825" s="561" t="s">
        <v>654</v>
      </c>
      <c r="I2825" s="565"/>
      <c r="J2825" s="565"/>
      <c r="K2825" s="563">
        <v>0</v>
      </c>
      <c r="L2825" s="566">
        <v>-191613.37</v>
      </c>
    </row>
    <row r="2826" spans="1:12" ht="15" x14ac:dyDescent="0.2">
      <c r="A2826" s="561" t="s">
        <v>121</v>
      </c>
      <c r="B2826" s="562">
        <v>2021</v>
      </c>
      <c r="C2826" s="561" t="s">
        <v>655</v>
      </c>
      <c r="D2826" s="561" t="s">
        <v>2830</v>
      </c>
      <c r="E2826" s="561" t="s">
        <v>657</v>
      </c>
      <c r="F2826" s="563">
        <v>28169.95</v>
      </c>
      <c r="G2826" s="564"/>
      <c r="H2826" s="561" t="s">
        <v>654</v>
      </c>
      <c r="I2826" s="565"/>
      <c r="J2826" s="565"/>
      <c r="K2826" s="563">
        <v>0</v>
      </c>
      <c r="L2826" s="566">
        <v>28169.95</v>
      </c>
    </row>
    <row r="2827" spans="1:12" ht="56.25" x14ac:dyDescent="0.2">
      <c r="A2827" s="561" t="s">
        <v>121</v>
      </c>
      <c r="B2827" s="562">
        <v>2021</v>
      </c>
      <c r="C2827" s="561" t="s">
        <v>658</v>
      </c>
      <c r="D2827" s="561" t="s">
        <v>2831</v>
      </c>
      <c r="E2827" s="561" t="s">
        <v>447</v>
      </c>
      <c r="F2827" s="563">
        <v>0</v>
      </c>
      <c r="G2827" s="564"/>
      <c r="H2827" s="561" t="s">
        <v>654</v>
      </c>
      <c r="I2827" s="565"/>
      <c r="J2827" s="565"/>
      <c r="K2827" s="563">
        <v>0</v>
      </c>
      <c r="L2827" s="566">
        <v>0</v>
      </c>
    </row>
    <row r="2828" spans="1:12" ht="22.5" x14ac:dyDescent="0.2">
      <c r="A2828" s="561" t="s">
        <v>121</v>
      </c>
      <c r="B2828" s="562">
        <v>2021</v>
      </c>
      <c r="C2828" s="561" t="s">
        <v>660</v>
      </c>
      <c r="D2828" s="561" t="s">
        <v>2832</v>
      </c>
      <c r="E2828" s="561" t="s">
        <v>662</v>
      </c>
      <c r="F2828" s="563">
        <v>159678.38</v>
      </c>
      <c r="G2828" s="564"/>
      <c r="H2828" s="561" t="s">
        <v>654</v>
      </c>
      <c r="I2828" s="565"/>
      <c r="J2828" s="565"/>
      <c r="K2828" s="563">
        <v>0</v>
      </c>
      <c r="L2828" s="566">
        <v>159678.38</v>
      </c>
    </row>
    <row r="2829" spans="1:12" ht="33.75" x14ac:dyDescent="0.2">
      <c r="A2829" s="561" t="s">
        <v>121</v>
      </c>
      <c r="B2829" s="562">
        <v>2021</v>
      </c>
      <c r="C2829" s="561" t="s">
        <v>663</v>
      </c>
      <c r="D2829" s="561" t="s">
        <v>2833</v>
      </c>
      <c r="E2829" s="561" t="s">
        <v>665</v>
      </c>
      <c r="F2829" s="563">
        <v>0</v>
      </c>
      <c r="G2829" s="564"/>
      <c r="H2829" s="561" t="s">
        <v>654</v>
      </c>
      <c r="I2829" s="565"/>
      <c r="J2829" s="565"/>
      <c r="K2829" s="563">
        <v>0</v>
      </c>
      <c r="L2829" s="566">
        <v>0</v>
      </c>
    </row>
    <row r="2830" spans="1:12" ht="33.75" x14ac:dyDescent="0.2">
      <c r="A2830" s="561" t="s">
        <v>121</v>
      </c>
      <c r="B2830" s="562">
        <v>2021</v>
      </c>
      <c r="C2830" s="561" t="s">
        <v>666</v>
      </c>
      <c r="D2830" s="561" t="s">
        <v>2834</v>
      </c>
      <c r="E2830" s="561" t="s">
        <v>668</v>
      </c>
      <c r="F2830" s="563">
        <v>0</v>
      </c>
      <c r="G2830" s="564"/>
      <c r="H2830" s="561" t="s">
        <v>654</v>
      </c>
      <c r="I2830" s="565"/>
      <c r="J2830" s="565"/>
      <c r="K2830" s="563">
        <v>0</v>
      </c>
      <c r="L2830" s="566">
        <v>0</v>
      </c>
    </row>
    <row r="2831" spans="1:12" ht="56.25" x14ac:dyDescent="0.2">
      <c r="A2831" s="561" t="s">
        <v>121</v>
      </c>
      <c r="B2831" s="562">
        <v>2021</v>
      </c>
      <c r="C2831" s="561" t="s">
        <v>669</v>
      </c>
      <c r="D2831" s="561" t="s">
        <v>2835</v>
      </c>
      <c r="E2831" s="561" t="s">
        <v>671</v>
      </c>
      <c r="F2831" s="563">
        <v>0</v>
      </c>
      <c r="G2831" s="564"/>
      <c r="H2831" s="561" t="s">
        <v>654</v>
      </c>
      <c r="I2831" s="565"/>
      <c r="J2831" s="565"/>
      <c r="K2831" s="563">
        <v>0</v>
      </c>
      <c r="L2831" s="566">
        <v>0</v>
      </c>
    </row>
    <row r="2832" spans="1:12" ht="22.5" x14ac:dyDescent="0.2">
      <c r="A2832" s="561" t="s">
        <v>121</v>
      </c>
      <c r="B2832" s="562">
        <v>2021</v>
      </c>
      <c r="C2832" s="561" t="s">
        <v>672</v>
      </c>
      <c r="D2832" s="561" t="s">
        <v>2836</v>
      </c>
      <c r="E2832" s="561" t="s">
        <v>12</v>
      </c>
      <c r="F2832" s="563">
        <v>0</v>
      </c>
      <c r="G2832" s="564"/>
      <c r="H2832" s="561" t="s">
        <v>654</v>
      </c>
      <c r="I2832" s="565"/>
      <c r="J2832" s="565"/>
      <c r="K2832" s="563">
        <v>0</v>
      </c>
      <c r="L2832" s="566">
        <v>0</v>
      </c>
    </row>
    <row r="2833" spans="1:12" ht="22.5" x14ac:dyDescent="0.2">
      <c r="A2833" s="561" t="s">
        <v>121</v>
      </c>
      <c r="B2833" s="562">
        <v>2021</v>
      </c>
      <c r="C2833" s="561" t="s">
        <v>674</v>
      </c>
      <c r="D2833" s="561" t="s">
        <v>2837</v>
      </c>
      <c r="E2833" s="561" t="s">
        <v>13</v>
      </c>
      <c r="F2833" s="563">
        <v>0</v>
      </c>
      <c r="G2833" s="564"/>
      <c r="H2833" s="561" t="s">
        <v>654</v>
      </c>
      <c r="I2833" s="565"/>
      <c r="J2833" s="565"/>
      <c r="K2833" s="563">
        <v>0</v>
      </c>
      <c r="L2833" s="566">
        <v>0</v>
      </c>
    </row>
    <row r="2834" spans="1:12" ht="33.75" x14ac:dyDescent="0.2">
      <c r="A2834" s="561" t="s">
        <v>121</v>
      </c>
      <c r="B2834" s="562">
        <v>2021</v>
      </c>
      <c r="C2834" s="561" t="s">
        <v>676</v>
      </c>
      <c r="D2834" s="561" t="s">
        <v>2838</v>
      </c>
      <c r="E2834" s="561" t="s">
        <v>15</v>
      </c>
      <c r="F2834" s="563">
        <v>0</v>
      </c>
      <c r="G2834" s="564"/>
      <c r="H2834" s="561" t="s">
        <v>654</v>
      </c>
      <c r="I2834" s="565"/>
      <c r="J2834" s="565"/>
      <c r="K2834" s="563">
        <v>0</v>
      </c>
      <c r="L2834" s="566">
        <v>0</v>
      </c>
    </row>
    <row r="2835" spans="1:12" ht="15" x14ac:dyDescent="0.2">
      <c r="A2835" s="561" t="s">
        <v>121</v>
      </c>
      <c r="B2835" s="562">
        <v>2021</v>
      </c>
      <c r="C2835" s="561" t="s">
        <v>678</v>
      </c>
      <c r="D2835" s="561" t="s">
        <v>2839</v>
      </c>
      <c r="E2835" s="561" t="s">
        <v>680</v>
      </c>
      <c r="F2835" s="563">
        <v>17281.689999999999</v>
      </c>
      <c r="G2835" s="564"/>
      <c r="H2835" s="561" t="s">
        <v>654</v>
      </c>
      <c r="I2835" s="565"/>
      <c r="J2835" s="565"/>
      <c r="K2835" s="563">
        <v>0</v>
      </c>
      <c r="L2835" s="566">
        <v>17281.689999999999</v>
      </c>
    </row>
    <row r="2836" spans="1:12" ht="15" x14ac:dyDescent="0.2">
      <c r="A2836" s="561" t="s">
        <v>121</v>
      </c>
      <c r="B2836" s="562">
        <v>2021</v>
      </c>
      <c r="C2836" s="561" t="s">
        <v>681</v>
      </c>
      <c r="D2836" s="561" t="s">
        <v>2840</v>
      </c>
      <c r="E2836" s="561" t="s">
        <v>23</v>
      </c>
      <c r="F2836" s="563">
        <v>1461298.35</v>
      </c>
      <c r="G2836" s="561" t="s">
        <v>654</v>
      </c>
      <c r="H2836" s="564"/>
      <c r="I2836" s="563">
        <v>1442530.375</v>
      </c>
      <c r="J2836" s="563">
        <v>18767.9609375</v>
      </c>
      <c r="K2836" s="563">
        <v>1461298.375</v>
      </c>
      <c r="L2836" s="566">
        <v>1461298.35</v>
      </c>
    </row>
    <row r="2837" spans="1:12" ht="33.75" x14ac:dyDescent="0.2">
      <c r="A2837" s="561" t="s">
        <v>121</v>
      </c>
      <c r="B2837" s="562">
        <v>2021</v>
      </c>
      <c r="C2837" s="561" t="s">
        <v>683</v>
      </c>
      <c r="D2837" s="561" t="s">
        <v>2841</v>
      </c>
      <c r="E2837" s="561" t="s">
        <v>131</v>
      </c>
      <c r="F2837" s="563">
        <v>-5059.43</v>
      </c>
      <c r="G2837" s="561" t="s">
        <v>654</v>
      </c>
      <c r="H2837" s="564"/>
      <c r="I2837" s="563">
        <v>-4434.1298828125</v>
      </c>
      <c r="J2837" s="563">
        <v>-625.29998779296898</v>
      </c>
      <c r="K2837" s="563">
        <v>-5059.43017578125</v>
      </c>
      <c r="L2837" s="566">
        <v>-5059.43</v>
      </c>
    </row>
    <row r="2838" spans="1:12" ht="33.75" x14ac:dyDescent="0.2">
      <c r="A2838" s="561" t="s">
        <v>121</v>
      </c>
      <c r="B2838" s="562">
        <v>2021</v>
      </c>
      <c r="C2838" s="561" t="s">
        <v>685</v>
      </c>
      <c r="D2838" s="561" t="s">
        <v>2842</v>
      </c>
      <c r="E2838" s="561" t="s">
        <v>687</v>
      </c>
      <c r="F2838" s="563">
        <v>0</v>
      </c>
      <c r="G2838" s="564"/>
      <c r="H2838" s="561" t="s">
        <v>654</v>
      </c>
      <c r="I2838" s="565"/>
      <c r="J2838" s="565"/>
      <c r="K2838" s="563">
        <v>0</v>
      </c>
      <c r="L2838" s="566">
        <v>0</v>
      </c>
    </row>
    <row r="2839" spans="1:12" ht="33.75" x14ac:dyDescent="0.2">
      <c r="A2839" s="561" t="s">
        <v>121</v>
      </c>
      <c r="B2839" s="562">
        <v>2021</v>
      </c>
      <c r="C2839" s="561" t="s">
        <v>685</v>
      </c>
      <c r="D2839" s="561" t="s">
        <v>2842</v>
      </c>
      <c r="E2839" s="561" t="s">
        <v>688</v>
      </c>
      <c r="F2839" s="563">
        <v>0</v>
      </c>
      <c r="G2839" s="564"/>
      <c r="H2839" s="561" t="s">
        <v>654</v>
      </c>
      <c r="I2839" s="565"/>
      <c r="J2839" s="565"/>
      <c r="K2839" s="563">
        <v>0</v>
      </c>
      <c r="L2839" s="566">
        <v>0</v>
      </c>
    </row>
    <row r="2840" spans="1:12" ht="22.5" x14ac:dyDescent="0.2">
      <c r="A2840" s="561" t="s">
        <v>121</v>
      </c>
      <c r="B2840" s="562">
        <v>2021</v>
      </c>
      <c r="C2840" s="561" t="s">
        <v>689</v>
      </c>
      <c r="D2840" s="561" t="s">
        <v>2843</v>
      </c>
      <c r="E2840" s="561" t="s">
        <v>691</v>
      </c>
      <c r="F2840" s="563">
        <v>0</v>
      </c>
      <c r="G2840" s="564"/>
      <c r="H2840" s="561" t="s">
        <v>654</v>
      </c>
      <c r="I2840" s="565"/>
      <c r="J2840" s="565"/>
      <c r="K2840" s="563">
        <v>0</v>
      </c>
      <c r="L2840" s="566">
        <v>0</v>
      </c>
    </row>
    <row r="2841" spans="1:12" ht="22.5" x14ac:dyDescent="0.2">
      <c r="A2841" s="561" t="s">
        <v>121</v>
      </c>
      <c r="B2841" s="562">
        <v>2021</v>
      </c>
      <c r="C2841" s="561" t="s">
        <v>692</v>
      </c>
      <c r="D2841" s="561" t="s">
        <v>2844</v>
      </c>
      <c r="E2841" s="561" t="s">
        <v>50</v>
      </c>
      <c r="F2841" s="563">
        <v>0</v>
      </c>
      <c r="G2841" s="564"/>
      <c r="H2841" s="561" t="s">
        <v>654</v>
      </c>
      <c r="I2841" s="565"/>
      <c r="J2841" s="565"/>
      <c r="K2841" s="563">
        <v>0</v>
      </c>
      <c r="L2841" s="566">
        <v>0</v>
      </c>
    </row>
    <row r="2842" spans="1:12" ht="22.5" x14ac:dyDescent="0.2">
      <c r="A2842" s="561" t="s">
        <v>121</v>
      </c>
      <c r="B2842" s="562">
        <v>2021</v>
      </c>
      <c r="C2842" s="561" t="s">
        <v>694</v>
      </c>
      <c r="D2842" s="561" t="s">
        <v>2845</v>
      </c>
      <c r="E2842" s="561" t="s">
        <v>696</v>
      </c>
      <c r="F2842" s="563">
        <v>0</v>
      </c>
      <c r="G2842" s="564"/>
      <c r="H2842" s="561" t="s">
        <v>654</v>
      </c>
      <c r="I2842" s="565"/>
      <c r="J2842" s="565"/>
      <c r="K2842" s="563">
        <v>0</v>
      </c>
      <c r="L2842" s="566">
        <v>0</v>
      </c>
    </row>
    <row r="2843" spans="1:12" ht="22.5" x14ac:dyDescent="0.2">
      <c r="A2843" s="561" t="s">
        <v>121</v>
      </c>
      <c r="B2843" s="562">
        <v>2021</v>
      </c>
      <c r="C2843" s="561" t="s">
        <v>697</v>
      </c>
      <c r="D2843" s="561" t="s">
        <v>2846</v>
      </c>
      <c r="E2843" s="561" t="s">
        <v>6</v>
      </c>
      <c r="F2843" s="563">
        <v>0</v>
      </c>
      <c r="G2843" s="564"/>
      <c r="H2843" s="561" t="s">
        <v>654</v>
      </c>
      <c r="I2843" s="565"/>
      <c r="J2843" s="565"/>
      <c r="K2843" s="563">
        <v>0</v>
      </c>
      <c r="L2843" s="566">
        <v>0</v>
      </c>
    </row>
    <row r="2844" spans="1:12" ht="33.75" x14ac:dyDescent="0.2">
      <c r="A2844" s="561" t="s">
        <v>121</v>
      </c>
      <c r="B2844" s="562">
        <v>2021</v>
      </c>
      <c r="C2844" s="561" t="s">
        <v>699</v>
      </c>
      <c r="D2844" s="561" t="s">
        <v>2847</v>
      </c>
      <c r="E2844" s="561" t="s">
        <v>701</v>
      </c>
      <c r="F2844" s="563">
        <v>0</v>
      </c>
      <c r="G2844" s="564"/>
      <c r="H2844" s="561" t="s">
        <v>654</v>
      </c>
      <c r="I2844" s="565"/>
      <c r="J2844" s="565"/>
      <c r="K2844" s="563">
        <v>0</v>
      </c>
      <c r="L2844" s="566">
        <v>0</v>
      </c>
    </row>
    <row r="2845" spans="1:12" ht="22.5" x14ac:dyDescent="0.2">
      <c r="A2845" s="561" t="s">
        <v>121</v>
      </c>
      <c r="B2845" s="562">
        <v>2021</v>
      </c>
      <c r="C2845" s="561" t="s">
        <v>702</v>
      </c>
      <c r="D2845" s="561" t="s">
        <v>2848</v>
      </c>
      <c r="E2845" s="561" t="s">
        <v>704</v>
      </c>
      <c r="F2845" s="563">
        <v>0</v>
      </c>
      <c r="G2845" s="564"/>
      <c r="H2845" s="561" t="s">
        <v>654</v>
      </c>
      <c r="I2845" s="565"/>
      <c r="J2845" s="565"/>
      <c r="K2845" s="563">
        <v>0</v>
      </c>
      <c r="L2845" s="566">
        <v>0</v>
      </c>
    </row>
    <row r="2846" spans="1:12" ht="33.75" x14ac:dyDescent="0.2">
      <c r="A2846" s="561" t="s">
        <v>121</v>
      </c>
      <c r="B2846" s="562">
        <v>2021</v>
      </c>
      <c r="C2846" s="561" t="s">
        <v>705</v>
      </c>
      <c r="D2846" s="561" t="s">
        <v>2849</v>
      </c>
      <c r="E2846" s="561" t="s">
        <v>1</v>
      </c>
      <c r="F2846" s="563">
        <v>-278919.81</v>
      </c>
      <c r="G2846" s="561" t="s">
        <v>654</v>
      </c>
      <c r="H2846" s="564"/>
      <c r="I2846" s="563">
        <v>-274405.75</v>
      </c>
      <c r="J2846" s="563">
        <v>-4514.06982421875</v>
      </c>
      <c r="K2846" s="563">
        <v>-278919.8125</v>
      </c>
      <c r="L2846" s="566">
        <v>-278919.81</v>
      </c>
    </row>
    <row r="2847" spans="1:12" ht="22.5" x14ac:dyDescent="0.2">
      <c r="A2847" s="561" t="s">
        <v>121</v>
      </c>
      <c r="B2847" s="562">
        <v>2021</v>
      </c>
      <c r="C2847" s="561" t="s">
        <v>705</v>
      </c>
      <c r="D2847" s="561" t="s">
        <v>2849</v>
      </c>
      <c r="E2847" s="561" t="s">
        <v>707</v>
      </c>
      <c r="F2847" s="563">
        <v>0</v>
      </c>
      <c r="G2847" s="564"/>
      <c r="H2847" s="564"/>
      <c r="I2847" s="565"/>
      <c r="J2847" s="565"/>
      <c r="K2847" s="563">
        <v>0</v>
      </c>
      <c r="L2847" s="566">
        <v>0</v>
      </c>
    </row>
    <row r="2848" spans="1:12" ht="22.5" x14ac:dyDescent="0.2">
      <c r="A2848" s="561" t="s">
        <v>121</v>
      </c>
      <c r="B2848" s="562">
        <v>2021</v>
      </c>
      <c r="C2848" s="561" t="s">
        <v>705</v>
      </c>
      <c r="D2848" s="561" t="s">
        <v>2849</v>
      </c>
      <c r="E2848" s="561" t="s">
        <v>708</v>
      </c>
      <c r="F2848" s="563">
        <v>0</v>
      </c>
      <c r="G2848" s="564"/>
      <c r="H2848" s="564"/>
      <c r="I2848" s="565"/>
      <c r="J2848" s="565"/>
      <c r="K2848" s="563">
        <v>0</v>
      </c>
      <c r="L2848" s="566">
        <v>0</v>
      </c>
    </row>
    <row r="2849" spans="1:12" ht="22.5" x14ac:dyDescent="0.2">
      <c r="A2849" s="561" t="s">
        <v>121</v>
      </c>
      <c r="B2849" s="562">
        <v>2021</v>
      </c>
      <c r="C2849" s="561" t="s">
        <v>705</v>
      </c>
      <c r="D2849" s="561" t="s">
        <v>2849</v>
      </c>
      <c r="E2849" s="561" t="s">
        <v>709</v>
      </c>
      <c r="F2849" s="563">
        <v>0</v>
      </c>
      <c r="G2849" s="564"/>
      <c r="H2849" s="564"/>
      <c r="I2849" s="565"/>
      <c r="J2849" s="565"/>
      <c r="K2849" s="563">
        <v>0</v>
      </c>
      <c r="L2849" s="566">
        <v>0</v>
      </c>
    </row>
    <row r="2850" spans="1:12" ht="22.5" x14ac:dyDescent="0.2">
      <c r="A2850" s="561" t="s">
        <v>121</v>
      </c>
      <c r="B2850" s="562">
        <v>2021</v>
      </c>
      <c r="C2850" s="561" t="s">
        <v>705</v>
      </c>
      <c r="D2850" s="561" t="s">
        <v>2849</v>
      </c>
      <c r="E2850" s="561" t="s">
        <v>710</v>
      </c>
      <c r="F2850" s="563">
        <v>0</v>
      </c>
      <c r="G2850" s="564"/>
      <c r="H2850" s="564"/>
      <c r="I2850" s="565"/>
      <c r="J2850" s="565"/>
      <c r="K2850" s="563">
        <v>0</v>
      </c>
      <c r="L2850" s="566">
        <v>0</v>
      </c>
    </row>
    <row r="2851" spans="1:12" ht="15" x14ac:dyDescent="0.2">
      <c r="A2851" s="561" t="s">
        <v>121</v>
      </c>
      <c r="B2851" s="562">
        <v>2021</v>
      </c>
      <c r="C2851" s="561" t="s">
        <v>711</v>
      </c>
      <c r="D2851" s="561" t="s">
        <v>2850</v>
      </c>
      <c r="E2851" s="561" t="s">
        <v>713</v>
      </c>
      <c r="F2851" s="563">
        <v>0</v>
      </c>
      <c r="G2851" s="564"/>
      <c r="H2851" s="561" t="s">
        <v>654</v>
      </c>
      <c r="I2851" s="565"/>
      <c r="J2851" s="565"/>
      <c r="K2851" s="563">
        <v>0</v>
      </c>
      <c r="L2851" s="566">
        <v>0</v>
      </c>
    </row>
    <row r="2852" spans="1:12" ht="33.75" x14ac:dyDescent="0.2">
      <c r="A2852" s="561" t="s">
        <v>121</v>
      </c>
      <c r="B2852" s="562">
        <v>2021</v>
      </c>
      <c r="C2852" s="561" t="s">
        <v>714</v>
      </c>
      <c r="D2852" s="561" t="s">
        <v>2851</v>
      </c>
      <c r="E2852" s="561" t="s">
        <v>2</v>
      </c>
      <c r="F2852" s="563">
        <v>230856.24</v>
      </c>
      <c r="G2852" s="561" t="s">
        <v>654</v>
      </c>
      <c r="H2852" s="564"/>
      <c r="I2852" s="563">
        <v>230775.15625</v>
      </c>
      <c r="J2852" s="563">
        <v>81.080001831054702</v>
      </c>
      <c r="K2852" s="563">
        <v>230856.234375</v>
      </c>
      <c r="L2852" s="566">
        <v>230856.24</v>
      </c>
    </row>
    <row r="2853" spans="1:12" ht="33.75" x14ac:dyDescent="0.2">
      <c r="A2853" s="561" t="s">
        <v>121</v>
      </c>
      <c r="B2853" s="562">
        <v>2021</v>
      </c>
      <c r="C2853" s="561" t="s">
        <v>716</v>
      </c>
      <c r="D2853" s="561" t="s">
        <v>2852</v>
      </c>
      <c r="E2853" s="561" t="s">
        <v>3</v>
      </c>
      <c r="F2853" s="563">
        <v>186323.72</v>
      </c>
      <c r="G2853" s="561" t="s">
        <v>654</v>
      </c>
      <c r="H2853" s="564"/>
      <c r="I2853" s="563">
        <v>182487.5</v>
      </c>
      <c r="J2853" s="563">
        <v>3836.21997070313</v>
      </c>
      <c r="K2853" s="563">
        <v>186323.71875</v>
      </c>
      <c r="L2853" s="566">
        <v>186323.72</v>
      </c>
    </row>
    <row r="2854" spans="1:12" ht="33.75" x14ac:dyDescent="0.2">
      <c r="A2854" s="561" t="s">
        <v>121</v>
      </c>
      <c r="B2854" s="562">
        <v>2021</v>
      </c>
      <c r="C2854" s="561" t="s">
        <v>718</v>
      </c>
      <c r="D2854" s="561" t="s">
        <v>2853</v>
      </c>
      <c r="E2854" s="561" t="s">
        <v>38</v>
      </c>
      <c r="F2854" s="563">
        <v>-204733.66</v>
      </c>
      <c r="G2854" s="561" t="s">
        <v>654</v>
      </c>
      <c r="H2854" s="564"/>
      <c r="I2854" s="563">
        <v>-206701.046875</v>
      </c>
      <c r="J2854" s="563">
        <v>1967.38000488281</v>
      </c>
      <c r="K2854" s="563">
        <v>-204733.65625</v>
      </c>
      <c r="L2854" s="566">
        <v>-204733.66</v>
      </c>
    </row>
    <row r="2855" spans="1:12" ht="22.5" x14ac:dyDescent="0.2">
      <c r="A2855" s="561" t="s">
        <v>121</v>
      </c>
      <c r="B2855" s="562">
        <v>2021</v>
      </c>
      <c r="C2855" s="561" t="s">
        <v>720</v>
      </c>
      <c r="D2855" s="561" t="s">
        <v>2854</v>
      </c>
      <c r="E2855" s="561" t="s">
        <v>66</v>
      </c>
      <c r="F2855" s="563">
        <v>1032997.77</v>
      </c>
      <c r="G2855" s="561" t="s">
        <v>654</v>
      </c>
      <c r="H2855" s="564"/>
      <c r="I2855" s="563">
        <v>994531.5625</v>
      </c>
      <c r="J2855" s="563">
        <v>38466.1796875</v>
      </c>
      <c r="K2855" s="563">
        <v>1032997.75</v>
      </c>
      <c r="L2855" s="566">
        <v>1032997.77</v>
      </c>
    </row>
    <row r="2856" spans="1:12" ht="45" x14ac:dyDescent="0.2">
      <c r="A2856" s="561" t="s">
        <v>121</v>
      </c>
      <c r="B2856" s="562">
        <v>2021</v>
      </c>
      <c r="C2856" s="561" t="s">
        <v>722</v>
      </c>
      <c r="D2856" s="561" t="s">
        <v>2855</v>
      </c>
      <c r="E2856" s="561" t="s">
        <v>724</v>
      </c>
      <c r="F2856" s="563">
        <v>-317402.03999999998</v>
      </c>
      <c r="G2856" s="564"/>
      <c r="H2856" s="561" t="s">
        <v>654</v>
      </c>
      <c r="I2856" s="565"/>
      <c r="J2856" s="565"/>
      <c r="K2856" s="563">
        <v>0</v>
      </c>
      <c r="L2856" s="566">
        <v>-317402.03999999998</v>
      </c>
    </row>
    <row r="2857" spans="1:12" ht="45" x14ac:dyDescent="0.2">
      <c r="A2857" s="561" t="s">
        <v>121</v>
      </c>
      <c r="B2857" s="562">
        <v>2021</v>
      </c>
      <c r="C2857" s="561" t="s">
        <v>725</v>
      </c>
      <c r="D2857" s="561" t="s">
        <v>2856</v>
      </c>
      <c r="E2857" s="561" t="s">
        <v>3024</v>
      </c>
      <c r="F2857" s="563">
        <v>0</v>
      </c>
      <c r="G2857" s="561" t="s">
        <v>654</v>
      </c>
      <c r="H2857" s="564"/>
      <c r="I2857" s="563">
        <v>-283066.28125</v>
      </c>
      <c r="J2857" s="563">
        <v>258701.28125</v>
      </c>
      <c r="K2857" s="563">
        <v>-24364.990234375</v>
      </c>
      <c r="L2857" s="566">
        <v>-24364.99</v>
      </c>
    </row>
    <row r="2858" spans="1:12" ht="45" x14ac:dyDescent="0.2">
      <c r="A2858" s="561" t="s">
        <v>121</v>
      </c>
      <c r="B2858" s="562">
        <v>2021</v>
      </c>
      <c r="C2858" s="561" t="s">
        <v>725</v>
      </c>
      <c r="D2858" s="561" t="s">
        <v>2856</v>
      </c>
      <c r="E2858" s="561" t="s">
        <v>3066</v>
      </c>
      <c r="F2858" s="563">
        <v>0</v>
      </c>
      <c r="G2858" s="561" t="s">
        <v>654</v>
      </c>
      <c r="H2858" s="564"/>
      <c r="I2858" s="563">
        <v>-67103.71875</v>
      </c>
      <c r="J2858" s="563">
        <v>78995.8984375</v>
      </c>
      <c r="K2858" s="563">
        <v>11892.1796875</v>
      </c>
      <c r="L2858" s="566">
        <v>11892.18</v>
      </c>
    </row>
    <row r="2859" spans="1:12" ht="45" x14ac:dyDescent="0.2">
      <c r="A2859" s="561" t="s">
        <v>121</v>
      </c>
      <c r="B2859" s="562">
        <v>2021</v>
      </c>
      <c r="C2859" s="561" t="s">
        <v>725</v>
      </c>
      <c r="D2859" s="561" t="s">
        <v>2857</v>
      </c>
      <c r="E2859" s="561" t="s">
        <v>728</v>
      </c>
      <c r="F2859" s="563">
        <v>0</v>
      </c>
      <c r="G2859" s="561" t="s">
        <v>654</v>
      </c>
      <c r="H2859" s="564"/>
      <c r="I2859" s="565"/>
      <c r="J2859" s="565"/>
      <c r="K2859" s="563">
        <v>0</v>
      </c>
      <c r="L2859" s="566">
        <v>0</v>
      </c>
    </row>
    <row r="2860" spans="1:12" ht="45" x14ac:dyDescent="0.2">
      <c r="A2860" s="561" t="s">
        <v>121</v>
      </c>
      <c r="B2860" s="562">
        <v>2021</v>
      </c>
      <c r="C2860" s="561" t="s">
        <v>725</v>
      </c>
      <c r="D2860" s="561" t="s">
        <v>2858</v>
      </c>
      <c r="E2860" s="561" t="s">
        <v>55</v>
      </c>
      <c r="F2860" s="563">
        <v>0</v>
      </c>
      <c r="G2860" s="561" t="s">
        <v>654</v>
      </c>
      <c r="H2860" s="564"/>
      <c r="I2860" s="565"/>
      <c r="J2860" s="565"/>
      <c r="K2860" s="563">
        <v>0</v>
      </c>
      <c r="L2860" s="566">
        <v>0</v>
      </c>
    </row>
    <row r="2861" spans="1:12" ht="45" x14ac:dyDescent="0.2">
      <c r="A2861" s="561" t="s">
        <v>121</v>
      </c>
      <c r="B2861" s="562">
        <v>2021</v>
      </c>
      <c r="C2861" s="561" t="s">
        <v>725</v>
      </c>
      <c r="D2861" s="561" t="s">
        <v>2859</v>
      </c>
      <c r="E2861" s="561" t="s">
        <v>56</v>
      </c>
      <c r="F2861" s="563">
        <v>0</v>
      </c>
      <c r="G2861" s="561" t="s">
        <v>654</v>
      </c>
      <c r="H2861" s="564"/>
      <c r="I2861" s="565"/>
      <c r="J2861" s="565"/>
      <c r="K2861" s="563">
        <v>0</v>
      </c>
      <c r="L2861" s="566">
        <v>0</v>
      </c>
    </row>
    <row r="2862" spans="1:12" ht="45" x14ac:dyDescent="0.2">
      <c r="A2862" s="561" t="s">
        <v>121</v>
      </c>
      <c r="B2862" s="562">
        <v>2021</v>
      </c>
      <c r="C2862" s="561" t="s">
        <v>725</v>
      </c>
      <c r="D2862" s="561" t="s">
        <v>2860</v>
      </c>
      <c r="E2862" s="561" t="s">
        <v>732</v>
      </c>
      <c r="F2862" s="563">
        <v>0</v>
      </c>
      <c r="G2862" s="561" t="s">
        <v>654</v>
      </c>
      <c r="H2862" s="564"/>
      <c r="I2862" s="565"/>
      <c r="J2862" s="565"/>
      <c r="K2862" s="563">
        <v>0</v>
      </c>
      <c r="L2862" s="566">
        <v>0</v>
      </c>
    </row>
    <row r="2863" spans="1:12" ht="45" x14ac:dyDescent="0.2">
      <c r="A2863" s="561" t="s">
        <v>121</v>
      </c>
      <c r="B2863" s="562">
        <v>2021</v>
      </c>
      <c r="C2863" s="561" t="s">
        <v>725</v>
      </c>
      <c r="D2863" s="561" t="s">
        <v>2861</v>
      </c>
      <c r="E2863" s="561" t="s">
        <v>734</v>
      </c>
      <c r="F2863" s="563">
        <v>0</v>
      </c>
      <c r="G2863" s="561" t="s">
        <v>654</v>
      </c>
      <c r="H2863" s="564"/>
      <c r="I2863" s="565"/>
      <c r="J2863" s="565"/>
      <c r="K2863" s="563">
        <v>0</v>
      </c>
      <c r="L2863" s="566">
        <v>0</v>
      </c>
    </row>
    <row r="2864" spans="1:12" ht="45" x14ac:dyDescent="0.2">
      <c r="A2864" s="561" t="s">
        <v>121</v>
      </c>
      <c r="B2864" s="562">
        <v>2021</v>
      </c>
      <c r="C2864" s="561" t="s">
        <v>725</v>
      </c>
      <c r="D2864" s="561" t="s">
        <v>2862</v>
      </c>
      <c r="E2864" s="561" t="s">
        <v>142</v>
      </c>
      <c r="F2864" s="563">
        <v>0</v>
      </c>
      <c r="G2864" s="561" t="s">
        <v>654</v>
      </c>
      <c r="H2864" s="564"/>
      <c r="I2864" s="565"/>
      <c r="J2864" s="565"/>
      <c r="K2864" s="563">
        <v>0</v>
      </c>
      <c r="L2864" s="566">
        <v>0</v>
      </c>
    </row>
    <row r="2865" spans="1:12" ht="45" x14ac:dyDescent="0.2">
      <c r="A2865" s="561" t="s">
        <v>121</v>
      </c>
      <c r="B2865" s="562">
        <v>2021</v>
      </c>
      <c r="C2865" s="561" t="s">
        <v>725</v>
      </c>
      <c r="D2865" s="561" t="s">
        <v>2863</v>
      </c>
      <c r="E2865" s="561" t="s">
        <v>143</v>
      </c>
      <c r="F2865" s="563">
        <v>0</v>
      </c>
      <c r="G2865" s="561" t="s">
        <v>654</v>
      </c>
      <c r="H2865" s="564"/>
      <c r="I2865" s="565"/>
      <c r="J2865" s="565"/>
      <c r="K2865" s="563">
        <v>0</v>
      </c>
      <c r="L2865" s="566">
        <v>0</v>
      </c>
    </row>
    <row r="2866" spans="1:12" ht="45" x14ac:dyDescent="0.2">
      <c r="A2866" s="561" t="s">
        <v>121</v>
      </c>
      <c r="B2866" s="562">
        <v>2021</v>
      </c>
      <c r="C2866" s="561" t="s">
        <v>725</v>
      </c>
      <c r="D2866" s="561" t="s">
        <v>2864</v>
      </c>
      <c r="E2866" s="561" t="s">
        <v>182</v>
      </c>
      <c r="F2866" s="563">
        <v>0</v>
      </c>
      <c r="G2866" s="561" t="s">
        <v>654</v>
      </c>
      <c r="H2866" s="564"/>
      <c r="I2866" s="565"/>
      <c r="J2866" s="565"/>
      <c r="K2866" s="563">
        <v>0</v>
      </c>
      <c r="L2866" s="566">
        <v>0</v>
      </c>
    </row>
    <row r="2867" spans="1:12" ht="45" x14ac:dyDescent="0.2">
      <c r="A2867" s="561" t="s">
        <v>121</v>
      </c>
      <c r="B2867" s="562">
        <v>2021</v>
      </c>
      <c r="C2867" s="561" t="s">
        <v>725</v>
      </c>
      <c r="D2867" s="561" t="s">
        <v>2865</v>
      </c>
      <c r="E2867" s="561" t="s">
        <v>394</v>
      </c>
      <c r="F2867" s="563">
        <v>0</v>
      </c>
      <c r="G2867" s="561" t="s">
        <v>654</v>
      </c>
      <c r="H2867" s="564"/>
      <c r="I2867" s="565"/>
      <c r="J2867" s="565"/>
      <c r="K2867" s="563">
        <v>0</v>
      </c>
      <c r="L2867" s="566">
        <v>0</v>
      </c>
    </row>
    <row r="2868" spans="1:12" ht="45" x14ac:dyDescent="0.2">
      <c r="A2868" s="561" t="s">
        <v>121</v>
      </c>
      <c r="B2868" s="562">
        <v>2021</v>
      </c>
      <c r="C2868" s="561" t="s">
        <v>725</v>
      </c>
      <c r="D2868" s="561" t="s">
        <v>2866</v>
      </c>
      <c r="E2868" s="561" t="s">
        <v>425</v>
      </c>
      <c r="F2868" s="563">
        <v>0</v>
      </c>
      <c r="G2868" s="561" t="s">
        <v>654</v>
      </c>
      <c r="H2868" s="564"/>
      <c r="I2868" s="563">
        <v>-60467.05078125</v>
      </c>
      <c r="J2868" s="563">
        <v>24473.8203125</v>
      </c>
      <c r="K2868" s="563">
        <v>-35993.23046875</v>
      </c>
      <c r="L2868" s="566">
        <v>-35993.230000000003</v>
      </c>
    </row>
    <row r="2869" spans="1:12" ht="45" x14ac:dyDescent="0.2">
      <c r="A2869" s="561" t="s">
        <v>121</v>
      </c>
      <c r="B2869" s="562">
        <v>2021</v>
      </c>
      <c r="C2869" s="561" t="s">
        <v>725</v>
      </c>
      <c r="D2869" s="561" t="s">
        <v>3342</v>
      </c>
      <c r="E2869" s="561" t="s">
        <v>443</v>
      </c>
      <c r="F2869" s="563">
        <v>0</v>
      </c>
      <c r="G2869" s="561" t="s">
        <v>654</v>
      </c>
      <c r="H2869" s="564"/>
      <c r="I2869" s="563">
        <v>-99736.8984375</v>
      </c>
      <c r="J2869" s="563">
        <v>134586.78125</v>
      </c>
      <c r="K2869" s="563">
        <v>34849.87890625</v>
      </c>
      <c r="L2869" s="566">
        <v>34849.879999999997</v>
      </c>
    </row>
    <row r="2870" spans="1:12" ht="45" x14ac:dyDescent="0.2">
      <c r="A2870" s="561" t="s">
        <v>121</v>
      </c>
      <c r="B2870" s="562">
        <v>2021</v>
      </c>
      <c r="C2870" s="561" t="s">
        <v>725</v>
      </c>
      <c r="D2870" s="561" t="s">
        <v>2867</v>
      </c>
      <c r="E2870" s="561" t="s">
        <v>741</v>
      </c>
      <c r="F2870" s="563">
        <v>-13616.16</v>
      </c>
      <c r="G2870" s="564"/>
      <c r="H2870" s="564"/>
      <c r="I2870" s="565"/>
      <c r="J2870" s="565"/>
      <c r="K2870" s="563">
        <v>0</v>
      </c>
      <c r="L2870" s="566">
        <v>-13616.16</v>
      </c>
    </row>
    <row r="2871" spans="1:12" ht="22.5" x14ac:dyDescent="0.2">
      <c r="A2871" s="561" t="s">
        <v>121</v>
      </c>
      <c r="B2871" s="562">
        <v>2021</v>
      </c>
      <c r="C2871" s="561" t="s">
        <v>742</v>
      </c>
      <c r="D2871" s="561" t="s">
        <v>2868</v>
      </c>
      <c r="E2871" s="561" t="s">
        <v>7</v>
      </c>
      <c r="F2871" s="563">
        <v>-941305.17</v>
      </c>
      <c r="G2871" s="564"/>
      <c r="H2871" s="561" t="s">
        <v>654</v>
      </c>
      <c r="I2871" s="565"/>
      <c r="J2871" s="565"/>
      <c r="K2871" s="563">
        <v>0</v>
      </c>
      <c r="L2871" s="566">
        <v>-941305.17</v>
      </c>
    </row>
    <row r="2872" spans="1:12" ht="15" x14ac:dyDescent="0.25">
      <c r="A2872" s="558" t="s">
        <v>372</v>
      </c>
      <c r="B2872" s="555"/>
      <c r="C2872" s="555"/>
      <c r="D2872" s="555"/>
      <c r="E2872" s="555"/>
      <c r="F2872" s="555"/>
      <c r="G2872" s="555"/>
      <c r="H2872" s="555"/>
      <c r="I2872" s="555"/>
      <c r="J2872" s="555"/>
      <c r="K2872" s="555"/>
      <c r="L2872" s="555"/>
    </row>
    <row r="2873" spans="1:12" ht="409.5" x14ac:dyDescent="0.25">
      <c r="A2873" s="558"/>
      <c r="B2873" s="567" t="s">
        <v>3429</v>
      </c>
      <c r="C2873" s="555"/>
      <c r="D2873" s="555"/>
      <c r="E2873" s="555"/>
      <c r="F2873" s="555"/>
      <c r="G2873" s="555"/>
      <c r="H2873" s="555"/>
      <c r="I2873" s="555"/>
      <c r="J2873" s="555"/>
      <c r="K2873" s="555"/>
      <c r="L2873" s="555"/>
    </row>
    <row r="2874" spans="1:12" ht="56.25" x14ac:dyDescent="0.25">
      <c r="A2874" s="568" t="s">
        <v>3430</v>
      </c>
      <c r="B2874" s="569" t="s">
        <v>3431</v>
      </c>
      <c r="C2874" s="555"/>
      <c r="D2874" s="555"/>
      <c r="E2874" s="555"/>
      <c r="F2874" s="555"/>
      <c r="G2874" s="555"/>
      <c r="H2874" s="555"/>
      <c r="I2874" s="555"/>
      <c r="J2874" s="555"/>
      <c r="K2874" s="555"/>
      <c r="L2874" s="555"/>
    </row>
  </sheetData>
  <sheetProtection algorithmName="SHA-512" hashValue="C66UBWtTR9dcQJO/QlmFWVlSANquEFrSnGo/XNxCzE9zif7FqLoVao289wcFvDuinoMnqcnauPp/TzfmrKK9CQ==" saltValue="LCX+poMhccjgegQNR5k70w=="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dimension ref="A1:J62"/>
  <sheetViews>
    <sheetView zoomScaleNormal="100" workbookViewId="0">
      <selection activeCell="E27" sqref="E27"/>
    </sheetView>
  </sheetViews>
  <sheetFormatPr defaultRowHeight="12.75" x14ac:dyDescent="0.2"/>
  <cols>
    <col min="1" max="1" width="69.28515625" customWidth="1"/>
    <col min="3" max="8" width="20.28515625" customWidth="1"/>
    <col min="9" max="11" width="21" customWidth="1"/>
  </cols>
  <sheetData>
    <row r="1" spans="1:10" ht="34.5" customHeight="1" x14ac:dyDescent="0.2">
      <c r="C1" s="871" t="s">
        <v>132</v>
      </c>
      <c r="D1" s="871" t="s">
        <v>133</v>
      </c>
      <c r="E1" s="871" t="s">
        <v>137</v>
      </c>
      <c r="F1" s="871" t="s">
        <v>134</v>
      </c>
      <c r="G1" s="871" t="s">
        <v>136</v>
      </c>
      <c r="H1" s="871" t="s">
        <v>18</v>
      </c>
      <c r="I1" s="871" t="s">
        <v>138</v>
      </c>
      <c r="J1" s="871" t="s">
        <v>135</v>
      </c>
    </row>
    <row r="2" spans="1:10" ht="34.5" customHeight="1" x14ac:dyDescent="0.2">
      <c r="C2" s="872"/>
      <c r="D2" s="872"/>
      <c r="E2" s="872"/>
      <c r="F2" s="871"/>
      <c r="G2" s="871"/>
      <c r="H2" s="871"/>
      <c r="I2" s="871"/>
      <c r="J2" s="871"/>
    </row>
    <row r="3" spans="1:10" ht="34.5" customHeight="1" x14ac:dyDescent="0.2">
      <c r="C3" s="872"/>
      <c r="D3" s="872"/>
      <c r="E3" s="872"/>
      <c r="F3" s="871"/>
      <c r="G3" s="871"/>
      <c r="H3" s="871" t="s">
        <v>11</v>
      </c>
      <c r="I3" s="871"/>
      <c r="J3" s="871"/>
    </row>
    <row r="4" spans="1:10" ht="15" customHeight="1" x14ac:dyDescent="0.2">
      <c r="A4" s="82" t="s">
        <v>28</v>
      </c>
      <c r="B4" s="83">
        <v>1508</v>
      </c>
      <c r="C4" s="41" t="e">
        <f>VLOOKUP(A4, '2b. Continuity Schedule'!$C$20:$BW$108, MATCH('2b. Continuity Schedule'!BO$20, '2b. Continuity Schedule'!C$20:BW$20,0),FALSE)</f>
        <v>#N/A</v>
      </c>
      <c r="D4" s="41" t="e">
        <f>VLOOKUP(A4, '2b. Continuity Schedule'!$C$20:$BW$108, MATCH('2b. Continuity Schedule'!BP$20, '2b. Continuity Schedule'!C$20:BW$20,0),FALSE)</f>
        <v>#N/A</v>
      </c>
      <c r="E4" s="41" t="e">
        <f>SUM(C4:D4)</f>
        <v>#N/A</v>
      </c>
      <c r="F4" s="41" t="e">
        <f>VLOOKUP(A4, '2b. Continuity Schedule'!$C$20:$BW$108, MATCH('2b. Continuity Schedule'!BQ$20, '2b. Continuity Schedule'!C$20:BW$20,0),FALSE)</f>
        <v>#N/A</v>
      </c>
      <c r="G4" s="41" t="e">
        <f>VLOOKUP(A4, '2b. Continuity Schedule'!$C$20:$BW$108, MATCH('2b. Continuity Schedule'!BR$20, '2b. Continuity Schedule'!C$20:BW$20,0),FALSE)</f>
        <v>#N/A</v>
      </c>
      <c r="H4" s="41" t="e">
        <f>SUM(E4:G4)</f>
        <v>#N/A</v>
      </c>
      <c r="I4" s="41" t="e">
        <f>VLOOKUP(A4, '2b. Continuity Schedule'!$C$20:$BW$108, MATCH('2b. Continuity Schedule'!BV$20, '2b. Continuity Schedule'!C$20:BW$20,0),FALSE)</f>
        <v>#N/A</v>
      </c>
      <c r="J4" s="41" t="e">
        <f>VLOOKUP(A4, '2b. Continuity Schedule'!$C$20:$BW$108, MATCH('2b. Continuity Schedule'!BW$20, '2b. Continuity Schedule'!C$20:BW$20,0),FALSE)</f>
        <v>#N/A</v>
      </c>
    </row>
    <row r="5" spans="1:10" ht="14.25" x14ac:dyDescent="0.2">
      <c r="A5" s="82" t="s">
        <v>29</v>
      </c>
      <c r="B5" s="83">
        <v>1508</v>
      </c>
      <c r="C5" s="41" t="e">
        <f>VLOOKUP(A5, '2b. Continuity Schedule'!$C$20:$BW$108, MATCH('2b. Continuity Schedule'!BO$20, '2b. Continuity Schedule'!C$20:BW$20,0),FALSE)</f>
        <v>#N/A</v>
      </c>
      <c r="D5" s="41" t="e">
        <f>VLOOKUP(A5, '2b. Continuity Schedule'!$C$20:$BW$108, MATCH('2b. Continuity Schedule'!BP$20, '2b. Continuity Schedule'!C$20:BW$20,0),FALSE)</f>
        <v>#N/A</v>
      </c>
      <c r="E5" s="41" t="e">
        <f t="shared" ref="E5:E44" si="0">SUM(C5:D5)</f>
        <v>#N/A</v>
      </c>
      <c r="F5" s="41" t="e">
        <f>VLOOKUP(A5, '2b. Continuity Schedule'!$C$20:$BW$108, MATCH('2b. Continuity Schedule'!BQ$20, '2b. Continuity Schedule'!C$20:BW$20,0),FALSE)</f>
        <v>#N/A</v>
      </c>
      <c r="G5" s="41" t="e">
        <f>VLOOKUP(A5, '2b. Continuity Schedule'!$C$20:$BW$108, MATCH('2b. Continuity Schedule'!BR$20, '2b. Continuity Schedule'!C$20:BW$20,0),FALSE)</f>
        <v>#N/A</v>
      </c>
      <c r="H5" s="41" t="e">
        <f t="shared" ref="H5:H44" si="1">SUM(E5:G5)</f>
        <v>#N/A</v>
      </c>
      <c r="I5" s="41" t="e">
        <f>VLOOKUP(A5, '2b. Continuity Schedule'!$C$20:$BW$108, MATCH('2b. Continuity Schedule'!BV$20, '2b. Continuity Schedule'!C$20:BW$20,0),FALSE)</f>
        <v>#N/A</v>
      </c>
      <c r="J5" s="41" t="e">
        <f>VLOOKUP(A5, '2b. Continuity Schedule'!$C$20:$BW$108, MATCH('2b. Continuity Schedule'!BW$20, '2b. Continuity Schedule'!C$20:BW$20,0),FALSE)</f>
        <v>#N/A</v>
      </c>
    </row>
    <row r="6" spans="1:10" ht="30.75" x14ac:dyDescent="0.2">
      <c r="A6" s="84" t="s">
        <v>34</v>
      </c>
      <c r="B6" s="83">
        <v>1508</v>
      </c>
      <c r="C6" s="41" t="e">
        <f>VLOOKUP(A6, '2b. Continuity Schedule'!$C$20:$BW$108, MATCH('2b. Continuity Schedule'!BO$20, '2b. Continuity Schedule'!C$20:BW$20,0),FALSE)</f>
        <v>#N/A</v>
      </c>
      <c r="D6" s="41" t="e">
        <f>VLOOKUP(A6, '2b. Continuity Schedule'!$C$20:$BW$108, MATCH('2b. Continuity Schedule'!BP$20, '2b. Continuity Schedule'!C$20:BW$20,0),FALSE)</f>
        <v>#N/A</v>
      </c>
      <c r="E6" s="41" t="e">
        <f t="shared" si="0"/>
        <v>#N/A</v>
      </c>
      <c r="F6" s="41" t="e">
        <f>VLOOKUP(A6, '2b. Continuity Schedule'!$C$20:$BW$108, MATCH('2b. Continuity Schedule'!BQ$20, '2b. Continuity Schedule'!C$20:BW$20,0),FALSE)</f>
        <v>#N/A</v>
      </c>
      <c r="G6" s="41" t="e">
        <f>VLOOKUP(A6, '2b. Continuity Schedule'!$C$20:$BW$108, MATCH('2b. Continuity Schedule'!BR$20, '2b. Continuity Schedule'!C$20:BW$20,0),FALSE)</f>
        <v>#N/A</v>
      </c>
      <c r="H6" s="41" t="e">
        <f t="shared" si="1"/>
        <v>#N/A</v>
      </c>
      <c r="I6" s="41" t="e">
        <f>VLOOKUP(A6, '2b. Continuity Schedule'!$C$20:$BW$108, MATCH('2b. Continuity Schedule'!BV$20, '2b. Continuity Schedule'!C$20:BW$20,0),FALSE)</f>
        <v>#N/A</v>
      </c>
      <c r="J6" s="41" t="e">
        <f>VLOOKUP(A6, '2b. Continuity Schedule'!$C$20:$BW$108, MATCH('2b. Continuity Schedule'!BW$20, '2b. Continuity Schedule'!C$20:BW$20,0),FALSE)</f>
        <v>#N/A</v>
      </c>
    </row>
    <row r="7" spans="1:10" ht="28.5" x14ac:dyDescent="0.2">
      <c r="A7" s="84" t="s">
        <v>32</v>
      </c>
      <c r="B7" s="83">
        <v>1508</v>
      </c>
      <c r="C7" s="41" t="e">
        <f>VLOOKUP(A7, '2b. Continuity Schedule'!$C$20:$BW$108, MATCH('2b. Continuity Schedule'!BO$20, '2b. Continuity Schedule'!C$20:BW$20,0),FALSE)</f>
        <v>#N/A</v>
      </c>
      <c r="D7" s="41" t="e">
        <f>VLOOKUP(A7, '2b. Continuity Schedule'!$C$20:$BW$108, MATCH('2b. Continuity Schedule'!BP$20, '2b. Continuity Schedule'!C$20:BW$20,0),FALSE)</f>
        <v>#N/A</v>
      </c>
      <c r="E7" s="41" t="e">
        <f t="shared" si="0"/>
        <v>#N/A</v>
      </c>
      <c r="F7" s="41" t="e">
        <f>VLOOKUP(A7, '2b. Continuity Schedule'!$C$20:$BW$108, MATCH('2b. Continuity Schedule'!BQ$20, '2b. Continuity Schedule'!C$20:BW$20,0),FALSE)</f>
        <v>#N/A</v>
      </c>
      <c r="G7" s="41" t="e">
        <f>VLOOKUP(A7, '2b. Continuity Schedule'!$C$20:$BW$108, MATCH('2b. Continuity Schedule'!BR$20, '2b. Continuity Schedule'!C$20:BW$20,0),FALSE)</f>
        <v>#N/A</v>
      </c>
      <c r="H7" s="41" t="e">
        <f t="shared" si="1"/>
        <v>#N/A</v>
      </c>
      <c r="I7" s="41" t="e">
        <f>VLOOKUP(A7, '2b. Continuity Schedule'!$C$20:$BW$108, MATCH('2b. Continuity Schedule'!BV$20, '2b. Continuity Schedule'!C$20:BW$20,0),FALSE)</f>
        <v>#N/A</v>
      </c>
      <c r="J7" s="41" t="e">
        <f>VLOOKUP(A7, '2b. Continuity Schedule'!$C$20:$BW$108, MATCH('2b. Continuity Schedule'!BW$20, '2b. Continuity Schedule'!C$20:BW$20,0),FALSE)</f>
        <v>#N/A</v>
      </c>
    </row>
    <row r="8" spans="1:10" ht="16.5" x14ac:dyDescent="0.2">
      <c r="A8" s="82" t="s">
        <v>33</v>
      </c>
      <c r="B8" s="83">
        <v>1508</v>
      </c>
      <c r="C8" s="41" t="e">
        <f>VLOOKUP(A8, '2b. Continuity Schedule'!$C$20:$BW$108, MATCH('2b. Continuity Schedule'!BO$20, '2b. Continuity Schedule'!C$20:BW$20,0),FALSE)</f>
        <v>#N/A</v>
      </c>
      <c r="D8" s="41" t="e">
        <f>VLOOKUP(A8, '2b. Continuity Schedule'!$C$20:$BW$108, MATCH('2b. Continuity Schedule'!BP$20, '2b. Continuity Schedule'!C$20:BW$20,0),FALSE)</f>
        <v>#N/A</v>
      </c>
      <c r="E8" s="41" t="e">
        <f t="shared" si="0"/>
        <v>#N/A</v>
      </c>
      <c r="F8" s="41" t="e">
        <f>VLOOKUP(A8, '2b. Continuity Schedule'!$C$20:$BW$108, MATCH('2b. Continuity Schedule'!BQ$20, '2b. Continuity Schedule'!C$20:BW$20,0),FALSE)</f>
        <v>#N/A</v>
      </c>
      <c r="G8" s="41" t="e">
        <f>VLOOKUP(A8, '2b. Continuity Schedule'!$C$20:$BW$108, MATCH('2b. Continuity Schedule'!BR$20, '2b. Continuity Schedule'!C$20:BW$20,0),FALSE)</f>
        <v>#N/A</v>
      </c>
      <c r="H8" s="41" t="e">
        <f t="shared" si="1"/>
        <v>#N/A</v>
      </c>
      <c r="I8" s="41" t="e">
        <f>VLOOKUP(A8, '2b. Continuity Schedule'!$C$20:$BW$108, MATCH('2b. Continuity Schedule'!BV$20, '2b. Continuity Schedule'!C$20:BW$20,0),FALSE)</f>
        <v>#N/A</v>
      </c>
      <c r="J8" s="41" t="e">
        <f>VLOOKUP(A8, '2b. Continuity Schedule'!$C$20:$BW$108, MATCH('2b. Continuity Schedule'!BW$20, '2b. Continuity Schedule'!C$20:BW$20,0),FALSE)</f>
        <v>#N/A</v>
      </c>
    </row>
    <row r="9" spans="1:10" ht="14.25" x14ac:dyDescent="0.2">
      <c r="A9" s="82" t="s">
        <v>4</v>
      </c>
      <c r="B9" s="83">
        <v>1518</v>
      </c>
      <c r="C9" s="41" t="e">
        <f>VLOOKUP(A9, '2b. Continuity Schedule'!$C$20:$BW$108, MATCH('2b. Continuity Schedule'!BO$20, '2b. Continuity Schedule'!C$20:BW$20,0),FALSE)</f>
        <v>#N/A</v>
      </c>
      <c r="D9" s="41" t="e">
        <f>VLOOKUP(A9, '2b. Continuity Schedule'!$C$20:$BW$108, MATCH('2b. Continuity Schedule'!BP$20, '2b. Continuity Schedule'!C$20:BW$20,0),FALSE)</f>
        <v>#N/A</v>
      </c>
      <c r="E9" s="41" t="e">
        <f t="shared" si="0"/>
        <v>#N/A</v>
      </c>
      <c r="F9" s="41" t="e">
        <f>VLOOKUP(A9, '2b. Continuity Schedule'!$C$20:$BW$108, MATCH('2b. Continuity Schedule'!BQ$20, '2b. Continuity Schedule'!C$20:BW$20,0),FALSE)</f>
        <v>#N/A</v>
      </c>
      <c r="G9" s="41" t="e">
        <f>VLOOKUP(A9, '2b. Continuity Schedule'!$C$20:$BW$108, MATCH('2b. Continuity Schedule'!BR$20, '2b. Continuity Schedule'!C$20:BW$20,0),FALSE)</f>
        <v>#N/A</v>
      </c>
      <c r="H9" s="41" t="e">
        <f t="shared" si="1"/>
        <v>#N/A</v>
      </c>
      <c r="I9" s="41" t="e">
        <f>VLOOKUP(A9, '2b. Continuity Schedule'!$C$20:$BW$108, MATCH('2b. Continuity Schedule'!BV$20, '2b. Continuity Schedule'!C$20:BW$20,0),FALSE)</f>
        <v>#N/A</v>
      </c>
      <c r="J9" s="41" t="e">
        <f>VLOOKUP(A9, '2b. Continuity Schedule'!$C$20:$BW$108, MATCH('2b. Continuity Schedule'!BW$20, '2b. Continuity Schedule'!C$20:BW$20,0),FALSE)</f>
        <v>#N/A</v>
      </c>
    </row>
    <row r="10" spans="1:10" ht="14.25" x14ac:dyDescent="0.2">
      <c r="A10" s="82" t="s">
        <v>9</v>
      </c>
      <c r="B10" s="83">
        <v>1525</v>
      </c>
      <c r="C10" s="41">
        <f>VLOOKUP(A10, '2b. Continuity Schedule'!$C$20:$BW$108, MATCH('2b. Continuity Schedule'!BO$20, '2b. Continuity Schedule'!C$20:BW$20,0),FALSE)</f>
        <v>0</v>
      </c>
      <c r="D10" s="41">
        <f>VLOOKUP(A10, '2b. Continuity Schedule'!$C$20:$BW$108, MATCH('2b. Continuity Schedule'!BP$20, '2b. Continuity Schedule'!C$20:BW$20,0),FALSE)</f>
        <v>0</v>
      </c>
      <c r="E10" s="41">
        <f t="shared" si="0"/>
        <v>0</v>
      </c>
      <c r="F10" s="41">
        <f>VLOOKUP(A10, '2b. Continuity Schedule'!$C$20:$BW$108, MATCH('2b. Continuity Schedule'!BQ$20, '2b. Continuity Schedule'!C$20:BW$20,0),FALSE)</f>
        <v>0</v>
      </c>
      <c r="G10" s="41">
        <f>VLOOKUP(A10, '2b. Continuity Schedule'!$C$20:$BW$108, MATCH('2b. Continuity Schedule'!BR$20, '2b. Continuity Schedule'!C$20:BW$20,0),FALSE)</f>
        <v>0</v>
      </c>
      <c r="H10" s="41">
        <f t="shared" si="1"/>
        <v>0</v>
      </c>
      <c r="I10" s="41">
        <f>VLOOKUP(A10, '2b. Continuity Schedule'!$C$20:$BW$108, MATCH('2b. Continuity Schedule'!BV$20, '2b. Continuity Schedule'!C$20:BW$20,0),FALSE)</f>
        <v>0</v>
      </c>
      <c r="J10" s="41">
        <f>VLOOKUP(A10, '2b. Continuity Schedule'!$C$20:$BW$108, MATCH('2b. Continuity Schedule'!BW$20, '2b. Continuity Schedule'!C$20:BW$20,0),FALSE)</f>
        <v>0</v>
      </c>
    </row>
    <row r="11" spans="1:10" ht="14.25" x14ac:dyDescent="0.2">
      <c r="A11" s="82" t="s">
        <v>25</v>
      </c>
      <c r="B11" s="83">
        <v>1531</v>
      </c>
      <c r="C11" s="41">
        <f>VLOOKUP(A11, '2b. Continuity Schedule'!$C$20:$BW$108, MATCH('2b. Continuity Schedule'!BO$20, '2b. Continuity Schedule'!C$20:BW$20,0),FALSE)</f>
        <v>0</v>
      </c>
      <c r="D11" s="41">
        <f>VLOOKUP(A11, '2b. Continuity Schedule'!$C$20:$BW$108, MATCH('2b. Continuity Schedule'!BP$20, '2b. Continuity Schedule'!C$20:BW$20,0),FALSE)</f>
        <v>0</v>
      </c>
      <c r="E11" s="41">
        <f t="shared" si="0"/>
        <v>0</v>
      </c>
      <c r="F11" s="41">
        <f>VLOOKUP(A11, '2b. Continuity Schedule'!$C$20:$BW$108, MATCH('2b. Continuity Schedule'!BQ$20, '2b. Continuity Schedule'!C$20:BW$20,0),FALSE)</f>
        <v>0</v>
      </c>
      <c r="G11" s="41">
        <f>VLOOKUP(A11, '2b. Continuity Schedule'!$C$20:$BW$108, MATCH('2b. Continuity Schedule'!BR$20, '2b. Continuity Schedule'!C$20:BW$20,0),FALSE)</f>
        <v>0</v>
      </c>
      <c r="H11" s="41">
        <f t="shared" si="1"/>
        <v>0</v>
      </c>
      <c r="I11" s="41">
        <f>VLOOKUP(A11, '2b. Continuity Schedule'!$C$20:$BW$108, MATCH('2b. Continuity Schedule'!BV$20, '2b. Continuity Schedule'!C$20:BW$20,0),FALSE)</f>
        <v>0</v>
      </c>
      <c r="J11" s="41">
        <f>VLOOKUP(A11, '2b. Continuity Schedule'!$C$20:$BW$108, MATCH('2b. Continuity Schedule'!BW$20, '2b. Continuity Schedule'!C$20:BW$20,0),FALSE)</f>
        <v>0</v>
      </c>
    </row>
    <row r="12" spans="1:10" ht="14.25" x14ac:dyDescent="0.2">
      <c r="A12" s="82" t="s">
        <v>26</v>
      </c>
      <c r="B12" s="83">
        <v>1532</v>
      </c>
      <c r="C12" s="41">
        <f>VLOOKUP(A12, '2b. Continuity Schedule'!$C$20:$BW$108, MATCH('2b. Continuity Schedule'!BO$20, '2b. Continuity Schedule'!C$20:BW$20,0),FALSE)</f>
        <v>0</v>
      </c>
      <c r="D12" s="41">
        <f>VLOOKUP(A12, '2b. Continuity Schedule'!$C$20:$BW$108, MATCH('2b. Continuity Schedule'!BP$20, '2b. Continuity Schedule'!C$20:BW$20,0),FALSE)</f>
        <v>0</v>
      </c>
      <c r="E12" s="41">
        <f t="shared" si="0"/>
        <v>0</v>
      </c>
      <c r="F12" s="41">
        <f>VLOOKUP(A12, '2b. Continuity Schedule'!$C$20:$BW$108, MATCH('2b. Continuity Schedule'!BQ$20, '2b. Continuity Schedule'!C$20:BW$20,0),FALSE)</f>
        <v>0</v>
      </c>
      <c r="G12" s="41">
        <f>VLOOKUP(A12, '2b. Continuity Schedule'!$C$20:$BW$108, MATCH('2b. Continuity Schedule'!BR$20, '2b. Continuity Schedule'!C$20:BW$20,0),FALSE)</f>
        <v>0</v>
      </c>
      <c r="H12" s="41">
        <f t="shared" si="1"/>
        <v>0</v>
      </c>
      <c r="I12" s="41">
        <f>VLOOKUP(A12, '2b. Continuity Schedule'!$C$20:$BW$108, MATCH('2b. Continuity Schedule'!BV$20, '2b. Continuity Schedule'!C$20:BW$20,0),FALSE)</f>
        <v>0</v>
      </c>
      <c r="J12" s="41">
        <f>VLOOKUP(A12, '2b. Continuity Schedule'!$C$20:$BW$108, MATCH('2b. Continuity Schedule'!BW$20, '2b. Continuity Schedule'!C$20:BW$20,0),FALSE)</f>
        <v>0</v>
      </c>
    </row>
    <row r="13" spans="1:10" ht="14.25" x14ac:dyDescent="0.2">
      <c r="A13" s="82" t="s">
        <v>17</v>
      </c>
      <c r="B13" s="83">
        <v>1533</v>
      </c>
      <c r="C13" s="41">
        <f>VLOOKUP(A13, '2b. Continuity Schedule'!$C$20:$BW$108, MATCH('2b. Continuity Schedule'!BO$20, '2b. Continuity Schedule'!C$20:BW$20,0),FALSE)</f>
        <v>0</v>
      </c>
      <c r="D13" s="41">
        <f>VLOOKUP(A13, '2b. Continuity Schedule'!$C$20:$BW$108, MATCH('2b. Continuity Schedule'!BP$20, '2b. Continuity Schedule'!C$20:BW$20,0),FALSE)</f>
        <v>0</v>
      </c>
      <c r="E13" s="41">
        <f t="shared" si="0"/>
        <v>0</v>
      </c>
      <c r="F13" s="41">
        <f>VLOOKUP(A13, '2b. Continuity Schedule'!$C$20:$BW$108, MATCH('2b. Continuity Schedule'!BQ$20, '2b. Continuity Schedule'!C$20:BW$20,0),FALSE)</f>
        <v>0</v>
      </c>
      <c r="G13" s="41">
        <f>VLOOKUP(A13, '2b. Continuity Schedule'!$C$20:$BW$108, MATCH('2b. Continuity Schedule'!BR$20, '2b. Continuity Schedule'!C$20:BW$20,0),FALSE)</f>
        <v>0</v>
      </c>
      <c r="H13" s="41">
        <f t="shared" si="1"/>
        <v>0</v>
      </c>
      <c r="I13" s="41">
        <f>VLOOKUP(A13, '2b. Continuity Schedule'!$C$20:$BW$108, MATCH('2b. Continuity Schedule'!BV$20, '2b. Continuity Schedule'!C$20:BW$20,0),FALSE)</f>
        <v>0</v>
      </c>
      <c r="J13" s="41">
        <f>VLOOKUP(A13, '2b. Continuity Schedule'!$C$20:$BW$108, MATCH('2b. Continuity Schedule'!BW$20, '2b. Continuity Schedule'!C$20:BW$20,0),FALSE)</f>
        <v>0</v>
      </c>
    </row>
    <row r="14" spans="1:10" ht="14.25" x14ac:dyDescent="0.2">
      <c r="A14" s="82" t="s">
        <v>12</v>
      </c>
      <c r="B14" s="83">
        <v>1534</v>
      </c>
      <c r="C14" s="41">
        <f>VLOOKUP(A14, '2b. Continuity Schedule'!$C$20:$BW$108, MATCH('2b. Continuity Schedule'!BO$20, '2b. Continuity Schedule'!C$20:BW$20,0),FALSE)</f>
        <v>0</v>
      </c>
      <c r="D14" s="41">
        <f>VLOOKUP(A14, '2b. Continuity Schedule'!$C$20:$BW$108, MATCH('2b. Continuity Schedule'!BP$20, '2b. Continuity Schedule'!C$20:BW$20,0),FALSE)</f>
        <v>0</v>
      </c>
      <c r="E14" s="41">
        <f t="shared" si="0"/>
        <v>0</v>
      </c>
      <c r="F14" s="41">
        <f>VLOOKUP(A14, '2b. Continuity Schedule'!$C$20:$BW$108, MATCH('2b. Continuity Schedule'!BQ$20, '2b. Continuity Schedule'!C$20:BW$20,0),FALSE)</f>
        <v>0</v>
      </c>
      <c r="G14" s="41">
        <f>VLOOKUP(A14, '2b. Continuity Schedule'!$C$20:$BW$108, MATCH('2b. Continuity Schedule'!BR$20, '2b. Continuity Schedule'!C$20:BW$20,0),FALSE)</f>
        <v>0</v>
      </c>
      <c r="H14" s="41">
        <f t="shared" si="1"/>
        <v>0</v>
      </c>
      <c r="I14" s="41">
        <f>VLOOKUP(A14, '2b. Continuity Schedule'!$C$20:$BW$108, MATCH('2b. Continuity Schedule'!BV$20, '2b. Continuity Schedule'!C$20:BW$20,0),FALSE)</f>
        <v>0</v>
      </c>
      <c r="J14" s="41">
        <f>VLOOKUP(A14, '2b. Continuity Schedule'!$C$20:$BW$108, MATCH('2b. Continuity Schedule'!BW$20, '2b. Continuity Schedule'!C$20:BW$20,0),FALSE)</f>
        <v>0</v>
      </c>
    </row>
    <row r="15" spans="1:10" ht="14.25" x14ac:dyDescent="0.2">
      <c r="A15" s="82" t="s">
        <v>13</v>
      </c>
      <c r="B15" s="83">
        <v>1535</v>
      </c>
      <c r="C15" s="41">
        <f>VLOOKUP(A15, '2b. Continuity Schedule'!$C$20:$BW$108, MATCH('2b. Continuity Schedule'!BO$20, '2b. Continuity Schedule'!C$20:BW$20,0),FALSE)</f>
        <v>0</v>
      </c>
      <c r="D15" s="41">
        <f>VLOOKUP(A15, '2b. Continuity Schedule'!$C$20:$BW$108, MATCH('2b. Continuity Schedule'!BP$20, '2b. Continuity Schedule'!C$20:BW$20,0),FALSE)</f>
        <v>0</v>
      </c>
      <c r="E15" s="41">
        <f t="shared" si="0"/>
        <v>0</v>
      </c>
      <c r="F15" s="41">
        <f>VLOOKUP(A15, '2b. Continuity Schedule'!$C$20:$BW$108, MATCH('2b. Continuity Schedule'!BQ$20, '2b. Continuity Schedule'!C$20:BW$20,0),FALSE)</f>
        <v>0</v>
      </c>
      <c r="G15" s="41">
        <f>VLOOKUP(A15, '2b. Continuity Schedule'!$C$20:$BW$108, MATCH('2b. Continuity Schedule'!BR$20, '2b. Continuity Schedule'!C$20:BW$20,0),FALSE)</f>
        <v>0</v>
      </c>
      <c r="H15" s="41">
        <f t="shared" si="1"/>
        <v>0</v>
      </c>
      <c r="I15" s="41">
        <f>VLOOKUP(A15, '2b. Continuity Schedule'!$C$20:$BW$108, MATCH('2b. Continuity Schedule'!BV$20, '2b. Continuity Schedule'!C$20:BW$20,0),FALSE)</f>
        <v>0</v>
      </c>
      <c r="J15" s="41">
        <f>VLOOKUP(A15, '2b. Continuity Schedule'!$C$20:$BW$108, MATCH('2b. Continuity Schedule'!BW$20, '2b. Continuity Schedule'!C$20:BW$20,0),FALSE)</f>
        <v>0</v>
      </c>
    </row>
    <row r="16" spans="1:10" ht="14.25" x14ac:dyDescent="0.2">
      <c r="A16" s="82" t="s">
        <v>15</v>
      </c>
      <c r="B16" s="83">
        <v>1536</v>
      </c>
      <c r="C16" s="41">
        <f>VLOOKUP(A16, '2b. Continuity Schedule'!$C$20:$BW$108, MATCH('2b. Continuity Schedule'!BO$20, '2b. Continuity Schedule'!C$20:BW$20,0),FALSE)</f>
        <v>0</v>
      </c>
      <c r="D16" s="41">
        <f>VLOOKUP(A16, '2b. Continuity Schedule'!$C$20:$BW$108, MATCH('2b. Continuity Schedule'!BP$20, '2b. Continuity Schedule'!C$20:BW$20,0),FALSE)</f>
        <v>0</v>
      </c>
      <c r="E16" s="41">
        <f t="shared" si="0"/>
        <v>0</v>
      </c>
      <c r="F16" s="41">
        <f>VLOOKUP(A16, '2b. Continuity Schedule'!$C$20:$BW$108, MATCH('2b. Continuity Schedule'!BQ$20, '2b. Continuity Schedule'!C$20:BW$20,0),FALSE)</f>
        <v>0</v>
      </c>
      <c r="G16" s="41">
        <f>VLOOKUP(A16, '2b. Continuity Schedule'!$C$20:$BW$108, MATCH('2b. Continuity Schedule'!BR$20, '2b. Continuity Schedule'!C$20:BW$20,0),FALSE)</f>
        <v>0</v>
      </c>
      <c r="H16" s="41">
        <f t="shared" si="1"/>
        <v>0</v>
      </c>
      <c r="I16" s="41">
        <f>VLOOKUP(A16, '2b. Continuity Schedule'!$C$20:$BW$108, MATCH('2b. Continuity Schedule'!BV$20, '2b. Continuity Schedule'!C$20:BW$20,0),FALSE)</f>
        <v>0</v>
      </c>
      <c r="J16" s="41">
        <f>VLOOKUP(A16, '2b. Continuity Schedule'!$C$20:$BW$108, MATCH('2b. Continuity Schedule'!BW$20, '2b. Continuity Schedule'!C$20:BW$20,0),FALSE)</f>
        <v>0</v>
      </c>
    </row>
    <row r="17" spans="1:10" ht="14.25" x14ac:dyDescent="0.2">
      <c r="A17" s="82" t="s">
        <v>5</v>
      </c>
      <c r="B17" s="83">
        <v>1548</v>
      </c>
      <c r="C17" s="41" t="e">
        <f>VLOOKUP(A17, '2b. Continuity Schedule'!$C$20:$BW$108, MATCH('2b. Continuity Schedule'!BO$20, '2b. Continuity Schedule'!C$20:BW$20,0),FALSE)</f>
        <v>#N/A</v>
      </c>
      <c r="D17" s="41" t="e">
        <f>VLOOKUP(A17, '2b. Continuity Schedule'!$C$20:$BW$108, MATCH('2b. Continuity Schedule'!BP$20, '2b. Continuity Schedule'!C$20:BW$20,0),FALSE)</f>
        <v>#N/A</v>
      </c>
      <c r="E17" s="41" t="e">
        <f t="shared" si="0"/>
        <v>#N/A</v>
      </c>
      <c r="F17" s="41" t="e">
        <f>VLOOKUP(A17, '2b. Continuity Schedule'!$C$20:$BW$108, MATCH('2b. Continuity Schedule'!BQ$20, '2b. Continuity Schedule'!C$20:BW$20,0),FALSE)</f>
        <v>#N/A</v>
      </c>
      <c r="G17" s="41" t="e">
        <f>VLOOKUP(A17, '2b. Continuity Schedule'!$C$20:$BW$108, MATCH('2b. Continuity Schedule'!BR$20, '2b. Continuity Schedule'!C$20:BW$20,0),FALSE)</f>
        <v>#N/A</v>
      </c>
      <c r="H17" s="41" t="e">
        <f t="shared" si="1"/>
        <v>#N/A</v>
      </c>
      <c r="I17" s="41" t="e">
        <f>VLOOKUP(A17, '2b. Continuity Schedule'!$C$20:$BW$108, MATCH('2b. Continuity Schedule'!BV$20, '2b. Continuity Schedule'!C$20:BW$20,0),FALSE)</f>
        <v>#N/A</v>
      </c>
      <c r="J17" s="41" t="e">
        <f>VLOOKUP(A17, '2b. Continuity Schedule'!$C$20:$BW$108, MATCH('2b. Continuity Schedule'!BW$20, '2b. Continuity Schedule'!C$20:BW$20,0),FALSE)</f>
        <v>#N/A</v>
      </c>
    </row>
    <row r="18" spans="1:10" ht="14.25" x14ac:dyDescent="0.2">
      <c r="A18" s="82" t="s">
        <v>23</v>
      </c>
      <c r="B18" s="83">
        <v>1550</v>
      </c>
      <c r="C18" s="41">
        <f>VLOOKUP(A18, '2b. Continuity Schedule'!$C$20:$BW$108, MATCH('2b. Continuity Schedule'!BO$20, '2b. Continuity Schedule'!C$20:BW$20,0),FALSE)</f>
        <v>0</v>
      </c>
      <c r="D18" s="41">
        <f>VLOOKUP(A18, '2b. Continuity Schedule'!$C$20:$BW$108, MATCH('2b. Continuity Schedule'!BP$20, '2b. Continuity Schedule'!C$20:BW$20,0),FALSE)</f>
        <v>0</v>
      </c>
      <c r="E18" s="41">
        <f t="shared" si="0"/>
        <v>0</v>
      </c>
      <c r="F18" s="41">
        <f>VLOOKUP(A18, '2b. Continuity Schedule'!$C$20:$BW$108, MATCH('2b. Continuity Schedule'!BQ$20, '2b. Continuity Schedule'!C$20:BW$20,0),FALSE)</f>
        <v>0</v>
      </c>
      <c r="G18" s="41">
        <f>VLOOKUP(A18, '2b. Continuity Schedule'!$C$20:$BW$108, MATCH('2b. Continuity Schedule'!BR$20, '2b. Continuity Schedule'!C$20:BW$20,0),FALSE)</f>
        <v>0</v>
      </c>
      <c r="H18" s="41">
        <f t="shared" si="1"/>
        <v>0</v>
      </c>
      <c r="I18" s="41">
        <f>VLOOKUP(A18, '2b. Continuity Schedule'!$C$20:$BW$108, MATCH('2b. Continuity Schedule'!BV$20, '2b. Continuity Schedule'!C$20:BW$20,0),FALSE)</f>
        <v>0</v>
      </c>
      <c r="J18" s="41">
        <f>VLOOKUP(A18, '2b. Continuity Schedule'!$C$20:$BW$108, MATCH('2b. Continuity Schedule'!BW$20, '2b. Continuity Schedule'!C$20:BW$20,0),FALSE)</f>
        <v>0</v>
      </c>
    </row>
    <row r="19" spans="1:10" ht="14.25" x14ac:dyDescent="0.2">
      <c r="A19" s="82" t="s">
        <v>131</v>
      </c>
      <c r="B19" s="83">
        <v>1551</v>
      </c>
      <c r="C19" s="41">
        <f>VLOOKUP(A19, '2b. Continuity Schedule'!$C$20:$BW$108, MATCH('2b. Continuity Schedule'!BO$20, '2b. Continuity Schedule'!C$20:BW$20,0),FALSE)</f>
        <v>0</v>
      </c>
      <c r="D19" s="41">
        <f>VLOOKUP(A19, '2b. Continuity Schedule'!$C$20:$BW$108, MATCH('2b. Continuity Schedule'!BP$20, '2b. Continuity Schedule'!C$20:BW$20,0),FALSE)</f>
        <v>0</v>
      </c>
      <c r="E19" s="41">
        <f t="shared" si="0"/>
        <v>0</v>
      </c>
      <c r="F19" s="41">
        <f>VLOOKUP(A19, '2b. Continuity Schedule'!$C$20:$BW$108, MATCH('2b. Continuity Schedule'!BQ$20, '2b. Continuity Schedule'!C$20:BW$20,0),FALSE)</f>
        <v>0</v>
      </c>
      <c r="G19" s="41">
        <f>VLOOKUP(A19, '2b. Continuity Schedule'!$C$20:$BW$108, MATCH('2b. Continuity Schedule'!BR$20, '2b. Continuity Schedule'!C$20:BW$20,0),FALSE)</f>
        <v>0</v>
      </c>
      <c r="H19" s="41">
        <f t="shared" si="1"/>
        <v>0</v>
      </c>
      <c r="I19" s="41">
        <f>VLOOKUP(A19, '2b. Continuity Schedule'!$C$20:$BW$108, MATCH('2b. Continuity Schedule'!BV$20, '2b. Continuity Schedule'!C$20:BW$20,0),FALSE)</f>
        <v>0</v>
      </c>
      <c r="J19" s="41">
        <f>VLOOKUP(A19, '2b. Continuity Schedule'!$C$20:$BW$108, MATCH('2b. Continuity Schedule'!BW$20, '2b. Continuity Schedule'!C$20:BW$20,0),FALSE)</f>
        <v>0</v>
      </c>
    </row>
    <row r="20" spans="1:10" ht="16.5" x14ac:dyDescent="0.2">
      <c r="A20" s="82" t="s">
        <v>70</v>
      </c>
      <c r="B20" s="83">
        <v>1555</v>
      </c>
      <c r="C20" s="41" t="e">
        <f>VLOOKUP(A20, '2b. Continuity Schedule'!$C$20:$BW$108, MATCH('2b. Continuity Schedule'!BO$20, '2b. Continuity Schedule'!C$20:BW$20,0),FALSE)</f>
        <v>#N/A</v>
      </c>
      <c r="D20" s="41" t="e">
        <f>VLOOKUP(A20, '2b. Continuity Schedule'!$C$20:$BW$108, MATCH('2b. Continuity Schedule'!BP$20, '2b. Continuity Schedule'!C$20:BW$20,0),FALSE)</f>
        <v>#N/A</v>
      </c>
      <c r="E20" s="41" t="e">
        <f t="shared" si="0"/>
        <v>#N/A</v>
      </c>
      <c r="F20" s="41" t="e">
        <f>VLOOKUP(A20, '2b. Continuity Schedule'!$C$20:$BW$108, MATCH('2b. Continuity Schedule'!BQ$20, '2b. Continuity Schedule'!C$20:BW$20,0),FALSE)</f>
        <v>#N/A</v>
      </c>
      <c r="G20" s="41" t="e">
        <f>VLOOKUP(A20, '2b. Continuity Schedule'!$C$20:$BW$108, MATCH('2b. Continuity Schedule'!BR$20, '2b. Continuity Schedule'!C$20:BW$20,0),FALSE)</f>
        <v>#N/A</v>
      </c>
      <c r="H20" s="41" t="e">
        <f t="shared" si="1"/>
        <v>#N/A</v>
      </c>
      <c r="I20" s="41" t="e">
        <f>VLOOKUP(A20, '2b. Continuity Schedule'!$C$20:$BW$108, MATCH('2b. Continuity Schedule'!BV$20, '2b. Continuity Schedule'!C$20:BW$20,0),FALSE)</f>
        <v>#N/A</v>
      </c>
      <c r="J20" s="41" t="e">
        <f>VLOOKUP(A20, '2b. Continuity Schedule'!$C$20:$BW$108, MATCH('2b. Continuity Schedule'!BW$20, '2b. Continuity Schedule'!C$20:BW$20,0),FALSE)</f>
        <v>#N/A</v>
      </c>
    </row>
    <row r="21" spans="1:10" ht="16.5" x14ac:dyDescent="0.2">
      <c r="A21" s="82" t="s">
        <v>71</v>
      </c>
      <c r="B21" s="83">
        <v>1555</v>
      </c>
      <c r="C21" s="41" t="e">
        <f>VLOOKUP(A21, '2b. Continuity Schedule'!$C$20:$BW$108, MATCH('2b. Continuity Schedule'!BO$20, '2b. Continuity Schedule'!C$20:BW$20,0),FALSE)</f>
        <v>#N/A</v>
      </c>
      <c r="D21" s="41" t="e">
        <f>VLOOKUP(A21, '2b. Continuity Schedule'!$C$20:$BW$108, MATCH('2b. Continuity Schedule'!BP$20, '2b. Continuity Schedule'!C$20:BW$20,0),FALSE)</f>
        <v>#N/A</v>
      </c>
      <c r="E21" s="41" t="e">
        <f t="shared" si="0"/>
        <v>#N/A</v>
      </c>
      <c r="F21" s="41" t="e">
        <f>VLOOKUP(A21, '2b. Continuity Schedule'!$C$20:$BW$108, MATCH('2b. Continuity Schedule'!BQ$20, '2b. Continuity Schedule'!C$20:BW$20,0),FALSE)</f>
        <v>#N/A</v>
      </c>
      <c r="G21" s="41" t="e">
        <f>VLOOKUP(A21, '2b. Continuity Schedule'!$C$20:$BW$108, MATCH('2b. Continuity Schedule'!BR$20, '2b. Continuity Schedule'!C$20:BW$20,0),FALSE)</f>
        <v>#N/A</v>
      </c>
      <c r="H21" s="41" t="e">
        <f t="shared" si="1"/>
        <v>#N/A</v>
      </c>
      <c r="I21" s="41" t="e">
        <f>VLOOKUP(A21, '2b. Continuity Schedule'!$C$20:$BW$108, MATCH('2b. Continuity Schedule'!BV$20, '2b. Continuity Schedule'!C$20:BW$20,0),FALSE)</f>
        <v>#N/A</v>
      </c>
      <c r="J21" s="41" t="e">
        <f>VLOOKUP(A21, '2b. Continuity Schedule'!$C$20:$BW$108, MATCH('2b. Continuity Schedule'!BW$20, '2b. Continuity Schedule'!C$20:BW$20,0),FALSE)</f>
        <v>#N/A</v>
      </c>
    </row>
    <row r="22" spans="1:10" ht="16.5" x14ac:dyDescent="0.2">
      <c r="A22" s="82" t="s">
        <v>72</v>
      </c>
      <c r="B22" s="83">
        <v>1555</v>
      </c>
      <c r="C22" s="41" t="e">
        <f>VLOOKUP(A22, '2b. Continuity Schedule'!$C$20:$BW$108, MATCH('2b. Continuity Schedule'!BO$20, '2b. Continuity Schedule'!C$20:BW$20,0),FALSE)</f>
        <v>#N/A</v>
      </c>
      <c r="D22" s="41" t="e">
        <f>VLOOKUP(A22, '2b. Continuity Schedule'!$C$20:$BW$108, MATCH('2b. Continuity Schedule'!BP$20, '2b. Continuity Schedule'!C$20:BW$20,0),FALSE)</f>
        <v>#N/A</v>
      </c>
      <c r="E22" s="41" t="e">
        <f t="shared" si="0"/>
        <v>#N/A</v>
      </c>
      <c r="F22" s="41" t="e">
        <f>VLOOKUP(A22, '2b. Continuity Schedule'!$C$20:$BW$108, MATCH('2b. Continuity Schedule'!BQ$20, '2b. Continuity Schedule'!C$20:BW$20,0),FALSE)</f>
        <v>#N/A</v>
      </c>
      <c r="G22" s="41" t="e">
        <f>VLOOKUP(A22, '2b. Continuity Schedule'!$C$20:$BW$108, MATCH('2b. Continuity Schedule'!BR$20, '2b. Continuity Schedule'!C$20:BW$20,0),FALSE)</f>
        <v>#N/A</v>
      </c>
      <c r="H22" s="41" t="e">
        <f t="shared" si="1"/>
        <v>#N/A</v>
      </c>
      <c r="I22" s="41" t="e">
        <f>VLOOKUP(A22, '2b. Continuity Schedule'!$C$20:$BW$108, MATCH('2b. Continuity Schedule'!BV$20, '2b. Continuity Schedule'!C$20:BW$20,0),FALSE)</f>
        <v>#N/A</v>
      </c>
      <c r="J22" s="41" t="e">
        <f>VLOOKUP(A22, '2b. Continuity Schedule'!$C$20:$BW$108, MATCH('2b. Continuity Schedule'!BW$20, '2b. Continuity Schedule'!C$20:BW$20,0),FALSE)</f>
        <v>#N/A</v>
      </c>
    </row>
    <row r="23" spans="1:10" ht="16.5" x14ac:dyDescent="0.2">
      <c r="A23" s="82" t="s">
        <v>73</v>
      </c>
      <c r="B23" s="83">
        <v>1556</v>
      </c>
      <c r="C23" s="41" t="e">
        <f>VLOOKUP(A23, '2b. Continuity Schedule'!$C$20:$BW$108, MATCH('2b. Continuity Schedule'!BO$20, '2b. Continuity Schedule'!C$20:BW$20,0),FALSE)</f>
        <v>#N/A</v>
      </c>
      <c r="D23" s="41" t="e">
        <f>VLOOKUP(A23, '2b. Continuity Schedule'!$C$20:$BW$108, MATCH('2b. Continuity Schedule'!BP$20, '2b. Continuity Schedule'!C$20:BW$20,0),FALSE)</f>
        <v>#N/A</v>
      </c>
      <c r="E23" s="41" t="e">
        <f t="shared" si="0"/>
        <v>#N/A</v>
      </c>
      <c r="F23" s="41" t="e">
        <f>VLOOKUP(A23, '2b. Continuity Schedule'!$C$20:$BW$108, MATCH('2b. Continuity Schedule'!BQ$20, '2b. Continuity Schedule'!C$20:BW$20,0),FALSE)</f>
        <v>#N/A</v>
      </c>
      <c r="G23" s="41" t="e">
        <f>VLOOKUP(A23, '2b. Continuity Schedule'!$C$20:$BW$108, MATCH('2b. Continuity Schedule'!BR$20, '2b. Continuity Schedule'!C$20:BW$20,0),FALSE)</f>
        <v>#N/A</v>
      </c>
      <c r="H23" s="41" t="e">
        <f t="shared" si="1"/>
        <v>#N/A</v>
      </c>
      <c r="I23" s="41" t="e">
        <f>VLOOKUP(A23, '2b. Continuity Schedule'!$C$20:$BW$108, MATCH('2b. Continuity Schedule'!BV$20, '2b. Continuity Schedule'!C$20:BW$20,0),FALSE)</f>
        <v>#N/A</v>
      </c>
      <c r="J23" s="41" t="e">
        <f>VLOOKUP(A23, '2b. Continuity Schedule'!$C$20:$BW$108, MATCH('2b. Continuity Schedule'!BW$20, '2b. Continuity Schedule'!C$20:BW$20,0),FALSE)</f>
        <v>#N/A</v>
      </c>
    </row>
    <row r="24" spans="1:10" ht="14.25" x14ac:dyDescent="0.2">
      <c r="A24" s="82" t="s">
        <v>8</v>
      </c>
      <c r="B24" s="83">
        <v>1562</v>
      </c>
      <c r="C24" s="41" t="e">
        <f>VLOOKUP(A24, '2b. Continuity Schedule'!$C$20:$BW$108, MATCH('2b. Continuity Schedule'!BO$20, '2b. Continuity Schedule'!C$20:BW$20,0),FALSE)</f>
        <v>#N/A</v>
      </c>
      <c r="D24" s="41" t="e">
        <f>VLOOKUP(A24, '2b. Continuity Schedule'!$C$20:$BW$108, MATCH('2b. Continuity Schedule'!BP$20, '2b. Continuity Schedule'!C$20:BW$20,0),FALSE)</f>
        <v>#N/A</v>
      </c>
      <c r="E24" s="41" t="e">
        <f t="shared" si="0"/>
        <v>#N/A</v>
      </c>
      <c r="F24" s="41" t="e">
        <f>VLOOKUP(A24, '2b. Continuity Schedule'!$C$20:$BW$108, MATCH('2b. Continuity Schedule'!BQ$20, '2b. Continuity Schedule'!C$20:BW$20,0),FALSE)</f>
        <v>#N/A</v>
      </c>
      <c r="G24" s="41" t="e">
        <f>VLOOKUP(A24, '2b. Continuity Schedule'!$C$20:$BW$108, MATCH('2b. Continuity Schedule'!BR$20, '2b. Continuity Schedule'!C$20:BW$20,0),FALSE)</f>
        <v>#N/A</v>
      </c>
      <c r="H24" s="41" t="e">
        <f t="shared" si="1"/>
        <v>#N/A</v>
      </c>
      <c r="I24" s="41" t="e">
        <f>VLOOKUP(A24, '2b. Continuity Schedule'!$C$20:$BW$108, MATCH('2b. Continuity Schedule'!BV$20, '2b. Continuity Schedule'!C$20:BW$20,0),FALSE)</f>
        <v>#N/A</v>
      </c>
      <c r="J24" s="41" t="e">
        <f>VLOOKUP(A24, '2b. Continuity Schedule'!$C$20:$BW$108, MATCH('2b. Continuity Schedule'!BW$20, '2b. Continuity Schedule'!C$20:BW$20,0),FALSE)</f>
        <v>#N/A</v>
      </c>
    </row>
    <row r="25" spans="1:10" ht="14.25" x14ac:dyDescent="0.2">
      <c r="A25" s="82" t="s">
        <v>27</v>
      </c>
      <c r="B25" s="83">
        <v>1567</v>
      </c>
      <c r="C25" s="41" t="e">
        <f>VLOOKUP(A25, '2b. Continuity Schedule'!$C$20:$BW$108, MATCH('2b. Continuity Schedule'!BO$20, '2b. Continuity Schedule'!C$20:BW$20,0),FALSE)</f>
        <v>#N/A</v>
      </c>
      <c r="D25" s="41" t="e">
        <f>VLOOKUP(A25, '2b. Continuity Schedule'!$C$20:$BW$108, MATCH('2b. Continuity Schedule'!BP$20, '2b. Continuity Schedule'!C$20:BW$20,0),FALSE)</f>
        <v>#N/A</v>
      </c>
      <c r="E25" s="41" t="e">
        <f t="shared" si="0"/>
        <v>#N/A</v>
      </c>
      <c r="F25" s="41" t="e">
        <f>VLOOKUP(A25, '2b. Continuity Schedule'!$C$20:$BW$108, MATCH('2b. Continuity Schedule'!BQ$20, '2b. Continuity Schedule'!C$20:BW$20,0),FALSE)</f>
        <v>#N/A</v>
      </c>
      <c r="G25" s="41" t="e">
        <f>VLOOKUP(A25, '2b. Continuity Schedule'!$C$20:$BW$108, MATCH('2b. Continuity Schedule'!BR$20, '2b. Continuity Schedule'!C$20:BW$20,0),FALSE)</f>
        <v>#N/A</v>
      </c>
      <c r="H25" s="41" t="e">
        <f t="shared" si="1"/>
        <v>#N/A</v>
      </c>
      <c r="I25" s="41" t="e">
        <f>VLOOKUP(A25, '2b. Continuity Schedule'!$C$20:$BW$108, MATCH('2b. Continuity Schedule'!BV$20, '2b. Continuity Schedule'!C$20:BW$20,0),FALSE)</f>
        <v>#N/A</v>
      </c>
      <c r="J25" s="41" t="e">
        <f>VLOOKUP(A25, '2b. Continuity Schedule'!$C$20:$BW$108, MATCH('2b. Continuity Schedule'!BW$20, '2b. Continuity Schedule'!C$20:BW$20,0),FALSE)</f>
        <v>#N/A</v>
      </c>
    </row>
    <row r="26" spans="1:10" ht="14.25" x14ac:dyDescent="0.2">
      <c r="A26" s="82" t="s">
        <v>50</v>
      </c>
      <c r="B26" s="83">
        <v>1568</v>
      </c>
      <c r="C26" s="41" t="e">
        <f>VLOOKUP(A26, '2b. Continuity Schedule'!$C$20:$BW$108, MATCH('2b. Continuity Schedule'!BO$20, '2b. Continuity Schedule'!C$20:BW$20,0),FALSE)</f>
        <v>#N/A</v>
      </c>
      <c r="D26" s="41" t="e">
        <f>VLOOKUP(A26, '2b. Continuity Schedule'!$C$20:$BW$108, MATCH('2b. Continuity Schedule'!BP$20, '2b. Continuity Schedule'!C$20:BW$20,0),FALSE)</f>
        <v>#N/A</v>
      </c>
      <c r="E26" s="41" t="e">
        <f t="shared" si="0"/>
        <v>#N/A</v>
      </c>
      <c r="F26" s="41" t="e">
        <f>VLOOKUP(A26, '2b. Continuity Schedule'!$C$20:$BW$108, MATCH('2b. Continuity Schedule'!BQ$20, '2b. Continuity Schedule'!C$20:BW$20,0),FALSE)</f>
        <v>#N/A</v>
      </c>
      <c r="G26" s="41" t="e">
        <f>VLOOKUP(A26, '2b. Continuity Schedule'!$C$20:$BW$108, MATCH('2b. Continuity Schedule'!BR$20, '2b. Continuity Schedule'!C$20:BW$20,0),FALSE)</f>
        <v>#N/A</v>
      </c>
      <c r="H26" s="41" t="e">
        <f t="shared" si="1"/>
        <v>#N/A</v>
      </c>
      <c r="I26" s="41" t="e">
        <f>VLOOKUP(A26, '2b. Continuity Schedule'!$C$20:$BW$108, MATCH('2b. Continuity Schedule'!BV$20, '2b. Continuity Schedule'!C$20:BW$20,0),FALSE)</f>
        <v>#N/A</v>
      </c>
      <c r="J26" s="41" t="e">
        <f>VLOOKUP(A26, '2b. Continuity Schedule'!$C$20:$BW$108, MATCH('2b. Continuity Schedule'!BW$20, '2b. Continuity Schedule'!C$20:BW$20,0),FALSE)</f>
        <v>#N/A</v>
      </c>
    </row>
    <row r="27" spans="1:10" ht="14.25" x14ac:dyDescent="0.2">
      <c r="A27" s="82" t="s">
        <v>10</v>
      </c>
      <c r="B27" s="83">
        <v>1572</v>
      </c>
      <c r="C27" s="41">
        <f>VLOOKUP(A27, '2b. Continuity Schedule'!$C$20:$BW$108, MATCH('2b. Continuity Schedule'!BO$20, '2b. Continuity Schedule'!C$20:BW$20,0),FALSE)</f>
        <v>0</v>
      </c>
      <c r="D27" s="41">
        <f>VLOOKUP(A27, '2b. Continuity Schedule'!$C$20:$BW$108, MATCH('2b. Continuity Schedule'!BP$20, '2b. Continuity Schedule'!C$20:BW$20,0),FALSE)</f>
        <v>0</v>
      </c>
      <c r="E27" s="41">
        <f t="shared" si="0"/>
        <v>0</v>
      </c>
      <c r="F27" s="41">
        <f>VLOOKUP(A27, '2b. Continuity Schedule'!$C$20:$BW$108, MATCH('2b. Continuity Schedule'!BQ$20, '2b. Continuity Schedule'!C$20:BW$20,0),FALSE)</f>
        <v>0</v>
      </c>
      <c r="G27" s="41">
        <f>VLOOKUP(A27, '2b. Continuity Schedule'!$C$20:$BW$108, MATCH('2b. Continuity Schedule'!BR$20, '2b. Continuity Schedule'!C$20:BW$20,0),FALSE)</f>
        <v>0</v>
      </c>
      <c r="H27" s="41">
        <f t="shared" si="1"/>
        <v>0</v>
      </c>
      <c r="I27" s="41">
        <f>VLOOKUP(A27, '2b. Continuity Schedule'!$C$20:$BW$108, MATCH('2b. Continuity Schedule'!BV$20, '2b. Continuity Schedule'!C$20:BW$20,0),FALSE)</f>
        <v>0</v>
      </c>
      <c r="J27" s="41">
        <f>VLOOKUP(A27, '2b. Continuity Schedule'!$C$20:$BW$108, MATCH('2b. Continuity Schedule'!BW$20, '2b. Continuity Schedule'!C$20:BW$20,0),FALSE)</f>
        <v>0</v>
      </c>
    </row>
    <row r="28" spans="1:10" ht="14.25" x14ac:dyDescent="0.2">
      <c r="A28" s="82" t="s">
        <v>6</v>
      </c>
      <c r="B28" s="83">
        <v>1574</v>
      </c>
      <c r="C28" s="41">
        <f>VLOOKUP(A28, '2b. Continuity Schedule'!$C$20:$BW$108, MATCH('2b. Continuity Schedule'!BO$20, '2b. Continuity Schedule'!C$20:BW$20,0),FALSE)</f>
        <v>0</v>
      </c>
      <c r="D28" s="41">
        <f>VLOOKUP(A28, '2b. Continuity Schedule'!$C$20:$BW$108, MATCH('2b. Continuity Schedule'!BP$20, '2b. Continuity Schedule'!C$20:BW$20,0),FALSE)</f>
        <v>0</v>
      </c>
      <c r="E28" s="41">
        <f t="shared" si="0"/>
        <v>0</v>
      </c>
      <c r="F28" s="41">
        <f>VLOOKUP(A28, '2b. Continuity Schedule'!$C$20:$BW$108, MATCH('2b. Continuity Schedule'!BQ$20, '2b. Continuity Schedule'!C$20:BW$20,0),FALSE)</f>
        <v>0</v>
      </c>
      <c r="G28" s="41">
        <f>VLOOKUP(A28, '2b. Continuity Schedule'!$C$20:$BW$108, MATCH('2b. Continuity Schedule'!BR$20, '2b. Continuity Schedule'!C$20:BW$20,0),FALSE)</f>
        <v>0</v>
      </c>
      <c r="H28" s="41">
        <f t="shared" si="1"/>
        <v>0</v>
      </c>
      <c r="I28" s="41">
        <f>VLOOKUP(A28, '2b. Continuity Schedule'!$C$20:$BW$108, MATCH('2b. Continuity Schedule'!BV$20, '2b. Continuity Schedule'!C$20:BW$20,0),FALSE)</f>
        <v>0</v>
      </c>
      <c r="J28" s="41">
        <f>VLOOKUP(A28, '2b. Continuity Schedule'!$C$20:$BW$108, MATCH('2b. Continuity Schedule'!BW$20, '2b. Continuity Schedule'!C$20:BW$20,0),FALSE)</f>
        <v>0</v>
      </c>
    </row>
    <row r="29" spans="1:10" ht="30.75" x14ac:dyDescent="0.2">
      <c r="A29" s="85" t="s">
        <v>122</v>
      </c>
      <c r="B29" s="86">
        <v>1575</v>
      </c>
      <c r="C29" s="41" t="e">
        <f>VLOOKUP(A29, '2b. Continuity Schedule'!$C$20:$BW$108, MATCH('2b. Continuity Schedule'!BO$20, '2b. Continuity Schedule'!C$20:BW$20,0),FALSE)</f>
        <v>#N/A</v>
      </c>
      <c r="D29" s="41" t="e">
        <f>VLOOKUP(A29, '2b. Continuity Schedule'!$C$20:$BW$108, MATCH('2b. Continuity Schedule'!BP$20, '2b. Continuity Schedule'!C$20:BW$20,0),FALSE)</f>
        <v>#N/A</v>
      </c>
      <c r="E29" s="41" t="e">
        <f t="shared" si="0"/>
        <v>#N/A</v>
      </c>
      <c r="F29" s="41" t="e">
        <f>VLOOKUP(A29, '2b. Continuity Schedule'!$C$20:$BW$108, MATCH('2b. Continuity Schedule'!BQ$20, '2b. Continuity Schedule'!C$20:BW$20,0),FALSE)</f>
        <v>#N/A</v>
      </c>
      <c r="G29" s="41" t="e">
        <f>VLOOKUP(A29, '2b. Continuity Schedule'!$C$20:$BW$108, MATCH('2b. Continuity Schedule'!BR$20, '2b. Continuity Schedule'!C$20:BW$20,0),FALSE)</f>
        <v>#N/A</v>
      </c>
      <c r="H29" s="41" t="e">
        <f t="shared" si="1"/>
        <v>#N/A</v>
      </c>
      <c r="I29" s="41" t="e">
        <f>VLOOKUP(A29, '2b. Continuity Schedule'!$C$20:$BW$108, MATCH('2b. Continuity Schedule'!BV$20, '2b. Continuity Schedule'!C$20:BW$20,0),FALSE)</f>
        <v>#N/A</v>
      </c>
      <c r="J29" s="41" t="e">
        <f>VLOOKUP(A29, '2b. Continuity Schedule'!$C$20:$BW$108, MATCH('2b. Continuity Schedule'!BW$20, '2b. Continuity Schedule'!C$20:BW$20,0),FALSE)</f>
        <v>#N/A</v>
      </c>
    </row>
    <row r="30" spans="1:10" ht="16.5" x14ac:dyDescent="0.2">
      <c r="A30" s="85" t="s">
        <v>123</v>
      </c>
      <c r="B30" s="86">
        <v>1576</v>
      </c>
      <c r="C30" s="41" t="e">
        <f>VLOOKUP(A30, '2b. Continuity Schedule'!$C$20:$BW$108, MATCH('2b. Continuity Schedule'!BO$20, '2b. Continuity Schedule'!C$20:BW$20,0),FALSE)</f>
        <v>#N/A</v>
      </c>
      <c r="D30" s="41" t="e">
        <f>VLOOKUP(A30, '2b. Continuity Schedule'!$C$20:$BW$108, MATCH('2b. Continuity Schedule'!BP$20, '2b. Continuity Schedule'!C$20:BW$20,0),FALSE)</f>
        <v>#N/A</v>
      </c>
      <c r="E30" s="41" t="e">
        <f t="shared" si="0"/>
        <v>#N/A</v>
      </c>
      <c r="F30" s="41" t="e">
        <f>VLOOKUP(A30, '2b. Continuity Schedule'!$C$20:$BW$108, MATCH('2b. Continuity Schedule'!BQ$20, '2b. Continuity Schedule'!C$20:BW$20,0),FALSE)</f>
        <v>#N/A</v>
      </c>
      <c r="G30" s="41" t="e">
        <f>VLOOKUP(A30, '2b. Continuity Schedule'!$C$20:$BW$108, MATCH('2b. Continuity Schedule'!BR$20, '2b. Continuity Schedule'!C$20:BW$20,0),FALSE)</f>
        <v>#N/A</v>
      </c>
      <c r="H30" s="41" t="e">
        <f t="shared" si="1"/>
        <v>#N/A</v>
      </c>
      <c r="I30" s="41" t="e">
        <f>VLOOKUP(A30, '2b. Continuity Schedule'!$C$20:$BW$108, MATCH('2b. Continuity Schedule'!BV$20, '2b. Continuity Schedule'!C$20:BW$20,0),FALSE)</f>
        <v>#N/A</v>
      </c>
      <c r="J30" s="41" t="e">
        <f>VLOOKUP(A30, '2b. Continuity Schedule'!$C$20:$BW$108, MATCH('2b. Continuity Schedule'!BW$20, '2b. Continuity Schedule'!C$20:BW$20,0),FALSE)</f>
        <v>#N/A</v>
      </c>
    </row>
    <row r="31" spans="1:10" ht="14.25" x14ac:dyDescent="0.2">
      <c r="A31" s="82" t="s">
        <v>1</v>
      </c>
      <c r="B31" s="83">
        <v>1580</v>
      </c>
      <c r="C31" s="41" t="e">
        <f>VLOOKUP(A31, '2b. Continuity Schedule'!$C$20:$BW$108, MATCH('2b. Continuity Schedule'!BO$20, '2b. Continuity Schedule'!C$20:BW$20,0),FALSE)</f>
        <v>#N/A</v>
      </c>
      <c r="D31" s="41" t="e">
        <f>VLOOKUP(A31, '2b. Continuity Schedule'!$C$20:$BW$108, MATCH('2b. Continuity Schedule'!BP$20, '2b. Continuity Schedule'!C$20:BW$20,0),FALSE)</f>
        <v>#N/A</v>
      </c>
      <c r="E31" s="41" t="e">
        <f t="shared" si="0"/>
        <v>#N/A</v>
      </c>
      <c r="F31" s="41" t="e">
        <f>VLOOKUP(A31, '2b. Continuity Schedule'!$C$20:$BW$108, MATCH('2b. Continuity Schedule'!BQ$20, '2b. Continuity Schedule'!C$20:BW$20,0),FALSE)</f>
        <v>#N/A</v>
      </c>
      <c r="G31" s="41" t="e">
        <f>VLOOKUP(A31, '2b. Continuity Schedule'!$C$20:$BW$108, MATCH('2b. Continuity Schedule'!BR$20, '2b. Continuity Schedule'!C$20:BW$20,0),FALSE)</f>
        <v>#N/A</v>
      </c>
      <c r="H31" s="41" t="e">
        <f t="shared" si="1"/>
        <v>#N/A</v>
      </c>
      <c r="I31" s="41" t="e">
        <f>VLOOKUP(A31, '2b. Continuity Schedule'!$C$20:$BW$108, MATCH('2b. Continuity Schedule'!BV$20, '2b. Continuity Schedule'!C$20:BW$20,0),FALSE)</f>
        <v>#N/A</v>
      </c>
      <c r="J31" s="41" t="e">
        <f>VLOOKUP(A31, '2b. Continuity Schedule'!$C$20:$BW$108, MATCH('2b. Continuity Schedule'!BW$20, '2b. Continuity Schedule'!C$20:BW$20,0),FALSE)</f>
        <v>#N/A</v>
      </c>
    </row>
    <row r="32" spans="1:10" ht="14.25" x14ac:dyDescent="0.2">
      <c r="A32" s="82" t="s">
        <v>24</v>
      </c>
      <c r="B32" s="83">
        <v>1582</v>
      </c>
      <c r="C32" s="41">
        <f>VLOOKUP(A32, '2b. Continuity Schedule'!$C$20:$BW$108, MATCH('2b. Continuity Schedule'!BO$20, '2b. Continuity Schedule'!C$20:BW$20,0),FALSE)</f>
        <v>0</v>
      </c>
      <c r="D32" s="41">
        <f>VLOOKUP(A32, '2b. Continuity Schedule'!$C$20:$BW$108, MATCH('2b. Continuity Schedule'!BP$20, '2b. Continuity Schedule'!C$20:BW$20,0),FALSE)</f>
        <v>0</v>
      </c>
      <c r="E32" s="41">
        <f t="shared" si="0"/>
        <v>0</v>
      </c>
      <c r="F32" s="41">
        <f>VLOOKUP(A32, '2b. Continuity Schedule'!$C$20:$BW$108, MATCH('2b. Continuity Schedule'!BQ$20, '2b. Continuity Schedule'!C$20:BW$20,0),FALSE)</f>
        <v>0</v>
      </c>
      <c r="G32" s="41">
        <f>VLOOKUP(A32, '2b. Continuity Schedule'!$C$20:$BW$108, MATCH('2b. Continuity Schedule'!BR$20, '2b. Continuity Schedule'!C$20:BW$20,0),FALSE)</f>
        <v>0</v>
      </c>
      <c r="H32" s="41">
        <f t="shared" si="1"/>
        <v>0</v>
      </c>
      <c r="I32" s="41">
        <f>VLOOKUP(A32, '2b. Continuity Schedule'!$C$20:$BW$108, MATCH('2b. Continuity Schedule'!BV$20, '2b. Continuity Schedule'!C$20:BW$20,0),FALSE)</f>
        <v>0</v>
      </c>
      <c r="J32" s="41">
        <f>VLOOKUP(A32, '2b. Continuity Schedule'!$C$20:$BW$108, MATCH('2b. Continuity Schedule'!BW$20, '2b. Continuity Schedule'!C$20:BW$20,0),FALSE)</f>
        <v>0</v>
      </c>
    </row>
    <row r="33" spans="1:10" ht="14.25" x14ac:dyDescent="0.2">
      <c r="A33" s="82" t="s">
        <v>2</v>
      </c>
      <c r="B33" s="83">
        <v>1584</v>
      </c>
      <c r="C33" s="41">
        <f>VLOOKUP(A33, '2b. Continuity Schedule'!$C$20:$BW$108, MATCH('2b. Continuity Schedule'!BO$20, '2b. Continuity Schedule'!C$20:BW$20,0),FALSE)</f>
        <v>0</v>
      </c>
      <c r="D33" s="41">
        <f>VLOOKUP(A33, '2b. Continuity Schedule'!$C$20:$BW$108, MATCH('2b. Continuity Schedule'!BP$20, '2b. Continuity Schedule'!C$20:BW$20,0),FALSE)</f>
        <v>0</v>
      </c>
      <c r="E33" s="41">
        <f t="shared" si="0"/>
        <v>0</v>
      </c>
      <c r="F33" s="41">
        <f>VLOOKUP(A33, '2b. Continuity Schedule'!$C$20:$BW$108, MATCH('2b. Continuity Schedule'!BQ$20, '2b. Continuity Schedule'!C$20:BW$20,0),FALSE)</f>
        <v>0</v>
      </c>
      <c r="G33" s="41">
        <f>VLOOKUP(A33, '2b. Continuity Schedule'!$C$20:$BW$108, MATCH('2b. Continuity Schedule'!BR$20, '2b. Continuity Schedule'!C$20:BW$20,0),FALSE)</f>
        <v>0</v>
      </c>
      <c r="H33" s="41">
        <f t="shared" si="1"/>
        <v>0</v>
      </c>
      <c r="I33" s="41">
        <f>VLOOKUP(A33, '2b. Continuity Schedule'!$C$20:$BW$108, MATCH('2b. Continuity Schedule'!BV$20, '2b. Continuity Schedule'!C$20:BW$20,0),FALSE)</f>
        <v>0</v>
      </c>
      <c r="J33" s="41">
        <f>VLOOKUP(A33, '2b. Continuity Schedule'!$C$20:$BW$108, MATCH('2b. Continuity Schedule'!BW$20, '2b. Continuity Schedule'!C$20:BW$20,0),FALSE)</f>
        <v>0</v>
      </c>
    </row>
    <row r="34" spans="1:10" ht="14.25" x14ac:dyDescent="0.2">
      <c r="A34" s="82" t="s">
        <v>3</v>
      </c>
      <c r="B34" s="83">
        <v>1586</v>
      </c>
      <c r="C34" s="41">
        <f>VLOOKUP(A34, '2b. Continuity Schedule'!$C$20:$BW$108, MATCH('2b. Continuity Schedule'!BO$20, '2b. Continuity Schedule'!C$20:BW$20,0),FALSE)</f>
        <v>0</v>
      </c>
      <c r="D34" s="41">
        <f>VLOOKUP(A34, '2b. Continuity Schedule'!$C$20:$BW$108, MATCH('2b. Continuity Schedule'!BP$20, '2b. Continuity Schedule'!C$20:BW$20,0),FALSE)</f>
        <v>0</v>
      </c>
      <c r="E34" s="41">
        <f t="shared" si="0"/>
        <v>0</v>
      </c>
      <c r="F34" s="41">
        <f>VLOOKUP(A34, '2b. Continuity Schedule'!$C$20:$BW$108, MATCH('2b. Continuity Schedule'!BQ$20, '2b. Continuity Schedule'!C$20:BW$20,0),FALSE)</f>
        <v>0</v>
      </c>
      <c r="G34" s="41">
        <f>VLOOKUP(A34, '2b. Continuity Schedule'!$C$20:$BW$108, MATCH('2b. Continuity Schedule'!BR$20, '2b. Continuity Schedule'!C$20:BW$20,0),FALSE)</f>
        <v>0</v>
      </c>
      <c r="H34" s="41">
        <f t="shared" si="1"/>
        <v>0</v>
      </c>
      <c r="I34" s="41">
        <f>VLOOKUP(A34, '2b. Continuity Schedule'!$C$20:$BW$108, MATCH('2b. Continuity Schedule'!BV$20, '2b. Continuity Schedule'!C$20:BW$20,0),FALSE)</f>
        <v>0</v>
      </c>
      <c r="J34" s="41">
        <f>VLOOKUP(A34, '2b. Continuity Schedule'!$C$20:$BW$108, MATCH('2b. Continuity Schedule'!BW$20, '2b. Continuity Schedule'!C$20:BW$20,0),FALSE)</f>
        <v>0</v>
      </c>
    </row>
    <row r="35" spans="1:10" ht="14.25" x14ac:dyDescent="0.2">
      <c r="A35" s="82" t="s">
        <v>38</v>
      </c>
      <c r="B35" s="83">
        <v>1588</v>
      </c>
      <c r="C35" s="41" t="e">
        <f>VLOOKUP(A35, '2b. Continuity Schedule'!$C$20:$BW$108, MATCH('2b. Continuity Schedule'!BO$20, '2b. Continuity Schedule'!C$20:BW$20,0),FALSE)</f>
        <v>#N/A</v>
      </c>
      <c r="D35" s="41" t="e">
        <f>VLOOKUP(A35, '2b. Continuity Schedule'!$C$20:$BW$108, MATCH('2b. Continuity Schedule'!BP$20, '2b. Continuity Schedule'!C$20:BW$20,0),FALSE)</f>
        <v>#N/A</v>
      </c>
      <c r="E35" s="41" t="e">
        <f t="shared" si="0"/>
        <v>#N/A</v>
      </c>
      <c r="F35" s="41" t="e">
        <f>VLOOKUP(A35, '2b. Continuity Schedule'!$C$20:$BW$108, MATCH('2b. Continuity Schedule'!BQ$20, '2b. Continuity Schedule'!C$20:BW$20,0),FALSE)</f>
        <v>#N/A</v>
      </c>
      <c r="G35" s="41" t="e">
        <f>VLOOKUP(A35, '2b. Continuity Schedule'!$C$20:$BW$108, MATCH('2b. Continuity Schedule'!BR$20, '2b. Continuity Schedule'!C$20:BW$20,0),FALSE)</f>
        <v>#N/A</v>
      </c>
      <c r="H35" s="41" t="e">
        <f t="shared" si="1"/>
        <v>#N/A</v>
      </c>
      <c r="I35" s="41" t="e">
        <f>VLOOKUP(A35, '2b. Continuity Schedule'!$C$20:$BW$108, MATCH('2b. Continuity Schedule'!BV$20, '2b. Continuity Schedule'!C$20:BW$20,0),FALSE)</f>
        <v>#N/A</v>
      </c>
      <c r="J35" s="41" t="e">
        <f>VLOOKUP(A35, '2b. Continuity Schedule'!$C$20:$BW$108, MATCH('2b. Continuity Schedule'!BW$20, '2b. Continuity Schedule'!C$20:BW$20,0),FALSE)</f>
        <v>#N/A</v>
      </c>
    </row>
    <row r="36" spans="1:10" ht="14.25" x14ac:dyDescent="0.2">
      <c r="A36" s="82" t="s">
        <v>66</v>
      </c>
      <c r="B36" s="83">
        <v>1589</v>
      </c>
      <c r="C36" s="41" t="e">
        <f>VLOOKUP(A36, '2b. Continuity Schedule'!$C$20:$BW$108, MATCH('2b. Continuity Schedule'!BO$20, '2b. Continuity Schedule'!C$20:BW$20,0),FALSE)</f>
        <v>#N/A</v>
      </c>
      <c r="D36" s="41" t="e">
        <f>VLOOKUP(A36, '2b. Continuity Schedule'!$C$20:$BW$108, MATCH('2b. Continuity Schedule'!BP$20, '2b. Continuity Schedule'!C$20:BW$20,0),FALSE)</f>
        <v>#N/A</v>
      </c>
      <c r="E36" s="41" t="e">
        <f t="shared" si="0"/>
        <v>#N/A</v>
      </c>
      <c r="F36" s="41" t="e">
        <f>VLOOKUP(A36, '2b. Continuity Schedule'!$C$20:$BW$108, MATCH('2b. Continuity Schedule'!BQ$20, '2b. Continuity Schedule'!C$20:BW$20,0),FALSE)</f>
        <v>#N/A</v>
      </c>
      <c r="G36" s="41" t="e">
        <f>VLOOKUP(A36, '2b. Continuity Schedule'!$C$20:$BW$108, MATCH('2b. Continuity Schedule'!BR$20, '2b. Continuity Schedule'!C$20:BW$20,0),FALSE)</f>
        <v>#N/A</v>
      </c>
      <c r="H36" s="41" t="e">
        <f t="shared" si="1"/>
        <v>#N/A</v>
      </c>
      <c r="I36" s="41" t="e">
        <f>VLOOKUP(A36, '2b. Continuity Schedule'!$C$20:$BW$108, MATCH('2b. Continuity Schedule'!BV$20, '2b. Continuity Schedule'!C$20:BW$20,0),FALSE)</f>
        <v>#N/A</v>
      </c>
      <c r="J36" s="41" t="e">
        <f>VLOOKUP(A36, '2b. Continuity Schedule'!$C$20:$BW$108, MATCH('2b. Continuity Schedule'!BW$20, '2b. Continuity Schedule'!C$20:BW$20,0),FALSE)</f>
        <v>#N/A</v>
      </c>
    </row>
    <row r="37" spans="1:10" ht="28.5" x14ac:dyDescent="0.2">
      <c r="A37" s="85" t="s">
        <v>31</v>
      </c>
      <c r="B37" s="86">
        <v>1592</v>
      </c>
      <c r="C37" s="41">
        <f>VLOOKUP(A37, '2b. Continuity Schedule'!$C$20:$BW$108, MATCH('2b. Continuity Schedule'!BO$20, '2b. Continuity Schedule'!C$20:BW$20,0),FALSE)</f>
        <v>0</v>
      </c>
      <c r="D37" s="41">
        <f>VLOOKUP(A37, '2b. Continuity Schedule'!$C$20:$BW$108, MATCH('2b. Continuity Schedule'!BP$20, '2b. Continuity Schedule'!C$20:BW$20,0),FALSE)</f>
        <v>0</v>
      </c>
      <c r="E37" s="41">
        <f t="shared" si="0"/>
        <v>0</v>
      </c>
      <c r="F37" s="41">
        <f>VLOOKUP(A37, '2b. Continuity Schedule'!$C$20:$BW$108, MATCH('2b. Continuity Schedule'!BQ$20, '2b. Continuity Schedule'!C$20:BW$20,0),FALSE)</f>
        <v>0</v>
      </c>
      <c r="G37" s="41">
        <f>VLOOKUP(A37, '2b. Continuity Schedule'!$C$20:$BW$108, MATCH('2b. Continuity Schedule'!BR$20, '2b. Continuity Schedule'!C$20:BW$20,0),FALSE)</f>
        <v>0</v>
      </c>
      <c r="H37" s="41">
        <f t="shared" si="1"/>
        <v>0</v>
      </c>
      <c r="I37" s="41">
        <f>VLOOKUP(A37, '2b. Continuity Schedule'!$C$20:$BW$108, MATCH('2b. Continuity Schedule'!BV$20, '2b. Continuity Schedule'!C$20:BW$20,0),FALSE)</f>
        <v>0</v>
      </c>
      <c r="J37" s="41">
        <f>VLOOKUP(A37, '2b. Continuity Schedule'!$C$20:$BW$108, MATCH('2b. Continuity Schedule'!BW$20, '2b. Continuity Schedule'!C$20:BW$20,0),FALSE)</f>
        <v>0</v>
      </c>
    </row>
    <row r="38" spans="1:10" ht="28.5" x14ac:dyDescent="0.2">
      <c r="A38" s="85" t="s">
        <v>30</v>
      </c>
      <c r="B38" s="86">
        <v>1592</v>
      </c>
      <c r="C38" s="41" t="e">
        <f>VLOOKUP(A38, '2b. Continuity Schedule'!$C$20:$BW$108, MATCH('2b. Continuity Schedule'!BO$20, '2b. Continuity Schedule'!C$20:BW$20,0),FALSE)</f>
        <v>#N/A</v>
      </c>
      <c r="D38" s="41" t="e">
        <f>VLOOKUP(A38, '2b. Continuity Schedule'!$C$20:$BW$108, MATCH('2b. Continuity Schedule'!BP$20, '2b. Continuity Schedule'!C$20:BW$20,0),FALSE)</f>
        <v>#N/A</v>
      </c>
      <c r="E38" s="41" t="e">
        <f t="shared" si="0"/>
        <v>#N/A</v>
      </c>
      <c r="F38" s="41" t="e">
        <f>VLOOKUP(A38, '2b. Continuity Schedule'!$C$20:$BW$108, MATCH('2b. Continuity Schedule'!BQ$20, '2b. Continuity Schedule'!C$20:BW$20,0),FALSE)</f>
        <v>#N/A</v>
      </c>
      <c r="G38" s="41" t="e">
        <f>VLOOKUP(A38, '2b. Continuity Schedule'!$C$20:$BW$108, MATCH('2b. Continuity Schedule'!BR$20, '2b. Continuity Schedule'!C$20:BW$20,0),FALSE)</f>
        <v>#N/A</v>
      </c>
      <c r="H38" s="41" t="e">
        <f t="shared" si="1"/>
        <v>#N/A</v>
      </c>
      <c r="I38" s="41" t="e">
        <f>VLOOKUP(A38, '2b. Continuity Schedule'!$C$20:$BW$108, MATCH('2b. Continuity Schedule'!BV$20, '2b. Continuity Schedule'!C$20:BW$20,0),FALSE)</f>
        <v>#N/A</v>
      </c>
      <c r="J38" s="41" t="e">
        <f>VLOOKUP(A38, '2b. Continuity Schedule'!$C$20:$BW$108, MATCH('2b. Continuity Schedule'!BW$20, '2b. Continuity Schedule'!C$20:BW$20,0),FALSE)</f>
        <v>#N/A</v>
      </c>
    </row>
    <row r="39" spans="1:10" ht="16.5" x14ac:dyDescent="0.2">
      <c r="A39" s="87" t="s">
        <v>35</v>
      </c>
      <c r="B39" s="83">
        <v>1595</v>
      </c>
      <c r="C39" s="41" t="e">
        <f>VLOOKUP(A39, '2b. Continuity Schedule'!$C$20:$BW$108, MATCH('2b. Continuity Schedule'!BO$20, '2b. Continuity Schedule'!C$20:BW$20,0),FALSE)</f>
        <v>#N/A</v>
      </c>
      <c r="D39" s="41" t="e">
        <f>VLOOKUP(A39, '2b. Continuity Schedule'!$C$20:$BW$108, MATCH('2b. Continuity Schedule'!BP$20, '2b. Continuity Schedule'!C$20:BW$20,0),FALSE)</f>
        <v>#N/A</v>
      </c>
      <c r="E39" s="41" t="e">
        <f t="shared" si="0"/>
        <v>#N/A</v>
      </c>
      <c r="F39" s="41" t="e">
        <f>VLOOKUP(A39, '2b. Continuity Schedule'!$C$20:$BW$108, MATCH('2b. Continuity Schedule'!BQ$20, '2b. Continuity Schedule'!C$20:BW$20,0),FALSE)</f>
        <v>#N/A</v>
      </c>
      <c r="G39" s="41" t="e">
        <f>VLOOKUP(A39, '2b. Continuity Schedule'!$C$20:$BW$108, MATCH('2b. Continuity Schedule'!BR$20, '2b. Continuity Schedule'!C$20:BW$20,0),FALSE)</f>
        <v>#N/A</v>
      </c>
      <c r="H39" s="41" t="e">
        <f t="shared" si="1"/>
        <v>#N/A</v>
      </c>
      <c r="I39" s="41" t="e">
        <f>VLOOKUP(A39, '2b. Continuity Schedule'!$C$20:$BW$108, MATCH('2b. Continuity Schedule'!BV$20, '2b. Continuity Schedule'!C$20:BW$20,0),FALSE)</f>
        <v>#N/A</v>
      </c>
      <c r="J39" s="41" t="e">
        <f>VLOOKUP(A39, '2b. Continuity Schedule'!$C$20:$BW$108, MATCH('2b. Continuity Schedule'!BW$20, '2b. Continuity Schedule'!C$20:BW$20,0),FALSE)</f>
        <v>#N/A</v>
      </c>
    </row>
    <row r="40" spans="1:10" ht="16.5" x14ac:dyDescent="0.2">
      <c r="A40" s="87" t="s">
        <v>36</v>
      </c>
      <c r="B40" s="83">
        <v>1595</v>
      </c>
      <c r="C40" s="41">
        <f>VLOOKUP(A40, '2b. Continuity Schedule'!$C$20:$BW$108, MATCH('2b. Continuity Schedule'!BO$20, '2b. Continuity Schedule'!C$20:BW$20,0),FALSE)</f>
        <v>0</v>
      </c>
      <c r="D40" s="41">
        <f>VLOOKUP(A40, '2b. Continuity Schedule'!$C$20:$BW$108, MATCH('2b. Continuity Schedule'!BP$20, '2b. Continuity Schedule'!C$20:BW$20,0),FALSE)</f>
        <v>0</v>
      </c>
      <c r="E40" s="41">
        <f t="shared" si="0"/>
        <v>0</v>
      </c>
      <c r="F40" s="41">
        <f>VLOOKUP(A40, '2b. Continuity Schedule'!$C$20:$BW$108, MATCH('2b. Continuity Schedule'!BQ$20, '2b. Continuity Schedule'!C$20:BW$20,0),FALSE)</f>
        <v>0</v>
      </c>
      <c r="G40" s="41">
        <f>VLOOKUP(A40, '2b. Continuity Schedule'!$C$20:$BW$108, MATCH('2b. Continuity Schedule'!BR$20, '2b. Continuity Schedule'!C$20:BW$20,0),FALSE)</f>
        <v>0</v>
      </c>
      <c r="H40" s="41">
        <f t="shared" si="1"/>
        <v>0</v>
      </c>
      <c r="I40" s="41">
        <f>VLOOKUP(A40, '2b. Continuity Schedule'!$C$20:$BW$108, MATCH('2b. Continuity Schedule'!BV$20, '2b. Continuity Schedule'!C$20:BW$20,0),FALSE)</f>
        <v>0</v>
      </c>
      <c r="J40" s="41">
        <f>VLOOKUP(A40, '2b. Continuity Schedule'!$C$20:$BW$108, MATCH('2b. Continuity Schedule'!BW$20, '2b. Continuity Schedule'!C$20:BW$20,0),FALSE)</f>
        <v>0</v>
      </c>
    </row>
    <row r="41" spans="1:10" ht="16.5" x14ac:dyDescent="0.2">
      <c r="A41" s="87" t="s">
        <v>37</v>
      </c>
      <c r="B41" s="83">
        <v>1595</v>
      </c>
      <c r="C41" s="41">
        <f>VLOOKUP(A41, '2b. Continuity Schedule'!$C$20:$BW$108, MATCH('2b. Continuity Schedule'!BO$20, '2b. Continuity Schedule'!C$20:BW$20,0),FALSE)</f>
        <v>0</v>
      </c>
      <c r="D41" s="41">
        <f>VLOOKUP(A41, '2b. Continuity Schedule'!$C$20:$BW$108, MATCH('2b. Continuity Schedule'!BP$20, '2b. Continuity Schedule'!C$20:BW$20,0),FALSE)</f>
        <v>0</v>
      </c>
      <c r="E41" s="41">
        <f t="shared" si="0"/>
        <v>0</v>
      </c>
      <c r="F41" s="41">
        <f>VLOOKUP(A41, '2b. Continuity Schedule'!$C$20:$BW$108, MATCH('2b. Continuity Schedule'!BQ$20, '2b. Continuity Schedule'!C$20:BW$20,0),FALSE)</f>
        <v>0</v>
      </c>
      <c r="G41" s="41">
        <f>VLOOKUP(A41, '2b. Continuity Schedule'!$C$20:$BW$108, MATCH('2b. Continuity Schedule'!BR$20, '2b. Continuity Schedule'!C$20:BW$20,0),FALSE)</f>
        <v>0</v>
      </c>
      <c r="H41" s="41">
        <f t="shared" si="1"/>
        <v>0</v>
      </c>
      <c r="I41" s="41">
        <f>VLOOKUP(A41, '2b. Continuity Schedule'!$C$20:$BW$108, MATCH('2b. Continuity Schedule'!BV$20, '2b. Continuity Schedule'!C$20:BW$20,0),FALSE)</f>
        <v>0</v>
      </c>
      <c r="J41" s="41">
        <f>VLOOKUP(A41, '2b. Continuity Schedule'!$C$20:$BW$108, MATCH('2b. Continuity Schedule'!BW$20, '2b. Continuity Schedule'!C$20:BW$20,0),FALSE)</f>
        <v>0</v>
      </c>
    </row>
    <row r="42" spans="1:10" ht="16.5" x14ac:dyDescent="0.2">
      <c r="A42" s="87" t="s">
        <v>69</v>
      </c>
      <c r="B42" s="83">
        <v>1595</v>
      </c>
      <c r="C42" s="41">
        <f>VLOOKUP(A42, '2b. Continuity Schedule'!$C$20:$BW$108, MATCH('2b. Continuity Schedule'!BO$20, '2b. Continuity Schedule'!C$20:BW$20,0),FALSE)</f>
        <v>0</v>
      </c>
      <c r="D42" s="41">
        <f>VLOOKUP(A42, '2b. Continuity Schedule'!$C$20:$BW$108, MATCH('2b. Continuity Schedule'!BP$20, '2b. Continuity Schedule'!C$20:BW$20,0),FALSE)</f>
        <v>0</v>
      </c>
      <c r="E42" s="41">
        <f t="shared" si="0"/>
        <v>0</v>
      </c>
      <c r="F42" s="41">
        <f>VLOOKUP(A42, '2b. Continuity Schedule'!$C$20:$BW$108, MATCH('2b. Continuity Schedule'!BQ$20, '2b. Continuity Schedule'!C$20:BW$20,0),FALSE)</f>
        <v>0</v>
      </c>
      <c r="G42" s="41">
        <f>VLOOKUP(A42, '2b. Continuity Schedule'!$C$20:$BW$108, MATCH('2b. Continuity Schedule'!BR$20, '2b. Continuity Schedule'!C$20:BW$20,0),FALSE)</f>
        <v>0</v>
      </c>
      <c r="H42" s="41">
        <f t="shared" si="1"/>
        <v>0</v>
      </c>
      <c r="I42" s="41">
        <f>VLOOKUP(A42, '2b. Continuity Schedule'!$C$20:$BW$108, MATCH('2b. Continuity Schedule'!BV$20, '2b. Continuity Schedule'!C$20:BW$20,0),FALSE)</f>
        <v>0</v>
      </c>
      <c r="J42" s="41">
        <f>VLOOKUP(A42, '2b. Continuity Schedule'!$C$20:$BW$108, MATCH('2b. Continuity Schedule'!BW$20, '2b. Continuity Schedule'!C$20:BW$20,0),FALSE)</f>
        <v>0</v>
      </c>
    </row>
    <row r="43" spans="1:10" ht="16.5" x14ac:dyDescent="0.2">
      <c r="A43" s="87" t="s">
        <v>130</v>
      </c>
      <c r="B43" s="83">
        <v>1595</v>
      </c>
      <c r="C43" s="41">
        <f>VLOOKUP(A43, '2b. Continuity Schedule'!$C$20:$BW$108, MATCH('2b. Continuity Schedule'!BO$20, '2b. Continuity Schedule'!C$20:BW$20,0),FALSE)</f>
        <v>0</v>
      </c>
      <c r="D43" s="41">
        <f>VLOOKUP(A43, '2b. Continuity Schedule'!$C$20:$BW$108, MATCH('2b. Continuity Schedule'!BP$20, '2b. Continuity Schedule'!C$20:BW$20,0),FALSE)</f>
        <v>0</v>
      </c>
      <c r="E43" s="41">
        <f t="shared" si="0"/>
        <v>0</v>
      </c>
      <c r="F43" s="41">
        <f>VLOOKUP(A43, '2b. Continuity Schedule'!$C$20:$BW$108, MATCH('2b. Continuity Schedule'!BQ$20, '2b. Continuity Schedule'!C$20:BW$20,0),FALSE)</f>
        <v>0</v>
      </c>
      <c r="G43" s="41">
        <f>VLOOKUP(A43, '2b. Continuity Schedule'!$C$20:$BW$108, MATCH('2b. Continuity Schedule'!BR$20, '2b. Continuity Schedule'!C$20:BW$20,0),FALSE)</f>
        <v>0</v>
      </c>
      <c r="H43" s="41">
        <f t="shared" si="1"/>
        <v>0</v>
      </c>
      <c r="I43" s="41">
        <f>VLOOKUP(A43, '2b. Continuity Schedule'!$C$20:$BW$108, MATCH('2b. Continuity Schedule'!BV$20, '2b. Continuity Schedule'!C$20:BW$20,0),FALSE)</f>
        <v>0</v>
      </c>
      <c r="J43" s="41">
        <f>VLOOKUP(A43, '2b. Continuity Schedule'!$C$20:$BW$108, MATCH('2b. Continuity Schedule'!BW$20, '2b. Continuity Schedule'!C$20:BW$20,0),FALSE)</f>
        <v>0</v>
      </c>
    </row>
    <row r="44" spans="1:10" ht="14.25" x14ac:dyDescent="0.2">
      <c r="A44" s="82" t="s">
        <v>7</v>
      </c>
      <c r="B44" s="83">
        <v>2425</v>
      </c>
      <c r="C44" s="41">
        <f>VLOOKUP(A44, '2b. Continuity Schedule'!$C$20:$BW$108, MATCH('2b. Continuity Schedule'!BO$20, '2b. Continuity Schedule'!C$20:BW$20,0),FALSE)</f>
        <v>0</v>
      </c>
      <c r="D44" s="41">
        <f>VLOOKUP(A44, '2b. Continuity Schedule'!$C$20:$BW$108, MATCH('2b. Continuity Schedule'!BP$20, '2b. Continuity Schedule'!C$20:BW$20,0),FALSE)</f>
        <v>0</v>
      </c>
      <c r="E44" s="41">
        <f t="shared" si="0"/>
        <v>0</v>
      </c>
      <c r="F44" s="41">
        <f>VLOOKUP(A44, '2b. Continuity Schedule'!$C$20:$BW$108, MATCH('2b. Continuity Schedule'!BQ$20, '2b. Continuity Schedule'!C$20:BW$20,0),FALSE)</f>
        <v>0</v>
      </c>
      <c r="G44" s="41">
        <f>VLOOKUP(A44, '2b. Continuity Schedule'!$C$20:$BW$108, MATCH('2b. Continuity Schedule'!BR$20, '2b. Continuity Schedule'!C$20:BW$20,0),FALSE)</f>
        <v>0</v>
      </c>
      <c r="H44" s="41">
        <f t="shared" si="1"/>
        <v>0</v>
      </c>
      <c r="I44" s="41">
        <f>VLOOKUP(A44, '2b. Continuity Schedule'!$C$20:$BW$108, MATCH('2b. Continuity Schedule'!BV$20, '2b. Continuity Schedule'!C$20:BW$20,0),FALSE)</f>
        <v>0</v>
      </c>
      <c r="J44" s="41">
        <f>VLOOKUP(A44, '2b. Continuity Schedule'!$C$20:$BW$108, MATCH('2b. Continuity Schedule'!BW$20, '2b. Continuity Schedule'!C$20:BW$20,0),FALSE)</f>
        <v>0</v>
      </c>
    </row>
    <row r="45" spans="1:10" ht="14.25" x14ac:dyDescent="0.2">
      <c r="A45" s="3"/>
      <c r="B45" s="3"/>
    </row>
    <row r="46" spans="1:10" ht="15" x14ac:dyDescent="0.25">
      <c r="A46" s="6"/>
      <c r="B46" s="6"/>
    </row>
    <row r="47" spans="1:10" ht="15" x14ac:dyDescent="0.25">
      <c r="A47" s="6"/>
      <c r="B47" s="6"/>
    </row>
    <row r="48" spans="1:10" ht="15" x14ac:dyDescent="0.25">
      <c r="A48" s="7"/>
      <c r="B48" s="8"/>
    </row>
    <row r="49" spans="1:2" ht="15" x14ac:dyDescent="0.25">
      <c r="A49" s="7"/>
      <c r="B49" s="7"/>
    </row>
    <row r="50" spans="1:2" ht="23.25" x14ac:dyDescent="0.25">
      <c r="A50" s="27"/>
      <c r="B50" s="7"/>
    </row>
    <row r="51" spans="1:2" ht="14.25" x14ac:dyDescent="0.2">
      <c r="A51" s="3"/>
      <c r="B51" s="3"/>
    </row>
    <row r="52" spans="1:2" ht="15" x14ac:dyDescent="0.25">
      <c r="A52" s="6"/>
      <c r="B52" s="3"/>
    </row>
    <row r="53" spans="1:2" ht="14.25" x14ac:dyDescent="0.2">
      <c r="A53" s="3"/>
      <c r="B53" s="3"/>
    </row>
    <row r="54" spans="1:2" ht="14.25" x14ac:dyDescent="0.2">
      <c r="A54" s="3"/>
      <c r="B54" s="3"/>
    </row>
    <row r="55" spans="1:2" ht="15" x14ac:dyDescent="0.25">
      <c r="A55" s="6"/>
      <c r="B55" s="3"/>
    </row>
    <row r="56" spans="1:2" ht="14.25" x14ac:dyDescent="0.2">
      <c r="A56" s="3"/>
      <c r="B56" s="3"/>
    </row>
    <row r="57" spans="1:2" ht="14.25" x14ac:dyDescent="0.2">
      <c r="A57" s="3"/>
      <c r="B57" s="3"/>
    </row>
    <row r="58" spans="1:2" ht="15" x14ac:dyDescent="0.25">
      <c r="A58" s="28"/>
      <c r="B58" s="29"/>
    </row>
    <row r="59" spans="1:2" ht="15" x14ac:dyDescent="0.25">
      <c r="A59" s="28"/>
      <c r="B59" s="29"/>
    </row>
    <row r="60" spans="1:2" ht="15" x14ac:dyDescent="0.25">
      <c r="A60" s="6"/>
      <c r="B60" s="3"/>
    </row>
    <row r="61" spans="1:2" ht="14.25" x14ac:dyDescent="0.2">
      <c r="A61" s="3"/>
      <c r="B61" s="3"/>
    </row>
    <row r="62" spans="1:2" ht="14.25" x14ac:dyDescent="0.2">
      <c r="A62" s="3"/>
      <c r="B62" s="5"/>
    </row>
  </sheetData>
  <sheetProtection algorithmName="SHA-512" hashValue="o5d570N8ltdaPKx6Vby+SsBYuahEea8PsN/bnfSERq+R5efavbxzv96PwgxnkQ59tMxyDDmNja+JA5ASeT52sw==" saltValue="A+Iipm4GcX+R/1gq59hCjA==" spinCount="100000" sheet="1" objects="1" scenarios="1"/>
  <sortState xmlns:xlrd2="http://schemas.microsoft.com/office/spreadsheetml/2017/richdata2" ref="A1:B59">
    <sortCondition ref="B1:B59"/>
  </sortState>
  <mergeCells count="8">
    <mergeCell ref="I1:I3"/>
    <mergeCell ref="J1:J3"/>
    <mergeCell ref="C1:C3"/>
    <mergeCell ref="D1:D3"/>
    <mergeCell ref="F1:F3"/>
    <mergeCell ref="G1:G3"/>
    <mergeCell ref="H1:H3"/>
    <mergeCell ref="E1:E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A1:B73"/>
  <sheetViews>
    <sheetView topLeftCell="A30" workbookViewId="0">
      <selection sqref="A1:A73"/>
    </sheetView>
  </sheetViews>
  <sheetFormatPr defaultRowHeight="12.75" x14ac:dyDescent="0.2"/>
  <cols>
    <col min="1" max="1" width="72" bestFit="1" customWidth="1"/>
    <col min="2" max="2" width="11" bestFit="1" customWidth="1"/>
  </cols>
  <sheetData>
    <row r="1" spans="1:2" x14ac:dyDescent="0.2">
      <c r="A1" s="496" t="s">
        <v>2931</v>
      </c>
      <c r="B1" s="496" t="s">
        <v>3022</v>
      </c>
    </row>
    <row r="2" spans="1:2" x14ac:dyDescent="0.2">
      <c r="A2" s="496" t="s">
        <v>2932</v>
      </c>
      <c r="B2" s="496" t="s">
        <v>3022</v>
      </c>
    </row>
    <row r="3" spans="1:2" x14ac:dyDescent="0.2">
      <c r="A3" s="496" t="s">
        <v>2933</v>
      </c>
      <c r="B3" s="496" t="s">
        <v>3022</v>
      </c>
    </row>
    <row r="4" spans="1:2" x14ac:dyDescent="0.2">
      <c r="A4" s="496" t="s">
        <v>2934</v>
      </c>
      <c r="B4" s="496" t="s">
        <v>3022</v>
      </c>
    </row>
    <row r="5" spans="1:2" x14ac:dyDescent="0.2">
      <c r="A5" s="496" t="s">
        <v>2935</v>
      </c>
      <c r="B5" s="496" t="s">
        <v>3022</v>
      </c>
    </row>
    <row r="6" spans="1:2" x14ac:dyDescent="0.2">
      <c r="A6" s="496" t="s">
        <v>77</v>
      </c>
      <c r="B6" s="496" t="s">
        <v>2962</v>
      </c>
    </row>
    <row r="7" spans="1:2" x14ac:dyDescent="0.2">
      <c r="A7" s="496" t="s">
        <v>78</v>
      </c>
      <c r="B7" s="496" t="s">
        <v>2963</v>
      </c>
    </row>
    <row r="8" spans="1:2" x14ac:dyDescent="0.2">
      <c r="A8" s="496" t="s">
        <v>79</v>
      </c>
      <c r="B8" s="496" t="s">
        <v>2964</v>
      </c>
    </row>
    <row r="9" spans="1:2" x14ac:dyDescent="0.2">
      <c r="A9" s="496" t="s">
        <v>80</v>
      </c>
      <c r="B9" s="496" t="s">
        <v>2965</v>
      </c>
    </row>
    <row r="10" spans="1:2" x14ac:dyDescent="0.2">
      <c r="A10" s="496" t="s">
        <v>81</v>
      </c>
      <c r="B10" s="496" t="s">
        <v>2966</v>
      </c>
    </row>
    <row r="11" spans="1:2" x14ac:dyDescent="0.2">
      <c r="A11" s="496" t="s">
        <v>82</v>
      </c>
      <c r="B11" s="496" t="s">
        <v>2967</v>
      </c>
    </row>
    <row r="12" spans="1:2" x14ac:dyDescent="0.2">
      <c r="A12" s="496" t="s">
        <v>83</v>
      </c>
      <c r="B12" s="496" t="s">
        <v>2968</v>
      </c>
    </row>
    <row r="13" spans="1:2" x14ac:dyDescent="0.2">
      <c r="A13" s="497" t="s">
        <v>84</v>
      </c>
      <c r="B13" s="496" t="s">
        <v>2969</v>
      </c>
    </row>
    <row r="14" spans="1:2" x14ac:dyDescent="0.2">
      <c r="A14" s="496" t="s">
        <v>85</v>
      </c>
      <c r="B14" s="496" t="s">
        <v>2970</v>
      </c>
    </row>
    <row r="15" spans="1:2" x14ac:dyDescent="0.2">
      <c r="A15" s="496" t="s">
        <v>86</v>
      </c>
      <c r="B15" s="496" t="s">
        <v>2971</v>
      </c>
    </row>
    <row r="16" spans="1:2" x14ac:dyDescent="0.2">
      <c r="A16" s="496" t="s">
        <v>2936</v>
      </c>
      <c r="B16" s="496" t="s">
        <v>3021</v>
      </c>
    </row>
    <row r="17" spans="1:2" x14ac:dyDescent="0.2">
      <c r="A17" s="496" t="s">
        <v>2937</v>
      </c>
      <c r="B17" s="496" t="s">
        <v>3021</v>
      </c>
    </row>
    <row r="18" spans="1:2" x14ac:dyDescent="0.2">
      <c r="A18" s="496" t="s">
        <v>198</v>
      </c>
      <c r="B18" s="496" t="s">
        <v>2972</v>
      </c>
    </row>
    <row r="19" spans="1:2" x14ac:dyDescent="0.2">
      <c r="A19" s="496" t="s">
        <v>2938</v>
      </c>
      <c r="B19" s="496" t="s">
        <v>3020</v>
      </c>
    </row>
    <row r="20" spans="1:2" x14ac:dyDescent="0.2">
      <c r="A20" s="496" t="s">
        <v>2939</v>
      </c>
      <c r="B20" s="496" t="s">
        <v>3020</v>
      </c>
    </row>
    <row r="21" spans="1:2" x14ac:dyDescent="0.2">
      <c r="A21" s="496" t="s">
        <v>435</v>
      </c>
      <c r="B21" s="496" t="s">
        <v>2973</v>
      </c>
    </row>
    <row r="22" spans="1:2" x14ac:dyDescent="0.2">
      <c r="A22" s="496" t="s">
        <v>436</v>
      </c>
      <c r="B22" s="496" t="s">
        <v>2974</v>
      </c>
    </row>
    <row r="23" spans="1:2" x14ac:dyDescent="0.2">
      <c r="A23" s="496" t="s">
        <v>437</v>
      </c>
      <c r="B23" s="496" t="s">
        <v>2975</v>
      </c>
    </row>
    <row r="24" spans="1:2" x14ac:dyDescent="0.2">
      <c r="A24" s="496" t="s">
        <v>438</v>
      </c>
      <c r="B24" s="496" t="s">
        <v>2976</v>
      </c>
    </row>
    <row r="25" spans="1:2" x14ac:dyDescent="0.2">
      <c r="A25" s="497" t="s">
        <v>88</v>
      </c>
      <c r="B25" s="496" t="s">
        <v>2977</v>
      </c>
    </row>
    <row r="26" spans="1:2" x14ac:dyDescent="0.2">
      <c r="A26" s="496" t="s">
        <v>89</v>
      </c>
      <c r="B26" s="496" t="s">
        <v>2978</v>
      </c>
    </row>
    <row r="27" spans="1:2" x14ac:dyDescent="0.2">
      <c r="A27" s="496" t="s">
        <v>90</v>
      </c>
      <c r="B27" s="496" t="s">
        <v>2979</v>
      </c>
    </row>
    <row r="28" spans="1:2" x14ac:dyDescent="0.2">
      <c r="A28" s="496" t="s">
        <v>91</v>
      </c>
      <c r="B28" s="496" t="s">
        <v>2980</v>
      </c>
    </row>
    <row r="29" spans="1:2" x14ac:dyDescent="0.2">
      <c r="A29" s="496" t="s">
        <v>92</v>
      </c>
      <c r="B29" s="496" t="s">
        <v>2981</v>
      </c>
    </row>
    <row r="30" spans="1:2" x14ac:dyDescent="0.2">
      <c r="A30" s="496" t="s">
        <v>199</v>
      </c>
      <c r="B30" s="496" t="s">
        <v>2982</v>
      </c>
    </row>
    <row r="31" spans="1:2" x14ac:dyDescent="0.2">
      <c r="A31" s="496" t="s">
        <v>93</v>
      </c>
      <c r="B31" s="496" t="s">
        <v>2983</v>
      </c>
    </row>
    <row r="32" spans="1:2" x14ac:dyDescent="0.2">
      <c r="A32" s="496" t="s">
        <v>439</v>
      </c>
      <c r="B32" s="496" t="s">
        <v>2984</v>
      </c>
    </row>
    <row r="33" spans="1:2" x14ac:dyDescent="0.2">
      <c r="A33" s="497" t="s">
        <v>94</v>
      </c>
      <c r="B33" s="496" t="s">
        <v>2985</v>
      </c>
    </row>
    <row r="34" spans="1:2" x14ac:dyDescent="0.2">
      <c r="A34" s="496" t="s">
        <v>95</v>
      </c>
      <c r="B34" s="496" t="s">
        <v>2986</v>
      </c>
    </row>
    <row r="35" spans="1:2" x14ac:dyDescent="0.2">
      <c r="A35" s="496" t="s">
        <v>96</v>
      </c>
      <c r="B35" s="496" t="s">
        <v>2987</v>
      </c>
    </row>
    <row r="36" spans="1:2" x14ac:dyDescent="0.2">
      <c r="A36" s="496" t="s">
        <v>2940</v>
      </c>
      <c r="B36" s="496" t="s">
        <v>2987</v>
      </c>
    </row>
    <row r="37" spans="1:2" x14ac:dyDescent="0.2">
      <c r="A37" s="496" t="s">
        <v>2941</v>
      </c>
      <c r="B37" s="496" t="s">
        <v>2987</v>
      </c>
    </row>
    <row r="38" spans="1:2" x14ac:dyDescent="0.2">
      <c r="A38" s="496" t="s">
        <v>2942</v>
      </c>
      <c r="B38" s="496" t="s">
        <v>2987</v>
      </c>
    </row>
    <row r="39" spans="1:2" x14ac:dyDescent="0.2">
      <c r="A39" s="496" t="s">
        <v>2943</v>
      </c>
      <c r="B39" s="496" t="s">
        <v>2988</v>
      </c>
    </row>
    <row r="40" spans="1:2" x14ac:dyDescent="0.2">
      <c r="A40" s="496" t="s">
        <v>97</v>
      </c>
      <c r="B40" s="496" t="s">
        <v>2989</v>
      </c>
    </row>
    <row r="41" spans="1:2" x14ac:dyDescent="0.2">
      <c r="A41" s="496" t="s">
        <v>200</v>
      </c>
      <c r="B41" s="496" t="s">
        <v>2990</v>
      </c>
    </row>
    <row r="42" spans="1:2" x14ac:dyDescent="0.2">
      <c r="A42" s="496" t="s">
        <v>98</v>
      </c>
      <c r="B42" s="496" t="s">
        <v>2991</v>
      </c>
    </row>
    <row r="43" spans="1:2" x14ac:dyDescent="0.2">
      <c r="A43" s="496" t="s">
        <v>99</v>
      </c>
      <c r="B43" s="496" t="s">
        <v>2992</v>
      </c>
    </row>
    <row r="44" spans="1:2" x14ac:dyDescent="0.2">
      <c r="A44" s="496" t="s">
        <v>100</v>
      </c>
      <c r="B44" s="496" t="s">
        <v>2993</v>
      </c>
    </row>
    <row r="45" spans="1:2" x14ac:dyDescent="0.2">
      <c r="A45" s="496" t="s">
        <v>101</v>
      </c>
      <c r="B45" s="496" t="s">
        <v>2994</v>
      </c>
    </row>
    <row r="46" spans="1:2" x14ac:dyDescent="0.2">
      <c r="A46" s="496" t="s">
        <v>2944</v>
      </c>
      <c r="B46" s="496" t="s">
        <v>2994</v>
      </c>
    </row>
    <row r="47" spans="1:2" x14ac:dyDescent="0.2">
      <c r="A47" s="496" t="s">
        <v>102</v>
      </c>
      <c r="B47" s="496" t="s">
        <v>2995</v>
      </c>
    </row>
    <row r="48" spans="1:2" x14ac:dyDescent="0.2">
      <c r="A48" s="496" t="s">
        <v>129</v>
      </c>
      <c r="B48" s="496" t="s">
        <v>2996</v>
      </c>
    </row>
    <row r="49" spans="1:2" x14ac:dyDescent="0.2">
      <c r="A49" s="496" t="s">
        <v>2945</v>
      </c>
      <c r="B49" s="496" t="s">
        <v>3019</v>
      </c>
    </row>
    <row r="50" spans="1:2" x14ac:dyDescent="0.2">
      <c r="A50" s="496" t="s">
        <v>2946</v>
      </c>
      <c r="B50" s="496" t="s">
        <v>3019</v>
      </c>
    </row>
    <row r="51" spans="1:2" x14ac:dyDescent="0.2">
      <c r="A51" s="496" t="s">
        <v>103</v>
      </c>
      <c r="B51" s="496" t="s">
        <v>2997</v>
      </c>
    </row>
    <row r="52" spans="1:2" x14ac:dyDescent="0.2">
      <c r="A52" s="496" t="s">
        <v>104</v>
      </c>
      <c r="B52" s="496" t="s">
        <v>2998</v>
      </c>
    </row>
    <row r="53" spans="1:2" x14ac:dyDescent="0.2">
      <c r="A53" s="496" t="s">
        <v>105</v>
      </c>
      <c r="B53" s="496" t="s">
        <v>2999</v>
      </c>
    </row>
    <row r="54" spans="1:2" x14ac:dyDescent="0.2">
      <c r="A54" s="496" t="s">
        <v>106</v>
      </c>
      <c r="B54" s="496" t="s">
        <v>3000</v>
      </c>
    </row>
    <row r="55" spans="1:2" x14ac:dyDescent="0.2">
      <c r="A55" s="496" t="s">
        <v>107</v>
      </c>
      <c r="B55" s="496" t="s">
        <v>3001</v>
      </c>
    </row>
    <row r="56" spans="1:2" x14ac:dyDescent="0.2">
      <c r="A56" s="496" t="s">
        <v>108</v>
      </c>
      <c r="B56" s="496" t="s">
        <v>3002</v>
      </c>
    </row>
    <row r="57" spans="1:2" x14ac:dyDescent="0.2">
      <c r="A57" s="496" t="s">
        <v>109</v>
      </c>
      <c r="B57" s="496" t="s">
        <v>3003</v>
      </c>
    </row>
    <row r="58" spans="1:2" x14ac:dyDescent="0.2">
      <c r="A58" s="496" t="s">
        <v>110</v>
      </c>
      <c r="B58" s="496" t="s">
        <v>3004</v>
      </c>
    </row>
    <row r="59" spans="1:2" x14ac:dyDescent="0.2">
      <c r="A59" s="496" t="s">
        <v>111</v>
      </c>
      <c r="B59" s="496" t="s">
        <v>3005</v>
      </c>
    </row>
    <row r="60" spans="1:2" x14ac:dyDescent="0.2">
      <c r="A60" s="496" t="s">
        <v>112</v>
      </c>
      <c r="B60" s="496" t="s">
        <v>3006</v>
      </c>
    </row>
    <row r="61" spans="1:2" x14ac:dyDescent="0.2">
      <c r="A61" s="496" t="s">
        <v>113</v>
      </c>
      <c r="B61" s="496" t="s">
        <v>3007</v>
      </c>
    </row>
    <row r="62" spans="1:2" x14ac:dyDescent="0.2">
      <c r="A62" s="496" t="s">
        <v>114</v>
      </c>
      <c r="B62" s="496" t="s">
        <v>3008</v>
      </c>
    </row>
    <row r="63" spans="1:2" x14ac:dyDescent="0.2">
      <c r="A63" s="496" t="s">
        <v>440</v>
      </c>
      <c r="B63" s="496" t="s">
        <v>3009</v>
      </c>
    </row>
    <row r="64" spans="1:2" x14ac:dyDescent="0.2">
      <c r="A64" s="496" t="s">
        <v>115</v>
      </c>
      <c r="B64" s="496" t="s">
        <v>3010</v>
      </c>
    </row>
    <row r="65" spans="1:2" x14ac:dyDescent="0.2">
      <c r="A65" s="496" t="s">
        <v>2947</v>
      </c>
      <c r="B65" s="496" t="s">
        <v>3018</v>
      </c>
    </row>
    <row r="66" spans="1:2" x14ac:dyDescent="0.2">
      <c r="A66" s="496" t="s">
        <v>2948</v>
      </c>
      <c r="B66" s="496" t="s">
        <v>3018</v>
      </c>
    </row>
    <row r="67" spans="1:2" x14ac:dyDescent="0.2">
      <c r="A67" s="496" t="s">
        <v>116</v>
      </c>
      <c r="B67" s="496" t="s">
        <v>3011</v>
      </c>
    </row>
    <row r="68" spans="1:2" x14ac:dyDescent="0.2">
      <c r="A68" s="496" t="s">
        <v>117</v>
      </c>
      <c r="B68" s="496" t="s">
        <v>3012</v>
      </c>
    </row>
    <row r="69" spans="1:2" x14ac:dyDescent="0.2">
      <c r="A69" s="496" t="s">
        <v>118</v>
      </c>
      <c r="B69" s="496" t="s">
        <v>3013</v>
      </c>
    </row>
    <row r="70" spans="1:2" x14ac:dyDescent="0.2">
      <c r="A70" s="496" t="s">
        <v>119</v>
      </c>
      <c r="B70" s="496" t="s">
        <v>3014</v>
      </c>
    </row>
    <row r="71" spans="1:2" x14ac:dyDescent="0.2">
      <c r="A71" s="496" t="s">
        <v>201</v>
      </c>
      <c r="B71" s="496" t="s">
        <v>3015</v>
      </c>
    </row>
    <row r="72" spans="1:2" x14ac:dyDescent="0.2">
      <c r="A72" s="496" t="s">
        <v>120</v>
      </c>
      <c r="B72" s="496" t="s">
        <v>3016</v>
      </c>
    </row>
    <row r="73" spans="1:2" x14ac:dyDescent="0.2">
      <c r="A73" s="496" t="s">
        <v>121</v>
      </c>
      <c r="B73" s="496" t="s">
        <v>3017</v>
      </c>
    </row>
  </sheetData>
  <sheetProtection algorithmName="SHA-512" hashValue="CRQec4LS4Vouv8dN3yPBi5JA8VAREHJnK+5j+ihg9XR8G7wxGUbAjgzc6fqTT3rp1lHD3GiG0cKXuuZzxKeYpg==" saltValue="jECk2lPSLYf6FfLOrvb/tA=="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1:G108"/>
  <sheetViews>
    <sheetView zoomScale="85" zoomScaleNormal="85" workbookViewId="0">
      <selection activeCell="A11" sqref="A11"/>
    </sheetView>
  </sheetViews>
  <sheetFormatPr defaultColWidth="8" defaultRowHeight="14.25" x14ac:dyDescent="0.2"/>
  <cols>
    <col min="1" max="1" width="17.140625" style="502" customWidth="1"/>
    <col min="2" max="2" width="3.7109375" style="502" customWidth="1"/>
    <col min="3" max="3" width="32" style="503" customWidth="1"/>
    <col min="4" max="4" width="8" style="504"/>
    <col min="5" max="5" width="24" style="505" customWidth="1"/>
    <col min="6" max="6" width="107.28515625" style="506" customWidth="1"/>
    <col min="7" max="16384" width="8" style="506"/>
  </cols>
  <sheetData>
    <row r="1" spans="1:6" ht="13.9" customHeight="1" x14ac:dyDescent="0.2"/>
    <row r="2" spans="1:6" ht="13.9" customHeight="1" x14ac:dyDescent="0.2"/>
    <row r="3" spans="1:6" ht="13.9" customHeight="1" x14ac:dyDescent="0.2"/>
    <row r="4" spans="1:6" ht="13.9" customHeight="1" x14ac:dyDescent="0.2"/>
    <row r="5" spans="1:6" ht="13.9" customHeight="1" x14ac:dyDescent="0.2"/>
    <row r="6" spans="1:6" ht="13.9" customHeight="1" x14ac:dyDescent="0.2"/>
    <row r="7" spans="1:6" ht="13.9" customHeight="1" x14ac:dyDescent="0.2"/>
    <row r="8" spans="1:6" ht="13.9" customHeight="1" x14ac:dyDescent="0.2"/>
    <row r="9" spans="1:6" ht="13.9" customHeight="1" x14ac:dyDescent="0.2"/>
    <row r="10" spans="1:6" ht="13.9" customHeight="1" x14ac:dyDescent="0.2"/>
    <row r="11" spans="1:6" ht="13.9" customHeight="1" x14ac:dyDescent="0.2"/>
    <row r="12" spans="1:6" ht="13.9" customHeight="1" thickBot="1" x14ac:dyDescent="0.25"/>
    <row r="13" spans="1:6" ht="15" customHeight="1" thickBot="1" x14ac:dyDescent="0.3">
      <c r="A13" s="507"/>
      <c r="B13" s="669" t="s">
        <v>2875</v>
      </c>
      <c r="C13" s="670"/>
      <c r="D13" s="670"/>
      <c r="E13" s="670"/>
      <c r="F13" s="671"/>
    </row>
    <row r="14" spans="1:6" ht="15.75" x14ac:dyDescent="0.25">
      <c r="A14" s="507"/>
      <c r="B14" s="508"/>
      <c r="C14" s="509"/>
      <c r="D14" s="510"/>
      <c r="E14" s="511"/>
      <c r="F14" s="512"/>
    </row>
    <row r="15" spans="1:6" s="516" customFormat="1" ht="13.5" x14ac:dyDescent="0.2">
      <c r="A15" s="513"/>
      <c r="B15" s="514">
        <v>1</v>
      </c>
      <c r="C15" s="576" t="s">
        <v>3474</v>
      </c>
      <c r="D15" s="576"/>
      <c r="E15" s="577"/>
      <c r="F15" s="515"/>
    </row>
    <row r="16" spans="1:6" s="516" customFormat="1" ht="13.5" x14ac:dyDescent="0.2">
      <c r="A16" s="513"/>
      <c r="B16" s="514"/>
      <c r="C16" s="578"/>
      <c r="D16" s="576"/>
      <c r="E16" s="577"/>
      <c r="F16" s="515"/>
    </row>
    <row r="17" spans="1:6" s="516" customFormat="1" ht="13.5" x14ac:dyDescent="0.2">
      <c r="A17" s="513"/>
      <c r="B17" s="514">
        <v>2</v>
      </c>
      <c r="C17" s="673" t="s">
        <v>3439</v>
      </c>
      <c r="D17" s="673"/>
      <c r="E17" s="673"/>
      <c r="F17" s="674"/>
    </row>
    <row r="18" spans="1:6" s="516" customFormat="1" ht="13.5" x14ac:dyDescent="0.2">
      <c r="A18" s="513"/>
      <c r="B18" s="514"/>
      <c r="C18" s="672"/>
      <c r="D18" s="673"/>
      <c r="E18" s="673"/>
      <c r="F18" s="674"/>
    </row>
    <row r="19" spans="1:6" s="516" customFormat="1" ht="27.6" customHeight="1" x14ac:dyDescent="0.2">
      <c r="A19" s="513"/>
      <c r="B19" s="514">
        <v>3</v>
      </c>
      <c r="C19" s="673" t="s">
        <v>3440</v>
      </c>
      <c r="D19" s="673"/>
      <c r="E19" s="673"/>
      <c r="F19" s="674"/>
    </row>
    <row r="20" spans="1:6" s="516" customFormat="1" ht="13.5" x14ac:dyDescent="0.2">
      <c r="A20" s="513"/>
      <c r="B20" s="514"/>
      <c r="C20" s="673"/>
      <c r="D20" s="673"/>
      <c r="E20" s="673"/>
      <c r="F20" s="674"/>
    </row>
    <row r="21" spans="1:6" ht="15.75" thickBot="1" x14ac:dyDescent="0.25">
      <c r="A21" s="507"/>
      <c r="B21" s="517"/>
      <c r="C21" s="518"/>
      <c r="D21" s="518"/>
      <c r="E21" s="519"/>
      <c r="F21" s="520"/>
    </row>
    <row r="22" spans="1:6" ht="13.9" customHeight="1" x14ac:dyDescent="0.2"/>
    <row r="23" spans="1:6" ht="13.9" customHeight="1" x14ac:dyDescent="0.2"/>
    <row r="24" spans="1:6" ht="18" x14ac:dyDescent="0.2">
      <c r="A24" s="521" t="s">
        <v>419</v>
      </c>
      <c r="B24" s="521"/>
      <c r="C24" s="522"/>
    </row>
    <row r="26" spans="1:6" ht="15" customHeight="1" x14ac:dyDescent="0.2">
      <c r="A26" s="523" t="s">
        <v>383</v>
      </c>
      <c r="B26" s="677" t="s">
        <v>384</v>
      </c>
      <c r="C26" s="678"/>
      <c r="D26" s="524" t="s">
        <v>385</v>
      </c>
      <c r="E26" s="679" t="s">
        <v>419</v>
      </c>
      <c r="F26" s="680"/>
    </row>
    <row r="27" spans="1:6" s="516" customFormat="1" ht="14.25" customHeight="1" x14ac:dyDescent="0.2">
      <c r="A27" s="703" t="s">
        <v>2876</v>
      </c>
      <c r="B27" s="689" t="s">
        <v>2877</v>
      </c>
      <c r="C27" s="690"/>
      <c r="D27" s="531">
        <v>1</v>
      </c>
      <c r="E27" s="675" t="s">
        <v>2878</v>
      </c>
      <c r="F27" s="676"/>
    </row>
    <row r="28" spans="1:6" s="516" customFormat="1" ht="14.25" customHeight="1" x14ac:dyDescent="0.2">
      <c r="A28" s="704"/>
      <c r="B28" s="697"/>
      <c r="C28" s="698"/>
      <c r="D28" s="525"/>
      <c r="E28" s="579"/>
      <c r="F28" s="580"/>
    </row>
    <row r="29" spans="1:6" s="516" customFormat="1" ht="13.5" x14ac:dyDescent="0.2">
      <c r="A29" s="704"/>
      <c r="B29" s="697"/>
      <c r="C29" s="698"/>
      <c r="D29" s="525"/>
      <c r="E29" s="710" t="s">
        <v>2902</v>
      </c>
      <c r="F29" s="711"/>
    </row>
    <row r="30" spans="1:6" s="516" customFormat="1" ht="13.5" x14ac:dyDescent="0.2">
      <c r="A30" s="704"/>
      <c r="B30" s="697"/>
      <c r="C30" s="698"/>
      <c r="D30" s="525"/>
      <c r="E30" s="681" t="s">
        <v>2879</v>
      </c>
      <c r="F30" s="682"/>
    </row>
    <row r="31" spans="1:6" s="516" customFormat="1" ht="42.75" customHeight="1" x14ac:dyDescent="0.2">
      <c r="A31" s="704"/>
      <c r="B31" s="697"/>
      <c r="C31" s="698"/>
      <c r="D31" s="525"/>
      <c r="E31" s="683" t="s">
        <v>3077</v>
      </c>
      <c r="F31" s="684"/>
    </row>
    <row r="32" spans="1:6" s="516" customFormat="1" ht="13.5" x14ac:dyDescent="0.2">
      <c r="A32" s="704"/>
      <c r="B32" s="697"/>
      <c r="C32" s="698"/>
      <c r="D32" s="525"/>
      <c r="E32" s="681"/>
      <c r="F32" s="682"/>
    </row>
    <row r="33" spans="1:7" s="516" customFormat="1" ht="13.5" x14ac:dyDescent="0.2">
      <c r="A33" s="704"/>
      <c r="B33" s="697"/>
      <c r="C33" s="698"/>
      <c r="D33" s="525"/>
      <c r="E33" s="685" t="s">
        <v>2903</v>
      </c>
      <c r="F33" s="686"/>
    </row>
    <row r="34" spans="1:7" s="516" customFormat="1" ht="15" customHeight="1" x14ac:dyDescent="0.2">
      <c r="A34" s="704"/>
      <c r="B34" s="697"/>
      <c r="C34" s="698"/>
      <c r="D34" s="525"/>
      <c r="E34" s="681" t="s">
        <v>2880</v>
      </c>
      <c r="F34" s="682"/>
    </row>
    <row r="35" spans="1:7" s="516" customFormat="1" ht="29.25" customHeight="1" x14ac:dyDescent="0.2">
      <c r="A35" s="704"/>
      <c r="B35" s="697"/>
      <c r="C35" s="698"/>
      <c r="D35" s="525"/>
      <c r="E35" s="667" t="s">
        <v>2881</v>
      </c>
      <c r="F35" s="668"/>
    </row>
    <row r="36" spans="1:7" s="516" customFormat="1" ht="37.15" customHeight="1" x14ac:dyDescent="0.2">
      <c r="A36" s="704"/>
      <c r="B36" s="697"/>
      <c r="C36" s="698"/>
      <c r="D36" s="525"/>
      <c r="E36" s="667" t="s">
        <v>2882</v>
      </c>
      <c r="F36" s="668"/>
    </row>
    <row r="37" spans="1:7" s="516" customFormat="1" ht="13.5" x14ac:dyDescent="0.2">
      <c r="A37" s="705"/>
      <c r="B37" s="691"/>
      <c r="C37" s="692"/>
      <c r="D37" s="528"/>
      <c r="E37" s="695"/>
      <c r="F37" s="696"/>
    </row>
    <row r="38" spans="1:7" s="516" customFormat="1" ht="14.25" customHeight="1" x14ac:dyDescent="0.2">
      <c r="A38" s="704" t="s">
        <v>2883</v>
      </c>
      <c r="B38" s="697" t="s">
        <v>2884</v>
      </c>
      <c r="C38" s="698"/>
      <c r="D38" s="525">
        <v>2</v>
      </c>
      <c r="E38" s="535" t="s">
        <v>386</v>
      </c>
      <c r="F38" s="526"/>
    </row>
    <row r="39" spans="1:7" s="516" customFormat="1" ht="14.25" customHeight="1" x14ac:dyDescent="0.2">
      <c r="A39" s="704"/>
      <c r="B39" s="697"/>
      <c r="C39" s="698"/>
      <c r="D39" s="525"/>
      <c r="E39" s="535"/>
      <c r="F39" s="526"/>
    </row>
    <row r="40" spans="1:7" s="516" customFormat="1" ht="69" customHeight="1" x14ac:dyDescent="0.2">
      <c r="A40" s="704"/>
      <c r="B40" s="697"/>
      <c r="C40" s="698"/>
      <c r="D40" s="525" t="s">
        <v>204</v>
      </c>
      <c r="E40" s="683" t="s">
        <v>3441</v>
      </c>
      <c r="F40" s="684"/>
    </row>
    <row r="41" spans="1:7" s="516" customFormat="1" ht="13.5" x14ac:dyDescent="0.2">
      <c r="A41" s="704"/>
      <c r="B41" s="697"/>
      <c r="C41" s="698"/>
      <c r="D41" s="525"/>
      <c r="E41" s="697"/>
      <c r="F41" s="698"/>
    </row>
    <row r="42" spans="1:7" s="516" customFormat="1" ht="159" customHeight="1" x14ac:dyDescent="0.2">
      <c r="A42" s="704"/>
      <c r="B42" s="697"/>
      <c r="C42" s="698"/>
      <c r="D42" s="525"/>
      <c r="E42" s="699" t="s">
        <v>3442</v>
      </c>
      <c r="F42" s="700"/>
      <c r="G42" s="527"/>
    </row>
    <row r="43" spans="1:7" s="516" customFormat="1" ht="13.5" x14ac:dyDescent="0.2">
      <c r="A43" s="704"/>
      <c r="B43" s="697"/>
      <c r="C43" s="698"/>
      <c r="D43" s="525"/>
      <c r="E43" s="701"/>
      <c r="F43" s="700"/>
      <c r="G43" s="527"/>
    </row>
    <row r="44" spans="1:7" s="516" customFormat="1" ht="13.9" customHeight="1" x14ac:dyDescent="0.2">
      <c r="A44" s="704"/>
      <c r="B44" s="697"/>
      <c r="C44" s="698"/>
      <c r="D44" s="525"/>
      <c r="E44" s="699" t="s">
        <v>3076</v>
      </c>
      <c r="F44" s="700"/>
      <c r="G44" s="527"/>
    </row>
    <row r="45" spans="1:7" s="516" customFormat="1" ht="9.1999999999999993" customHeight="1" x14ac:dyDescent="0.2">
      <c r="A45" s="704"/>
      <c r="B45" s="697"/>
      <c r="C45" s="698"/>
      <c r="D45" s="525"/>
      <c r="E45" s="535"/>
      <c r="F45" s="526"/>
    </row>
    <row r="46" spans="1:7" s="516" customFormat="1" ht="81.2" customHeight="1" x14ac:dyDescent="0.2">
      <c r="A46" s="704"/>
      <c r="B46" s="697"/>
      <c r="C46" s="698"/>
      <c r="D46" s="525" t="s">
        <v>205</v>
      </c>
      <c r="E46" s="701" t="s">
        <v>3443</v>
      </c>
      <c r="F46" s="700"/>
      <c r="G46" s="527"/>
    </row>
    <row r="47" spans="1:7" s="516" customFormat="1" ht="13.5" x14ac:dyDescent="0.2">
      <c r="A47" s="704"/>
      <c r="B47" s="697"/>
      <c r="C47" s="698"/>
      <c r="D47" s="525"/>
      <c r="E47" s="702"/>
      <c r="F47" s="688"/>
    </row>
    <row r="48" spans="1:7" s="516" customFormat="1" ht="33.75" customHeight="1" x14ac:dyDescent="0.2">
      <c r="A48" s="704"/>
      <c r="B48" s="697"/>
      <c r="C48" s="698"/>
      <c r="D48" s="525"/>
      <c r="E48" s="687" t="s">
        <v>3444</v>
      </c>
      <c r="F48" s="688"/>
      <c r="G48" s="527"/>
    </row>
    <row r="49" spans="1:7" s="516" customFormat="1" ht="13.5" x14ac:dyDescent="0.2">
      <c r="A49" s="704"/>
      <c r="B49" s="697"/>
      <c r="C49" s="698"/>
      <c r="D49" s="525"/>
      <c r="E49" s="573"/>
      <c r="F49" s="572"/>
      <c r="G49" s="527"/>
    </row>
    <row r="50" spans="1:7" s="516" customFormat="1" ht="13.9" customHeight="1" x14ac:dyDescent="0.2">
      <c r="A50" s="704"/>
      <c r="B50" s="697"/>
      <c r="C50" s="698"/>
      <c r="D50" s="525"/>
      <c r="E50" s="687" t="s">
        <v>2885</v>
      </c>
      <c r="F50" s="688"/>
      <c r="G50" s="527"/>
    </row>
    <row r="51" spans="1:7" s="516" customFormat="1" ht="13.5" x14ac:dyDescent="0.2">
      <c r="A51" s="704"/>
      <c r="B51" s="697"/>
      <c r="C51" s="698"/>
      <c r="D51" s="525"/>
      <c r="E51" s="581"/>
      <c r="F51" s="572"/>
      <c r="G51" s="527"/>
    </row>
    <row r="52" spans="1:7" s="516" customFormat="1" ht="13.9" customHeight="1" x14ac:dyDescent="0.2">
      <c r="A52" s="704"/>
      <c r="B52" s="697"/>
      <c r="C52" s="698"/>
      <c r="D52" s="525"/>
      <c r="E52" s="687" t="s">
        <v>2886</v>
      </c>
      <c r="F52" s="688"/>
      <c r="G52" s="527"/>
    </row>
    <row r="53" spans="1:7" s="516" customFormat="1" ht="13.5" x14ac:dyDescent="0.2">
      <c r="A53" s="705"/>
      <c r="B53" s="691"/>
      <c r="C53" s="692"/>
      <c r="D53" s="528"/>
      <c r="E53" s="529"/>
      <c r="F53" s="530"/>
    </row>
    <row r="54" spans="1:7" s="516" customFormat="1" ht="14.25" customHeight="1" x14ac:dyDescent="0.2">
      <c r="A54" s="570" t="s">
        <v>387</v>
      </c>
      <c r="B54" s="689" t="s">
        <v>388</v>
      </c>
      <c r="C54" s="690"/>
      <c r="D54" s="525">
        <v>3</v>
      </c>
      <c r="E54" s="693" t="s">
        <v>389</v>
      </c>
      <c r="F54" s="694"/>
    </row>
    <row r="55" spans="1:7" s="516" customFormat="1" ht="50.25" customHeight="1" x14ac:dyDescent="0.2">
      <c r="A55" s="570"/>
      <c r="B55" s="691"/>
      <c r="C55" s="692"/>
      <c r="D55" s="525"/>
      <c r="E55" s="582"/>
      <c r="F55" s="571"/>
    </row>
    <row r="56" spans="1:7" s="516" customFormat="1" ht="30" customHeight="1" x14ac:dyDescent="0.2">
      <c r="A56" s="703" t="s">
        <v>390</v>
      </c>
      <c r="B56" s="689" t="s">
        <v>391</v>
      </c>
      <c r="C56" s="690"/>
      <c r="D56" s="531">
        <v>4</v>
      </c>
      <c r="E56" s="693" t="s">
        <v>3445</v>
      </c>
      <c r="F56" s="694"/>
      <c r="G56" s="527"/>
    </row>
    <row r="57" spans="1:7" s="516" customFormat="1" ht="41.25" customHeight="1" x14ac:dyDescent="0.2">
      <c r="A57" s="705"/>
      <c r="B57" s="691"/>
      <c r="C57" s="692"/>
      <c r="D57" s="528"/>
      <c r="E57" s="529"/>
      <c r="F57" s="532"/>
      <c r="G57" s="527"/>
    </row>
    <row r="58" spans="1:7" s="516" customFormat="1" ht="28.15" customHeight="1" x14ac:dyDescent="0.2">
      <c r="A58" s="704" t="s">
        <v>392</v>
      </c>
      <c r="B58" s="689" t="s">
        <v>2887</v>
      </c>
      <c r="C58" s="690"/>
      <c r="D58" s="525">
        <v>5</v>
      </c>
      <c r="E58" s="693" t="s">
        <v>2888</v>
      </c>
      <c r="F58" s="694"/>
    </row>
    <row r="59" spans="1:7" s="516" customFormat="1" ht="26.25" customHeight="1" x14ac:dyDescent="0.2">
      <c r="A59" s="705"/>
      <c r="B59" s="691"/>
      <c r="C59" s="692"/>
      <c r="D59" s="525"/>
      <c r="E59" s="535"/>
      <c r="F59" s="526"/>
    </row>
    <row r="60" spans="1:7" s="516" customFormat="1" ht="28.15" customHeight="1" x14ac:dyDescent="0.2">
      <c r="A60" s="703" t="s">
        <v>427</v>
      </c>
      <c r="B60" s="689" t="s">
        <v>2889</v>
      </c>
      <c r="C60" s="690"/>
      <c r="D60" s="531">
        <v>6</v>
      </c>
      <c r="E60" s="693" t="s">
        <v>2890</v>
      </c>
      <c r="F60" s="694"/>
    </row>
    <row r="61" spans="1:7" s="516" customFormat="1" ht="13.5" x14ac:dyDescent="0.2">
      <c r="A61" s="704"/>
      <c r="B61" s="697"/>
      <c r="C61" s="698"/>
      <c r="D61" s="525"/>
      <c r="E61" s="583"/>
      <c r="F61" s="526"/>
    </row>
    <row r="62" spans="1:7" s="516" customFormat="1" ht="30" customHeight="1" x14ac:dyDescent="0.2">
      <c r="A62" s="704"/>
      <c r="B62" s="697"/>
      <c r="C62" s="698"/>
      <c r="D62" s="525">
        <v>7</v>
      </c>
      <c r="E62" s="683" t="s">
        <v>2891</v>
      </c>
      <c r="F62" s="684"/>
    </row>
    <row r="63" spans="1:7" s="516" customFormat="1" ht="13.5" x14ac:dyDescent="0.2">
      <c r="A63" s="704"/>
      <c r="B63" s="697"/>
      <c r="C63" s="698"/>
      <c r="D63" s="525"/>
      <c r="E63" s="574"/>
      <c r="F63" s="575"/>
    </row>
    <row r="64" spans="1:7" s="516" customFormat="1" ht="33.75" customHeight="1" x14ac:dyDescent="0.2">
      <c r="A64" s="704"/>
      <c r="B64" s="697"/>
      <c r="C64" s="698"/>
      <c r="D64" s="525"/>
      <c r="E64" s="683" t="s">
        <v>2892</v>
      </c>
      <c r="F64" s="684"/>
      <c r="G64" s="527"/>
    </row>
    <row r="65" spans="1:7" s="516" customFormat="1" ht="13.5" x14ac:dyDescent="0.2">
      <c r="A65" s="704"/>
      <c r="B65" s="697"/>
      <c r="C65" s="698"/>
      <c r="D65" s="525"/>
      <c r="E65" s="535"/>
      <c r="F65" s="526"/>
    </row>
    <row r="66" spans="1:7" s="516" customFormat="1" ht="159.6" customHeight="1" x14ac:dyDescent="0.2">
      <c r="A66" s="704"/>
      <c r="B66" s="697"/>
      <c r="C66" s="698"/>
      <c r="D66" s="525">
        <v>8</v>
      </c>
      <c r="E66" s="702" t="s">
        <v>2893</v>
      </c>
      <c r="F66" s="688"/>
    </row>
    <row r="67" spans="1:7" s="516" customFormat="1" ht="13.5" x14ac:dyDescent="0.2">
      <c r="A67" s="704"/>
      <c r="B67" s="697"/>
      <c r="C67" s="698"/>
      <c r="D67" s="525"/>
      <c r="E67" s="535"/>
      <c r="F67" s="526"/>
    </row>
    <row r="68" spans="1:7" s="516" customFormat="1" ht="105" customHeight="1" x14ac:dyDescent="0.2">
      <c r="A68" s="704"/>
      <c r="B68" s="697"/>
      <c r="C68" s="698"/>
      <c r="D68" s="525">
        <v>9</v>
      </c>
      <c r="E68" s="702" t="s">
        <v>3079</v>
      </c>
      <c r="F68" s="688"/>
      <c r="G68" s="527"/>
    </row>
    <row r="69" spans="1:7" s="516" customFormat="1" ht="13.5" x14ac:dyDescent="0.2">
      <c r="A69" s="705"/>
      <c r="B69" s="691"/>
      <c r="C69" s="692"/>
      <c r="D69" s="528"/>
      <c r="E69" s="533"/>
      <c r="F69" s="534"/>
    </row>
    <row r="70" spans="1:7" s="516" customFormat="1" ht="14.25" customHeight="1" x14ac:dyDescent="0.2">
      <c r="A70" s="703" t="s">
        <v>428</v>
      </c>
      <c r="B70" s="689" t="s">
        <v>3446</v>
      </c>
      <c r="C70" s="690"/>
      <c r="D70" s="531">
        <v>10</v>
      </c>
      <c r="E70" s="706" t="s">
        <v>2894</v>
      </c>
      <c r="F70" s="707"/>
    </row>
    <row r="71" spans="1:7" s="516" customFormat="1" ht="14.25" customHeight="1" x14ac:dyDescent="0.2">
      <c r="A71" s="704"/>
      <c r="B71" s="697"/>
      <c r="C71" s="698"/>
      <c r="D71" s="525"/>
      <c r="E71" s="584"/>
      <c r="F71" s="571"/>
    </row>
    <row r="72" spans="1:7" s="516" customFormat="1" ht="13.9" customHeight="1" x14ac:dyDescent="0.2">
      <c r="A72" s="704"/>
      <c r="B72" s="697"/>
      <c r="C72" s="698"/>
      <c r="D72" s="525"/>
      <c r="E72" s="701" t="s">
        <v>3447</v>
      </c>
      <c r="F72" s="700"/>
    </row>
    <row r="73" spans="1:7" s="516" customFormat="1" ht="13.5" x14ac:dyDescent="0.2">
      <c r="A73" s="704"/>
      <c r="B73" s="697"/>
      <c r="C73" s="698"/>
      <c r="D73" s="525"/>
      <c r="E73" s="584"/>
      <c r="F73" s="571"/>
    </row>
    <row r="74" spans="1:7" s="516" customFormat="1" ht="58.9" customHeight="1" x14ac:dyDescent="0.2">
      <c r="A74" s="704"/>
      <c r="B74" s="697"/>
      <c r="C74" s="698"/>
      <c r="D74" s="525"/>
      <c r="E74" s="701" t="s">
        <v>3448</v>
      </c>
      <c r="F74" s="700"/>
    </row>
    <row r="75" spans="1:7" s="516" customFormat="1" ht="49.9" customHeight="1" x14ac:dyDescent="0.2">
      <c r="A75" s="705"/>
      <c r="B75" s="691"/>
      <c r="C75" s="692"/>
      <c r="D75" s="528"/>
      <c r="E75" s="533"/>
      <c r="F75" s="534"/>
    </row>
    <row r="76" spans="1:7" s="516" customFormat="1" ht="30" customHeight="1" x14ac:dyDescent="0.2">
      <c r="A76" s="703" t="s">
        <v>429</v>
      </c>
      <c r="B76" s="689" t="s">
        <v>2895</v>
      </c>
      <c r="C76" s="690"/>
      <c r="D76" s="531">
        <v>11</v>
      </c>
      <c r="E76" s="708" t="s">
        <v>2896</v>
      </c>
      <c r="F76" s="709"/>
      <c r="G76" s="527"/>
    </row>
    <row r="77" spans="1:7" s="516" customFormat="1" ht="13.5" x14ac:dyDescent="0.2">
      <c r="A77" s="704"/>
      <c r="B77" s="697"/>
      <c r="C77" s="698"/>
      <c r="D77" s="525"/>
      <c r="E77" s="683"/>
      <c r="F77" s="684"/>
      <c r="G77" s="527"/>
    </row>
    <row r="78" spans="1:7" s="516" customFormat="1" ht="13.9" customHeight="1" x14ac:dyDescent="0.2">
      <c r="A78" s="704"/>
      <c r="B78" s="697"/>
      <c r="C78" s="698"/>
      <c r="D78" s="525"/>
      <c r="E78" s="701" t="s">
        <v>2897</v>
      </c>
      <c r="F78" s="700"/>
      <c r="G78" s="527"/>
    </row>
    <row r="79" spans="1:7" s="516" customFormat="1" ht="13.5" x14ac:dyDescent="0.2">
      <c r="A79" s="705"/>
      <c r="B79" s="691"/>
      <c r="C79" s="692"/>
      <c r="D79" s="528"/>
      <c r="E79" s="533"/>
      <c r="F79" s="534"/>
    </row>
    <row r="80" spans="1:7" s="516" customFormat="1" ht="32.25" customHeight="1" x14ac:dyDescent="0.2">
      <c r="A80" s="703" t="s">
        <v>430</v>
      </c>
      <c r="B80" s="689" t="s">
        <v>3449</v>
      </c>
      <c r="C80" s="690"/>
      <c r="D80" s="531">
        <v>12</v>
      </c>
      <c r="E80" s="706" t="s">
        <v>2898</v>
      </c>
      <c r="F80" s="707"/>
    </row>
    <row r="81" spans="1:7" s="516" customFormat="1" ht="13.5" x14ac:dyDescent="0.2">
      <c r="A81" s="704"/>
      <c r="B81" s="697"/>
      <c r="C81" s="698"/>
      <c r="D81" s="525"/>
      <c r="E81" s="535"/>
      <c r="G81" s="527"/>
    </row>
    <row r="82" spans="1:7" s="516" customFormat="1" ht="13.9" customHeight="1" x14ac:dyDescent="0.2">
      <c r="A82" s="704"/>
      <c r="B82" s="697"/>
      <c r="C82" s="698"/>
      <c r="D82" s="525"/>
      <c r="E82" s="687" t="s">
        <v>3450</v>
      </c>
      <c r="F82" s="688"/>
    </row>
    <row r="83" spans="1:7" s="516" customFormat="1" ht="13.5" x14ac:dyDescent="0.2">
      <c r="A83" s="704"/>
      <c r="B83" s="697"/>
      <c r="C83" s="698"/>
      <c r="D83" s="525"/>
      <c r="E83" s="581"/>
      <c r="F83" s="572"/>
    </row>
    <row r="84" spans="1:7" s="516" customFormat="1" ht="62.25" customHeight="1" x14ac:dyDescent="0.2">
      <c r="A84" s="704"/>
      <c r="B84" s="697"/>
      <c r="C84" s="698"/>
      <c r="D84" s="525"/>
      <c r="E84" s="687" t="s">
        <v>3451</v>
      </c>
      <c r="F84" s="688"/>
    </row>
    <row r="85" spans="1:7" s="516" customFormat="1" ht="55.15" customHeight="1" x14ac:dyDescent="0.2">
      <c r="A85" s="705"/>
      <c r="B85" s="691"/>
      <c r="C85" s="692"/>
      <c r="D85" s="528"/>
      <c r="E85" s="701" t="s">
        <v>2899</v>
      </c>
      <c r="F85" s="700"/>
    </row>
    <row r="86" spans="1:7" s="516" customFormat="1" ht="40.9" customHeight="1" x14ac:dyDescent="0.2">
      <c r="A86" s="703" t="s">
        <v>431</v>
      </c>
      <c r="B86" s="689" t="s">
        <v>432</v>
      </c>
      <c r="C86" s="690"/>
      <c r="D86" s="531">
        <v>13</v>
      </c>
      <c r="E86" s="706" t="s">
        <v>433</v>
      </c>
      <c r="F86" s="707"/>
    </row>
    <row r="87" spans="1:7" s="516" customFormat="1" ht="13.5" x14ac:dyDescent="0.2">
      <c r="A87" s="704"/>
      <c r="B87" s="697"/>
      <c r="C87" s="698"/>
      <c r="D87" s="525"/>
      <c r="E87" s="584"/>
      <c r="F87" s="571"/>
    </row>
    <row r="88" spans="1:7" s="516" customFormat="1" ht="29.25" customHeight="1" x14ac:dyDescent="0.2">
      <c r="A88" s="704"/>
      <c r="B88" s="697"/>
      <c r="C88" s="698"/>
      <c r="D88" s="525"/>
      <c r="E88" s="699" t="s">
        <v>2900</v>
      </c>
      <c r="F88" s="700"/>
    </row>
    <row r="89" spans="1:7" s="516" customFormat="1" ht="13.5" x14ac:dyDescent="0.2">
      <c r="A89" s="705"/>
      <c r="B89" s="691"/>
      <c r="C89" s="692"/>
      <c r="D89" s="528"/>
      <c r="E89" s="533"/>
      <c r="F89" s="534"/>
    </row>
    <row r="101" spans="1:7" s="505" customFormat="1" x14ac:dyDescent="0.2">
      <c r="A101" s="502"/>
      <c r="B101" s="502"/>
      <c r="C101" s="503"/>
      <c r="D101" s="504"/>
      <c r="F101" s="506"/>
      <c r="G101" s="506"/>
    </row>
    <row r="102" spans="1:7" s="505" customFormat="1" x14ac:dyDescent="0.2">
      <c r="A102" s="502"/>
      <c r="B102" s="502"/>
      <c r="C102" s="503"/>
      <c r="D102" s="504"/>
      <c r="F102" s="506"/>
      <c r="G102" s="506"/>
    </row>
    <row r="103" spans="1:7" s="505" customFormat="1" x14ac:dyDescent="0.2">
      <c r="A103" s="502"/>
      <c r="B103" s="502"/>
      <c r="C103" s="503"/>
      <c r="D103" s="504"/>
      <c r="F103" s="506"/>
      <c r="G103" s="506"/>
    </row>
    <row r="104" spans="1:7" s="505" customFormat="1" x14ac:dyDescent="0.2">
      <c r="A104" s="502"/>
      <c r="B104" s="502"/>
      <c r="C104" s="503"/>
      <c r="D104" s="504"/>
      <c r="F104" s="506"/>
      <c r="G104" s="506"/>
    </row>
    <row r="105" spans="1:7" s="505" customFormat="1" x14ac:dyDescent="0.2">
      <c r="A105" s="502"/>
      <c r="B105" s="502"/>
      <c r="C105" s="503"/>
      <c r="D105" s="504"/>
      <c r="F105" s="506"/>
      <c r="G105" s="506"/>
    </row>
    <row r="106" spans="1:7" s="505" customFormat="1" x14ac:dyDescent="0.2">
      <c r="A106" s="502"/>
      <c r="B106" s="502"/>
      <c r="C106" s="503"/>
      <c r="D106" s="504"/>
      <c r="F106" s="506"/>
      <c r="G106" s="506"/>
    </row>
    <row r="107" spans="1:7" s="505" customFormat="1" x14ac:dyDescent="0.2">
      <c r="A107" s="502"/>
      <c r="B107" s="502"/>
      <c r="C107" s="503"/>
      <c r="D107" s="504"/>
      <c r="F107" s="506"/>
      <c r="G107" s="506"/>
    </row>
    <row r="108" spans="1:7" s="505" customFormat="1" x14ac:dyDescent="0.2">
      <c r="A108" s="502"/>
      <c r="B108" s="502"/>
      <c r="C108" s="503"/>
      <c r="D108" s="504"/>
      <c r="F108" s="506"/>
      <c r="G108" s="506"/>
    </row>
  </sheetData>
  <mergeCells count="66">
    <mergeCell ref="A86:A89"/>
    <mergeCell ref="A80:A85"/>
    <mergeCell ref="B80:C85"/>
    <mergeCell ref="E80:F80"/>
    <mergeCell ref="A27:A37"/>
    <mergeCell ref="B27:C37"/>
    <mergeCell ref="E29:F29"/>
    <mergeCell ref="A38:A53"/>
    <mergeCell ref="B38:C53"/>
    <mergeCell ref="E40:F40"/>
    <mergeCell ref="E46:F46"/>
    <mergeCell ref="E50:F50"/>
    <mergeCell ref="E52:F52"/>
    <mergeCell ref="E82:F82"/>
    <mergeCell ref="E84:F84"/>
    <mergeCell ref="B70:C75"/>
    <mergeCell ref="E74:F74"/>
    <mergeCell ref="E86:F86"/>
    <mergeCell ref="B86:C89"/>
    <mergeCell ref="E88:F88"/>
    <mergeCell ref="E85:F85"/>
    <mergeCell ref="A76:A79"/>
    <mergeCell ref="B76:C79"/>
    <mergeCell ref="E76:F76"/>
    <mergeCell ref="E77:F77"/>
    <mergeCell ref="E78:F78"/>
    <mergeCell ref="A70:A75"/>
    <mergeCell ref="A56:A57"/>
    <mergeCell ref="B56:C57"/>
    <mergeCell ref="E56:F56"/>
    <mergeCell ref="A58:A59"/>
    <mergeCell ref="B58:C59"/>
    <mergeCell ref="E58:F58"/>
    <mergeCell ref="A60:A69"/>
    <mergeCell ref="B60:C69"/>
    <mergeCell ref="E60:F60"/>
    <mergeCell ref="E62:F62"/>
    <mergeCell ref="E64:F64"/>
    <mergeCell ref="E66:F66"/>
    <mergeCell ref="E68:F68"/>
    <mergeCell ref="E70:F70"/>
    <mergeCell ref="E72:F72"/>
    <mergeCell ref="E48:F48"/>
    <mergeCell ref="B54:C55"/>
    <mergeCell ref="E54:F54"/>
    <mergeCell ref="E37:F37"/>
    <mergeCell ref="E41:F41"/>
    <mergeCell ref="E42:F42"/>
    <mergeCell ref="E43:F43"/>
    <mergeCell ref="E44:F44"/>
    <mergeCell ref="E47:F47"/>
    <mergeCell ref="E35:F35"/>
    <mergeCell ref="E36:F36"/>
    <mergeCell ref="B13:F13"/>
    <mergeCell ref="C18:F18"/>
    <mergeCell ref="C20:F20"/>
    <mergeCell ref="C17:F17"/>
    <mergeCell ref="E27:F27"/>
    <mergeCell ref="C19:F19"/>
    <mergeCell ref="B26:C26"/>
    <mergeCell ref="E26:F26"/>
    <mergeCell ref="E30:F30"/>
    <mergeCell ref="E31:F31"/>
    <mergeCell ref="E32:F32"/>
    <mergeCell ref="E33:F33"/>
    <mergeCell ref="E34:F34"/>
  </mergeCells>
  <pageMargins left="0.70866141732283472" right="0.70866141732283472" top="0.74803149606299213" bottom="0.74803149606299213" header="0.31496062992125984" footer="0.31496062992125984"/>
  <pageSetup scale="30"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V115"/>
  <sheetViews>
    <sheetView showGridLines="0" topLeftCell="A43" zoomScale="80" zoomScaleNormal="80" workbookViewId="0">
      <selection activeCell="L53" sqref="L53"/>
    </sheetView>
  </sheetViews>
  <sheetFormatPr defaultColWidth="9" defaultRowHeight="15" x14ac:dyDescent="0.25"/>
  <cols>
    <col min="1" max="1" width="13.28515625" style="14" customWidth="1"/>
    <col min="2" max="4" width="9" style="14"/>
    <col min="5" max="5" width="9" style="14" customWidth="1"/>
    <col min="6" max="10" width="9" style="14"/>
    <col min="11" max="11" width="15.28515625" style="14" customWidth="1"/>
    <col min="12" max="12" width="9" style="536"/>
    <col min="13" max="21" width="9" style="14"/>
    <col min="22" max="22" width="54" style="14" hidden="1" customWidth="1"/>
    <col min="23" max="16384" width="9" style="14"/>
  </cols>
  <sheetData>
    <row r="1" spans="2:22" x14ac:dyDescent="0.25">
      <c r="V1" s="496" t="s">
        <v>2931</v>
      </c>
    </row>
    <row r="2" spans="2:22" x14ac:dyDescent="0.25">
      <c r="V2" s="496" t="s">
        <v>2932</v>
      </c>
    </row>
    <row r="3" spans="2:22" x14ac:dyDescent="0.25">
      <c r="V3" s="496" t="s">
        <v>2933</v>
      </c>
    </row>
    <row r="4" spans="2:22" x14ac:dyDescent="0.25">
      <c r="V4" s="496" t="s">
        <v>2934</v>
      </c>
    </row>
    <row r="5" spans="2:22" x14ac:dyDescent="0.25">
      <c r="V5" s="496" t="s">
        <v>2935</v>
      </c>
    </row>
    <row r="6" spans="2:22" x14ac:dyDescent="0.25">
      <c r="V6" s="496" t="s">
        <v>77</v>
      </c>
    </row>
    <row r="7" spans="2:22" x14ac:dyDescent="0.25">
      <c r="V7" s="496" t="s">
        <v>78</v>
      </c>
    </row>
    <row r="8" spans="2:22" x14ac:dyDescent="0.25">
      <c r="V8" s="496" t="s">
        <v>79</v>
      </c>
    </row>
    <row r="9" spans="2:22" x14ac:dyDescent="0.25">
      <c r="V9" s="496" t="s">
        <v>80</v>
      </c>
    </row>
    <row r="10" spans="2:22" x14ac:dyDescent="0.25">
      <c r="V10" s="496" t="s">
        <v>81</v>
      </c>
    </row>
    <row r="11" spans="2:22" x14ac:dyDescent="0.25">
      <c r="V11" s="496" t="s">
        <v>82</v>
      </c>
    </row>
    <row r="12" spans="2:22" x14ac:dyDescent="0.25">
      <c r="B12" s="15"/>
      <c r="C12" s="15"/>
      <c r="D12" s="15"/>
      <c r="E12" s="15"/>
      <c r="F12" s="15"/>
      <c r="M12" s="16"/>
      <c r="N12" s="17"/>
      <c r="P12" s="16" t="s">
        <v>423</v>
      </c>
      <c r="V12" s="496" t="s">
        <v>83</v>
      </c>
    </row>
    <row r="13" spans="2:22" ht="15.75" thickBot="1" x14ac:dyDescent="0.3">
      <c r="V13" s="496" t="s">
        <v>84</v>
      </c>
    </row>
    <row r="14" spans="2:22" ht="16.5" thickTop="1" thickBot="1" x14ac:dyDescent="0.3">
      <c r="E14" s="18" t="s">
        <v>39</v>
      </c>
      <c r="F14" s="715" t="s">
        <v>113</v>
      </c>
      <c r="G14" s="716"/>
      <c r="H14" s="716"/>
      <c r="I14" s="716"/>
      <c r="J14" s="716"/>
      <c r="K14" s="716"/>
      <c r="L14" s="717"/>
      <c r="V14" s="496" t="s">
        <v>85</v>
      </c>
    </row>
    <row r="15" spans="2:22" ht="15.75" thickBot="1" x14ac:dyDescent="0.3">
      <c r="E15" s="19"/>
      <c r="F15" s="20"/>
      <c r="G15" s="20"/>
      <c r="H15" s="20"/>
      <c r="I15" s="20"/>
      <c r="J15" s="20"/>
      <c r="V15" s="496" t="s">
        <v>86</v>
      </c>
    </row>
    <row r="16" spans="2:22" ht="16.5" thickTop="1" thickBot="1" x14ac:dyDescent="0.3">
      <c r="E16" s="21" t="s">
        <v>40</v>
      </c>
      <c r="F16" s="718" t="s">
        <v>3475</v>
      </c>
      <c r="G16" s="719"/>
      <c r="H16" s="719"/>
      <c r="I16" s="719"/>
      <c r="J16" s="720"/>
      <c r="V16" s="496" t="s">
        <v>2936</v>
      </c>
    </row>
    <row r="17" spans="1:22" ht="15.75" thickBot="1" x14ac:dyDescent="0.3">
      <c r="E17" s="22"/>
      <c r="V17" s="496" t="s">
        <v>2937</v>
      </c>
    </row>
    <row r="18" spans="1:22" ht="16.5" thickTop="1" thickBot="1" x14ac:dyDescent="0.3">
      <c r="E18" s="21" t="s">
        <v>41</v>
      </c>
      <c r="F18" s="712" t="s">
        <v>3476</v>
      </c>
      <c r="G18" s="713"/>
      <c r="H18" s="713"/>
      <c r="I18" s="713"/>
      <c r="J18" s="714"/>
      <c r="V18" s="496" t="s">
        <v>198</v>
      </c>
    </row>
    <row r="19" spans="1:22" ht="12.75" customHeight="1" thickBot="1" x14ac:dyDescent="0.3">
      <c r="E19" s="22"/>
      <c r="V19" s="496" t="s">
        <v>2938</v>
      </c>
    </row>
    <row r="20" spans="1:22" ht="16.5" thickTop="1" thickBot="1" x14ac:dyDescent="0.3">
      <c r="E20" s="21" t="s">
        <v>42</v>
      </c>
      <c r="F20" s="712" t="s">
        <v>3477</v>
      </c>
      <c r="G20" s="713"/>
      <c r="H20" s="713"/>
      <c r="I20" s="713"/>
      <c r="J20" s="714"/>
      <c r="V20" s="496" t="s">
        <v>2939</v>
      </c>
    </row>
    <row r="21" spans="1:22" ht="15.75" thickBot="1" x14ac:dyDescent="0.3">
      <c r="E21" s="23"/>
      <c r="F21" s="20"/>
      <c r="G21" s="20"/>
      <c r="H21" s="20"/>
      <c r="I21" s="20"/>
      <c r="J21" s="20"/>
      <c r="V21" s="496" t="s">
        <v>435</v>
      </c>
    </row>
    <row r="22" spans="1:22" ht="16.5" thickTop="1" thickBot="1" x14ac:dyDescent="0.3">
      <c r="E22" s="18" t="s">
        <v>43</v>
      </c>
      <c r="F22" s="712" t="s">
        <v>3478</v>
      </c>
      <c r="G22" s="713"/>
      <c r="H22" s="713"/>
      <c r="I22" s="713"/>
      <c r="J22" s="714"/>
      <c r="V22" s="496" t="s">
        <v>436</v>
      </c>
    </row>
    <row r="23" spans="1:22" ht="15.75" thickBot="1" x14ac:dyDescent="0.3">
      <c r="E23" s="23"/>
      <c r="F23" s="20"/>
      <c r="G23" s="20"/>
      <c r="H23" s="20"/>
      <c r="I23" s="20"/>
      <c r="J23" s="20"/>
      <c r="V23" s="496" t="s">
        <v>437</v>
      </c>
    </row>
    <row r="24" spans="1:22" ht="16.5" thickTop="1" thickBot="1" x14ac:dyDescent="0.3">
      <c r="E24" s="18" t="s">
        <v>44</v>
      </c>
      <c r="F24" s="712" t="s">
        <v>3479</v>
      </c>
      <c r="G24" s="713"/>
      <c r="H24" s="713"/>
      <c r="I24" s="713"/>
      <c r="J24" s="714"/>
      <c r="V24" s="496" t="s">
        <v>438</v>
      </c>
    </row>
    <row r="25" spans="1:22" ht="51" customHeight="1" x14ac:dyDescent="0.25">
      <c r="A25" s="333"/>
      <c r="E25" s="23"/>
      <c r="F25" s="20"/>
      <c r="G25" s="20"/>
      <c r="H25" s="20"/>
      <c r="I25" s="20"/>
      <c r="J25" s="20"/>
      <c r="V25" s="496" t="s">
        <v>89</v>
      </c>
    </row>
    <row r="26" spans="1:22" x14ac:dyDescent="0.25">
      <c r="E26" s="18"/>
      <c r="I26" s="20"/>
      <c r="J26" s="20"/>
      <c r="V26" s="496" t="s">
        <v>90</v>
      </c>
    </row>
    <row r="27" spans="1:22" x14ac:dyDescent="0.25">
      <c r="A27" s="333" t="s">
        <v>442</v>
      </c>
      <c r="B27" s="22"/>
      <c r="C27" s="22"/>
      <c r="D27" s="22"/>
      <c r="E27" s="23"/>
      <c r="F27" s="332"/>
      <c r="G27" s="332"/>
      <c r="H27" s="332"/>
      <c r="I27" s="332"/>
      <c r="J27" s="332"/>
      <c r="K27" s="22"/>
      <c r="L27" s="537"/>
      <c r="M27" s="22"/>
      <c r="N27" s="22"/>
      <c r="O27" s="22"/>
      <c r="P27" s="22"/>
      <c r="Q27" s="22"/>
      <c r="R27" s="22"/>
      <c r="S27" s="22"/>
      <c r="T27" s="22"/>
      <c r="V27" s="496" t="s">
        <v>91</v>
      </c>
    </row>
    <row r="28" spans="1:22" ht="36" customHeight="1" x14ac:dyDescent="0.25">
      <c r="A28" s="739" t="s">
        <v>3432</v>
      </c>
      <c r="B28" s="739"/>
      <c r="C28" s="739"/>
      <c r="D28" s="739"/>
      <c r="E28" s="739"/>
      <c r="F28" s="739"/>
      <c r="G28" s="739"/>
      <c r="H28" s="739"/>
      <c r="I28" s="739"/>
      <c r="J28" s="739"/>
      <c r="K28" s="739"/>
      <c r="L28" s="739"/>
      <c r="M28" s="739"/>
      <c r="N28" s="739"/>
      <c r="O28" s="22"/>
      <c r="P28" s="22"/>
      <c r="Q28" s="22"/>
      <c r="R28" s="22"/>
      <c r="S28" s="22"/>
      <c r="T28" s="22"/>
      <c r="V28" s="496" t="s">
        <v>92</v>
      </c>
    </row>
    <row r="29" spans="1:22" ht="29.25" customHeight="1" x14ac:dyDescent="0.25">
      <c r="A29" s="498" t="s">
        <v>3028</v>
      </c>
      <c r="B29" s="22"/>
      <c r="C29" s="22"/>
      <c r="D29" s="22"/>
      <c r="E29" s="23"/>
      <c r="F29" s="332"/>
      <c r="G29" s="332"/>
      <c r="H29" s="332"/>
      <c r="I29" s="332"/>
      <c r="J29" s="332"/>
      <c r="K29" s="22"/>
      <c r="L29" s="552" t="s">
        <v>3078</v>
      </c>
      <c r="M29" s="22"/>
      <c r="N29" s="22"/>
      <c r="O29" s="22"/>
      <c r="P29" s="22"/>
      <c r="Q29" s="22"/>
      <c r="R29" s="22"/>
      <c r="S29" s="22"/>
      <c r="T29" s="22"/>
      <c r="V29" s="496" t="s">
        <v>199</v>
      </c>
    </row>
    <row r="30" spans="1:22" ht="17.25" customHeight="1" thickBot="1" x14ac:dyDescent="0.3">
      <c r="A30" s="725" t="s">
        <v>3029</v>
      </c>
      <c r="B30" s="725"/>
      <c r="C30" s="725"/>
      <c r="D30" s="725"/>
      <c r="E30" s="725"/>
      <c r="F30" s="725"/>
      <c r="G30" s="725"/>
      <c r="H30" s="725"/>
      <c r="I30" s="725"/>
      <c r="J30" s="725"/>
      <c r="K30" s="725"/>
      <c r="M30"/>
      <c r="N30"/>
      <c r="O30"/>
      <c r="P30"/>
      <c r="Q30" s="22"/>
      <c r="R30" s="22"/>
      <c r="S30" s="22"/>
      <c r="T30" s="22"/>
      <c r="V30" s="496" t="s">
        <v>93</v>
      </c>
    </row>
    <row r="31" spans="1:22" ht="19.5" customHeight="1" thickBot="1" x14ac:dyDescent="0.3">
      <c r="A31" s="725" t="s">
        <v>3042</v>
      </c>
      <c r="B31" s="738"/>
      <c r="C31" s="738"/>
      <c r="D31" s="738"/>
      <c r="E31" s="738"/>
      <c r="F31" s="738"/>
      <c r="G31" s="738"/>
      <c r="H31" s="738"/>
      <c r="I31" s="738"/>
      <c r="J31" s="738"/>
      <c r="K31" s="738"/>
      <c r="L31" s="538">
        <v>2020</v>
      </c>
      <c r="M31"/>
      <c r="N31"/>
      <c r="O31"/>
      <c r="P31"/>
      <c r="Q31" s="22"/>
      <c r="R31" s="22"/>
      <c r="S31" s="22"/>
      <c r="T31" s="22"/>
      <c r="V31" s="496" t="s">
        <v>439</v>
      </c>
    </row>
    <row r="32" spans="1:22" ht="27" customHeight="1" thickBot="1" x14ac:dyDescent="0.3">
      <c r="A32" s="725" t="s">
        <v>3043</v>
      </c>
      <c r="B32" s="738"/>
      <c r="C32" s="738"/>
      <c r="D32" s="738"/>
      <c r="E32" s="738"/>
      <c r="F32" s="738"/>
      <c r="G32" s="738"/>
      <c r="H32" s="738"/>
      <c r="I32" s="738"/>
      <c r="J32" s="738"/>
      <c r="K32" s="738"/>
      <c r="L32" s="539"/>
      <c r="M32"/>
      <c r="N32"/>
      <c r="O32"/>
      <c r="P32"/>
      <c r="Q32" s="22"/>
      <c r="R32" s="22"/>
      <c r="S32" s="22"/>
      <c r="T32" s="22"/>
      <c r="V32" s="496" t="s">
        <v>94</v>
      </c>
    </row>
    <row r="33" spans="1:22" ht="27" customHeight="1" x14ac:dyDescent="0.25">
      <c r="A33" s="725" t="s">
        <v>3044</v>
      </c>
      <c r="B33" s="738"/>
      <c r="C33" s="738"/>
      <c r="D33" s="738"/>
      <c r="E33" s="738"/>
      <c r="F33" s="738"/>
      <c r="G33" s="738"/>
      <c r="H33" s="738"/>
      <c r="I33" s="738"/>
      <c r="J33" s="738"/>
      <c r="K33" s="738"/>
      <c r="L33" s="735">
        <v>2020</v>
      </c>
      <c r="M33"/>
      <c r="N33"/>
      <c r="O33"/>
      <c r="P33"/>
      <c r="Q33" s="22"/>
      <c r="R33" s="22"/>
      <c r="S33" s="22"/>
      <c r="T33" s="22"/>
      <c r="V33" s="496" t="s">
        <v>95</v>
      </c>
    </row>
    <row r="34" spans="1:22" ht="18" customHeight="1" x14ac:dyDescent="0.25">
      <c r="A34" s="725" t="s">
        <v>3045</v>
      </c>
      <c r="B34" s="738"/>
      <c r="C34" s="738"/>
      <c r="D34" s="738"/>
      <c r="E34" s="738"/>
      <c r="F34" s="738"/>
      <c r="G34" s="738"/>
      <c r="H34" s="738"/>
      <c r="I34" s="738"/>
      <c r="J34" s="738"/>
      <c r="K34" s="738"/>
      <c r="L34" s="736"/>
      <c r="M34"/>
      <c r="N34"/>
      <c r="O34"/>
      <c r="P34"/>
      <c r="Q34" s="22"/>
      <c r="R34" s="22"/>
      <c r="S34" s="22"/>
      <c r="T34" s="22"/>
      <c r="V34" s="496" t="s">
        <v>96</v>
      </c>
    </row>
    <row r="35" spans="1:22" ht="30" customHeight="1" x14ac:dyDescent="0.25">
      <c r="A35" s="733" t="s">
        <v>3046</v>
      </c>
      <c r="B35" s="734"/>
      <c r="C35" s="734"/>
      <c r="D35" s="734"/>
      <c r="E35" s="734"/>
      <c r="F35" s="734"/>
      <c r="G35" s="734"/>
      <c r="H35" s="734"/>
      <c r="I35" s="734"/>
      <c r="J35" s="734"/>
      <c r="K35" s="734"/>
      <c r="L35" s="736"/>
      <c r="M35"/>
      <c r="N35"/>
      <c r="O35"/>
      <c r="P35"/>
      <c r="Q35" s="22"/>
      <c r="R35" s="22"/>
      <c r="S35" s="22"/>
      <c r="T35" s="22"/>
      <c r="V35" s="496" t="s">
        <v>2940</v>
      </c>
    </row>
    <row r="36" spans="1:22" ht="33" customHeight="1" thickBot="1" x14ac:dyDescent="0.3">
      <c r="A36" s="733" t="s">
        <v>3047</v>
      </c>
      <c r="B36" s="734"/>
      <c r="C36" s="734"/>
      <c r="D36" s="734"/>
      <c r="E36" s="734"/>
      <c r="F36" s="734"/>
      <c r="G36" s="734"/>
      <c r="H36" s="734"/>
      <c r="I36" s="734"/>
      <c r="J36" s="734"/>
      <c r="K36" s="734"/>
      <c r="L36" s="737"/>
      <c r="M36"/>
      <c r="N36"/>
      <c r="O36"/>
      <c r="P36"/>
      <c r="Q36" s="22"/>
      <c r="R36" s="22"/>
      <c r="S36" s="22"/>
      <c r="T36" s="22"/>
      <c r="V36" s="496" t="s">
        <v>2941</v>
      </c>
    </row>
    <row r="37" spans="1:22" ht="16.5" customHeight="1" x14ac:dyDescent="0.25">
      <c r="A37" s="725"/>
      <c r="B37" s="738"/>
      <c r="C37" s="738"/>
      <c r="D37" s="738"/>
      <c r="E37" s="738"/>
      <c r="F37" s="738"/>
      <c r="G37" s="738"/>
      <c r="H37" s="738"/>
      <c r="I37" s="738"/>
      <c r="J37" s="738"/>
      <c r="K37" s="738"/>
      <c r="L37" s="539"/>
      <c r="M37"/>
      <c r="N37"/>
      <c r="O37"/>
      <c r="P37"/>
      <c r="Q37" s="22"/>
      <c r="R37" s="22"/>
      <c r="S37" s="22"/>
      <c r="T37" s="22"/>
      <c r="V37" s="496" t="s">
        <v>2942</v>
      </c>
    </row>
    <row r="38" spans="1:22" x14ac:dyDescent="0.25">
      <c r="A38" s="333"/>
      <c r="B38" s="22"/>
      <c r="C38" s="22"/>
      <c r="D38" s="22"/>
      <c r="E38" s="23"/>
      <c r="F38" s="332"/>
      <c r="G38" s="332"/>
      <c r="H38" s="332"/>
      <c r="I38" s="332"/>
      <c r="J38" s="332"/>
      <c r="K38" s="22"/>
      <c r="L38" s="537"/>
      <c r="N38" s="22"/>
      <c r="O38" s="22"/>
      <c r="P38" s="22"/>
      <c r="Q38" s="22"/>
      <c r="R38" s="22"/>
      <c r="S38" s="22"/>
      <c r="T38" s="22"/>
      <c r="V38" s="496" t="s">
        <v>2943</v>
      </c>
    </row>
    <row r="39" spans="1:22" x14ac:dyDescent="0.25">
      <c r="A39" s="498" t="s">
        <v>3031</v>
      </c>
      <c r="B39" s="22"/>
      <c r="C39" s="22"/>
      <c r="D39" s="22"/>
      <c r="E39" s="23"/>
      <c r="F39" s="332"/>
      <c r="G39" s="332"/>
      <c r="H39" s="332"/>
      <c r="I39" s="332"/>
      <c r="J39" s="332"/>
      <c r="K39" s="22"/>
      <c r="L39" s="537"/>
      <c r="N39" s="22"/>
      <c r="O39" s="22"/>
      <c r="P39" s="22"/>
      <c r="Q39" s="22"/>
      <c r="R39" s="22"/>
      <c r="S39" s="22"/>
      <c r="T39" s="22"/>
      <c r="V39" s="496" t="s">
        <v>97</v>
      </c>
    </row>
    <row r="40" spans="1:22" ht="15.75" thickBot="1" x14ac:dyDescent="0.3">
      <c r="A40" s="725" t="s">
        <v>3032</v>
      </c>
      <c r="B40" s="725"/>
      <c r="C40" s="725"/>
      <c r="D40" s="725"/>
      <c r="E40" s="725"/>
      <c r="F40" s="725"/>
      <c r="G40" s="725"/>
      <c r="H40" s="725"/>
      <c r="I40" s="725"/>
      <c r="J40" s="725"/>
      <c r="K40" s="725"/>
      <c r="L40" s="537"/>
      <c r="N40" s="22"/>
      <c r="O40" s="22"/>
      <c r="P40" s="22"/>
      <c r="Q40" s="22"/>
      <c r="R40" s="22"/>
      <c r="S40" s="22"/>
      <c r="T40" s="22"/>
      <c r="V40" s="496" t="s">
        <v>200</v>
      </c>
    </row>
    <row r="41" spans="1:22" ht="20.45" customHeight="1" thickBot="1" x14ac:dyDescent="0.3">
      <c r="A41" s="725" t="s">
        <v>3048</v>
      </c>
      <c r="B41" s="725"/>
      <c r="C41" s="725"/>
      <c r="D41" s="725"/>
      <c r="E41" s="725"/>
      <c r="F41" s="725"/>
      <c r="G41" s="725"/>
      <c r="H41" s="725"/>
      <c r="I41" s="725"/>
      <c r="J41" s="725"/>
      <c r="K41" s="725"/>
      <c r="L41" s="538">
        <v>2020</v>
      </c>
      <c r="N41" s="337"/>
      <c r="O41" s="22"/>
      <c r="P41" s="22"/>
      <c r="Q41" s="22"/>
      <c r="R41" s="22"/>
      <c r="S41" s="22"/>
      <c r="T41" s="22"/>
      <c r="V41" s="496" t="s">
        <v>98</v>
      </c>
    </row>
    <row r="42" spans="1:22" ht="24.6" customHeight="1" thickBot="1" x14ac:dyDescent="0.3">
      <c r="A42" s="725" t="s">
        <v>3043</v>
      </c>
      <c r="B42" s="725"/>
      <c r="C42" s="725"/>
      <c r="D42" s="725"/>
      <c r="E42" s="725"/>
      <c r="F42" s="725"/>
      <c r="G42" s="725"/>
      <c r="H42" s="725"/>
      <c r="I42" s="725"/>
      <c r="J42" s="725"/>
      <c r="K42" s="725"/>
      <c r="L42" s="539"/>
      <c r="N42" s="337"/>
      <c r="O42" s="22"/>
      <c r="P42" s="22"/>
      <c r="Q42" s="22"/>
      <c r="R42" s="22"/>
      <c r="S42" s="22"/>
      <c r="T42" s="22"/>
      <c r="V42" s="496" t="s">
        <v>99</v>
      </c>
    </row>
    <row r="43" spans="1:22" ht="28.15" customHeight="1" x14ac:dyDescent="0.25">
      <c r="A43" s="725" t="s">
        <v>3044</v>
      </c>
      <c r="B43" s="738"/>
      <c r="C43" s="738"/>
      <c r="D43" s="738"/>
      <c r="E43" s="738"/>
      <c r="F43" s="738"/>
      <c r="G43" s="738"/>
      <c r="H43" s="738"/>
      <c r="I43" s="738"/>
      <c r="J43" s="738"/>
      <c r="K43" s="738"/>
      <c r="L43" s="735">
        <v>2020</v>
      </c>
      <c r="N43" s="337"/>
      <c r="O43" s="22"/>
      <c r="P43" s="22"/>
      <c r="Q43" s="22"/>
      <c r="R43" s="22"/>
      <c r="S43" s="22"/>
      <c r="T43" s="22"/>
      <c r="V43" s="496" t="s">
        <v>100</v>
      </c>
    </row>
    <row r="44" spans="1:22" ht="19.149999999999999" customHeight="1" x14ac:dyDescent="0.25">
      <c r="A44" s="725" t="s">
        <v>3030</v>
      </c>
      <c r="B44" s="738"/>
      <c r="C44" s="738"/>
      <c r="D44" s="738"/>
      <c r="E44" s="738"/>
      <c r="F44" s="738"/>
      <c r="G44" s="738"/>
      <c r="H44" s="738"/>
      <c r="I44" s="738"/>
      <c r="J44" s="738"/>
      <c r="K44" s="738"/>
      <c r="L44" s="736"/>
      <c r="N44" s="337"/>
      <c r="O44" s="22"/>
      <c r="P44" s="22"/>
      <c r="Q44" s="22"/>
      <c r="R44" s="22"/>
      <c r="S44" s="22"/>
      <c r="T44" s="22"/>
      <c r="V44" s="496" t="s">
        <v>101</v>
      </c>
    </row>
    <row r="45" spans="1:22" ht="31.9" customHeight="1" x14ac:dyDescent="0.25">
      <c r="A45" s="733" t="s">
        <v>3046</v>
      </c>
      <c r="B45" s="734"/>
      <c r="C45" s="734"/>
      <c r="D45" s="734"/>
      <c r="E45" s="734"/>
      <c r="F45" s="734"/>
      <c r="G45" s="734"/>
      <c r="H45" s="734"/>
      <c r="I45" s="734"/>
      <c r="J45" s="734"/>
      <c r="K45" s="734"/>
      <c r="L45" s="736"/>
      <c r="N45" s="337"/>
      <c r="O45" s="22"/>
      <c r="P45" s="22"/>
      <c r="Q45" s="22"/>
      <c r="R45" s="22"/>
      <c r="S45" s="22"/>
      <c r="T45" s="22"/>
      <c r="V45" s="496" t="s">
        <v>2944</v>
      </c>
    </row>
    <row r="46" spans="1:22" ht="28.5" customHeight="1" thickBot="1" x14ac:dyDescent="0.3">
      <c r="A46" s="733" t="s">
        <v>3047</v>
      </c>
      <c r="B46" s="734"/>
      <c r="C46" s="734"/>
      <c r="D46" s="734"/>
      <c r="E46" s="734"/>
      <c r="F46" s="734"/>
      <c r="G46" s="734"/>
      <c r="H46" s="734"/>
      <c r="I46" s="734"/>
      <c r="J46" s="734"/>
      <c r="K46" s="734"/>
      <c r="L46" s="737"/>
      <c r="N46" s="337"/>
      <c r="O46" s="22"/>
      <c r="P46" s="22"/>
      <c r="Q46" s="22"/>
      <c r="R46" s="22"/>
      <c r="S46" s="22"/>
      <c r="T46" s="22"/>
      <c r="V46" s="496" t="s">
        <v>102</v>
      </c>
    </row>
    <row r="47" spans="1:22" x14ac:dyDescent="0.25">
      <c r="A47" s="22"/>
      <c r="B47" s="22"/>
      <c r="C47" s="22"/>
      <c r="D47" s="22"/>
      <c r="E47" s="23"/>
      <c r="F47" s="332"/>
      <c r="G47" s="332"/>
      <c r="H47" s="332"/>
      <c r="I47" s="332"/>
      <c r="J47" s="332"/>
      <c r="K47" s="22"/>
      <c r="L47" s="539"/>
      <c r="N47" s="337"/>
      <c r="O47" s="22"/>
      <c r="P47" s="22"/>
      <c r="Q47" s="22"/>
      <c r="R47" s="22"/>
      <c r="S47" s="22"/>
      <c r="T47" s="22"/>
      <c r="V47" s="496" t="s">
        <v>129</v>
      </c>
    </row>
    <row r="48" spans="1:22" ht="15.75" thickBot="1" x14ac:dyDescent="0.3">
      <c r="A48" s="498" t="s">
        <v>3033</v>
      </c>
      <c r="B48" s="22"/>
      <c r="C48" s="22"/>
      <c r="D48" s="22"/>
      <c r="E48" s="23"/>
      <c r="F48" s="332"/>
      <c r="G48" s="332"/>
      <c r="H48" s="332"/>
      <c r="I48" s="332"/>
      <c r="J48" s="332"/>
      <c r="K48" s="22"/>
      <c r="L48" s="539"/>
      <c r="N48" s="337"/>
      <c r="O48" s="22"/>
      <c r="P48" s="22"/>
      <c r="Q48" s="22"/>
      <c r="R48" s="22"/>
      <c r="S48" s="22"/>
      <c r="T48" s="22"/>
      <c r="V48" s="496" t="s">
        <v>2945</v>
      </c>
    </row>
    <row r="49" spans="1:22" ht="16.5" customHeight="1" thickBot="1" x14ac:dyDescent="0.3">
      <c r="A49" s="723" t="s">
        <v>3049</v>
      </c>
      <c r="B49" s="723"/>
      <c r="C49" s="723"/>
      <c r="D49" s="723"/>
      <c r="E49" s="723"/>
      <c r="F49" s="723"/>
      <c r="G49" s="723"/>
      <c r="H49" s="723"/>
      <c r="I49" s="723"/>
      <c r="J49" s="723"/>
      <c r="K49" s="723"/>
      <c r="L49" s="540">
        <v>2018</v>
      </c>
      <c r="N49" s="337"/>
      <c r="O49" s="22"/>
      <c r="P49" s="22"/>
      <c r="Q49" s="22"/>
      <c r="R49" s="22"/>
      <c r="S49" s="22"/>
      <c r="T49" s="22"/>
      <c r="V49" s="496" t="s">
        <v>2946</v>
      </c>
    </row>
    <row r="50" spans="1:22" x14ac:dyDescent="0.25">
      <c r="A50" s="334" t="s">
        <v>2905</v>
      </c>
      <c r="B50" s="335"/>
      <c r="C50" s="335"/>
      <c r="D50" s="335"/>
      <c r="E50" s="335"/>
      <c r="F50" s="335"/>
      <c r="G50" s="335"/>
      <c r="H50" s="335"/>
      <c r="I50" s="335"/>
      <c r="J50" s="335"/>
      <c r="K50" s="335"/>
      <c r="L50" s="541"/>
      <c r="N50" s="337"/>
      <c r="O50" s="22"/>
      <c r="P50" s="22"/>
      <c r="Q50" s="22"/>
      <c r="R50" s="22"/>
      <c r="S50" s="22"/>
      <c r="T50" s="22"/>
      <c r="V50" s="496" t="s">
        <v>103</v>
      </c>
    </row>
    <row r="51" spans="1:22" x14ac:dyDescent="0.25">
      <c r="A51" s="22"/>
      <c r="B51" s="22"/>
      <c r="C51" s="22"/>
      <c r="D51" s="22"/>
      <c r="E51" s="23"/>
      <c r="F51" s="332"/>
      <c r="G51" s="332"/>
      <c r="H51" s="332"/>
      <c r="I51" s="332"/>
      <c r="J51" s="332"/>
      <c r="K51" s="22"/>
      <c r="L51" s="537"/>
      <c r="N51" s="22"/>
      <c r="O51" s="22"/>
      <c r="P51" s="22"/>
      <c r="Q51" s="22"/>
      <c r="R51" s="22"/>
      <c r="S51" s="22"/>
      <c r="T51" s="22"/>
      <c r="V51" s="496" t="s">
        <v>104</v>
      </c>
    </row>
    <row r="52" spans="1:22" ht="15.75" thickBot="1" x14ac:dyDescent="0.3">
      <c r="A52" s="498" t="s">
        <v>3034</v>
      </c>
      <c r="B52" s="22"/>
      <c r="C52" s="22"/>
      <c r="D52" s="22"/>
      <c r="E52" s="23"/>
      <c r="F52" s="332"/>
      <c r="G52" s="332"/>
      <c r="H52" s="332"/>
      <c r="I52" s="332"/>
      <c r="J52" s="332"/>
      <c r="K52" s="22"/>
      <c r="L52" s="537"/>
      <c r="N52" s="22"/>
      <c r="O52" s="22"/>
      <c r="P52" s="22"/>
      <c r="Q52" s="22"/>
      <c r="R52" s="22"/>
      <c r="S52" s="22"/>
      <c r="T52" s="22"/>
      <c r="V52" s="496" t="s">
        <v>3039</v>
      </c>
    </row>
    <row r="53" spans="1:22" ht="35.25" customHeight="1" thickBot="1" x14ac:dyDescent="0.3">
      <c r="A53" s="725" t="s">
        <v>3058</v>
      </c>
      <c r="B53" s="725"/>
      <c r="C53" s="725"/>
      <c r="D53" s="725"/>
      <c r="E53" s="725"/>
      <c r="F53" s="725"/>
      <c r="G53" s="725"/>
      <c r="H53" s="725"/>
      <c r="I53" s="725"/>
      <c r="J53" s="725"/>
      <c r="K53" s="732"/>
      <c r="L53" s="540">
        <v>2017</v>
      </c>
      <c r="N53" s="337"/>
      <c r="O53" s="22"/>
      <c r="P53" s="22"/>
      <c r="Q53" s="22"/>
      <c r="R53" s="22"/>
      <c r="S53" s="22"/>
      <c r="T53" s="22"/>
      <c r="V53" s="496" t="s">
        <v>3040</v>
      </c>
    </row>
    <row r="54" spans="1:22" x14ac:dyDescent="0.25">
      <c r="A54" s="22"/>
      <c r="B54" s="22"/>
      <c r="C54" s="22"/>
      <c r="D54" s="22"/>
      <c r="E54" s="23"/>
      <c r="F54" s="332"/>
      <c r="G54" s="332"/>
      <c r="H54" s="332"/>
      <c r="I54" s="332"/>
      <c r="J54" s="332"/>
      <c r="K54" s="22"/>
      <c r="L54" s="537"/>
      <c r="N54" s="22"/>
      <c r="O54" s="22"/>
      <c r="P54" s="22"/>
      <c r="Q54" s="22"/>
      <c r="R54" s="22"/>
      <c r="S54" s="22"/>
      <c r="T54" s="22"/>
      <c r="V54" s="496" t="s">
        <v>106</v>
      </c>
    </row>
    <row r="55" spans="1:22" x14ac:dyDescent="0.25">
      <c r="A55" s="333" t="s">
        <v>3059</v>
      </c>
      <c r="B55" s="22"/>
      <c r="C55" s="22"/>
      <c r="D55" s="22"/>
      <c r="E55" s="23"/>
      <c r="F55" s="332"/>
      <c r="G55" s="332"/>
      <c r="H55" s="332"/>
      <c r="I55" s="332"/>
      <c r="J55" s="332"/>
      <c r="K55" s="22"/>
      <c r="L55" s="537"/>
      <c r="N55" s="22"/>
      <c r="O55" s="22"/>
      <c r="P55" s="22"/>
      <c r="Q55" s="22"/>
      <c r="R55" s="22"/>
      <c r="S55" s="22"/>
      <c r="T55" s="22"/>
      <c r="V55" s="496" t="s">
        <v>107</v>
      </c>
    </row>
    <row r="56" spans="1:22" x14ac:dyDescent="0.25">
      <c r="A56" s="22"/>
      <c r="B56" s="22"/>
      <c r="C56" s="22"/>
      <c r="D56" s="22"/>
      <c r="E56" s="23"/>
      <c r="F56" s="332"/>
      <c r="G56" s="332"/>
      <c r="H56" s="332"/>
      <c r="I56" s="332"/>
      <c r="J56" s="332"/>
      <c r="K56" s="22"/>
      <c r="L56" s="537"/>
      <c r="N56" s="22"/>
      <c r="O56" s="22"/>
      <c r="P56" s="22"/>
      <c r="Q56" s="22"/>
      <c r="R56" s="22"/>
      <c r="S56" s="22"/>
      <c r="T56" s="22"/>
      <c r="V56" s="496" t="s">
        <v>108</v>
      </c>
    </row>
    <row r="57" spans="1:22" ht="15.75" thickBot="1" x14ac:dyDescent="0.3">
      <c r="A57" s="498" t="s">
        <v>3035</v>
      </c>
      <c r="B57" s="22"/>
      <c r="C57" s="22"/>
      <c r="D57" s="22"/>
      <c r="E57" s="23"/>
      <c r="F57" s="332"/>
      <c r="G57" s="332"/>
      <c r="H57" s="332"/>
      <c r="I57" s="332"/>
      <c r="J57" s="332"/>
      <c r="K57" s="22"/>
      <c r="L57" s="537"/>
      <c r="N57" s="22"/>
      <c r="O57" s="22"/>
      <c r="P57" s="22"/>
      <c r="Q57" s="22"/>
      <c r="R57" s="22"/>
      <c r="S57" s="22"/>
      <c r="T57" s="22"/>
      <c r="V57" s="496" t="s">
        <v>109</v>
      </c>
    </row>
    <row r="58" spans="1:22" ht="30.75" customHeight="1" thickBot="1" x14ac:dyDescent="0.3">
      <c r="A58" s="724" t="s">
        <v>3060</v>
      </c>
      <c r="B58" s="724"/>
      <c r="C58" s="724"/>
      <c r="D58" s="724"/>
      <c r="E58" s="724"/>
      <c r="F58" s="724"/>
      <c r="G58" s="724"/>
      <c r="H58" s="724"/>
      <c r="I58" s="724"/>
      <c r="J58" s="724"/>
      <c r="K58" s="724"/>
      <c r="L58" s="540" t="s">
        <v>3037</v>
      </c>
      <c r="N58" s="337"/>
      <c r="O58" s="22"/>
      <c r="P58" s="22"/>
      <c r="Q58" s="22"/>
      <c r="R58" s="22"/>
      <c r="S58" s="22"/>
      <c r="T58" s="22"/>
      <c r="V58" s="496" t="s">
        <v>110</v>
      </c>
    </row>
    <row r="59" spans="1:22" ht="15" customHeight="1" x14ac:dyDescent="0.25">
      <c r="A59" s="336"/>
      <c r="B59" s="336"/>
      <c r="C59" s="336"/>
      <c r="D59" s="336"/>
      <c r="E59" s="336"/>
      <c r="F59" s="336"/>
      <c r="G59" s="336"/>
      <c r="H59" s="336"/>
      <c r="I59" s="336"/>
      <c r="J59" s="336"/>
      <c r="K59" s="336"/>
      <c r="L59" s="539"/>
      <c r="N59" s="337"/>
      <c r="O59" s="22"/>
      <c r="P59" s="22"/>
      <c r="Q59" s="22"/>
      <c r="R59" s="22"/>
      <c r="S59" s="22"/>
      <c r="T59" s="22"/>
      <c r="V59" s="496" t="s">
        <v>111</v>
      </c>
    </row>
    <row r="60" spans="1:22" ht="15.75" thickBot="1" x14ac:dyDescent="0.3">
      <c r="A60" s="498" t="s">
        <v>3036</v>
      </c>
      <c r="B60" s="22"/>
      <c r="C60" s="22"/>
      <c r="D60" s="22"/>
      <c r="E60" s="23"/>
      <c r="F60" s="332"/>
      <c r="G60" s="332"/>
      <c r="H60" s="332"/>
      <c r="I60" s="332"/>
      <c r="J60" s="332"/>
      <c r="K60" s="22"/>
      <c r="L60" s="537"/>
      <c r="N60" s="22"/>
      <c r="O60" s="22"/>
      <c r="P60" s="22"/>
      <c r="Q60" s="22"/>
      <c r="R60" s="22"/>
      <c r="S60" s="22"/>
      <c r="T60" s="22"/>
      <c r="V60" s="496" t="s">
        <v>112</v>
      </c>
    </row>
    <row r="61" spans="1:22" ht="45" customHeight="1" thickBot="1" x14ac:dyDescent="0.3">
      <c r="A61" s="725" t="s">
        <v>3061</v>
      </c>
      <c r="B61" s="725"/>
      <c r="C61" s="725"/>
      <c r="D61" s="725"/>
      <c r="E61" s="725"/>
      <c r="F61" s="725"/>
      <c r="G61" s="725"/>
      <c r="H61" s="725"/>
      <c r="I61" s="725"/>
      <c r="J61" s="725"/>
      <c r="K61" s="725"/>
      <c r="L61" s="540" t="s">
        <v>3037</v>
      </c>
      <c r="N61" s="337"/>
      <c r="O61" s="22"/>
      <c r="P61" s="22"/>
      <c r="Q61" s="22"/>
      <c r="R61" s="22"/>
      <c r="S61" s="22"/>
      <c r="T61" s="22"/>
      <c r="V61" s="496" t="s">
        <v>113</v>
      </c>
    </row>
    <row r="62" spans="1:22" x14ac:dyDescent="0.25">
      <c r="A62" s="336"/>
      <c r="B62" s="336"/>
      <c r="C62" s="336"/>
      <c r="D62" s="336"/>
      <c r="E62" s="336"/>
      <c r="F62" s="336"/>
      <c r="G62" s="336"/>
      <c r="H62" s="336"/>
      <c r="I62" s="336"/>
      <c r="J62" s="336"/>
      <c r="K62" s="336"/>
      <c r="L62" s="542"/>
      <c r="M62" s="22"/>
      <c r="N62" s="337"/>
      <c r="O62" s="22"/>
      <c r="P62" s="22"/>
      <c r="Q62" s="22"/>
      <c r="R62" s="22"/>
      <c r="S62" s="22"/>
      <c r="T62" s="22"/>
      <c r="V62" s="496" t="s">
        <v>114</v>
      </c>
    </row>
    <row r="63" spans="1:22" x14ac:dyDescent="0.25">
      <c r="E63" s="18"/>
      <c r="I63" s="20"/>
      <c r="J63" s="20"/>
      <c r="V63" s="496" t="s">
        <v>440</v>
      </c>
    </row>
    <row r="64" spans="1:22" x14ac:dyDescent="0.25">
      <c r="E64" s="18"/>
      <c r="I64" s="20"/>
      <c r="J64" s="20"/>
      <c r="V64" s="496" t="s">
        <v>115</v>
      </c>
    </row>
    <row r="65" spans="2:22" x14ac:dyDescent="0.25">
      <c r="B65" s="731" t="s">
        <v>49</v>
      </c>
      <c r="C65" s="731"/>
      <c r="D65" s="731"/>
      <c r="E65" s="731"/>
      <c r="F65" s="731"/>
      <c r="G65" s="731"/>
      <c r="H65" s="731"/>
      <c r="I65" s="731"/>
      <c r="J65" s="731"/>
      <c r="K65" s="731"/>
      <c r="L65" s="731"/>
      <c r="M65" s="731"/>
      <c r="V65" s="496" t="s">
        <v>2947</v>
      </c>
    </row>
    <row r="66" spans="2:22" x14ac:dyDescent="0.25">
      <c r="V66" s="496" t="s">
        <v>2948</v>
      </c>
    </row>
    <row r="67" spans="2:22" x14ac:dyDescent="0.25">
      <c r="B67" s="24" t="s">
        <v>45</v>
      </c>
      <c r="V67" s="496" t="s">
        <v>116</v>
      </c>
    </row>
    <row r="68" spans="2:22" ht="15.75" thickBot="1" x14ac:dyDescent="0.3">
      <c r="V68" s="496" t="s">
        <v>117</v>
      </c>
    </row>
    <row r="69" spans="2:22" ht="15.75" thickBot="1" x14ac:dyDescent="0.3">
      <c r="B69" s="325"/>
      <c r="C69" s="726" t="s">
        <v>46</v>
      </c>
      <c r="D69" s="726"/>
      <c r="E69" s="726"/>
      <c r="F69" s="726"/>
      <c r="G69" s="726"/>
      <c r="H69" s="726"/>
      <c r="I69" s="726"/>
      <c r="J69" s="726"/>
      <c r="K69" s="726"/>
      <c r="L69" s="726"/>
      <c r="V69" s="496" t="s">
        <v>118</v>
      </c>
    </row>
    <row r="70" spans="2:22" ht="15.75" thickBot="1" x14ac:dyDescent="0.3">
      <c r="V70" s="496" t="s">
        <v>119</v>
      </c>
    </row>
    <row r="71" spans="2:22" ht="15.75" thickBot="1" x14ac:dyDescent="0.3">
      <c r="B71" s="326"/>
      <c r="C71" s="727" t="s">
        <v>47</v>
      </c>
      <c r="D71" s="728"/>
      <c r="E71" s="728"/>
      <c r="F71" s="728"/>
      <c r="G71" s="728"/>
      <c r="H71" s="728"/>
      <c r="I71" s="728"/>
      <c r="J71" s="728"/>
      <c r="K71" s="728"/>
      <c r="L71" s="728"/>
      <c r="M71" s="728"/>
      <c r="N71" s="728"/>
      <c r="V71" s="496" t="s">
        <v>201</v>
      </c>
    </row>
    <row r="72" spans="2:22" ht="15.75" thickBot="1" x14ac:dyDescent="0.3">
      <c r="B72" s="25"/>
      <c r="V72" s="496" t="s">
        <v>120</v>
      </c>
    </row>
    <row r="73" spans="2:22" ht="15.75" thickBot="1" x14ac:dyDescent="0.3">
      <c r="B73" s="26"/>
      <c r="C73" s="729" t="s">
        <v>48</v>
      </c>
      <c r="D73" s="730"/>
      <c r="E73" s="730"/>
      <c r="F73" s="730"/>
      <c r="G73" s="730"/>
      <c r="H73" s="730"/>
      <c r="I73" s="730"/>
      <c r="J73" s="730"/>
      <c r="K73" s="730"/>
      <c r="L73" s="730"/>
      <c r="M73" s="730"/>
      <c r="V73" s="496" t="s">
        <v>121</v>
      </c>
    </row>
    <row r="74" spans="2:22" ht="15.75" thickBot="1" x14ac:dyDescent="0.3">
      <c r="V74" s="485"/>
    </row>
    <row r="75" spans="2:22" ht="15.75" thickBot="1" x14ac:dyDescent="0.3">
      <c r="B75" s="331"/>
      <c r="C75" s="721" t="s">
        <v>441</v>
      </c>
      <c r="D75" s="722"/>
      <c r="E75" s="722"/>
      <c r="F75" s="722"/>
      <c r="G75" s="722"/>
      <c r="H75" s="722"/>
      <c r="I75" s="722"/>
      <c r="J75" s="722"/>
      <c r="K75" s="722"/>
      <c r="L75" s="722"/>
      <c r="V75" s="485"/>
    </row>
    <row r="76" spans="2:22" x14ac:dyDescent="0.25">
      <c r="V76" s="485"/>
    </row>
    <row r="77" spans="2:22" x14ac:dyDescent="0.25">
      <c r="V77" s="485"/>
    </row>
    <row r="78" spans="2:22" x14ac:dyDescent="0.25">
      <c r="V78" s="485"/>
    </row>
    <row r="79" spans="2:22" x14ac:dyDescent="0.25">
      <c r="V79" s="485"/>
    </row>
    <row r="80" spans="2:22" x14ac:dyDescent="0.25">
      <c r="V80" s="485"/>
    </row>
    <row r="81" spans="22:22" x14ac:dyDescent="0.25">
      <c r="V81" s="496"/>
    </row>
    <row r="82" spans="22:22" x14ac:dyDescent="0.25">
      <c r="V82" s="496"/>
    </row>
    <row r="83" spans="22:22" x14ac:dyDescent="0.25">
      <c r="V83" s="496"/>
    </row>
    <row r="84" spans="22:22" x14ac:dyDescent="0.25">
      <c r="V84" s="496"/>
    </row>
    <row r="85" spans="22:22" x14ac:dyDescent="0.25">
      <c r="V85" s="496"/>
    </row>
    <row r="86" spans="22:22" x14ac:dyDescent="0.25">
      <c r="V86" s="496"/>
    </row>
    <row r="87" spans="22:22" x14ac:dyDescent="0.25">
      <c r="V87" s="496"/>
    </row>
    <row r="88" spans="22:22" x14ac:dyDescent="0.25">
      <c r="V88" s="496"/>
    </row>
    <row r="89" spans="22:22" x14ac:dyDescent="0.25">
      <c r="V89" s="496"/>
    </row>
    <row r="90" spans="22:22" x14ac:dyDescent="0.25">
      <c r="V90" s="496"/>
    </row>
    <row r="104" spans="22:22" x14ac:dyDescent="0.25">
      <c r="V104"/>
    </row>
    <row r="105" spans="22:22" x14ac:dyDescent="0.25">
      <c r="V105"/>
    </row>
    <row r="106" spans="22:22" x14ac:dyDescent="0.25">
      <c r="V106"/>
    </row>
    <row r="107" spans="22:22" x14ac:dyDescent="0.25">
      <c r="V107"/>
    </row>
    <row r="108" spans="22:22" x14ac:dyDescent="0.25">
      <c r="V108"/>
    </row>
    <row r="109" spans="22:22" x14ac:dyDescent="0.25">
      <c r="V109"/>
    </row>
    <row r="110" spans="22:22" x14ac:dyDescent="0.25">
      <c r="V110"/>
    </row>
    <row r="111" spans="22:22" x14ac:dyDescent="0.25">
      <c r="V111" s="268"/>
    </row>
    <row r="112" spans="22:22" x14ac:dyDescent="0.25">
      <c r="V112" s="268"/>
    </row>
    <row r="113" spans="22:22" x14ac:dyDescent="0.25">
      <c r="V113" s="268"/>
    </row>
    <row r="114" spans="22:22" x14ac:dyDescent="0.25">
      <c r="V114" s="269"/>
    </row>
    <row r="115" spans="22:22" x14ac:dyDescent="0.25">
      <c r="V115"/>
    </row>
  </sheetData>
  <sheetProtection algorithmName="SHA-512" hashValue="0dvh2Bi2DZTbf96sV2wI49vkO1LIZOjHJjXlU1JycNhekdgMrAv5SROA1Asl+zs+vHvZ8PtnprdFFK7WDYQxhA==" saltValue="174X+a3yVRI/2yWgXzeF0g==" spinCount="100000" sheet="1" objects="1" scenarios="1"/>
  <mergeCells count="33">
    <mergeCell ref="A28:N28"/>
    <mergeCell ref="A32:K32"/>
    <mergeCell ref="A42:K42"/>
    <mergeCell ref="L33:L36"/>
    <mergeCell ref="A40:K40"/>
    <mergeCell ref="A30:K30"/>
    <mergeCell ref="A31:K31"/>
    <mergeCell ref="A33:K33"/>
    <mergeCell ref="A34:K34"/>
    <mergeCell ref="A35:K35"/>
    <mergeCell ref="A36:K36"/>
    <mergeCell ref="A37:K37"/>
    <mergeCell ref="A46:K46"/>
    <mergeCell ref="L43:L46"/>
    <mergeCell ref="A41:K41"/>
    <mergeCell ref="A43:K43"/>
    <mergeCell ref="A44:K44"/>
    <mergeCell ref="A45:K45"/>
    <mergeCell ref="C75:L75"/>
    <mergeCell ref="A49:K49"/>
    <mergeCell ref="A58:K58"/>
    <mergeCell ref="A61:K61"/>
    <mergeCell ref="C69:L69"/>
    <mergeCell ref="C71:N71"/>
    <mergeCell ref="C73:M73"/>
    <mergeCell ref="B65:M65"/>
    <mergeCell ref="A53:K53"/>
    <mergeCell ref="F24:J24"/>
    <mergeCell ref="F14:L14"/>
    <mergeCell ref="F16:J16"/>
    <mergeCell ref="F18:J18"/>
    <mergeCell ref="F20:J20"/>
    <mergeCell ref="F22:J22"/>
  </mergeCells>
  <dataValidations count="5">
    <dataValidation allowBlank="1" showInputMessage="1" showErrorMessage="1" prompt="First and last name, title" sqref="F20:J20" xr:uid="{00000000-0002-0000-0300-000000000000}"/>
    <dataValidation type="list" allowBlank="1" showInputMessage="1" showErrorMessage="1" sqref="L47:L48" xr:uid="{00000000-0002-0000-0300-000001000000}">
      <formula1>"2014,2015,2016,2017,2018"</formula1>
    </dataValidation>
    <dataValidation type="list" allowBlank="1" showInputMessage="1" showErrorMessage="1" sqref="L61 L58" xr:uid="{00000000-0002-0000-0300-000002000000}">
      <formula1>"Yes,No"</formula1>
    </dataValidation>
    <dataValidation type="list" allowBlank="1" showInputMessage="1" showErrorMessage="1" sqref="F14:L14" xr:uid="{00000000-0002-0000-0300-000003000000}">
      <formula1>$V$1:$V$73</formula1>
    </dataValidation>
    <dataValidation type="list" allowBlank="1" showInputMessage="1" showErrorMessage="1" sqref="L53 L33:L36 L43:L46 L49" xr:uid="{6AE5A125-6773-4D45-A741-C48EFE0C22AF}">
      <formula1>"2016,2017,2018,2019,2020"</formula1>
    </dataValidation>
  </dataValidations>
  <pageMargins left="0.23622047244094491" right="0.23622047244094491" top="0.74803149606299213" bottom="0.74803149606299213" header="0.31496062992125984" footer="0.31496062992125984"/>
  <pageSetup scale="50" orientation="portrait" r:id="rId1"/>
  <rowBreaks count="1" manualBreakCount="1">
    <brk id="81" max="16383"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CF60"/>
  <sheetViews>
    <sheetView showGridLines="0" topLeftCell="A22" zoomScale="70" zoomScaleNormal="70" workbookViewId="0">
      <pane xSplit="4" topLeftCell="BO1" activePane="topRight" state="frozenSplit"/>
      <selection activeCell="BT43" sqref="BT43"/>
      <selection pane="topRight" activeCell="BO25" sqref="BO25:BO33"/>
    </sheetView>
  </sheetViews>
  <sheetFormatPr defaultColWidth="9" defaultRowHeight="12.75" x14ac:dyDescent="0.2"/>
  <cols>
    <col min="1" max="1" width="13.7109375" hidden="1" customWidth="1"/>
    <col min="2" max="2" width="21.85546875" customWidth="1"/>
    <col min="3" max="3" width="82.28515625" customWidth="1"/>
    <col min="4" max="4" width="11" customWidth="1"/>
    <col min="5" max="5" width="16" style="44" hidden="1" customWidth="1"/>
    <col min="6" max="6" width="23" style="44" hidden="1" customWidth="1"/>
    <col min="7" max="8" width="18.28515625" style="44" hidden="1" customWidth="1"/>
    <col min="9" max="9" width="14.7109375" style="44" hidden="1" customWidth="1"/>
    <col min="10" max="10" width="14" style="44" hidden="1" customWidth="1"/>
    <col min="11" max="13" width="14.85546875" style="44" hidden="1" customWidth="1"/>
    <col min="14" max="14" width="15.28515625" style="44" hidden="1" customWidth="1"/>
    <col min="15" max="15" width="16" style="44" hidden="1" customWidth="1"/>
    <col min="16" max="16" width="23" style="44" hidden="1" customWidth="1"/>
    <col min="17" max="18" width="18.28515625" style="44" hidden="1" customWidth="1"/>
    <col min="19" max="19" width="14.7109375" style="44" hidden="1" customWidth="1"/>
    <col min="20" max="20" width="14" style="44" hidden="1" customWidth="1"/>
    <col min="21" max="23" width="14.85546875" style="44" hidden="1" customWidth="1"/>
    <col min="24" max="24" width="15.28515625" style="44" hidden="1" customWidth="1"/>
    <col min="25" max="25" width="16" style="44" hidden="1" customWidth="1"/>
    <col min="26" max="26" width="23" style="44" hidden="1" customWidth="1"/>
    <col min="27" max="28" width="18.28515625" style="44" hidden="1" customWidth="1"/>
    <col min="29" max="29" width="14.7109375" style="44" hidden="1" customWidth="1"/>
    <col min="30" max="30" width="14" style="44" hidden="1" customWidth="1"/>
    <col min="31" max="33" width="14.85546875" style="44" hidden="1" customWidth="1"/>
    <col min="34" max="34" width="15.28515625" style="44" hidden="1" customWidth="1"/>
    <col min="35" max="35" width="16" style="44" hidden="1" customWidth="1"/>
    <col min="36" max="36" width="19.7109375" style="44" hidden="1" customWidth="1"/>
    <col min="37" max="38" width="18.28515625" style="44" hidden="1" customWidth="1"/>
    <col min="39" max="39" width="14.7109375" style="44" hidden="1" customWidth="1"/>
    <col min="40" max="40" width="14" style="44" hidden="1" customWidth="1"/>
    <col min="41" max="43" width="14.85546875" style="44" hidden="1" customWidth="1"/>
    <col min="44" max="44" width="15.28515625" style="44" hidden="1" customWidth="1"/>
    <col min="45" max="45" width="16" style="44" hidden="1" customWidth="1"/>
    <col min="46" max="46" width="18.7109375" style="44" hidden="1" customWidth="1"/>
    <col min="47" max="48" width="18.28515625" style="44" hidden="1" customWidth="1"/>
    <col min="49" max="49" width="14.7109375" style="44" hidden="1" customWidth="1"/>
    <col min="50" max="50" width="14" style="44" hidden="1" customWidth="1"/>
    <col min="51" max="53" width="14.85546875" style="44" hidden="1" customWidth="1"/>
    <col min="54" max="54" width="15.28515625" style="44" hidden="1" customWidth="1"/>
    <col min="55" max="55" width="16" style="44" customWidth="1"/>
    <col min="56" max="58" width="18.28515625" style="44" customWidth="1"/>
    <col min="59" max="59" width="14.7109375" style="44" customWidth="1"/>
    <col min="60" max="60" width="14" style="44" customWidth="1"/>
    <col min="61" max="63" width="14.85546875" style="44" customWidth="1"/>
    <col min="64" max="64" width="15.28515625" style="44" customWidth="1"/>
    <col min="65" max="66" width="14.85546875" style="44" customWidth="1"/>
    <col min="67" max="67" width="18" style="44" customWidth="1"/>
    <col min="68" max="68" width="17.28515625" style="44" customWidth="1"/>
    <col min="69" max="71" width="26.85546875" style="44" customWidth="1"/>
    <col min="72" max="72" width="23.7109375" style="44" customWidth="1"/>
    <col min="73" max="73" width="23.28515625" style="44" customWidth="1"/>
    <col min="74" max="74" width="22.28515625" style="44" bestFit="1" customWidth="1"/>
    <col min="75" max="75" width="19.85546875" style="44" customWidth="1"/>
    <col min="76" max="76" width="9" style="342"/>
    <col min="80" max="80" width="12.7109375" hidden="1" customWidth="1"/>
    <col min="81" max="81" width="9" hidden="1" customWidth="1"/>
    <col min="84" max="84" width="0" hidden="1" customWidth="1"/>
  </cols>
  <sheetData>
    <row r="1" spans="3:84" x14ac:dyDescent="0.2">
      <c r="F1" s="272">
        <v>20</v>
      </c>
      <c r="BQ1" s="260"/>
      <c r="BR1" s="260"/>
      <c r="BS1" s="260"/>
      <c r="BT1" s="260"/>
      <c r="BU1" s="260"/>
      <c r="CF1">
        <v>1</v>
      </c>
    </row>
    <row r="2" spans="3:84" x14ac:dyDescent="0.2">
      <c r="BQ2" s="260"/>
      <c r="BR2" s="260"/>
      <c r="BS2" s="260"/>
      <c r="BT2" s="260"/>
      <c r="BU2" s="260"/>
      <c r="CF2">
        <v>2</v>
      </c>
    </row>
    <row r="3" spans="3:84" x14ac:dyDescent="0.2">
      <c r="BQ3" s="260"/>
      <c r="BR3" s="260"/>
      <c r="BS3" s="260"/>
      <c r="BT3" s="260"/>
      <c r="BU3" s="260"/>
      <c r="CF3">
        <v>3</v>
      </c>
    </row>
    <row r="4" spans="3:84" x14ac:dyDescent="0.2">
      <c r="BQ4" s="260"/>
      <c r="BR4" s="260"/>
      <c r="BS4" s="260"/>
      <c r="BT4" s="260"/>
      <c r="BU4" s="260"/>
      <c r="CF4">
        <v>4</v>
      </c>
    </row>
    <row r="5" spans="3:84" x14ac:dyDescent="0.2">
      <c r="BQ5" s="260"/>
      <c r="BR5" s="260"/>
      <c r="BS5" s="260"/>
      <c r="BT5" s="260"/>
      <c r="BU5" s="260"/>
      <c r="CF5">
        <v>5</v>
      </c>
    </row>
    <row r="6" spans="3:84" x14ac:dyDescent="0.2">
      <c r="BQ6" s="260"/>
      <c r="BR6" s="260"/>
      <c r="BS6" s="260"/>
      <c r="BT6" s="260"/>
      <c r="BU6" s="260"/>
      <c r="CF6">
        <v>6</v>
      </c>
    </row>
    <row r="7" spans="3:84" x14ac:dyDescent="0.2">
      <c r="BQ7" s="260"/>
      <c r="BR7" s="260"/>
      <c r="BS7" s="260"/>
      <c r="BT7" s="260"/>
      <c r="BU7" s="260"/>
      <c r="CF7">
        <v>7</v>
      </c>
    </row>
    <row r="8" spans="3:84" x14ac:dyDescent="0.2">
      <c r="BQ8" s="260"/>
      <c r="BR8" s="260"/>
      <c r="BS8" s="260"/>
      <c r="BT8" s="260"/>
      <c r="BU8" s="260"/>
      <c r="CF8">
        <v>8</v>
      </c>
    </row>
    <row r="9" spans="3:84" x14ac:dyDescent="0.2">
      <c r="BQ9" s="260"/>
      <c r="BR9" s="260"/>
      <c r="BS9" s="260"/>
      <c r="BT9" s="260"/>
      <c r="BU9" s="260"/>
      <c r="CF9">
        <v>9</v>
      </c>
    </row>
    <row r="10" spans="3:84" x14ac:dyDescent="0.2">
      <c r="BQ10" s="260"/>
      <c r="BR10" s="260"/>
      <c r="BS10" s="260"/>
      <c r="BT10" s="260"/>
      <c r="BU10" s="260"/>
      <c r="CF10">
        <v>10</v>
      </c>
    </row>
    <row r="11" spans="3:84" x14ac:dyDescent="0.2">
      <c r="BQ11" s="260"/>
      <c r="BR11" s="260"/>
      <c r="BS11" s="260"/>
      <c r="BT11" s="260"/>
      <c r="BU11" s="260"/>
      <c r="CB11" s="303" t="b">
        <v>1</v>
      </c>
      <c r="CF11">
        <v>11</v>
      </c>
    </row>
    <row r="12" spans="3:84" x14ac:dyDescent="0.2">
      <c r="BQ12" s="260"/>
      <c r="BR12" s="260"/>
      <c r="BS12" s="260"/>
      <c r="BT12" s="260"/>
      <c r="BU12" s="260"/>
      <c r="CB12" s="303" t="b">
        <v>0</v>
      </c>
      <c r="CF12">
        <v>12</v>
      </c>
    </row>
    <row r="13" spans="3:84" x14ac:dyDescent="0.2">
      <c r="BQ13" s="260"/>
      <c r="BR13" s="260"/>
      <c r="BS13" s="260"/>
      <c r="BT13" s="260"/>
      <c r="BU13" s="260"/>
      <c r="CF13">
        <v>13</v>
      </c>
    </row>
    <row r="14" spans="3:84" x14ac:dyDescent="0.2">
      <c r="BQ14" s="260"/>
      <c r="BR14" s="260"/>
      <c r="BS14" s="260"/>
      <c r="BT14" s="260"/>
      <c r="BU14" s="260"/>
      <c r="CF14">
        <v>14</v>
      </c>
    </row>
    <row r="15" spans="3:84" x14ac:dyDescent="0.2">
      <c r="BQ15" s="260"/>
      <c r="BR15" s="260"/>
      <c r="BS15" s="260"/>
      <c r="BT15" s="260"/>
      <c r="BU15" s="260"/>
      <c r="CF15">
        <v>15</v>
      </c>
    </row>
    <row r="16" spans="3:84" ht="61.5" customHeight="1" x14ac:dyDescent="0.25">
      <c r="C16" s="330" t="s">
        <v>2869</v>
      </c>
      <c r="D16" s="330"/>
      <c r="E16" s="330"/>
      <c r="F16" s="330"/>
      <c r="G16" s="330"/>
      <c r="H16" s="330"/>
      <c r="I16" s="330"/>
      <c r="J16" s="330"/>
      <c r="K16" s="330"/>
      <c r="L16" s="330"/>
      <c r="M16" s="330"/>
      <c r="N16" s="330"/>
      <c r="O16" s="330"/>
      <c r="BQ16" s="260"/>
      <c r="BR16" s="260"/>
      <c r="BS16" s="260"/>
      <c r="BT16" s="260"/>
      <c r="BU16" s="260"/>
      <c r="CF16">
        <v>16</v>
      </c>
    </row>
    <row r="17" spans="1:81" ht="14.25" x14ac:dyDescent="0.2">
      <c r="E17" s="264"/>
      <c r="BQ17" s="260"/>
      <c r="BR17" s="260"/>
      <c r="BS17" s="260"/>
      <c r="BT17" s="260"/>
      <c r="BU17" s="260"/>
    </row>
    <row r="18" spans="1:81" ht="15.75" thickBot="1" x14ac:dyDescent="0.35">
      <c r="C18" s="2"/>
      <c r="BO18" s="81"/>
      <c r="BP18" s="81"/>
      <c r="BQ18" s="261"/>
      <c r="BR18" s="261"/>
      <c r="BS18" s="261"/>
      <c r="BT18" s="261"/>
      <c r="BU18" s="261"/>
    </row>
    <row r="19" spans="1:81" ht="29.25" thickBot="1" x14ac:dyDescent="0.5">
      <c r="C19" s="299"/>
      <c r="D19" s="46"/>
      <c r="E19" s="773">
        <v>2016</v>
      </c>
      <c r="F19" s="774"/>
      <c r="G19" s="774"/>
      <c r="H19" s="774"/>
      <c r="I19" s="774"/>
      <c r="J19" s="774"/>
      <c r="K19" s="774"/>
      <c r="L19" s="774"/>
      <c r="M19" s="774"/>
      <c r="N19" s="775"/>
      <c r="O19" s="770">
        <f>E19+1</f>
        <v>2017</v>
      </c>
      <c r="P19" s="771"/>
      <c r="Q19" s="771"/>
      <c r="R19" s="771"/>
      <c r="S19" s="771"/>
      <c r="T19" s="771"/>
      <c r="U19" s="771"/>
      <c r="V19" s="771"/>
      <c r="W19" s="771"/>
      <c r="X19" s="772"/>
      <c r="Y19" s="770">
        <f>O19+1</f>
        <v>2018</v>
      </c>
      <c r="Z19" s="771"/>
      <c r="AA19" s="771"/>
      <c r="AB19" s="771"/>
      <c r="AC19" s="771"/>
      <c r="AD19" s="771"/>
      <c r="AE19" s="771"/>
      <c r="AF19" s="771"/>
      <c r="AG19" s="771"/>
      <c r="AH19" s="772"/>
      <c r="AI19" s="770">
        <f>Y19+1</f>
        <v>2019</v>
      </c>
      <c r="AJ19" s="771"/>
      <c r="AK19" s="771"/>
      <c r="AL19" s="771"/>
      <c r="AM19" s="771"/>
      <c r="AN19" s="771"/>
      <c r="AO19" s="771"/>
      <c r="AP19" s="771"/>
      <c r="AQ19" s="771"/>
      <c r="AR19" s="772"/>
      <c r="AS19" s="770">
        <f>AI19+1</f>
        <v>2020</v>
      </c>
      <c r="AT19" s="771"/>
      <c r="AU19" s="771"/>
      <c r="AV19" s="771"/>
      <c r="AW19" s="771"/>
      <c r="AX19" s="771"/>
      <c r="AY19" s="771"/>
      <c r="AZ19" s="771"/>
      <c r="BA19" s="771"/>
      <c r="BB19" s="772"/>
      <c r="BC19" s="770">
        <f>AS19+1</f>
        <v>2021</v>
      </c>
      <c r="BD19" s="771"/>
      <c r="BE19" s="771"/>
      <c r="BF19" s="771"/>
      <c r="BG19" s="771"/>
      <c r="BH19" s="771"/>
      <c r="BI19" s="771"/>
      <c r="BJ19" s="771"/>
      <c r="BK19" s="771"/>
      <c r="BL19" s="772"/>
      <c r="BM19" s="770">
        <f>BC19+1</f>
        <v>2022</v>
      </c>
      <c r="BN19" s="771"/>
      <c r="BO19" s="771"/>
      <c r="BP19" s="772"/>
      <c r="BQ19" s="767" t="str">
        <f>CONCATENATE("Projected Interest on Dec-31-",RIGHT(BC19,2)," Balances")</f>
        <v>Projected Interest on Dec-31-21 Balances</v>
      </c>
      <c r="BR19" s="768"/>
      <c r="BS19" s="768"/>
      <c r="BT19" s="769"/>
      <c r="BU19" s="348"/>
      <c r="BV19" s="47" t="s">
        <v>19</v>
      </c>
      <c r="BW19" s="11"/>
    </row>
    <row r="20" spans="1:81" ht="14.25" customHeight="1" x14ac:dyDescent="0.2">
      <c r="C20" s="761" t="s">
        <v>16</v>
      </c>
      <c r="D20" s="763" t="s">
        <v>0</v>
      </c>
      <c r="E20" s="754" t="str">
        <f>CONCATENATE("Opening Principal Amounts as of Jan-1-",RIGHT(E19,2))</f>
        <v>Opening Principal Amounts as of Jan-1-16</v>
      </c>
      <c r="F20" s="741" t="str">
        <f>CONCATENATE("Transactions(1) Debit / (Credit) during ",E19)</f>
        <v>Transactions(1) Debit / (Credit) during 2016</v>
      </c>
      <c r="G20" s="741" t="str">
        <f>CONCATENATE("OEB-Approved Disposition during ",E19)</f>
        <v>OEB-Approved Disposition during 2016</v>
      </c>
      <c r="H20" s="741" t="str">
        <f>CONCATENATE("Principal Adjustments during ",E19,"(1)")</f>
        <v>Principal Adjustments during 2016(1)</v>
      </c>
      <c r="I20" s="741" t="str">
        <f>CONCATENATE("Closing Principal Balance as of Dec-31-",RIGHT(E19,2))</f>
        <v>Closing Principal Balance as of Dec-31-16</v>
      </c>
      <c r="J20" s="741" t="str">
        <f>CONCATENATE("Opening Interest Amounts as of Jan-1-",RIGHT(E19,2))</f>
        <v>Opening Interest Amounts as of Jan-1-16</v>
      </c>
      <c r="K20" s="741" t="str">
        <f>CONCATENATE("Interest Jan-1 to Dec-31-",RIGHT(E19,2))</f>
        <v>Interest Jan-1 to Dec-31-16</v>
      </c>
      <c r="L20" s="741" t="str">
        <f>CONCATENATE("OEB-Approved Disposition during ",E19)</f>
        <v>OEB-Approved Disposition during 2016</v>
      </c>
      <c r="M20" s="741" t="str">
        <f>CONCATENATE("Interest Adjustments(1) during ",E19)</f>
        <v>Interest Adjustments(1) during 2016</v>
      </c>
      <c r="N20" s="745" t="str">
        <f>CONCATENATE("Closing Interest Amounts as of Dec-31-",RIGHT(E19,2))</f>
        <v>Closing Interest Amounts as of Dec-31-16</v>
      </c>
      <c r="O20" s="754" t="str">
        <f>CONCATENATE("Opening Principal Amounts as of Jan-1-",RIGHT(O19,2))</f>
        <v>Opening Principal Amounts as of Jan-1-17</v>
      </c>
      <c r="P20" s="741" t="str">
        <f>CONCATENATE("Transactions Debit / (Credit) during ",O19)</f>
        <v>Transactions Debit / (Credit) during 2017</v>
      </c>
      <c r="Q20" s="741" t="str">
        <f>CONCATENATE("OEB-Approved Disposition during ",O19)</f>
        <v>OEB-Approved Disposition during 2017</v>
      </c>
      <c r="R20" s="741" t="str">
        <f>CONCATENATE("Principal Adjustments(1) during ",O19)</f>
        <v>Principal Adjustments(1) during 2017</v>
      </c>
      <c r="S20" s="741" t="str">
        <f>CONCATENATE("Closing Principal Balance as of Dec-31-",RIGHT(O19,2))</f>
        <v>Closing Principal Balance as of Dec-31-17</v>
      </c>
      <c r="T20" s="741" t="str">
        <f>CONCATENATE("Opening Interest Amounts as of Jan-1-",RIGHT(O19,2))</f>
        <v>Opening Interest Amounts as of Jan-1-17</v>
      </c>
      <c r="U20" s="741" t="str">
        <f>CONCATENATE("Interest Jan-1 to Dec-31-",RIGHT(O19,2))</f>
        <v>Interest Jan-1 to Dec-31-17</v>
      </c>
      <c r="V20" s="741" t="str">
        <f>CONCATENATE("OEB-Approved Disposition during ",O19)</f>
        <v>OEB-Approved Disposition during 2017</v>
      </c>
      <c r="W20" s="741" t="str">
        <f>CONCATENATE("Interest Adjustments(1) during ",O19)</f>
        <v>Interest Adjustments(1) during 2017</v>
      </c>
      <c r="X20" s="745" t="str">
        <f>CONCATENATE("Closing Interest Amounts as of Dec-31-",RIGHT(O19,2))</f>
        <v>Closing Interest Amounts as of Dec-31-17</v>
      </c>
      <c r="Y20" s="754" t="str">
        <f>CONCATENATE("Opening Principal Amounts as of Jan-1-",RIGHT(Y19,2))</f>
        <v>Opening Principal Amounts as of Jan-1-18</v>
      </c>
      <c r="Z20" s="741" t="str">
        <f>CONCATENATE("Transactions Debit / (Credit) during ",Y19)</f>
        <v>Transactions Debit / (Credit) during 2018</v>
      </c>
      <c r="AA20" s="741" t="str">
        <f>CONCATENATE("OEB-Approved Disposition during ",Y19)</f>
        <v>OEB-Approved Disposition during 2018</v>
      </c>
      <c r="AB20" s="741" t="str">
        <f>CONCATENATE("Principal Adjustments(1) during ",Y19)</f>
        <v>Principal Adjustments(1) during 2018</v>
      </c>
      <c r="AC20" s="741" t="str">
        <f>CONCATENATE("Closing Principal Balance as of Dec-31-",RIGHT(Y19,2))</f>
        <v>Closing Principal Balance as of Dec-31-18</v>
      </c>
      <c r="AD20" s="741" t="str">
        <f>CONCATENATE("Opening Interest Amounts as of Jan-1-",RIGHT(Y19,2))</f>
        <v>Opening Interest Amounts as of Jan-1-18</v>
      </c>
      <c r="AE20" s="741" t="str">
        <f>CONCATENATE("Interest Jan-1 to Dec-31-",RIGHT(Y19,2))</f>
        <v>Interest Jan-1 to Dec-31-18</v>
      </c>
      <c r="AF20" s="741" t="str">
        <f>CONCATENATE("OEB-Approved Disposition during ",Y19)</f>
        <v>OEB-Approved Disposition during 2018</v>
      </c>
      <c r="AG20" s="741" t="str">
        <f>CONCATENATE("Interest Adjustments(1) during ",Y19)</f>
        <v>Interest Adjustments(1) during 2018</v>
      </c>
      <c r="AH20" s="745" t="str">
        <f>CONCATENATE("Closing Interest Amounts as of Dec-31-",RIGHT(Y19,2))</f>
        <v>Closing Interest Amounts as of Dec-31-18</v>
      </c>
      <c r="AI20" s="754" t="str">
        <f>CONCATENATE("Opening Principal Amounts as of Jan-1-",RIGHT(AI19,2))</f>
        <v>Opening Principal Amounts as of Jan-1-19</v>
      </c>
      <c r="AJ20" s="741" t="str">
        <f>CONCATENATE("Transactions(1) Debit / (Credit) during ",AI19)</f>
        <v>Transactions(1) Debit / (Credit) during 2019</v>
      </c>
      <c r="AK20" s="741" t="str">
        <f>CONCATENATE("OEB-Approved Disposition during ",AI19)</f>
        <v>OEB-Approved Disposition during 2019</v>
      </c>
      <c r="AL20" s="741" t="str">
        <f>CONCATENATE("Principal Adjustments(1) during ",AI19)</f>
        <v>Principal Adjustments(1) during 2019</v>
      </c>
      <c r="AM20" s="741" t="str">
        <f>CONCATENATE("Closing Principal Balance as of Dec-31-",RIGHT(AI19,2))</f>
        <v>Closing Principal Balance as of Dec-31-19</v>
      </c>
      <c r="AN20" s="741" t="str">
        <f>CONCATENATE("Opening Interest Amounts as of Jan-1-",RIGHT(AI19,2))</f>
        <v>Opening Interest Amounts as of Jan-1-19</v>
      </c>
      <c r="AO20" s="741" t="str">
        <f>CONCATENATE("Interest Jan-1 to Dec-31-",RIGHT(AI19,2))</f>
        <v>Interest Jan-1 to Dec-31-19</v>
      </c>
      <c r="AP20" s="741" t="str">
        <f>CONCATENATE("OEB-Approved Disposition during ",AI19)</f>
        <v>OEB-Approved Disposition during 2019</v>
      </c>
      <c r="AQ20" s="741" t="str">
        <f>CONCATENATE("Interest Adjustments(1) during ",AI19)</f>
        <v>Interest Adjustments(1) during 2019</v>
      </c>
      <c r="AR20" s="745" t="str">
        <f>CONCATENATE("Closing Interest Amounts as of Dec-31-",RIGHT(AI19,2))</f>
        <v>Closing Interest Amounts as of Dec-31-19</v>
      </c>
      <c r="AS20" s="754" t="str">
        <f>CONCATENATE("Opening Principal Amounts as of Jan-1-",RIGHT(AS19,2))</f>
        <v>Opening Principal Amounts as of Jan-1-20</v>
      </c>
      <c r="AT20" s="741" t="str">
        <f>CONCATENATE("Transactions(1) Debit / (Credit) during ",AS19)</f>
        <v>Transactions(1) Debit / (Credit) during 2020</v>
      </c>
      <c r="AU20" s="741" t="str">
        <f>CONCATENATE("OEB-Approved Disposition during ",AS19)</f>
        <v>OEB-Approved Disposition during 2020</v>
      </c>
      <c r="AV20" s="741" t="str">
        <f>CONCATENATE("Principal Adjustments(1) during ",AS19)</f>
        <v>Principal Adjustments(1) during 2020</v>
      </c>
      <c r="AW20" s="741" t="str">
        <f>CONCATENATE("Closing Principal Balance as of Dec-31-",RIGHT(AS19,2))</f>
        <v>Closing Principal Balance as of Dec-31-20</v>
      </c>
      <c r="AX20" s="741" t="str">
        <f>CONCATENATE("Opening Interest Amounts as of Jan-1-",RIGHT(AS19,2))</f>
        <v>Opening Interest Amounts as of Jan-1-20</v>
      </c>
      <c r="AY20" s="741" t="str">
        <f>CONCATENATE("Interest Jan-1 to Dec-31-",RIGHT(AS19,2))</f>
        <v>Interest Jan-1 to Dec-31-20</v>
      </c>
      <c r="AZ20" s="741" t="str">
        <f>CONCATENATE("OEB-Approved Disposition during ",AS19)</f>
        <v>OEB-Approved Disposition during 2020</v>
      </c>
      <c r="BA20" s="741" t="str">
        <f>CONCATENATE("Interest Adjustments(1) during ",AS19)</f>
        <v>Interest Adjustments(1) during 2020</v>
      </c>
      <c r="BB20" s="745" t="str">
        <f>CONCATENATE("Closing Interest Amounts as of Dec-31-",RIGHT(AS19,2))</f>
        <v>Closing Interest Amounts as of Dec-31-20</v>
      </c>
      <c r="BC20" s="754" t="str">
        <f>CONCATENATE("Opening Principal Amounts as of Jan-1-",RIGHT(BC19,2))</f>
        <v>Opening Principal Amounts as of Jan-1-21</v>
      </c>
      <c r="BD20" s="741" t="str">
        <f>CONCATENATE("Transactions Debit / (Credit) during ",BC19)</f>
        <v>Transactions Debit / (Credit) during 2021</v>
      </c>
      <c r="BE20" s="741" t="str">
        <f>CONCATENATE("OEB-Approved Disposition during ",BC19)</f>
        <v>OEB-Approved Disposition during 2021</v>
      </c>
      <c r="BF20" s="741" t="str">
        <f>CONCATENATE("Principal Adjustments(1) during ",BC19)</f>
        <v>Principal Adjustments(1) during 2021</v>
      </c>
      <c r="BG20" s="741" t="str">
        <f>CONCATENATE("Closing Principal Balance as of Dec-31-",RIGHT(BC19,2))</f>
        <v>Closing Principal Balance as of Dec-31-21</v>
      </c>
      <c r="BH20" s="741" t="str">
        <f>CONCATENATE("Opening Interest Amounts as of Jan-1-",RIGHT(BC19,2))</f>
        <v>Opening Interest Amounts as of Jan-1-21</v>
      </c>
      <c r="BI20" s="741" t="str">
        <f>CONCATENATE("Interest Jan-1 to Dec-31-",RIGHT(BC19,2))</f>
        <v>Interest Jan-1 to Dec-31-21</v>
      </c>
      <c r="BJ20" s="741" t="str">
        <f>CONCATENATE("OEB-Approved Disposition during ",BC19)</f>
        <v>OEB-Approved Disposition during 2021</v>
      </c>
      <c r="BK20" s="741" t="str">
        <f>CONCATENATE("Interest Adjustments(1) during ",BC19)</f>
        <v>Interest Adjustments(1) during 2021</v>
      </c>
      <c r="BL20" s="745" t="str">
        <f>CONCATENATE("Closing Interest Amounts as of Dec-31-",RIGHT(BC19,2))</f>
        <v>Closing Interest Amounts as of Dec-31-21</v>
      </c>
      <c r="BM20" s="741" t="str">
        <f>CONCATENATE("Principal Disposition during ",BM19," - instructed by  OEB")</f>
        <v>Principal Disposition during 2022 - instructed by  OEB</v>
      </c>
      <c r="BN20" s="741" t="str">
        <f>CONCATENATE("Interest Disposition during ",BM19," - instructed by  OEB")</f>
        <v>Interest Disposition during 2022 - instructed by  OEB</v>
      </c>
      <c r="BO20" s="741" t="str">
        <f>CONCATENATE("Closing Principal Balances as of Dec 31-",RIGHT(BM19-1,2)," Adjusted for Dispositions during ",BM19)</f>
        <v>Closing Principal Balances as of Dec 31-21 Adjusted for Dispositions during 2022</v>
      </c>
      <c r="BP20" s="741" t="str">
        <f>CONCATENATE("Closing Interest Balances as of Dec 31-",RIGHT(BM19-1,2)," Adjusted for Dispositions during ",BM19)</f>
        <v>Closing Interest Balances as of Dec 31-21 Adjusted for Dispositions during 2022</v>
      </c>
      <c r="BQ20" s="754" t="str">
        <f>CONCATENATE("Projected Interest  from Jan 1, ",BM19," to December 31, ",BM19," on  Dec 31 -",RIGHT(BM19-1,2)," balance adjusted for disposition during ",BM19," (2)")</f>
        <v>Projected Interest  from Jan 1, 2022 to December 31, 2022 on  Dec 31 -21 balance adjusted for disposition during 2022 (2)</v>
      </c>
      <c r="BR20" s="741" t="str">
        <f>CONCATENATE("Projected Interest from January 1, ",BM19+1," to April 30, ",BM19+1," on Dec 31 -",RIGHT(BC19,2)," balance adjusted for disposition during ",BM19,"  (2)")</f>
        <v>Projected Interest from January 1, 2023 to April 30, 2023 on Dec 31 -21 balance adjusted for disposition during 2022  (2)</v>
      </c>
      <c r="BS20" s="741" t="s">
        <v>159</v>
      </c>
      <c r="BT20" s="745" t="s">
        <v>18</v>
      </c>
      <c r="BU20" s="757" t="s">
        <v>636</v>
      </c>
      <c r="BV20" s="757" t="str">
        <f>CONCATENATE("As of Dec 31-",RIGHT(BC19,2))</f>
        <v>As of Dec 31-21</v>
      </c>
      <c r="BW20" s="745" t="str">
        <f>CONCATENATE("Variance                           RRR vs. ",BC19," Balance                        (Principal + Interest)")</f>
        <v>Variance                           RRR vs. 2021 Balance                        (Principal + Interest)</v>
      </c>
    </row>
    <row r="21" spans="1:81" ht="24.75" customHeight="1" x14ac:dyDescent="0.2">
      <c r="C21" s="762"/>
      <c r="D21" s="764"/>
      <c r="E21" s="765"/>
      <c r="F21" s="748"/>
      <c r="G21" s="750"/>
      <c r="H21" s="750"/>
      <c r="I21" s="752"/>
      <c r="J21" s="748"/>
      <c r="K21" s="750"/>
      <c r="L21" s="750"/>
      <c r="M21" s="750"/>
      <c r="N21" s="746"/>
      <c r="O21" s="755"/>
      <c r="P21" s="748"/>
      <c r="Q21" s="750"/>
      <c r="R21" s="750"/>
      <c r="S21" s="752"/>
      <c r="T21" s="742"/>
      <c r="U21" s="750"/>
      <c r="V21" s="750"/>
      <c r="W21" s="750"/>
      <c r="X21" s="746"/>
      <c r="Y21" s="755"/>
      <c r="Z21" s="748"/>
      <c r="AA21" s="750"/>
      <c r="AB21" s="750"/>
      <c r="AC21" s="752"/>
      <c r="AD21" s="742"/>
      <c r="AE21" s="750"/>
      <c r="AF21" s="750"/>
      <c r="AG21" s="750"/>
      <c r="AH21" s="746"/>
      <c r="AI21" s="755"/>
      <c r="AJ21" s="748"/>
      <c r="AK21" s="750"/>
      <c r="AL21" s="750"/>
      <c r="AM21" s="752"/>
      <c r="AN21" s="742"/>
      <c r="AO21" s="750"/>
      <c r="AP21" s="750"/>
      <c r="AQ21" s="750"/>
      <c r="AR21" s="746"/>
      <c r="AS21" s="755"/>
      <c r="AT21" s="748"/>
      <c r="AU21" s="750"/>
      <c r="AV21" s="750"/>
      <c r="AW21" s="752"/>
      <c r="AX21" s="742"/>
      <c r="AY21" s="750"/>
      <c r="AZ21" s="750"/>
      <c r="BA21" s="750"/>
      <c r="BB21" s="746"/>
      <c r="BC21" s="755"/>
      <c r="BD21" s="748"/>
      <c r="BE21" s="750"/>
      <c r="BF21" s="752"/>
      <c r="BG21" s="752"/>
      <c r="BH21" s="742"/>
      <c r="BI21" s="750"/>
      <c r="BJ21" s="750"/>
      <c r="BK21" s="752"/>
      <c r="BL21" s="746"/>
      <c r="BM21" s="752"/>
      <c r="BN21" s="752"/>
      <c r="BO21" s="752"/>
      <c r="BP21" s="752"/>
      <c r="BQ21" s="755"/>
      <c r="BR21" s="742"/>
      <c r="BS21" s="742"/>
      <c r="BT21" s="746"/>
      <c r="BU21" s="758"/>
      <c r="BV21" s="758"/>
      <c r="BW21" s="746"/>
    </row>
    <row r="22" spans="1:81" ht="73.150000000000006" customHeight="1" thickBot="1" x14ac:dyDescent="0.25">
      <c r="B22" s="9"/>
      <c r="C22" s="762"/>
      <c r="D22" s="764"/>
      <c r="E22" s="766"/>
      <c r="F22" s="749"/>
      <c r="G22" s="751"/>
      <c r="H22" s="751"/>
      <c r="I22" s="753"/>
      <c r="J22" s="749"/>
      <c r="K22" s="751"/>
      <c r="L22" s="751"/>
      <c r="M22" s="751"/>
      <c r="N22" s="747"/>
      <c r="O22" s="756"/>
      <c r="P22" s="749"/>
      <c r="Q22" s="751"/>
      <c r="R22" s="751"/>
      <c r="S22" s="753"/>
      <c r="T22" s="743"/>
      <c r="U22" s="751"/>
      <c r="V22" s="751"/>
      <c r="W22" s="751"/>
      <c r="X22" s="747"/>
      <c r="Y22" s="756"/>
      <c r="Z22" s="749"/>
      <c r="AA22" s="751"/>
      <c r="AB22" s="751"/>
      <c r="AC22" s="753"/>
      <c r="AD22" s="743"/>
      <c r="AE22" s="751"/>
      <c r="AF22" s="751"/>
      <c r="AG22" s="751"/>
      <c r="AH22" s="747"/>
      <c r="AI22" s="756"/>
      <c r="AJ22" s="749"/>
      <c r="AK22" s="751"/>
      <c r="AL22" s="751"/>
      <c r="AM22" s="753"/>
      <c r="AN22" s="743"/>
      <c r="AO22" s="751"/>
      <c r="AP22" s="751"/>
      <c r="AQ22" s="751"/>
      <c r="AR22" s="747"/>
      <c r="AS22" s="756"/>
      <c r="AT22" s="749"/>
      <c r="AU22" s="751"/>
      <c r="AV22" s="751"/>
      <c r="AW22" s="753"/>
      <c r="AX22" s="743"/>
      <c r="AY22" s="751"/>
      <c r="AZ22" s="751"/>
      <c r="BA22" s="751"/>
      <c r="BB22" s="747"/>
      <c r="BC22" s="756"/>
      <c r="BD22" s="749"/>
      <c r="BE22" s="751"/>
      <c r="BF22" s="753"/>
      <c r="BG22" s="753"/>
      <c r="BH22" s="743"/>
      <c r="BI22" s="751"/>
      <c r="BJ22" s="751"/>
      <c r="BK22" s="753"/>
      <c r="BL22" s="747"/>
      <c r="BM22" s="753"/>
      <c r="BN22" s="753"/>
      <c r="BO22" s="753"/>
      <c r="BP22" s="753"/>
      <c r="BQ22" s="756"/>
      <c r="BR22" s="743"/>
      <c r="BS22" s="744" t="s">
        <v>11</v>
      </c>
      <c r="BT22" s="747" t="s">
        <v>11</v>
      </c>
      <c r="BU22" s="759"/>
      <c r="BV22" s="759"/>
      <c r="BW22" s="747"/>
    </row>
    <row r="23" spans="1:81" s="58" customFormat="1" ht="33.75" customHeight="1" thickBot="1" x14ac:dyDescent="0.25">
      <c r="A23"/>
      <c r="B23" s="271">
        <v>1</v>
      </c>
      <c r="C23" s="204" t="s">
        <v>21</v>
      </c>
      <c r="D23" s="205"/>
      <c r="E23" s="76"/>
      <c r="F23" s="52"/>
      <c r="G23" s="53"/>
      <c r="H23" s="53"/>
      <c r="I23" s="53"/>
      <c r="J23" s="53"/>
      <c r="K23" s="53"/>
      <c r="L23" s="53"/>
      <c r="M23" s="53"/>
      <c r="N23" s="54"/>
      <c r="O23" s="51"/>
      <c r="P23" s="52"/>
      <c r="Q23" s="53"/>
      <c r="R23" s="53"/>
      <c r="S23" s="53"/>
      <c r="T23" s="53"/>
      <c r="U23" s="53"/>
      <c r="V23" s="53"/>
      <c r="W23" s="53"/>
      <c r="X23" s="54"/>
      <c r="Y23" s="51"/>
      <c r="Z23" s="52"/>
      <c r="AA23" s="53"/>
      <c r="AB23" s="53"/>
      <c r="AC23" s="53"/>
      <c r="AD23" s="53"/>
      <c r="AE23" s="53"/>
      <c r="AF23" s="53"/>
      <c r="AG23" s="53"/>
      <c r="AH23" s="54"/>
      <c r="AI23" s="51"/>
      <c r="AJ23" s="52"/>
      <c r="AK23" s="53"/>
      <c r="AL23" s="53"/>
      <c r="AM23" s="53"/>
      <c r="AN23" s="53"/>
      <c r="AO23" s="53"/>
      <c r="AP23" s="53"/>
      <c r="AQ23" s="53"/>
      <c r="AR23" s="54"/>
      <c r="AS23" s="51"/>
      <c r="AT23" s="52"/>
      <c r="AU23" s="53"/>
      <c r="AV23" s="53"/>
      <c r="AW23" s="53"/>
      <c r="AX23" s="53"/>
      <c r="AY23" s="53"/>
      <c r="AZ23" s="53"/>
      <c r="BA23" s="53"/>
      <c r="BB23" s="54"/>
      <c r="BC23" s="51"/>
      <c r="BD23" s="52"/>
      <c r="BE23" s="53"/>
      <c r="BF23" s="53"/>
      <c r="BG23" s="53"/>
      <c r="BH23" s="53"/>
      <c r="BI23" s="53"/>
      <c r="BJ23" s="53"/>
      <c r="BK23" s="53"/>
      <c r="BL23" s="54"/>
      <c r="BM23" s="55"/>
      <c r="BN23" s="56"/>
      <c r="BO23" s="53"/>
      <c r="BP23" s="57"/>
      <c r="BT23" s="224"/>
      <c r="BU23" s="345"/>
      <c r="BV23" s="499"/>
      <c r="BW23" s="61"/>
      <c r="BX23" s="343"/>
    </row>
    <row r="24" spans="1:81" s="58" customFormat="1" ht="15" customHeight="1" thickBot="1" x14ac:dyDescent="0.25">
      <c r="A24">
        <v>1</v>
      </c>
      <c r="B24" s="271">
        <v>2</v>
      </c>
      <c r="C24" s="193" t="s">
        <v>23</v>
      </c>
      <c r="D24" s="194">
        <v>1550</v>
      </c>
      <c r="E24" s="633"/>
      <c r="F24" s="632"/>
      <c r="G24" s="622"/>
      <c r="H24" s="622"/>
      <c r="I24" s="52">
        <f>E24+F24-G24+H24</f>
        <v>0</v>
      </c>
      <c r="J24" s="634"/>
      <c r="K24" s="638"/>
      <c r="L24" s="622"/>
      <c r="M24" s="622"/>
      <c r="N24" s="64">
        <f>J24+K24-L24+M24</f>
        <v>0</v>
      </c>
      <c r="O24" s="65">
        <f>I24</f>
        <v>0</v>
      </c>
      <c r="P24" s="622"/>
      <c r="Q24" s="622"/>
      <c r="R24" s="622"/>
      <c r="S24" s="52">
        <f t="shared" ref="S24:S29" si="0">O24+P24-Q24+R24</f>
        <v>0</v>
      </c>
      <c r="T24" s="66">
        <f>N24</f>
        <v>0</v>
      </c>
      <c r="U24" s="622"/>
      <c r="V24" s="622"/>
      <c r="W24" s="622"/>
      <c r="X24" s="64">
        <f>T24+U24-V24+W24</f>
        <v>0</v>
      </c>
      <c r="Y24" s="65">
        <f t="shared" ref="Y24:Y39" si="1">S24</f>
        <v>0</v>
      </c>
      <c r="Z24" s="622"/>
      <c r="AA24" s="622"/>
      <c r="AB24" s="622"/>
      <c r="AC24" s="52">
        <f t="shared" ref="AC24:AC29" si="2">Y24+Z24-AA24+AB24</f>
        <v>0</v>
      </c>
      <c r="AD24" s="66">
        <f t="shared" ref="AD24:AD35" si="3">X24</f>
        <v>0</v>
      </c>
      <c r="AE24" s="622"/>
      <c r="AF24" s="622"/>
      <c r="AG24" s="622"/>
      <c r="AH24" s="64">
        <f>AD24+AE24-AF24+AG24</f>
        <v>0</v>
      </c>
      <c r="AI24" s="65">
        <f t="shared" ref="AI24:AI39" si="4">AC24</f>
        <v>0</v>
      </c>
      <c r="AJ24" s="622"/>
      <c r="AK24" s="622"/>
      <c r="AL24" s="622"/>
      <c r="AM24" s="52">
        <f>AI24+AJ24-AK24+SUM(AL24:AL24)</f>
        <v>0</v>
      </c>
      <c r="AN24" s="66">
        <f t="shared" ref="AN24:AN39" si="5">AH24</f>
        <v>0</v>
      </c>
      <c r="AO24" s="622"/>
      <c r="AP24" s="622"/>
      <c r="AQ24" s="622"/>
      <c r="AR24" s="64">
        <f>AN24+AO24-AP24+AQ24</f>
        <v>0</v>
      </c>
      <c r="AS24" s="65">
        <f t="shared" ref="AS24:AS39" si="6">AM24</f>
        <v>0</v>
      </c>
      <c r="AT24" s="622"/>
      <c r="AU24" s="622"/>
      <c r="AV24" s="338"/>
      <c r="AW24" s="52">
        <f>AS24+AT24-AU24+AV24</f>
        <v>0</v>
      </c>
      <c r="AX24" s="66">
        <f t="shared" ref="AX24:AX39" si="7">AR24</f>
        <v>0</v>
      </c>
      <c r="AY24" s="622"/>
      <c r="AZ24" s="622"/>
      <c r="BA24" s="338"/>
      <c r="BB24" s="64">
        <f>AX24+AY24-AZ24+BA24</f>
        <v>0</v>
      </c>
      <c r="BC24" s="65">
        <f t="shared" ref="BC24:BC39" si="8">AW24</f>
        <v>0</v>
      </c>
      <c r="BD24" s="338"/>
      <c r="BE24" s="338"/>
      <c r="BF24" s="63"/>
      <c r="BG24" s="52">
        <f>BC24+BD24-BE24+SUM(BF24:BF24)</f>
        <v>0</v>
      </c>
      <c r="BH24" s="66">
        <f t="shared" ref="BH24:BH39" si="9">BB24</f>
        <v>0</v>
      </c>
      <c r="BI24" s="338"/>
      <c r="BJ24" s="338"/>
      <c r="BK24" s="63"/>
      <c r="BL24" s="64">
        <f>BH24+BI24-BJ24+BK24</f>
        <v>0</v>
      </c>
      <c r="BM24" s="62"/>
      <c r="BN24" s="63"/>
      <c r="BO24" s="66">
        <f>BG24-BM24</f>
        <v>0</v>
      </c>
      <c r="BP24" s="67">
        <f>BL24-BN24</f>
        <v>0</v>
      </c>
      <c r="BQ24" s="68"/>
      <c r="BR24" s="63"/>
      <c r="BS24" s="202">
        <f t="shared" ref="BS24:BS38" si="10">BP24+BQ24+BR24</f>
        <v>0</v>
      </c>
      <c r="BT24" s="224">
        <f>SUM(BO24:BR24)</f>
        <v>0</v>
      </c>
      <c r="BU24" s="345"/>
      <c r="BV24" s="623"/>
      <c r="BW24" s="59">
        <f>BV24-SUM(BG24,BL24)</f>
        <v>0</v>
      </c>
      <c r="BX24" s="341" t="str">
        <f>IF(ABS(BW24)&gt;1,"Please provide an explanation of the variance in the tab 3 - Appendix A","")</f>
        <v/>
      </c>
    </row>
    <row r="25" spans="1:81" s="58" customFormat="1" ht="15" thickBot="1" x14ac:dyDescent="0.25">
      <c r="A25">
        <v>2</v>
      </c>
      <c r="B25" s="271">
        <v>3</v>
      </c>
      <c r="C25" s="193" t="s">
        <v>131</v>
      </c>
      <c r="D25" s="194">
        <v>1551</v>
      </c>
      <c r="E25" s="633"/>
      <c r="F25" s="632"/>
      <c r="G25" s="622"/>
      <c r="H25" s="622"/>
      <c r="I25" s="52">
        <f>E25+F25-G25+H25</f>
        <v>0</v>
      </c>
      <c r="J25" s="635"/>
      <c r="K25" s="622"/>
      <c r="L25" s="622"/>
      <c r="M25" s="622"/>
      <c r="N25" s="64">
        <f>J25+K25-L25+M25</f>
        <v>0</v>
      </c>
      <c r="O25" s="65">
        <f>I25</f>
        <v>0</v>
      </c>
      <c r="P25" s="622"/>
      <c r="Q25" s="622"/>
      <c r="R25" s="622"/>
      <c r="S25" s="52">
        <f t="shared" si="0"/>
        <v>0</v>
      </c>
      <c r="T25" s="66">
        <f>N25</f>
        <v>0</v>
      </c>
      <c r="U25" s="622"/>
      <c r="V25" s="622"/>
      <c r="W25" s="622"/>
      <c r="X25" s="64">
        <f>T25+U25-V25+W25</f>
        <v>0</v>
      </c>
      <c r="Y25" s="65">
        <f t="shared" si="1"/>
        <v>0</v>
      </c>
      <c r="Z25" s="622"/>
      <c r="AA25" s="622"/>
      <c r="AB25" s="622"/>
      <c r="AC25" s="52">
        <f t="shared" si="2"/>
        <v>0</v>
      </c>
      <c r="AD25" s="66">
        <f t="shared" si="3"/>
        <v>0</v>
      </c>
      <c r="AE25" s="622"/>
      <c r="AF25" s="622"/>
      <c r="AG25" s="622"/>
      <c r="AH25" s="64">
        <f>AD25+AE25-AF25+AG25</f>
        <v>0</v>
      </c>
      <c r="AI25" s="65">
        <f>AC25</f>
        <v>0</v>
      </c>
      <c r="AJ25" s="622"/>
      <c r="AK25" s="622"/>
      <c r="AL25" s="622"/>
      <c r="AM25" s="52">
        <f t="shared" ref="AM25:AM39" si="11">AI25+AJ25-AK25+SUM(AL25:AL25)</f>
        <v>0</v>
      </c>
      <c r="AN25" s="66">
        <f t="shared" si="5"/>
        <v>0</v>
      </c>
      <c r="AO25" s="622"/>
      <c r="AP25" s="632"/>
      <c r="AQ25" s="659"/>
      <c r="AR25" s="64">
        <f>AN25+AO25-AP25+AQ25</f>
        <v>0</v>
      </c>
      <c r="AS25" s="65">
        <f t="shared" si="6"/>
        <v>0</v>
      </c>
      <c r="AT25" s="622"/>
      <c r="AU25" s="622"/>
      <c r="AV25" s="338"/>
      <c r="AW25" s="52">
        <f>AS25+AT25-AU25+AV25</f>
        <v>0</v>
      </c>
      <c r="AX25" s="66">
        <f t="shared" si="7"/>
        <v>0</v>
      </c>
      <c r="AY25" s="622"/>
      <c r="AZ25" s="632"/>
      <c r="BA25" s="340"/>
      <c r="BB25" s="64">
        <f>AX25+AY25-AZ25+BA25</f>
        <v>0</v>
      </c>
      <c r="BC25" s="65">
        <v>-24680.449999999997</v>
      </c>
      <c r="BD25" s="338">
        <v>-16703.060000000009</v>
      </c>
      <c r="BE25" s="338">
        <v>-24621.34</v>
      </c>
      <c r="BF25" s="63"/>
      <c r="BG25" s="52">
        <f t="shared" ref="BG25:BG39" si="12">BC25+BD25-BE25+SUM(BF25:BF25)</f>
        <v>-16762.170000000009</v>
      </c>
      <c r="BH25" s="66">
        <v>522.34</v>
      </c>
      <c r="BI25" s="338">
        <v>43.720000000000027</v>
      </c>
      <c r="BJ25" s="339">
        <v>512.6</v>
      </c>
      <c r="BK25" s="136"/>
      <c r="BL25" s="64">
        <f>BH25+BI25-BJ25+BK25</f>
        <v>53.460000000000036</v>
      </c>
      <c r="BM25" s="62">
        <v>-59.11</v>
      </c>
      <c r="BN25" s="63">
        <v>9.2899999999999991</v>
      </c>
      <c r="BO25" s="66">
        <f t="shared" ref="BO25:BO39" si="13">BG25-BM25</f>
        <v>-16703.060000000009</v>
      </c>
      <c r="BP25" s="67">
        <f t="shared" ref="BP25:BP39" si="14">BL25-BN25</f>
        <v>44.170000000000037</v>
      </c>
      <c r="BQ25" s="68">
        <f>(BO25*3/12*0.57%)+(BO25*3/12*1.02%)+(BO25*3/12*2.2%)+(BO25*3/12*3.87%)</f>
        <v>-319.86359900000014</v>
      </c>
      <c r="BR25" s="63">
        <f>BO25*(3.87%)*4/12</f>
        <v>-215.4694740000001</v>
      </c>
      <c r="BS25" s="202">
        <f t="shared" si="10"/>
        <v>-491.16307300000022</v>
      </c>
      <c r="BT25" s="224">
        <f>SUM(BO25:BR25)</f>
        <v>-17194.223073000012</v>
      </c>
      <c r="BU25" s="345"/>
      <c r="BV25" s="623">
        <v>-16708.710000000003</v>
      </c>
      <c r="BW25" s="59">
        <f t="shared" ref="BW25:BW40" si="15">BV25-SUM(BG25,BL25)</f>
        <v>0</v>
      </c>
      <c r="BX25" s="341" t="str">
        <f t="shared" ref="BX25:BX40" si="16">IF(ABS(BW25)&gt;1,"Please provide an explanation of the variance in the tab 3 - Appendix A","")</f>
        <v/>
      </c>
    </row>
    <row r="26" spans="1:81" s="58" customFormat="1" ht="17.25" thickBot="1" x14ac:dyDescent="0.25">
      <c r="A26">
        <v>3</v>
      </c>
      <c r="B26" s="271">
        <v>4</v>
      </c>
      <c r="C26" s="193" t="s">
        <v>2919</v>
      </c>
      <c r="D26" s="194">
        <v>1580</v>
      </c>
      <c r="E26" s="629"/>
      <c r="F26" s="628"/>
      <c r="G26" s="622"/>
      <c r="H26" s="622"/>
      <c r="I26" s="52">
        <f>E26+F26-G26+H26</f>
        <v>0</v>
      </c>
      <c r="J26" s="636"/>
      <c r="K26" s="638"/>
      <c r="L26" s="622"/>
      <c r="M26" s="622"/>
      <c r="N26" s="64">
        <f>J26+K26-L26+M26</f>
        <v>0</v>
      </c>
      <c r="O26" s="65">
        <f t="shared" ref="O26:O40" si="17">I26</f>
        <v>0</v>
      </c>
      <c r="P26" s="654"/>
      <c r="Q26" s="622"/>
      <c r="R26" s="622"/>
      <c r="S26" s="52">
        <f t="shared" si="0"/>
        <v>0</v>
      </c>
      <c r="T26" s="66">
        <f t="shared" ref="T26:T40" si="18">N26</f>
        <v>0</v>
      </c>
      <c r="U26" s="658"/>
      <c r="V26" s="622"/>
      <c r="W26" s="622"/>
      <c r="X26" s="64">
        <f t="shared" ref="X26:X40" si="19">T26+U26-V26+W26</f>
        <v>0</v>
      </c>
      <c r="Y26" s="65">
        <f t="shared" si="1"/>
        <v>0</v>
      </c>
      <c r="Z26" s="622"/>
      <c r="AA26" s="622"/>
      <c r="AB26" s="622"/>
      <c r="AC26" s="52">
        <f t="shared" si="2"/>
        <v>0</v>
      </c>
      <c r="AD26" s="66">
        <f t="shared" si="3"/>
        <v>0</v>
      </c>
      <c r="AE26" s="622"/>
      <c r="AF26" s="622"/>
      <c r="AG26" s="622"/>
      <c r="AH26" s="64">
        <f t="shared" ref="AH26:AH40" si="20">AD26+AE26-AF26+AG26</f>
        <v>0</v>
      </c>
      <c r="AI26" s="65">
        <f t="shared" si="4"/>
        <v>0</v>
      </c>
      <c r="AJ26" s="622"/>
      <c r="AK26" s="622"/>
      <c r="AL26" s="622"/>
      <c r="AM26" s="52">
        <f t="shared" si="11"/>
        <v>0</v>
      </c>
      <c r="AN26" s="66">
        <f t="shared" si="5"/>
        <v>0</v>
      </c>
      <c r="AO26" s="622"/>
      <c r="AP26" s="622"/>
      <c r="AQ26" s="622"/>
      <c r="AR26" s="64">
        <f t="shared" ref="AR26:AR40" si="21">AN26+AO26-AP26+AQ26</f>
        <v>0</v>
      </c>
      <c r="AS26" s="65">
        <f t="shared" si="6"/>
        <v>0</v>
      </c>
      <c r="AT26" s="622"/>
      <c r="AU26" s="622"/>
      <c r="AV26" s="338"/>
      <c r="AW26" s="52">
        <f>AS26+AT26-AU26+AV26</f>
        <v>0</v>
      </c>
      <c r="AX26" s="66">
        <f t="shared" si="7"/>
        <v>0</v>
      </c>
      <c r="AY26" s="622"/>
      <c r="AZ26" s="622"/>
      <c r="BA26" s="338"/>
      <c r="BB26" s="64">
        <f t="shared" ref="BB26:BB40" si="22">AX26+AY26-AZ26+BA26</f>
        <v>0</v>
      </c>
      <c r="BC26" s="65">
        <v>-525336.55000000005</v>
      </c>
      <c r="BD26" s="338">
        <v>887108.94000000006</v>
      </c>
      <c r="BE26" s="338">
        <v>-302958.40000000002</v>
      </c>
      <c r="BF26" s="63"/>
      <c r="BG26" s="52">
        <f t="shared" si="12"/>
        <v>664730.79</v>
      </c>
      <c r="BH26" s="66">
        <v>-54645.46</v>
      </c>
      <c r="BI26" s="338">
        <v>-2939.6899999999951</v>
      </c>
      <c r="BJ26" s="338">
        <v>-49494.95</v>
      </c>
      <c r="BK26" s="63"/>
      <c r="BL26" s="64">
        <f t="shared" ref="BL26:BL40" si="23">BH26+BI26-BJ26+BK26</f>
        <v>-8090.1999999999971</v>
      </c>
      <c r="BM26" s="62">
        <v>-222378.14999999997</v>
      </c>
      <c r="BN26" s="63">
        <v>-6840.21</v>
      </c>
      <c r="BO26" s="66">
        <f t="shared" si="13"/>
        <v>887108.94</v>
      </c>
      <c r="BP26" s="67">
        <f t="shared" si="14"/>
        <v>-1249.9899999999971</v>
      </c>
      <c r="BQ26" s="68">
        <f>(BO26*3/12*0.57%)+(BO26*3/12*1.02%)+(BO26*3/12*2.2%)+(BO26*3/12*3.87%)</f>
        <v>16988.136201000001</v>
      </c>
      <c r="BR26" s="63">
        <f>BO26*(3.87%)*4/12</f>
        <v>11443.705325999998</v>
      </c>
      <c r="BS26" s="202">
        <f t="shared" si="10"/>
        <v>27181.851526999999</v>
      </c>
      <c r="BT26" s="224">
        <f>SUM(BO26:BR26)</f>
        <v>914290.79152699991</v>
      </c>
      <c r="BU26" s="345"/>
      <c r="BV26" s="623">
        <v>549822.96</v>
      </c>
      <c r="BW26" s="59">
        <f t="shared" si="15"/>
        <v>-106817.63000000012</v>
      </c>
      <c r="BX26" s="341" t="str">
        <f>IF(ROUND(BV28,0)&lt;&gt;ROUND(BW26,0),"Variance does not agree to RRR CBR balance in BV28. Please provide an explanation of the variance in tab 3 - Appendix A","")</f>
        <v/>
      </c>
    </row>
    <row r="27" spans="1:81" s="58" customFormat="1" ht="17.25" thickBot="1" x14ac:dyDescent="0.25">
      <c r="A27">
        <v>3.1</v>
      </c>
      <c r="B27" s="271">
        <v>5</v>
      </c>
      <c r="C27" s="193" t="s">
        <v>2920</v>
      </c>
      <c r="D27" s="194">
        <v>1580</v>
      </c>
      <c r="E27" s="629"/>
      <c r="F27" s="628"/>
      <c r="G27" s="622"/>
      <c r="H27" s="622"/>
      <c r="I27" s="52">
        <f>E27+F27-G27+H27</f>
        <v>0</v>
      </c>
      <c r="J27" s="636"/>
      <c r="K27" s="638"/>
      <c r="L27" s="622"/>
      <c r="M27" s="622"/>
      <c r="N27" s="64">
        <f>J27+K27-L27+M27</f>
        <v>0</v>
      </c>
      <c r="O27" s="65">
        <f t="shared" si="17"/>
        <v>0</v>
      </c>
      <c r="P27" s="655"/>
      <c r="Q27" s="655"/>
      <c r="R27" s="622"/>
      <c r="S27" s="52">
        <f t="shared" si="0"/>
        <v>0</v>
      </c>
      <c r="T27" s="198"/>
      <c r="U27" s="622"/>
      <c r="V27" s="622"/>
      <c r="W27" s="622"/>
      <c r="X27" s="64">
        <f t="shared" si="19"/>
        <v>0</v>
      </c>
      <c r="Y27" s="65">
        <f t="shared" si="1"/>
        <v>0</v>
      </c>
      <c r="Z27" s="622"/>
      <c r="AA27" s="622"/>
      <c r="AB27" s="622"/>
      <c r="AC27" s="52">
        <f t="shared" si="2"/>
        <v>0</v>
      </c>
      <c r="AD27" s="66">
        <f>X27</f>
        <v>0</v>
      </c>
      <c r="AE27" s="622"/>
      <c r="AF27" s="622"/>
      <c r="AG27" s="622"/>
      <c r="AH27" s="64">
        <f>AD27+AE27-AF27+AG27</f>
        <v>0</v>
      </c>
      <c r="AI27" s="65">
        <f>AC27</f>
        <v>0</v>
      </c>
      <c r="AJ27" s="622"/>
      <c r="AK27" s="622"/>
      <c r="AL27" s="622"/>
      <c r="AM27" s="52">
        <f>AI27+AJ27-AK27+SUM(AL27:AL27)</f>
        <v>0</v>
      </c>
      <c r="AN27" s="66">
        <f>AH27</f>
        <v>0</v>
      </c>
      <c r="AO27" s="622"/>
      <c r="AP27" s="622"/>
      <c r="AQ27" s="622"/>
      <c r="AR27" s="64">
        <f t="shared" si="21"/>
        <v>0</v>
      </c>
      <c r="AS27" s="65">
        <f t="shared" si="6"/>
        <v>0</v>
      </c>
      <c r="AT27" s="622"/>
      <c r="AU27" s="622"/>
      <c r="AV27" s="338"/>
      <c r="AW27" s="52">
        <f>AS27+AT27-AU27+AV27</f>
        <v>0</v>
      </c>
      <c r="AX27" s="66">
        <f t="shared" si="7"/>
        <v>0</v>
      </c>
      <c r="AY27" s="622"/>
      <c r="AZ27" s="622"/>
      <c r="BA27" s="338"/>
      <c r="BB27" s="64">
        <f t="shared" si="22"/>
        <v>0</v>
      </c>
      <c r="BC27" s="65">
        <v>0</v>
      </c>
      <c r="BD27" s="338"/>
      <c r="BE27" s="338"/>
      <c r="BF27" s="63"/>
      <c r="BG27" s="52">
        <f t="shared" si="12"/>
        <v>0</v>
      </c>
      <c r="BH27" s="66">
        <v>0</v>
      </c>
      <c r="BI27" s="338"/>
      <c r="BJ27" s="338"/>
      <c r="BK27" s="63"/>
      <c r="BL27" s="64">
        <f t="shared" si="23"/>
        <v>0</v>
      </c>
      <c r="BM27" s="62"/>
      <c r="BN27" s="63"/>
      <c r="BO27" s="66">
        <f t="shared" si="13"/>
        <v>0</v>
      </c>
      <c r="BP27" s="67">
        <f t="shared" si="14"/>
        <v>0</v>
      </c>
      <c r="BQ27" s="68"/>
      <c r="BR27" s="63"/>
      <c r="BS27" s="202">
        <f t="shared" si="10"/>
        <v>0</v>
      </c>
      <c r="BT27" s="224">
        <v>0</v>
      </c>
      <c r="BU27" s="345"/>
      <c r="BV27" s="623"/>
      <c r="BW27" s="59">
        <f>BV27-SUM(BG27,BL27)</f>
        <v>0</v>
      </c>
      <c r="BX27" s="341" t="str">
        <f t="shared" si="16"/>
        <v/>
      </c>
      <c r="CB27" s="37" t="s">
        <v>161</v>
      </c>
      <c r="CC27" s="262" t="b">
        <v>1</v>
      </c>
    </row>
    <row r="28" spans="1:81" s="58" customFormat="1" ht="17.25" thickBot="1" x14ac:dyDescent="0.25">
      <c r="A28">
        <v>3.2</v>
      </c>
      <c r="B28" s="271">
        <v>6</v>
      </c>
      <c r="C28" s="193" t="s">
        <v>2921</v>
      </c>
      <c r="D28" s="194">
        <v>1580</v>
      </c>
      <c r="E28" s="629"/>
      <c r="F28" s="628"/>
      <c r="G28" s="622"/>
      <c r="H28" s="622"/>
      <c r="I28" s="52">
        <f>E28+F28-G28+H28</f>
        <v>0</v>
      </c>
      <c r="J28" s="636"/>
      <c r="K28" s="638"/>
      <c r="L28" s="622"/>
      <c r="M28" s="622"/>
      <c r="N28" s="64">
        <f>J28+K28-L28+M28</f>
        <v>0</v>
      </c>
      <c r="O28" s="65">
        <f t="shared" si="17"/>
        <v>0</v>
      </c>
      <c r="P28" s="655"/>
      <c r="Q28" s="655"/>
      <c r="R28" s="622"/>
      <c r="S28" s="52">
        <f t="shared" si="0"/>
        <v>0</v>
      </c>
      <c r="T28" s="198"/>
      <c r="U28" s="622"/>
      <c r="V28" s="622"/>
      <c r="W28" s="622"/>
      <c r="X28" s="64">
        <f t="shared" si="19"/>
        <v>0</v>
      </c>
      <c r="Y28" s="65">
        <f t="shared" si="1"/>
        <v>0</v>
      </c>
      <c r="Z28" s="622"/>
      <c r="AA28" s="622"/>
      <c r="AB28" s="622"/>
      <c r="AC28" s="52">
        <f t="shared" si="2"/>
        <v>0</v>
      </c>
      <c r="AD28" s="66">
        <f>X28</f>
        <v>0</v>
      </c>
      <c r="AE28" s="622"/>
      <c r="AF28" s="622"/>
      <c r="AG28" s="622"/>
      <c r="AH28" s="64">
        <f>AD28+AE28-AF28+AG28</f>
        <v>0</v>
      </c>
      <c r="AI28" s="65">
        <f>AC28</f>
        <v>0</v>
      </c>
      <c r="AJ28" s="622"/>
      <c r="AK28" s="622"/>
      <c r="AL28" s="622"/>
      <c r="AM28" s="52">
        <f>AI28+AJ28-AK28+SUM(AL28:AL28)</f>
        <v>0</v>
      </c>
      <c r="AN28" s="66">
        <f>AH28</f>
        <v>0</v>
      </c>
      <c r="AO28" s="622"/>
      <c r="AP28" s="622"/>
      <c r="AQ28" s="622"/>
      <c r="AR28" s="64">
        <f t="shared" si="21"/>
        <v>0</v>
      </c>
      <c r="AS28" s="65">
        <f t="shared" si="6"/>
        <v>0</v>
      </c>
      <c r="AT28" s="622"/>
      <c r="AU28" s="622"/>
      <c r="AV28" s="338"/>
      <c r="AW28" s="52">
        <f>AS28+AT28-AU28+AV28</f>
        <v>0</v>
      </c>
      <c r="AX28" s="66">
        <f t="shared" si="7"/>
        <v>0</v>
      </c>
      <c r="AY28" s="622"/>
      <c r="AZ28" s="622"/>
      <c r="BA28" s="338"/>
      <c r="BB28" s="64">
        <f t="shared" si="22"/>
        <v>0</v>
      </c>
      <c r="BC28" s="65">
        <v>-88336.7</v>
      </c>
      <c r="BD28" s="338">
        <v>-74105.030000000013</v>
      </c>
      <c r="BE28" s="338">
        <v>-56253.66</v>
      </c>
      <c r="BF28" s="63"/>
      <c r="BG28" s="52">
        <f t="shared" si="12"/>
        <v>-106188.07</v>
      </c>
      <c r="BH28" s="66">
        <v>-1529.15</v>
      </c>
      <c r="BI28" s="338">
        <v>-303.5</v>
      </c>
      <c r="BJ28" s="338">
        <v>-1203.0899999999999</v>
      </c>
      <c r="BK28" s="63"/>
      <c r="BL28" s="64">
        <f t="shared" si="23"/>
        <v>-629.56000000000017</v>
      </c>
      <c r="BM28" s="62">
        <v>-32083.040000000001</v>
      </c>
      <c r="BN28" s="63">
        <v>-569.67999999999995</v>
      </c>
      <c r="BO28" s="66">
        <f t="shared" si="13"/>
        <v>-74105.03</v>
      </c>
      <c r="BP28" s="67">
        <f t="shared" si="14"/>
        <v>-59.880000000000223</v>
      </c>
      <c r="BQ28" s="68">
        <f t="shared" ref="BQ28:BQ29" si="24">(BO28*3/12*0.57%)+(BO28*3/12*1.02%)+(BO28*3/12*2.2%)+(BO28*3/12*3.87%)</f>
        <v>-1419.1113244999999</v>
      </c>
      <c r="BR28" s="63">
        <f t="shared" ref="BR28:BR29" si="25">BO28*(3.87%)*4/12</f>
        <v>-955.95488699999987</v>
      </c>
      <c r="BS28" s="202">
        <f t="shared" si="10"/>
        <v>-2434.9462115000001</v>
      </c>
      <c r="BT28" s="224">
        <f>IF(CC28=TRUE, SUM(BO28:BR28), 0)</f>
        <v>-76539.976211500005</v>
      </c>
      <c r="BU28" s="345"/>
      <c r="BV28" s="623">
        <v>-106818</v>
      </c>
      <c r="BW28" s="59">
        <f>BV28-SUM(BG28,BL28)</f>
        <v>-0.36999999999534339</v>
      </c>
      <c r="BX28" s="341" t="str">
        <f t="shared" si="16"/>
        <v/>
      </c>
      <c r="CB28" s="37" t="s">
        <v>162</v>
      </c>
      <c r="CC28" s="263" t="b">
        <v>1</v>
      </c>
    </row>
    <row r="29" spans="1:81" s="58" customFormat="1" ht="15" thickBot="1" x14ac:dyDescent="0.25">
      <c r="A29">
        <v>4</v>
      </c>
      <c r="B29" s="271">
        <v>7</v>
      </c>
      <c r="C29" s="193" t="s">
        <v>2</v>
      </c>
      <c r="D29" s="194">
        <v>1584</v>
      </c>
      <c r="E29" s="629"/>
      <c r="F29" s="628"/>
      <c r="G29" s="622"/>
      <c r="H29" s="622"/>
      <c r="I29" s="52">
        <f t="shared" ref="I29:I39" si="26">E29+F29-G29+H29</f>
        <v>0</v>
      </c>
      <c r="J29" s="637"/>
      <c r="K29" s="638"/>
      <c r="L29" s="622"/>
      <c r="M29" s="622"/>
      <c r="N29" s="64">
        <f t="shared" ref="N29:N39" si="27">J29+K29-L29+M29</f>
        <v>0</v>
      </c>
      <c r="O29" s="65">
        <f t="shared" si="17"/>
        <v>0</v>
      </c>
      <c r="P29" s="656"/>
      <c r="Q29" s="622"/>
      <c r="R29" s="622"/>
      <c r="S29" s="52">
        <f t="shared" si="0"/>
        <v>0</v>
      </c>
      <c r="T29" s="66">
        <f t="shared" si="18"/>
        <v>0</v>
      </c>
      <c r="U29" s="658"/>
      <c r="V29" s="622"/>
      <c r="W29" s="622"/>
      <c r="X29" s="64">
        <f t="shared" si="19"/>
        <v>0</v>
      </c>
      <c r="Y29" s="65">
        <f t="shared" si="1"/>
        <v>0</v>
      </c>
      <c r="Z29" s="622"/>
      <c r="AA29" s="622"/>
      <c r="AB29" s="622"/>
      <c r="AC29" s="52">
        <f t="shared" si="2"/>
        <v>0</v>
      </c>
      <c r="AD29" s="66">
        <f t="shared" si="3"/>
        <v>0</v>
      </c>
      <c r="AE29" s="622"/>
      <c r="AF29" s="622"/>
      <c r="AG29" s="622"/>
      <c r="AH29" s="64">
        <f t="shared" si="20"/>
        <v>0</v>
      </c>
      <c r="AI29" s="65">
        <f t="shared" si="4"/>
        <v>0</v>
      </c>
      <c r="AJ29" s="622"/>
      <c r="AK29" s="622"/>
      <c r="AL29" s="622"/>
      <c r="AM29" s="52">
        <f t="shared" si="11"/>
        <v>0</v>
      </c>
      <c r="AN29" s="66">
        <f t="shared" si="5"/>
        <v>0</v>
      </c>
      <c r="AO29" s="622"/>
      <c r="AP29" s="622"/>
      <c r="AQ29" s="622"/>
      <c r="AR29" s="64">
        <f t="shared" si="21"/>
        <v>0</v>
      </c>
      <c r="AS29" s="65">
        <f t="shared" si="6"/>
        <v>0</v>
      </c>
      <c r="AT29" s="622"/>
      <c r="AU29" s="622"/>
      <c r="AV29" s="338"/>
      <c r="AW29" s="52">
        <f t="shared" ref="AW29:AW40" si="28">AS29+AT29-AU29+AV29</f>
        <v>0</v>
      </c>
      <c r="AX29" s="66">
        <f t="shared" si="7"/>
        <v>0</v>
      </c>
      <c r="AY29" s="622"/>
      <c r="AZ29" s="622"/>
      <c r="BA29" s="338"/>
      <c r="BB29" s="64">
        <f t="shared" si="22"/>
        <v>0</v>
      </c>
      <c r="BC29" s="65">
        <v>404881.7</v>
      </c>
      <c r="BD29" s="338">
        <v>437609.54</v>
      </c>
      <c r="BE29" s="338">
        <v>157068.12</v>
      </c>
      <c r="BF29" s="63"/>
      <c r="BG29" s="52">
        <f t="shared" ref="BG29:BG35" si="29">BC29+BD29-BE29+SUM(BF29:BF29)</f>
        <v>685423.12</v>
      </c>
      <c r="BH29" s="66">
        <v>-5477.49</v>
      </c>
      <c r="BI29" s="338">
        <v>2950.44</v>
      </c>
      <c r="BJ29" s="338">
        <v>-4333.2431049999996</v>
      </c>
      <c r="BK29" s="63"/>
      <c r="BL29" s="64">
        <f t="shared" si="23"/>
        <v>1806.1931049999998</v>
      </c>
      <c r="BM29" s="62">
        <v>247813.58</v>
      </c>
      <c r="BN29" s="63">
        <v>739.14</v>
      </c>
      <c r="BO29" s="66">
        <f t="shared" si="13"/>
        <v>437609.54000000004</v>
      </c>
      <c r="BP29" s="67">
        <f t="shared" si="14"/>
        <v>1067.053105</v>
      </c>
      <c r="BQ29" s="68">
        <f t="shared" si="24"/>
        <v>8380.222690999999</v>
      </c>
      <c r="BR29" s="63">
        <f t="shared" si="25"/>
        <v>5645.1630660000001</v>
      </c>
      <c r="BS29" s="202">
        <f t="shared" si="10"/>
        <v>15092.438861999999</v>
      </c>
      <c r="BT29" s="224">
        <f>SUM(BO29:BR29)</f>
        <v>452701.97886199999</v>
      </c>
      <c r="BU29" s="345"/>
      <c r="BV29" s="623">
        <v>687229.58</v>
      </c>
      <c r="BW29" s="59">
        <f t="shared" si="15"/>
        <v>0.26689500000793487</v>
      </c>
      <c r="BX29" s="341" t="str">
        <f t="shared" si="16"/>
        <v/>
      </c>
      <c r="CC29" s="263"/>
    </row>
    <row r="30" spans="1:81" s="58" customFormat="1" ht="15" thickBot="1" x14ac:dyDescent="0.25">
      <c r="A30">
        <v>5</v>
      </c>
      <c r="B30" s="271">
        <v>8</v>
      </c>
      <c r="C30" s="193" t="s">
        <v>3</v>
      </c>
      <c r="D30" s="194">
        <v>1586</v>
      </c>
      <c r="E30" s="629"/>
      <c r="F30" s="628"/>
      <c r="G30" s="622"/>
      <c r="H30" s="622"/>
      <c r="I30" s="52">
        <f t="shared" si="26"/>
        <v>0</v>
      </c>
      <c r="J30" s="634"/>
      <c r="K30" s="638"/>
      <c r="L30" s="622"/>
      <c r="M30" s="622"/>
      <c r="N30" s="64">
        <f t="shared" si="27"/>
        <v>0</v>
      </c>
      <c r="O30" s="65">
        <f t="shared" si="17"/>
        <v>0</v>
      </c>
      <c r="P30" s="657"/>
      <c r="Q30" s="622"/>
      <c r="R30" s="622"/>
      <c r="S30" s="52">
        <f t="shared" ref="S30:S40" si="30">O30+P30-Q30+R30</f>
        <v>0</v>
      </c>
      <c r="T30" s="66">
        <f t="shared" si="18"/>
        <v>0</v>
      </c>
      <c r="U30" s="658"/>
      <c r="V30" s="622"/>
      <c r="W30" s="622"/>
      <c r="X30" s="64">
        <f t="shared" si="19"/>
        <v>0</v>
      </c>
      <c r="Y30" s="65">
        <f t="shared" si="1"/>
        <v>0</v>
      </c>
      <c r="Z30" s="622"/>
      <c r="AA30" s="622"/>
      <c r="AB30" s="622"/>
      <c r="AC30" s="52">
        <f t="shared" ref="AC30:AC40" si="31">Y30+Z30-AA30+AB30</f>
        <v>0</v>
      </c>
      <c r="AD30" s="66">
        <f t="shared" si="3"/>
        <v>0</v>
      </c>
      <c r="AE30" s="622"/>
      <c r="AF30" s="622"/>
      <c r="AG30" s="622"/>
      <c r="AH30" s="64">
        <f t="shared" si="20"/>
        <v>0</v>
      </c>
      <c r="AI30" s="65">
        <f t="shared" si="4"/>
        <v>0</v>
      </c>
      <c r="AJ30" s="622"/>
      <c r="AK30" s="622"/>
      <c r="AL30" s="622"/>
      <c r="AM30" s="52">
        <f t="shared" si="11"/>
        <v>0</v>
      </c>
      <c r="AN30" s="66">
        <f t="shared" si="5"/>
        <v>0</v>
      </c>
      <c r="AO30" s="622"/>
      <c r="AP30" s="622"/>
      <c r="AQ30" s="622"/>
      <c r="AR30" s="64">
        <f t="shared" si="21"/>
        <v>0</v>
      </c>
      <c r="AS30" s="65">
        <f t="shared" si="6"/>
        <v>0</v>
      </c>
      <c r="AT30" s="622"/>
      <c r="AU30" s="622"/>
      <c r="AV30" s="338"/>
      <c r="AW30" s="52">
        <f t="shared" si="28"/>
        <v>0</v>
      </c>
      <c r="AX30" s="66">
        <f t="shared" si="7"/>
        <v>0</v>
      </c>
      <c r="AY30" s="622"/>
      <c r="AZ30" s="622"/>
      <c r="BA30" s="338"/>
      <c r="BB30" s="64">
        <f t="shared" si="22"/>
        <v>0</v>
      </c>
      <c r="BC30" s="65">
        <v>0</v>
      </c>
      <c r="BD30" s="338"/>
      <c r="BE30" s="338"/>
      <c r="BF30" s="63"/>
      <c r="BG30" s="52">
        <f t="shared" si="29"/>
        <v>0</v>
      </c>
      <c r="BH30" s="66">
        <v>0</v>
      </c>
      <c r="BI30" s="338"/>
      <c r="BJ30" s="338"/>
      <c r="BK30" s="63"/>
      <c r="BL30" s="64">
        <f t="shared" si="23"/>
        <v>0</v>
      </c>
      <c r="BM30" s="62"/>
      <c r="BN30" s="63"/>
      <c r="BO30" s="66">
        <f t="shared" si="13"/>
        <v>0</v>
      </c>
      <c r="BP30" s="67">
        <f t="shared" si="14"/>
        <v>0</v>
      </c>
      <c r="BQ30" s="68"/>
      <c r="BR30" s="63"/>
      <c r="BS30" s="202">
        <f t="shared" si="10"/>
        <v>0</v>
      </c>
      <c r="BT30" s="224">
        <f>SUM(BO30:BR30)</f>
        <v>0</v>
      </c>
      <c r="BU30" s="345"/>
      <c r="BV30" s="623"/>
      <c r="BW30" s="59">
        <f t="shared" si="15"/>
        <v>0</v>
      </c>
      <c r="BX30" s="341" t="str">
        <f t="shared" si="16"/>
        <v/>
      </c>
      <c r="CC30" s="263"/>
    </row>
    <row r="31" spans="1:81" s="58" customFormat="1" ht="17.25" thickBot="1" x14ac:dyDescent="0.25">
      <c r="A31">
        <v>6</v>
      </c>
      <c r="B31" s="271">
        <v>9</v>
      </c>
      <c r="C31" s="193" t="s">
        <v>2917</v>
      </c>
      <c r="D31" s="194">
        <v>1588</v>
      </c>
      <c r="E31" s="644"/>
      <c r="F31" s="628"/>
      <c r="G31" s="622"/>
      <c r="H31" s="622"/>
      <c r="I31" s="52">
        <f t="shared" si="26"/>
        <v>0</v>
      </c>
      <c r="J31" s="622"/>
      <c r="K31" s="622"/>
      <c r="L31" s="622"/>
      <c r="M31" s="622"/>
      <c r="N31" s="64">
        <f t="shared" si="27"/>
        <v>0</v>
      </c>
      <c r="O31" s="65">
        <f t="shared" si="17"/>
        <v>0</v>
      </c>
      <c r="P31" s="622"/>
      <c r="Q31" s="622"/>
      <c r="R31" s="622"/>
      <c r="S31" s="52">
        <f t="shared" si="30"/>
        <v>0</v>
      </c>
      <c r="T31" s="66">
        <f t="shared" si="18"/>
        <v>0</v>
      </c>
      <c r="U31" s="622"/>
      <c r="V31" s="622"/>
      <c r="W31" s="622"/>
      <c r="X31" s="64">
        <f t="shared" si="19"/>
        <v>0</v>
      </c>
      <c r="Y31" s="65">
        <f t="shared" si="1"/>
        <v>0</v>
      </c>
      <c r="Z31" s="622"/>
      <c r="AA31" s="622"/>
      <c r="AB31" s="622"/>
      <c r="AC31" s="52">
        <f t="shared" si="31"/>
        <v>0</v>
      </c>
      <c r="AD31" s="66">
        <f t="shared" si="3"/>
        <v>0</v>
      </c>
      <c r="AE31" s="622"/>
      <c r="AF31" s="622"/>
      <c r="AG31" s="622"/>
      <c r="AH31" s="64">
        <f t="shared" si="20"/>
        <v>0</v>
      </c>
      <c r="AI31" s="65">
        <f t="shared" si="4"/>
        <v>0</v>
      </c>
      <c r="AJ31" s="622"/>
      <c r="AK31" s="622"/>
      <c r="AL31" s="622"/>
      <c r="AM31" s="52">
        <f t="shared" si="11"/>
        <v>0</v>
      </c>
      <c r="AN31" s="66">
        <f t="shared" si="5"/>
        <v>0</v>
      </c>
      <c r="AO31" s="622"/>
      <c r="AP31" s="622"/>
      <c r="AQ31" s="622"/>
      <c r="AR31" s="64">
        <f t="shared" si="21"/>
        <v>0</v>
      </c>
      <c r="AS31" s="65">
        <f t="shared" si="6"/>
        <v>0</v>
      </c>
      <c r="AT31" s="622"/>
      <c r="AU31" s="622"/>
      <c r="AV31" s="338"/>
      <c r="AW31" s="52">
        <f t="shared" si="28"/>
        <v>0</v>
      </c>
      <c r="AX31" s="66">
        <f t="shared" si="7"/>
        <v>0</v>
      </c>
      <c r="AY31" s="622"/>
      <c r="AZ31" s="622"/>
      <c r="BA31" s="338"/>
      <c r="BB31" s="64">
        <f t="shared" si="22"/>
        <v>0</v>
      </c>
      <c r="BC31" s="65">
        <v>513822.93999999994</v>
      </c>
      <c r="BD31" s="338">
        <v>-125353.68000000052</v>
      </c>
      <c r="BE31" s="338">
        <v>347782.37000000011</v>
      </c>
      <c r="BF31" s="63">
        <f>-268529-759500</f>
        <v>-1028029</v>
      </c>
      <c r="BG31" s="52">
        <f t="shared" si="29"/>
        <v>-987342.11000000068</v>
      </c>
      <c r="BH31" s="66">
        <v>27255.119999999999</v>
      </c>
      <c r="BI31" s="338">
        <v>3653.35</v>
      </c>
      <c r="BJ31" s="338">
        <v>23939.220051250002</v>
      </c>
      <c r="BK31" s="63"/>
      <c r="BL31" s="64">
        <f t="shared" si="23"/>
        <v>6969.2499487499954</v>
      </c>
      <c r="BM31" s="62">
        <v>166039.63</v>
      </c>
      <c r="BN31" s="63">
        <v>4577.8</v>
      </c>
      <c r="BO31" s="66">
        <f t="shared" si="13"/>
        <v>-1153381.7400000007</v>
      </c>
      <c r="BP31" s="67">
        <f t="shared" si="14"/>
        <v>2391.4499487499952</v>
      </c>
      <c r="BQ31" s="68">
        <f t="shared" ref="BQ31:BQ32" si="32">(BO31*3/12*0.57%)+(BO31*3/12*1.02%)+(BO31*3/12*2.2%)+(BO31*3/12*3.87%)</f>
        <v>-22087.260321000016</v>
      </c>
      <c r="BR31" s="63">
        <f t="shared" ref="BR31:BR32" si="33">BO31*(3.87%)*4/12</f>
        <v>-14878.624446000009</v>
      </c>
      <c r="BS31" s="202">
        <f t="shared" si="10"/>
        <v>-34574.434818250025</v>
      </c>
      <c r="BT31" s="224">
        <f>IF(BU31="Yes", SUM(BO31:BR31), 0)</f>
        <v>-1187956.1748182508</v>
      </c>
      <c r="BU31" s="553" t="s">
        <v>3037</v>
      </c>
      <c r="BV31" s="623">
        <v>-711846.07000000007</v>
      </c>
      <c r="BW31" s="59">
        <f t="shared" si="15"/>
        <v>268526.7900512506</v>
      </c>
      <c r="BX31" s="341" t="str">
        <f t="shared" si="16"/>
        <v>Please provide an explanation of the variance in the tab 3 - Appendix A</v>
      </c>
      <c r="CC31" s="263"/>
    </row>
    <row r="32" spans="1:81" s="58" customFormat="1" ht="17.25" thickBot="1" x14ac:dyDescent="0.25">
      <c r="A32">
        <v>7</v>
      </c>
      <c r="B32" s="271">
        <v>10</v>
      </c>
      <c r="C32" s="193" t="s">
        <v>2918</v>
      </c>
      <c r="D32" s="194">
        <v>1589</v>
      </c>
      <c r="E32" s="629"/>
      <c r="F32" s="628"/>
      <c r="G32" s="622"/>
      <c r="H32" s="622"/>
      <c r="I32" s="52">
        <f t="shared" si="26"/>
        <v>0</v>
      </c>
      <c r="J32" s="645"/>
      <c r="K32" s="646"/>
      <c r="L32" s="622"/>
      <c r="M32" s="622"/>
      <c r="N32" s="64">
        <f t="shared" si="27"/>
        <v>0</v>
      </c>
      <c r="O32" s="65">
        <f t="shared" si="17"/>
        <v>0</v>
      </c>
      <c r="P32" s="630"/>
      <c r="Q32" s="622"/>
      <c r="R32" s="622"/>
      <c r="S32" s="52">
        <f t="shared" si="30"/>
        <v>0</v>
      </c>
      <c r="T32" s="66">
        <f t="shared" si="18"/>
        <v>0</v>
      </c>
      <c r="U32" s="631"/>
      <c r="V32" s="622"/>
      <c r="W32" s="622"/>
      <c r="X32" s="64">
        <f t="shared" si="19"/>
        <v>0</v>
      </c>
      <c r="Y32" s="65">
        <f t="shared" si="1"/>
        <v>0</v>
      </c>
      <c r="Z32" s="622"/>
      <c r="AA32" s="622"/>
      <c r="AB32" s="622"/>
      <c r="AC32" s="52">
        <f t="shared" si="31"/>
        <v>0</v>
      </c>
      <c r="AD32" s="66">
        <f t="shared" si="3"/>
        <v>0</v>
      </c>
      <c r="AE32" s="622"/>
      <c r="AF32" s="622"/>
      <c r="AG32" s="622"/>
      <c r="AH32" s="64">
        <f t="shared" si="20"/>
        <v>0</v>
      </c>
      <c r="AI32" s="65">
        <f t="shared" si="4"/>
        <v>0</v>
      </c>
      <c r="AJ32" s="622"/>
      <c r="AK32" s="622"/>
      <c r="AL32" s="622"/>
      <c r="AM32" s="52">
        <f t="shared" si="11"/>
        <v>0</v>
      </c>
      <c r="AN32" s="66">
        <f t="shared" si="5"/>
        <v>0</v>
      </c>
      <c r="AO32" s="622"/>
      <c r="AP32" s="622"/>
      <c r="AQ32" s="622"/>
      <c r="AR32" s="64">
        <f t="shared" si="21"/>
        <v>0</v>
      </c>
      <c r="AS32" s="65">
        <f t="shared" si="6"/>
        <v>0</v>
      </c>
      <c r="AT32" s="622"/>
      <c r="AU32" s="622"/>
      <c r="AV32" s="338"/>
      <c r="AW32" s="52">
        <f t="shared" si="28"/>
        <v>0</v>
      </c>
      <c r="AX32" s="66">
        <f t="shared" si="7"/>
        <v>0</v>
      </c>
      <c r="AY32" s="622"/>
      <c r="AZ32" s="622"/>
      <c r="BA32" s="338"/>
      <c r="BB32" s="64">
        <f t="shared" si="22"/>
        <v>0</v>
      </c>
      <c r="BC32" s="65">
        <v>1004686.3600000001</v>
      </c>
      <c r="BD32" s="338">
        <v>-1109130.9999999998</v>
      </c>
      <c r="BE32" s="338">
        <v>466803.5299999998</v>
      </c>
      <c r="BF32" s="63">
        <f>268529+759500</f>
        <v>1028029</v>
      </c>
      <c r="BG32" s="52">
        <f t="shared" si="29"/>
        <v>456780.83000000054</v>
      </c>
      <c r="BH32" s="66">
        <v>92596.46</v>
      </c>
      <c r="BI32" s="338">
        <v>13912.470000000001</v>
      </c>
      <c r="BJ32" s="338">
        <v>81973.891036250003</v>
      </c>
      <c r="BK32" s="63"/>
      <c r="BL32" s="64">
        <f t="shared" si="23"/>
        <v>24535.038963750005</v>
      </c>
      <c r="BM32" s="62">
        <v>537884.99</v>
      </c>
      <c r="BN32" s="63">
        <v>14710.49</v>
      </c>
      <c r="BO32" s="66">
        <f t="shared" si="13"/>
        <v>-81104.159999999451</v>
      </c>
      <c r="BP32" s="67">
        <f t="shared" si="14"/>
        <v>9824.548963750005</v>
      </c>
      <c r="BQ32" s="68">
        <f t="shared" si="32"/>
        <v>-1553.1446639999895</v>
      </c>
      <c r="BR32" s="63">
        <f t="shared" si="33"/>
        <v>-1046.2436639999928</v>
      </c>
      <c r="BS32" s="202">
        <f t="shared" si="10"/>
        <v>7225.1606357500223</v>
      </c>
      <c r="BT32" s="224">
        <f>IF(BU32="Yes", SUM(BO32:BR32), 0)</f>
        <v>-73878.999364249437</v>
      </c>
      <c r="BU32" s="553" t="s">
        <v>3037</v>
      </c>
      <c r="BV32" s="623">
        <v>212789.99000000002</v>
      </c>
      <c r="BW32" s="59">
        <f t="shared" si="15"/>
        <v>-268525.87896375055</v>
      </c>
      <c r="BX32" s="341" t="str">
        <f t="shared" si="16"/>
        <v>Please provide an explanation of the variance in the tab 3 - Appendix A</v>
      </c>
      <c r="CC32" s="263"/>
    </row>
    <row r="33" spans="1:81" s="58" customFormat="1" ht="17.25" thickBot="1" x14ac:dyDescent="0.25">
      <c r="A33">
        <v>8</v>
      </c>
      <c r="B33" s="271">
        <v>11</v>
      </c>
      <c r="C33" s="195" t="s">
        <v>36</v>
      </c>
      <c r="D33" s="194">
        <v>1595</v>
      </c>
      <c r="E33" s="639"/>
      <c r="F33" s="653"/>
      <c r="G33" s="338"/>
      <c r="H33" s="63"/>
      <c r="I33" s="52">
        <f t="shared" si="26"/>
        <v>0</v>
      </c>
      <c r="J33" s="338"/>
      <c r="K33" s="338"/>
      <c r="L33" s="338"/>
      <c r="M33" s="63"/>
      <c r="N33" s="64">
        <f t="shared" si="27"/>
        <v>0</v>
      </c>
      <c r="O33" s="65">
        <f>I33</f>
        <v>0</v>
      </c>
      <c r="P33" s="174"/>
      <c r="Q33" s="63"/>
      <c r="R33" s="63"/>
      <c r="S33" s="52">
        <f t="shared" si="30"/>
        <v>0</v>
      </c>
      <c r="T33" s="66">
        <f>N33</f>
        <v>0</v>
      </c>
      <c r="U33" s="63"/>
      <c r="V33" s="63"/>
      <c r="W33" s="63"/>
      <c r="X33" s="64">
        <f t="shared" si="19"/>
        <v>0</v>
      </c>
      <c r="Y33" s="65">
        <f t="shared" si="1"/>
        <v>0</v>
      </c>
      <c r="Z33" s="63"/>
      <c r="AA33" s="63"/>
      <c r="AB33" s="63"/>
      <c r="AC33" s="52">
        <f t="shared" si="31"/>
        <v>0</v>
      </c>
      <c r="AD33" s="66">
        <f t="shared" si="3"/>
        <v>0</v>
      </c>
      <c r="AE33" s="63"/>
      <c r="AF33" s="63"/>
      <c r="AG33" s="63"/>
      <c r="AH33" s="64">
        <f t="shared" si="20"/>
        <v>0</v>
      </c>
      <c r="AI33" s="65">
        <f t="shared" si="4"/>
        <v>0</v>
      </c>
      <c r="AJ33" s="63"/>
      <c r="AK33" s="63"/>
      <c r="AL33" s="63"/>
      <c r="AM33" s="52">
        <f t="shared" si="11"/>
        <v>0</v>
      </c>
      <c r="AN33" s="66">
        <f t="shared" si="5"/>
        <v>0</v>
      </c>
      <c r="AO33" s="63"/>
      <c r="AP33" s="63"/>
      <c r="AQ33" s="63"/>
      <c r="AR33" s="64">
        <f t="shared" si="21"/>
        <v>0</v>
      </c>
      <c r="AS33" s="65">
        <f t="shared" si="6"/>
        <v>0</v>
      </c>
      <c r="AT33" s="63"/>
      <c r="AU33" s="63"/>
      <c r="AV33" s="63"/>
      <c r="AW33" s="52">
        <f t="shared" si="28"/>
        <v>0</v>
      </c>
      <c r="AX33" s="66">
        <f t="shared" si="7"/>
        <v>0</v>
      </c>
      <c r="AY33" s="63"/>
      <c r="AZ33" s="63"/>
      <c r="BA33" s="63"/>
      <c r="BB33" s="64">
        <f t="shared" si="22"/>
        <v>0</v>
      </c>
      <c r="BC33" s="65">
        <v>0</v>
      </c>
      <c r="BD33" s="63"/>
      <c r="BE33" s="63"/>
      <c r="BF33" s="63"/>
      <c r="BG33" s="52">
        <f t="shared" si="29"/>
        <v>0</v>
      </c>
      <c r="BH33" s="66">
        <v>0</v>
      </c>
      <c r="BI33" s="63"/>
      <c r="BJ33" s="63"/>
      <c r="BK33" s="63"/>
      <c r="BL33" s="64">
        <f t="shared" si="23"/>
        <v>0</v>
      </c>
      <c r="BM33" s="62"/>
      <c r="BN33" s="63"/>
      <c r="BO33" s="66">
        <f t="shared" si="13"/>
        <v>0</v>
      </c>
      <c r="BP33" s="67">
        <f t="shared" si="14"/>
        <v>0</v>
      </c>
      <c r="BQ33" s="68"/>
      <c r="BR33" s="63">
        <f>BO33*(2.2%)</f>
        <v>0</v>
      </c>
      <c r="BS33" s="202">
        <f t="shared" si="10"/>
        <v>0</v>
      </c>
      <c r="BT33" s="224">
        <f>IF(CC33=TRUE, SUM(BO33:BR33), 0)</f>
        <v>0</v>
      </c>
      <c r="BU33" s="459"/>
      <c r="BV33" s="623"/>
      <c r="BW33" s="59">
        <f t="shared" si="15"/>
        <v>0</v>
      </c>
      <c r="BX33" s="341" t="str">
        <f t="shared" si="16"/>
        <v/>
      </c>
      <c r="CB33" s="219" t="s">
        <v>163</v>
      </c>
      <c r="CC33" s="263" t="b">
        <v>0</v>
      </c>
    </row>
    <row r="34" spans="1:81" s="58" customFormat="1" ht="17.25" thickBot="1" x14ac:dyDescent="0.25">
      <c r="A34">
        <v>9</v>
      </c>
      <c r="B34" s="271">
        <v>12</v>
      </c>
      <c r="C34" s="195" t="s">
        <v>3433</v>
      </c>
      <c r="D34" s="194">
        <v>1595</v>
      </c>
      <c r="E34" s="644"/>
      <c r="F34" s="622"/>
      <c r="G34" s="622"/>
      <c r="H34" s="622"/>
      <c r="I34" s="52">
        <f t="shared" si="26"/>
        <v>0</v>
      </c>
      <c r="J34" s="622"/>
      <c r="K34" s="622"/>
      <c r="L34" s="622"/>
      <c r="M34" s="622"/>
      <c r="N34" s="64">
        <f t="shared" si="27"/>
        <v>0</v>
      </c>
      <c r="O34" s="65">
        <f t="shared" si="17"/>
        <v>0</v>
      </c>
      <c r="P34" s="622"/>
      <c r="Q34" s="622"/>
      <c r="R34" s="622"/>
      <c r="S34" s="52">
        <f t="shared" si="30"/>
        <v>0</v>
      </c>
      <c r="T34" s="66">
        <f t="shared" si="18"/>
        <v>0</v>
      </c>
      <c r="U34" s="622"/>
      <c r="V34" s="622"/>
      <c r="W34" s="622"/>
      <c r="X34" s="64">
        <f t="shared" si="19"/>
        <v>0</v>
      </c>
      <c r="Y34" s="65">
        <f t="shared" si="1"/>
        <v>0</v>
      </c>
      <c r="Z34" s="338"/>
      <c r="AA34" s="338"/>
      <c r="AB34" s="338"/>
      <c r="AC34" s="52">
        <f t="shared" si="31"/>
        <v>0</v>
      </c>
      <c r="AD34" s="66">
        <f t="shared" si="3"/>
        <v>0</v>
      </c>
      <c r="AE34" s="338"/>
      <c r="AF34" s="338"/>
      <c r="AG34" s="338"/>
      <c r="AH34" s="64">
        <f t="shared" si="20"/>
        <v>0</v>
      </c>
      <c r="AI34" s="65">
        <f t="shared" si="4"/>
        <v>0</v>
      </c>
      <c r="AJ34" s="338"/>
      <c r="AK34" s="338"/>
      <c r="AL34" s="338"/>
      <c r="AM34" s="52">
        <f t="shared" si="11"/>
        <v>0</v>
      </c>
      <c r="AN34" s="66">
        <f t="shared" si="5"/>
        <v>0</v>
      </c>
      <c r="AO34" s="338"/>
      <c r="AP34" s="338"/>
      <c r="AQ34" s="338"/>
      <c r="AR34" s="64">
        <f t="shared" si="21"/>
        <v>0</v>
      </c>
      <c r="AS34" s="65">
        <f t="shared" si="6"/>
        <v>0</v>
      </c>
      <c r="AT34" s="338"/>
      <c r="AU34" s="338"/>
      <c r="AV34" s="338"/>
      <c r="AW34" s="52">
        <f t="shared" si="28"/>
        <v>0</v>
      </c>
      <c r="AX34" s="66">
        <f t="shared" si="7"/>
        <v>0</v>
      </c>
      <c r="AY34" s="338"/>
      <c r="AZ34" s="338"/>
      <c r="BA34" s="338"/>
      <c r="BB34" s="64">
        <f t="shared" si="22"/>
        <v>0</v>
      </c>
      <c r="BC34" s="65">
        <v>0</v>
      </c>
      <c r="BD34" s="63"/>
      <c r="BE34" s="63"/>
      <c r="BF34" s="63"/>
      <c r="BG34" s="52">
        <f t="shared" si="29"/>
        <v>0</v>
      </c>
      <c r="BH34" s="66">
        <v>0</v>
      </c>
      <c r="BI34" s="63"/>
      <c r="BJ34" s="63"/>
      <c r="BK34" s="63"/>
      <c r="BL34" s="64">
        <f t="shared" si="23"/>
        <v>0</v>
      </c>
      <c r="BM34" s="62"/>
      <c r="BN34" s="63"/>
      <c r="BO34" s="66">
        <f t="shared" si="13"/>
        <v>0</v>
      </c>
      <c r="BP34" s="67">
        <f t="shared" si="14"/>
        <v>0</v>
      </c>
      <c r="BQ34" s="68"/>
      <c r="BR34" s="63">
        <f>BO34*(2.2%)</f>
        <v>0</v>
      </c>
      <c r="BS34" s="202">
        <f t="shared" si="10"/>
        <v>0</v>
      </c>
      <c r="BT34" s="224">
        <f t="shared" ref="BT34:BT40" si="34">IF(BU34="Yes", SUM(BO34:BR34), 0)</f>
        <v>0</v>
      </c>
      <c r="BU34" s="551" t="s">
        <v>637</v>
      </c>
      <c r="BV34" s="623"/>
      <c r="BW34" s="59">
        <f t="shared" si="15"/>
        <v>0</v>
      </c>
      <c r="BX34" s="341" t="str">
        <f t="shared" si="16"/>
        <v/>
      </c>
      <c r="CB34" s="219" t="s">
        <v>164</v>
      </c>
      <c r="CC34" s="263" t="b">
        <v>0</v>
      </c>
    </row>
    <row r="35" spans="1:81" s="58" customFormat="1" ht="17.25" thickBot="1" x14ac:dyDescent="0.25">
      <c r="A35">
        <v>10</v>
      </c>
      <c r="B35" s="271">
        <v>13</v>
      </c>
      <c r="C35" s="195" t="s">
        <v>2915</v>
      </c>
      <c r="D35" s="194">
        <v>1595</v>
      </c>
      <c r="E35" s="644"/>
      <c r="F35" s="622"/>
      <c r="G35" s="622"/>
      <c r="H35" s="622"/>
      <c r="I35" s="52">
        <f t="shared" si="26"/>
        <v>0</v>
      </c>
      <c r="J35" s="622"/>
      <c r="K35" s="622"/>
      <c r="L35" s="622"/>
      <c r="M35" s="622"/>
      <c r="N35" s="64">
        <f t="shared" si="27"/>
        <v>0</v>
      </c>
      <c r="O35" s="65">
        <f t="shared" si="17"/>
        <v>0</v>
      </c>
      <c r="P35" s="622"/>
      <c r="Q35" s="622"/>
      <c r="R35" s="622"/>
      <c r="S35" s="52">
        <f t="shared" si="30"/>
        <v>0</v>
      </c>
      <c r="T35" s="66">
        <f t="shared" si="18"/>
        <v>0</v>
      </c>
      <c r="U35" s="622"/>
      <c r="V35" s="622"/>
      <c r="W35" s="622"/>
      <c r="X35" s="64">
        <f t="shared" si="19"/>
        <v>0</v>
      </c>
      <c r="Y35" s="65">
        <f t="shared" si="1"/>
        <v>0</v>
      </c>
      <c r="Z35" s="338"/>
      <c r="AA35" s="338"/>
      <c r="AB35" s="338"/>
      <c r="AC35" s="52">
        <f t="shared" si="31"/>
        <v>0</v>
      </c>
      <c r="AD35" s="66">
        <f t="shared" si="3"/>
        <v>0</v>
      </c>
      <c r="AE35" s="338"/>
      <c r="AF35" s="338"/>
      <c r="AG35" s="338"/>
      <c r="AH35" s="64">
        <f t="shared" si="20"/>
        <v>0</v>
      </c>
      <c r="AI35" s="65">
        <f t="shared" si="4"/>
        <v>0</v>
      </c>
      <c r="AJ35" s="338"/>
      <c r="AK35" s="338"/>
      <c r="AL35" s="338"/>
      <c r="AM35" s="52">
        <f t="shared" si="11"/>
        <v>0</v>
      </c>
      <c r="AN35" s="66">
        <f t="shared" si="5"/>
        <v>0</v>
      </c>
      <c r="AO35" s="338"/>
      <c r="AP35" s="338"/>
      <c r="AQ35" s="338"/>
      <c r="AR35" s="64">
        <f t="shared" si="21"/>
        <v>0</v>
      </c>
      <c r="AS35" s="65">
        <f t="shared" si="6"/>
        <v>0</v>
      </c>
      <c r="AT35" s="338"/>
      <c r="AU35" s="338"/>
      <c r="AV35" s="338"/>
      <c r="AW35" s="52">
        <f t="shared" si="28"/>
        <v>0</v>
      </c>
      <c r="AX35" s="66">
        <f t="shared" si="7"/>
        <v>0</v>
      </c>
      <c r="AY35" s="338"/>
      <c r="AZ35" s="338"/>
      <c r="BA35" s="338"/>
      <c r="BB35" s="64">
        <f t="shared" si="22"/>
        <v>0</v>
      </c>
      <c r="BC35" s="65">
        <v>0</v>
      </c>
      <c r="BD35" s="63"/>
      <c r="BE35" s="63"/>
      <c r="BF35" s="63"/>
      <c r="BG35" s="52">
        <f t="shared" si="29"/>
        <v>0</v>
      </c>
      <c r="BH35" s="66">
        <v>0</v>
      </c>
      <c r="BI35" s="63"/>
      <c r="BJ35" s="63"/>
      <c r="BK35" s="63"/>
      <c r="BL35" s="64">
        <f t="shared" si="23"/>
        <v>0</v>
      </c>
      <c r="BM35" s="62"/>
      <c r="BN35" s="63"/>
      <c r="BO35" s="66">
        <f t="shared" si="13"/>
        <v>0</v>
      </c>
      <c r="BP35" s="67">
        <f t="shared" si="14"/>
        <v>0</v>
      </c>
      <c r="BQ35" s="68"/>
      <c r="BR35" s="63">
        <f>BO35*(2.2%)</f>
        <v>0</v>
      </c>
      <c r="BS35" s="202">
        <f t="shared" si="10"/>
        <v>0</v>
      </c>
      <c r="BT35" s="224">
        <f t="shared" si="34"/>
        <v>0</v>
      </c>
      <c r="BU35" s="551" t="s">
        <v>637</v>
      </c>
      <c r="BV35" s="623"/>
      <c r="BW35" s="59">
        <f t="shared" si="15"/>
        <v>0</v>
      </c>
      <c r="BX35" s="341" t="str">
        <f t="shared" si="16"/>
        <v/>
      </c>
      <c r="CB35" s="219" t="s">
        <v>165</v>
      </c>
      <c r="CC35" s="263" t="b">
        <v>0</v>
      </c>
    </row>
    <row r="36" spans="1:81" s="58" customFormat="1" ht="17.25" thickBot="1" x14ac:dyDescent="0.25">
      <c r="A36">
        <v>11</v>
      </c>
      <c r="B36" s="271">
        <v>14</v>
      </c>
      <c r="C36" s="195" t="s">
        <v>2916</v>
      </c>
      <c r="D36" s="194">
        <v>1595</v>
      </c>
      <c r="E36" s="644"/>
      <c r="F36" s="622"/>
      <c r="G36" s="622"/>
      <c r="H36" s="622"/>
      <c r="I36" s="52">
        <f t="shared" si="26"/>
        <v>0</v>
      </c>
      <c r="J36" s="622"/>
      <c r="K36" s="622"/>
      <c r="L36" s="622"/>
      <c r="M36" s="622"/>
      <c r="N36" s="64">
        <f t="shared" si="27"/>
        <v>0</v>
      </c>
      <c r="O36" s="65">
        <f t="shared" si="17"/>
        <v>0</v>
      </c>
      <c r="P36" s="622"/>
      <c r="Q36" s="622"/>
      <c r="R36" s="622"/>
      <c r="S36" s="52">
        <f t="shared" si="30"/>
        <v>0</v>
      </c>
      <c r="T36" s="66">
        <f t="shared" si="18"/>
        <v>0</v>
      </c>
      <c r="U36" s="622"/>
      <c r="V36" s="622"/>
      <c r="W36" s="622"/>
      <c r="X36" s="64">
        <f t="shared" si="19"/>
        <v>0</v>
      </c>
      <c r="Y36" s="65">
        <f t="shared" si="1"/>
        <v>0</v>
      </c>
      <c r="Z36" s="338"/>
      <c r="AA36" s="338"/>
      <c r="AB36" s="338"/>
      <c r="AC36" s="52">
        <f t="shared" si="31"/>
        <v>0</v>
      </c>
      <c r="AD36" s="66">
        <f>X36</f>
        <v>0</v>
      </c>
      <c r="AE36" s="338"/>
      <c r="AF36" s="338"/>
      <c r="AG36" s="338"/>
      <c r="AH36" s="64">
        <f t="shared" si="20"/>
        <v>0</v>
      </c>
      <c r="AI36" s="65">
        <f t="shared" si="4"/>
        <v>0</v>
      </c>
      <c r="AJ36" s="338"/>
      <c r="AK36" s="338"/>
      <c r="AL36" s="338"/>
      <c r="AM36" s="52">
        <f t="shared" si="11"/>
        <v>0</v>
      </c>
      <c r="AN36" s="66">
        <f t="shared" si="5"/>
        <v>0</v>
      </c>
      <c r="AO36" s="338"/>
      <c r="AP36" s="338"/>
      <c r="AQ36" s="338"/>
      <c r="AR36" s="64">
        <f t="shared" si="21"/>
        <v>0</v>
      </c>
      <c r="AS36" s="65">
        <f t="shared" si="6"/>
        <v>0</v>
      </c>
      <c r="AT36" s="338"/>
      <c r="AU36" s="338"/>
      <c r="AV36" s="338"/>
      <c r="AW36" s="52">
        <f t="shared" si="28"/>
        <v>0</v>
      </c>
      <c r="AX36" s="66">
        <f t="shared" si="7"/>
        <v>0</v>
      </c>
      <c r="AY36" s="338"/>
      <c r="AZ36" s="338"/>
      <c r="BA36" s="338"/>
      <c r="BB36" s="64">
        <f t="shared" si="22"/>
        <v>0</v>
      </c>
      <c r="BC36" s="65">
        <v>67187.770000000019</v>
      </c>
      <c r="BD36" s="63">
        <v>0</v>
      </c>
      <c r="BE36" s="63"/>
      <c r="BF36" s="63">
        <v>32293.100000000006</v>
      </c>
      <c r="BG36" s="52">
        <f t="shared" si="12"/>
        <v>99480.870000000024</v>
      </c>
      <c r="BH36" s="66">
        <v>-63899</v>
      </c>
      <c r="BI36" s="63"/>
      <c r="BJ36" s="63"/>
      <c r="BK36" s="63">
        <v>-9770.7700000000041</v>
      </c>
      <c r="BL36" s="64">
        <f t="shared" si="23"/>
        <v>-73669.77</v>
      </c>
      <c r="BM36" s="62"/>
      <c r="BN36" s="63"/>
      <c r="BO36" s="66">
        <f t="shared" si="13"/>
        <v>99480.870000000024</v>
      </c>
      <c r="BP36" s="67">
        <f t="shared" si="14"/>
        <v>-73669.77</v>
      </c>
      <c r="BQ36" s="68">
        <f t="shared" ref="BQ36" si="35">(BO36*3/12*0.57%)+(BO36*3/12*1.02%)+(BO36*3/12*2.2%)+(BO36*3/12*3.87%)</f>
        <v>1905.0586605000008</v>
      </c>
      <c r="BR36" s="63">
        <f t="shared" ref="BR36" si="36">BO36*(3.87%)*4/12</f>
        <v>1283.3032230000001</v>
      </c>
      <c r="BS36" s="202">
        <f t="shared" si="10"/>
        <v>-70481.40811650001</v>
      </c>
      <c r="BT36" s="224">
        <f t="shared" si="34"/>
        <v>0</v>
      </c>
      <c r="BU36" s="551" t="s">
        <v>637</v>
      </c>
      <c r="BV36" s="623">
        <v>25811.330000000344</v>
      </c>
      <c r="BW36" s="59">
        <f t="shared" si="15"/>
        <v>0.23000000032334356</v>
      </c>
      <c r="BX36" s="341" t="str">
        <f t="shared" si="16"/>
        <v/>
      </c>
      <c r="CB36" s="219" t="s">
        <v>166</v>
      </c>
      <c r="CC36" s="263" t="b">
        <v>0</v>
      </c>
    </row>
    <row r="37" spans="1:81" s="58" customFormat="1" ht="17.25" thickBot="1" x14ac:dyDescent="0.25">
      <c r="A37">
        <v>12</v>
      </c>
      <c r="B37" s="271">
        <v>15</v>
      </c>
      <c r="C37" s="195" t="s">
        <v>3023</v>
      </c>
      <c r="D37" s="194">
        <v>1595</v>
      </c>
      <c r="E37" s="644"/>
      <c r="F37" s="622"/>
      <c r="G37" s="622"/>
      <c r="H37" s="622"/>
      <c r="I37" s="52">
        <f t="shared" si="26"/>
        <v>0</v>
      </c>
      <c r="J37" s="622"/>
      <c r="K37" s="622"/>
      <c r="L37" s="622"/>
      <c r="M37" s="622"/>
      <c r="N37" s="64">
        <f t="shared" si="27"/>
        <v>0</v>
      </c>
      <c r="O37" s="65">
        <f t="shared" si="17"/>
        <v>0</v>
      </c>
      <c r="P37" s="622"/>
      <c r="Q37" s="622"/>
      <c r="R37" s="622"/>
      <c r="S37" s="52">
        <f t="shared" si="30"/>
        <v>0</v>
      </c>
      <c r="T37" s="66">
        <f t="shared" si="18"/>
        <v>0</v>
      </c>
      <c r="U37" s="622"/>
      <c r="V37" s="622"/>
      <c r="W37" s="622"/>
      <c r="X37" s="64">
        <f t="shared" si="19"/>
        <v>0</v>
      </c>
      <c r="Y37" s="65">
        <f t="shared" si="1"/>
        <v>0</v>
      </c>
      <c r="Z37" s="338"/>
      <c r="AA37" s="338"/>
      <c r="AB37" s="338"/>
      <c r="AC37" s="52">
        <f t="shared" si="31"/>
        <v>0</v>
      </c>
      <c r="AD37" s="66">
        <f>X37</f>
        <v>0</v>
      </c>
      <c r="AE37" s="338"/>
      <c r="AF37" s="338"/>
      <c r="AG37" s="338"/>
      <c r="AH37" s="64">
        <f t="shared" si="20"/>
        <v>0</v>
      </c>
      <c r="AI37" s="65">
        <f t="shared" si="4"/>
        <v>0</v>
      </c>
      <c r="AJ37" s="338"/>
      <c r="AK37" s="338"/>
      <c r="AL37" s="338"/>
      <c r="AM37" s="52">
        <f t="shared" si="11"/>
        <v>0</v>
      </c>
      <c r="AN37" s="66">
        <f t="shared" si="5"/>
        <v>0</v>
      </c>
      <c r="AO37" s="338"/>
      <c r="AP37" s="338"/>
      <c r="AQ37" s="338"/>
      <c r="AR37" s="64">
        <f t="shared" si="21"/>
        <v>0</v>
      </c>
      <c r="AS37" s="65">
        <f t="shared" si="6"/>
        <v>0</v>
      </c>
      <c r="AT37" s="338"/>
      <c r="AU37" s="338"/>
      <c r="AV37" s="338"/>
      <c r="AW37" s="52">
        <f t="shared" si="28"/>
        <v>0</v>
      </c>
      <c r="AX37" s="66">
        <f t="shared" si="7"/>
        <v>0</v>
      </c>
      <c r="AY37" s="338"/>
      <c r="AZ37" s="338"/>
      <c r="BA37" s="338"/>
      <c r="BB37" s="64">
        <f t="shared" si="22"/>
        <v>0</v>
      </c>
      <c r="BC37" s="65">
        <v>10720.020000000019</v>
      </c>
      <c r="BD37" s="63">
        <v>0</v>
      </c>
      <c r="BE37" s="63"/>
      <c r="BF37" s="63">
        <v>92546.5</v>
      </c>
      <c r="BG37" s="52">
        <f t="shared" si="12"/>
        <v>103266.52000000002</v>
      </c>
      <c r="BH37" s="66">
        <v>-12172</v>
      </c>
      <c r="BI37" s="63"/>
      <c r="BJ37" s="63"/>
      <c r="BK37" s="63">
        <v>-115579.9</v>
      </c>
      <c r="BL37" s="64">
        <f t="shared" si="23"/>
        <v>-127751.9</v>
      </c>
      <c r="BM37" s="62"/>
      <c r="BN37" s="63"/>
      <c r="BO37" s="66">
        <f t="shared" si="13"/>
        <v>103266.52000000002</v>
      </c>
      <c r="BP37" s="67">
        <f t="shared" si="14"/>
        <v>-127751.9</v>
      </c>
      <c r="BQ37" s="68"/>
      <c r="BR37" s="63"/>
      <c r="BS37" s="202">
        <f t="shared" si="10"/>
        <v>-127751.9</v>
      </c>
      <c r="BT37" s="224">
        <f t="shared" si="34"/>
        <v>0</v>
      </c>
      <c r="BU37" s="551" t="s">
        <v>637</v>
      </c>
      <c r="BV37" s="623">
        <v>-24485.400000000052</v>
      </c>
      <c r="BW37" s="59">
        <f t="shared" si="15"/>
        <v>-2.0000000076834112E-2</v>
      </c>
      <c r="BX37" s="341" t="str">
        <f t="shared" si="16"/>
        <v/>
      </c>
      <c r="CB37" s="219" t="s">
        <v>167</v>
      </c>
      <c r="CC37" s="263" t="b">
        <v>0</v>
      </c>
    </row>
    <row r="38" spans="1:81" s="58" customFormat="1" ht="17.25" thickBot="1" x14ac:dyDescent="0.25">
      <c r="A38">
        <v>13</v>
      </c>
      <c r="B38" s="271">
        <v>16</v>
      </c>
      <c r="C38" s="196" t="s">
        <v>3065</v>
      </c>
      <c r="D38" s="194">
        <v>1595</v>
      </c>
      <c r="E38" s="644"/>
      <c r="F38" s="622"/>
      <c r="G38" s="622"/>
      <c r="H38" s="622"/>
      <c r="I38" s="52">
        <f t="shared" si="26"/>
        <v>0</v>
      </c>
      <c r="J38" s="622"/>
      <c r="K38" s="622"/>
      <c r="L38" s="622"/>
      <c r="M38" s="622"/>
      <c r="N38" s="64">
        <f t="shared" si="27"/>
        <v>0</v>
      </c>
      <c r="O38" s="65">
        <f t="shared" si="17"/>
        <v>0</v>
      </c>
      <c r="P38" s="622"/>
      <c r="Q38" s="622"/>
      <c r="R38" s="622"/>
      <c r="S38" s="52">
        <f t="shared" si="30"/>
        <v>0</v>
      </c>
      <c r="T38" s="66">
        <f t="shared" si="18"/>
        <v>0</v>
      </c>
      <c r="U38" s="622"/>
      <c r="V38" s="622"/>
      <c r="W38" s="622"/>
      <c r="X38" s="64">
        <f t="shared" si="19"/>
        <v>0</v>
      </c>
      <c r="Y38" s="65">
        <f t="shared" si="1"/>
        <v>0</v>
      </c>
      <c r="Z38" s="338"/>
      <c r="AA38" s="338"/>
      <c r="AB38" s="338"/>
      <c r="AC38" s="52">
        <f t="shared" si="31"/>
        <v>0</v>
      </c>
      <c r="AD38" s="66">
        <f>X38</f>
        <v>0</v>
      </c>
      <c r="AE38" s="338"/>
      <c r="AF38" s="338"/>
      <c r="AG38" s="338"/>
      <c r="AH38" s="64">
        <f t="shared" si="20"/>
        <v>0</v>
      </c>
      <c r="AI38" s="65">
        <f t="shared" si="4"/>
        <v>0</v>
      </c>
      <c r="AJ38" s="338"/>
      <c r="AK38" s="338"/>
      <c r="AL38" s="338"/>
      <c r="AM38" s="52">
        <f t="shared" si="11"/>
        <v>0</v>
      </c>
      <c r="AN38" s="66">
        <f t="shared" si="5"/>
        <v>0</v>
      </c>
      <c r="AO38" s="338"/>
      <c r="AP38" s="338"/>
      <c r="AQ38" s="338"/>
      <c r="AR38" s="64">
        <f t="shared" si="21"/>
        <v>0</v>
      </c>
      <c r="AS38" s="65">
        <f t="shared" si="6"/>
        <v>0</v>
      </c>
      <c r="AT38" s="338"/>
      <c r="AU38" s="338"/>
      <c r="AV38" s="338"/>
      <c r="AW38" s="52">
        <f t="shared" si="28"/>
        <v>0</v>
      </c>
      <c r="AX38" s="66">
        <f t="shared" si="7"/>
        <v>0</v>
      </c>
      <c r="AY38" s="338"/>
      <c r="AZ38" s="338"/>
      <c r="BA38" s="338"/>
      <c r="BB38" s="64">
        <f t="shared" si="22"/>
        <v>0</v>
      </c>
      <c r="BC38" s="65">
        <f t="shared" si="8"/>
        <v>0</v>
      </c>
      <c r="BD38" s="63"/>
      <c r="BE38" s="63"/>
      <c r="BF38" s="63"/>
      <c r="BG38" s="52">
        <f t="shared" si="12"/>
        <v>0</v>
      </c>
      <c r="BH38" s="66">
        <f t="shared" si="9"/>
        <v>0</v>
      </c>
      <c r="BI38" s="63"/>
      <c r="BJ38" s="63"/>
      <c r="BK38" s="63"/>
      <c r="BL38" s="64">
        <f t="shared" si="23"/>
        <v>0</v>
      </c>
      <c r="BM38" s="62"/>
      <c r="BN38" s="63"/>
      <c r="BO38" s="66">
        <f t="shared" si="13"/>
        <v>0</v>
      </c>
      <c r="BP38" s="67">
        <f t="shared" si="14"/>
        <v>0</v>
      </c>
      <c r="BQ38" s="68"/>
      <c r="BR38" s="63"/>
      <c r="BS38" s="202">
        <f t="shared" si="10"/>
        <v>0</v>
      </c>
      <c r="BT38" s="224">
        <f t="shared" si="34"/>
        <v>0</v>
      </c>
      <c r="BU38" s="544" t="s">
        <v>637</v>
      </c>
      <c r="BV38" s="623"/>
      <c r="BW38" s="59">
        <f t="shared" si="15"/>
        <v>0</v>
      </c>
      <c r="BX38" s="341" t="str">
        <f t="shared" si="16"/>
        <v/>
      </c>
      <c r="CB38" s="219" t="s">
        <v>169</v>
      </c>
      <c r="CC38" s="263" t="b">
        <v>0</v>
      </c>
    </row>
    <row r="39" spans="1:81" s="58" customFormat="1" ht="17.25" thickBot="1" x14ac:dyDescent="0.25">
      <c r="A39">
        <v>14</v>
      </c>
      <c r="B39" s="271">
        <v>17</v>
      </c>
      <c r="C39" s="196" t="s">
        <v>3069</v>
      </c>
      <c r="D39" s="194">
        <v>1595</v>
      </c>
      <c r="E39" s="644"/>
      <c r="F39" s="622"/>
      <c r="G39" s="622"/>
      <c r="H39" s="622"/>
      <c r="I39" s="52">
        <f t="shared" si="26"/>
        <v>0</v>
      </c>
      <c r="J39" s="622"/>
      <c r="K39" s="622"/>
      <c r="L39" s="622"/>
      <c r="M39" s="622"/>
      <c r="N39" s="64">
        <f t="shared" si="27"/>
        <v>0</v>
      </c>
      <c r="O39" s="65">
        <f t="shared" si="17"/>
        <v>0</v>
      </c>
      <c r="P39" s="622"/>
      <c r="Q39" s="622"/>
      <c r="R39" s="622"/>
      <c r="S39" s="52">
        <f t="shared" si="30"/>
        <v>0</v>
      </c>
      <c r="T39" s="66">
        <f t="shared" si="18"/>
        <v>0</v>
      </c>
      <c r="U39" s="622"/>
      <c r="V39" s="622"/>
      <c r="W39" s="622"/>
      <c r="X39" s="64">
        <f t="shared" si="19"/>
        <v>0</v>
      </c>
      <c r="Y39" s="65">
        <f t="shared" si="1"/>
        <v>0</v>
      </c>
      <c r="Z39" s="338"/>
      <c r="AA39" s="338"/>
      <c r="AB39" s="338"/>
      <c r="AC39" s="52">
        <f t="shared" si="31"/>
        <v>0</v>
      </c>
      <c r="AD39" s="66">
        <f>X39</f>
        <v>0</v>
      </c>
      <c r="AE39" s="338"/>
      <c r="AF39" s="338"/>
      <c r="AG39" s="338"/>
      <c r="AH39" s="64">
        <f t="shared" si="20"/>
        <v>0</v>
      </c>
      <c r="AI39" s="65">
        <f t="shared" si="4"/>
        <v>0</v>
      </c>
      <c r="AJ39" s="338"/>
      <c r="AK39" s="338"/>
      <c r="AL39" s="338"/>
      <c r="AM39" s="52">
        <f t="shared" si="11"/>
        <v>0</v>
      </c>
      <c r="AN39" s="66">
        <f t="shared" si="5"/>
        <v>0</v>
      </c>
      <c r="AO39" s="338"/>
      <c r="AP39" s="338"/>
      <c r="AQ39" s="338"/>
      <c r="AR39" s="64">
        <f t="shared" si="21"/>
        <v>0</v>
      </c>
      <c r="AS39" s="65">
        <f t="shared" si="6"/>
        <v>0</v>
      </c>
      <c r="AT39" s="338"/>
      <c r="AU39" s="338"/>
      <c r="AV39" s="338"/>
      <c r="AW39" s="52">
        <f t="shared" si="28"/>
        <v>0</v>
      </c>
      <c r="AX39" s="66">
        <f t="shared" si="7"/>
        <v>0</v>
      </c>
      <c r="AY39" s="338"/>
      <c r="AZ39" s="338"/>
      <c r="BA39" s="338"/>
      <c r="BB39" s="64">
        <f t="shared" si="22"/>
        <v>0</v>
      </c>
      <c r="BC39" s="65">
        <f t="shared" si="8"/>
        <v>0</v>
      </c>
      <c r="BD39" s="63">
        <v>226595.25000000009</v>
      </c>
      <c r="BE39" s="63"/>
      <c r="BF39" s="63"/>
      <c r="BG39" s="52">
        <f t="shared" si="12"/>
        <v>226595.25000000009</v>
      </c>
      <c r="BH39" s="66">
        <f t="shared" si="9"/>
        <v>0</v>
      </c>
      <c r="BI39" s="63">
        <v>1939.85</v>
      </c>
      <c r="BJ39" s="63"/>
      <c r="BK39" s="63"/>
      <c r="BL39" s="64">
        <f t="shared" si="23"/>
        <v>1939.85</v>
      </c>
      <c r="BM39" s="62"/>
      <c r="BN39" s="63"/>
      <c r="BO39" s="66">
        <f t="shared" si="13"/>
        <v>226595.25000000009</v>
      </c>
      <c r="BP39" s="67">
        <f t="shared" si="14"/>
        <v>1939.85</v>
      </c>
      <c r="BQ39" s="68"/>
      <c r="BR39" s="63"/>
      <c r="BS39" s="202">
        <f>BP39+BQ39+BR39</f>
        <v>1939.85</v>
      </c>
      <c r="BT39" s="224">
        <f t="shared" si="34"/>
        <v>0</v>
      </c>
      <c r="BU39" s="544" t="s">
        <v>637</v>
      </c>
      <c r="BV39" s="623">
        <v>228535.10000000009</v>
      </c>
      <c r="BW39" s="59">
        <f t="shared" si="15"/>
        <v>0</v>
      </c>
      <c r="BX39" s="341" t="str">
        <f t="shared" si="16"/>
        <v/>
      </c>
      <c r="CB39" s="219" t="s">
        <v>168</v>
      </c>
      <c r="CC39" s="263" t="b">
        <v>0</v>
      </c>
    </row>
    <row r="40" spans="1:81" s="58" customFormat="1" ht="17.25" thickBot="1" x14ac:dyDescent="0.25">
      <c r="A40">
        <v>15</v>
      </c>
      <c r="B40" s="271">
        <v>18</v>
      </c>
      <c r="C40" s="196" t="s">
        <v>3434</v>
      </c>
      <c r="D40" s="194">
        <v>1595</v>
      </c>
      <c r="E40" s="644"/>
      <c r="F40" s="622"/>
      <c r="G40" s="622"/>
      <c r="H40" s="622"/>
      <c r="I40" s="52">
        <f>E40+F40-G40+H40</f>
        <v>0</v>
      </c>
      <c r="J40" s="622"/>
      <c r="K40" s="622"/>
      <c r="L40" s="622"/>
      <c r="M40" s="622"/>
      <c r="N40" s="64">
        <f>J40+K40-L40+M40</f>
        <v>0</v>
      </c>
      <c r="O40" s="65">
        <f t="shared" si="17"/>
        <v>0</v>
      </c>
      <c r="P40" s="622"/>
      <c r="Q40" s="622"/>
      <c r="R40" s="622"/>
      <c r="S40" s="52">
        <f t="shared" si="30"/>
        <v>0</v>
      </c>
      <c r="T40" s="66">
        <f t="shared" si="18"/>
        <v>0</v>
      </c>
      <c r="U40" s="622"/>
      <c r="V40" s="622"/>
      <c r="W40" s="622"/>
      <c r="X40" s="64">
        <f t="shared" si="19"/>
        <v>0</v>
      </c>
      <c r="Y40" s="65">
        <f>S40</f>
        <v>0</v>
      </c>
      <c r="Z40" s="338"/>
      <c r="AA40" s="338"/>
      <c r="AB40" s="338"/>
      <c r="AC40" s="52">
        <f t="shared" si="31"/>
        <v>0</v>
      </c>
      <c r="AD40" s="66">
        <f>X40</f>
        <v>0</v>
      </c>
      <c r="AE40" s="338"/>
      <c r="AF40" s="338"/>
      <c r="AG40" s="338"/>
      <c r="AH40" s="64">
        <f t="shared" si="20"/>
        <v>0</v>
      </c>
      <c r="AI40" s="65">
        <f>AC40</f>
        <v>0</v>
      </c>
      <c r="AJ40" s="338"/>
      <c r="AK40" s="338"/>
      <c r="AL40" s="338"/>
      <c r="AM40" s="52">
        <f>AI40+AJ40-AK40+SUM(AL40:AL40)</f>
        <v>0</v>
      </c>
      <c r="AN40" s="66">
        <f>AH40</f>
        <v>0</v>
      </c>
      <c r="AO40" s="338"/>
      <c r="AP40" s="338"/>
      <c r="AQ40" s="338"/>
      <c r="AR40" s="64">
        <f t="shared" si="21"/>
        <v>0</v>
      </c>
      <c r="AS40" s="65">
        <f>AM40</f>
        <v>0</v>
      </c>
      <c r="AT40" s="338"/>
      <c r="AU40" s="338"/>
      <c r="AV40" s="338"/>
      <c r="AW40" s="52">
        <f t="shared" si="28"/>
        <v>0</v>
      </c>
      <c r="AX40" s="66">
        <f>AR40</f>
        <v>0</v>
      </c>
      <c r="AY40" s="338"/>
      <c r="AZ40" s="338"/>
      <c r="BA40" s="338"/>
      <c r="BB40" s="64">
        <f t="shared" si="22"/>
        <v>0</v>
      </c>
      <c r="BC40" s="65">
        <f>AW40</f>
        <v>0</v>
      </c>
      <c r="BD40" s="63"/>
      <c r="BE40" s="63"/>
      <c r="BF40" s="63"/>
      <c r="BG40" s="52">
        <f>BC40+BD40-BE40+SUM(BF40:BF40)</f>
        <v>0</v>
      </c>
      <c r="BH40" s="66">
        <f>BB40</f>
        <v>0</v>
      </c>
      <c r="BI40" s="63"/>
      <c r="BJ40" s="63"/>
      <c r="BK40" s="63"/>
      <c r="BL40" s="64">
        <f t="shared" si="23"/>
        <v>0</v>
      </c>
      <c r="BM40" s="62"/>
      <c r="BN40" s="63"/>
      <c r="BO40" s="66">
        <f>BG40-BM40</f>
        <v>0</v>
      </c>
      <c r="BP40" s="67">
        <f>BL40-BN40</f>
        <v>0</v>
      </c>
      <c r="BQ40" s="68"/>
      <c r="BR40" s="63"/>
      <c r="BS40" s="202">
        <f>BP40+BQ40+BR40</f>
        <v>0</v>
      </c>
      <c r="BT40" s="224">
        <f t="shared" si="34"/>
        <v>0</v>
      </c>
      <c r="BU40" s="544" t="s">
        <v>637</v>
      </c>
      <c r="BV40" s="623"/>
      <c r="BW40" s="59">
        <f t="shared" si="15"/>
        <v>0</v>
      </c>
      <c r="BX40" s="341" t="str">
        <f t="shared" si="16"/>
        <v/>
      </c>
      <c r="CB40" s="219"/>
      <c r="CC40" s="263" t="b">
        <v>0</v>
      </c>
    </row>
    <row r="41" spans="1:81" s="58" customFormat="1" ht="15" thickBot="1" x14ac:dyDescent="0.25">
      <c r="A41"/>
      <c r="B41" s="271">
        <v>19</v>
      </c>
      <c r="C41" s="247" t="s">
        <v>3064</v>
      </c>
      <c r="D41" s="194"/>
      <c r="E41" s="200"/>
      <c r="F41" s="201"/>
      <c r="G41" s="201"/>
      <c r="H41" s="201"/>
      <c r="I41" s="52"/>
      <c r="J41" s="201"/>
      <c r="K41" s="201"/>
      <c r="L41" s="201"/>
      <c r="M41" s="201"/>
      <c r="N41" s="64"/>
      <c r="O41" s="77"/>
      <c r="P41" s="201"/>
      <c r="Q41" s="201"/>
      <c r="R41" s="201"/>
      <c r="S41" s="52"/>
      <c r="T41" s="52"/>
      <c r="U41" s="201"/>
      <c r="V41" s="201"/>
      <c r="W41" s="201"/>
      <c r="X41" s="64"/>
      <c r="Y41" s="77"/>
      <c r="Z41" s="201"/>
      <c r="AA41" s="201"/>
      <c r="AB41" s="201"/>
      <c r="AC41" s="52"/>
      <c r="AD41" s="52"/>
      <c r="AE41" s="201"/>
      <c r="AF41" s="201"/>
      <c r="AG41" s="201"/>
      <c r="AH41" s="64"/>
      <c r="AI41" s="77"/>
      <c r="AJ41" s="201"/>
      <c r="AK41" s="201"/>
      <c r="AL41" s="201"/>
      <c r="AM41" s="52"/>
      <c r="AN41" s="52"/>
      <c r="AO41" s="201"/>
      <c r="AP41" s="201"/>
      <c r="AQ41" s="201"/>
      <c r="AR41" s="64"/>
      <c r="AS41" s="77"/>
      <c r="AT41" s="201"/>
      <c r="AU41" s="201"/>
      <c r="AV41" s="201"/>
      <c r="AW41" s="52"/>
      <c r="AX41" s="52"/>
      <c r="AY41" s="201"/>
      <c r="AZ41" s="201"/>
      <c r="BA41" s="201"/>
      <c r="BB41" s="64"/>
      <c r="BC41" s="77"/>
      <c r="BD41" s="201"/>
      <c r="BE41" s="201"/>
      <c r="BF41" s="201"/>
      <c r="BG41" s="52"/>
      <c r="BH41" s="52"/>
      <c r="BI41" s="201"/>
      <c r="BJ41" s="201"/>
      <c r="BK41" s="201"/>
      <c r="BL41" s="64"/>
      <c r="BM41" s="200"/>
      <c r="BN41" s="201"/>
      <c r="BO41" s="52"/>
      <c r="BP41" s="64"/>
      <c r="BQ41" s="201"/>
      <c r="BR41" s="201"/>
      <c r="BS41" s="202"/>
      <c r="BT41" s="224"/>
      <c r="BU41" s="345"/>
      <c r="BV41" s="554"/>
      <c r="BW41" s="59"/>
      <c r="BX41" s="341"/>
      <c r="CC41" s="263"/>
    </row>
    <row r="42" spans="1:81" s="58" customFormat="1" ht="15" customHeight="1" thickBot="1" x14ac:dyDescent="0.25">
      <c r="A42"/>
      <c r="B42" s="271">
        <v>20</v>
      </c>
      <c r="C42" s="193"/>
      <c r="D42" s="10"/>
      <c r="E42" s="77"/>
      <c r="F42" s="52"/>
      <c r="G42" s="52"/>
      <c r="H42" s="52"/>
      <c r="I42" s="52"/>
      <c r="J42" s="52"/>
      <c r="K42" s="52"/>
      <c r="L42" s="52"/>
      <c r="M42" s="52"/>
      <c r="N42" s="64"/>
      <c r="O42" s="51"/>
      <c r="P42" s="52"/>
      <c r="Q42" s="52"/>
      <c r="R42" s="52"/>
      <c r="S42" s="52"/>
      <c r="T42" s="52"/>
      <c r="U42" s="52"/>
      <c r="V42" s="52"/>
      <c r="W42" s="52"/>
      <c r="X42" s="64"/>
      <c r="Y42" s="51"/>
      <c r="Z42" s="52"/>
      <c r="AA42" s="52"/>
      <c r="AB42" s="52"/>
      <c r="AC42" s="52"/>
      <c r="AD42" s="52"/>
      <c r="AE42" s="52"/>
      <c r="AF42" s="52"/>
      <c r="AG42" s="52"/>
      <c r="AH42" s="64"/>
      <c r="AI42" s="51"/>
      <c r="AJ42" s="52"/>
      <c r="AK42" s="52"/>
      <c r="AL42" s="52"/>
      <c r="AM42" s="52"/>
      <c r="AN42" s="52"/>
      <c r="AO42" s="52"/>
      <c r="AP42" s="52"/>
      <c r="AQ42" s="52"/>
      <c r="AR42" s="64"/>
      <c r="AS42" s="51"/>
      <c r="AT42" s="52"/>
      <c r="AU42" s="52"/>
      <c r="AV42" s="52"/>
      <c r="AW42" s="52"/>
      <c r="AX42" s="52"/>
      <c r="AY42" s="52"/>
      <c r="AZ42" s="52"/>
      <c r="BA42" s="52"/>
      <c r="BB42" s="64"/>
      <c r="BC42" s="51"/>
      <c r="BD42" s="52"/>
      <c r="BE42" s="52"/>
      <c r="BF42" s="52"/>
      <c r="BG42" s="52"/>
      <c r="BH42" s="52"/>
      <c r="BI42" s="52"/>
      <c r="BJ42" s="52"/>
      <c r="BK42" s="52"/>
      <c r="BL42" s="64"/>
      <c r="BM42" s="51"/>
      <c r="BN42" s="52"/>
      <c r="BO42" s="52"/>
      <c r="BP42" s="64"/>
      <c r="BT42" s="224"/>
      <c r="BU42" s="345"/>
      <c r="BV42" s="554"/>
      <c r="BW42" s="59"/>
      <c r="BX42" s="341"/>
      <c r="CC42" s="263"/>
    </row>
    <row r="43" spans="1:81" s="52" customFormat="1" ht="15" x14ac:dyDescent="0.25">
      <c r="A43" s="3"/>
      <c r="B43" s="3"/>
      <c r="C43" s="207" t="s">
        <v>3072</v>
      </c>
      <c r="D43" s="8"/>
      <c r="E43" s="77">
        <f>SUM(E24:E40)</f>
        <v>0</v>
      </c>
      <c r="F43" s="52">
        <f t="shared" ref="F43:BQ43" si="37">SUM(F24:F40)</f>
        <v>0</v>
      </c>
      <c r="G43" s="52">
        <f t="shared" si="37"/>
        <v>0</v>
      </c>
      <c r="H43" s="52">
        <f t="shared" si="37"/>
        <v>0</v>
      </c>
      <c r="I43" s="52">
        <f t="shared" si="37"/>
        <v>0</v>
      </c>
      <c r="J43" s="52">
        <f t="shared" si="37"/>
        <v>0</v>
      </c>
      <c r="K43" s="52">
        <f t="shared" si="37"/>
        <v>0</v>
      </c>
      <c r="L43" s="52">
        <f t="shared" si="37"/>
        <v>0</v>
      </c>
      <c r="M43" s="52">
        <f t="shared" si="37"/>
        <v>0</v>
      </c>
      <c r="N43" s="64">
        <f t="shared" si="37"/>
        <v>0</v>
      </c>
      <c r="O43" s="77">
        <f t="shared" si="37"/>
        <v>0</v>
      </c>
      <c r="P43" s="52">
        <f t="shared" si="37"/>
        <v>0</v>
      </c>
      <c r="Q43" s="52">
        <f t="shared" si="37"/>
        <v>0</v>
      </c>
      <c r="R43" s="52">
        <f t="shared" si="37"/>
        <v>0</v>
      </c>
      <c r="S43" s="52">
        <f t="shared" si="37"/>
        <v>0</v>
      </c>
      <c r="T43" s="52">
        <f t="shared" si="37"/>
        <v>0</v>
      </c>
      <c r="U43" s="52">
        <f t="shared" si="37"/>
        <v>0</v>
      </c>
      <c r="V43" s="52">
        <f t="shared" si="37"/>
        <v>0</v>
      </c>
      <c r="W43" s="52">
        <f t="shared" si="37"/>
        <v>0</v>
      </c>
      <c r="X43" s="64">
        <f t="shared" si="37"/>
        <v>0</v>
      </c>
      <c r="Y43" s="77">
        <f t="shared" si="37"/>
        <v>0</v>
      </c>
      <c r="Z43" s="52">
        <f t="shared" si="37"/>
        <v>0</v>
      </c>
      <c r="AA43" s="52">
        <f t="shared" si="37"/>
        <v>0</v>
      </c>
      <c r="AB43" s="52">
        <f t="shared" si="37"/>
        <v>0</v>
      </c>
      <c r="AC43" s="52">
        <f t="shared" si="37"/>
        <v>0</v>
      </c>
      <c r="AD43" s="52">
        <f t="shared" si="37"/>
        <v>0</v>
      </c>
      <c r="AE43" s="52">
        <f t="shared" si="37"/>
        <v>0</v>
      </c>
      <c r="AF43" s="52">
        <f t="shared" si="37"/>
        <v>0</v>
      </c>
      <c r="AG43" s="52">
        <f t="shared" si="37"/>
        <v>0</v>
      </c>
      <c r="AH43" s="64">
        <f t="shared" si="37"/>
        <v>0</v>
      </c>
      <c r="AI43" s="77">
        <f t="shared" si="37"/>
        <v>0</v>
      </c>
      <c r="AJ43" s="52">
        <f t="shared" si="37"/>
        <v>0</v>
      </c>
      <c r="AK43" s="52">
        <f t="shared" si="37"/>
        <v>0</v>
      </c>
      <c r="AL43" s="52">
        <f t="shared" si="37"/>
        <v>0</v>
      </c>
      <c r="AM43" s="52">
        <f t="shared" si="37"/>
        <v>0</v>
      </c>
      <c r="AN43" s="52">
        <f t="shared" si="37"/>
        <v>0</v>
      </c>
      <c r="AO43" s="52">
        <f t="shared" si="37"/>
        <v>0</v>
      </c>
      <c r="AP43" s="52">
        <f t="shared" si="37"/>
        <v>0</v>
      </c>
      <c r="AQ43" s="52">
        <f t="shared" si="37"/>
        <v>0</v>
      </c>
      <c r="AR43" s="64">
        <f t="shared" si="37"/>
        <v>0</v>
      </c>
      <c r="AS43" s="77">
        <f t="shared" si="37"/>
        <v>0</v>
      </c>
      <c r="AT43" s="52">
        <f t="shared" si="37"/>
        <v>0</v>
      </c>
      <c r="AU43" s="52">
        <f t="shared" si="37"/>
        <v>0</v>
      </c>
      <c r="AV43" s="52">
        <f t="shared" si="37"/>
        <v>0</v>
      </c>
      <c r="AW43" s="52">
        <f t="shared" si="37"/>
        <v>0</v>
      </c>
      <c r="AX43" s="52">
        <f t="shared" si="37"/>
        <v>0</v>
      </c>
      <c r="AY43" s="52">
        <f t="shared" si="37"/>
        <v>0</v>
      </c>
      <c r="AZ43" s="52">
        <f t="shared" si="37"/>
        <v>0</v>
      </c>
      <c r="BA43" s="52">
        <f t="shared" si="37"/>
        <v>0</v>
      </c>
      <c r="BB43" s="64">
        <f t="shared" si="37"/>
        <v>0</v>
      </c>
      <c r="BC43" s="77">
        <f t="shared" si="37"/>
        <v>1362945.09</v>
      </c>
      <c r="BD43" s="52">
        <f t="shared" si="37"/>
        <v>226020.95999999982</v>
      </c>
      <c r="BE43" s="52">
        <f t="shared" si="37"/>
        <v>587820.61999999988</v>
      </c>
      <c r="BF43" s="52">
        <f t="shared" si="37"/>
        <v>124839.6</v>
      </c>
      <c r="BG43" s="52">
        <f t="shared" si="37"/>
        <v>1125985.0299999998</v>
      </c>
      <c r="BH43" s="52">
        <f t="shared" si="37"/>
        <v>-17349.179999999993</v>
      </c>
      <c r="BI43" s="52">
        <f t="shared" si="37"/>
        <v>19256.640000000007</v>
      </c>
      <c r="BJ43" s="52">
        <f t="shared" si="37"/>
        <v>51394.427982500012</v>
      </c>
      <c r="BK43" s="52">
        <f t="shared" si="37"/>
        <v>-125350.67</v>
      </c>
      <c r="BL43" s="64">
        <f t="shared" si="37"/>
        <v>-174837.63798249999</v>
      </c>
      <c r="BM43" s="77">
        <f t="shared" si="37"/>
        <v>697217.9</v>
      </c>
      <c r="BN43" s="52">
        <f t="shared" si="37"/>
        <v>12626.83</v>
      </c>
      <c r="BO43" s="52">
        <f t="shared" si="37"/>
        <v>428767.12999999989</v>
      </c>
      <c r="BP43" s="64">
        <f t="shared" si="37"/>
        <v>-187464.46798250001</v>
      </c>
      <c r="BQ43" s="52">
        <f t="shared" si="37"/>
        <v>1894.0376439999936</v>
      </c>
      <c r="BR43" s="52">
        <f>SUM(BR24:BR40)</f>
        <v>1275.8791439999975</v>
      </c>
      <c r="BS43" s="52">
        <f>SUM(BS24:BS40)</f>
        <v>-184294.5511945</v>
      </c>
      <c r="BT43" s="225">
        <f>SUM(BT24:BT40)</f>
        <v>11423.396921999723</v>
      </c>
      <c r="BU43" s="460"/>
      <c r="BV43" s="549"/>
      <c r="BW43" s="549"/>
      <c r="BX43" s="341"/>
      <c r="CC43" s="201"/>
    </row>
    <row r="44" spans="1:81" s="52" customFormat="1" ht="15" x14ac:dyDescent="0.25">
      <c r="A44" s="3"/>
      <c r="B44" s="3"/>
      <c r="C44" s="207" t="s">
        <v>3073</v>
      </c>
      <c r="D44" s="8"/>
      <c r="E44" s="77">
        <f>E43-E45</f>
        <v>0</v>
      </c>
      <c r="F44" s="52">
        <f>F43-F45</f>
        <v>0</v>
      </c>
      <c r="G44" s="52">
        <f t="shared" ref="G44:M44" si="38">G43-G45</f>
        <v>0</v>
      </c>
      <c r="H44" s="52">
        <f t="shared" si="38"/>
        <v>0</v>
      </c>
      <c r="I44" s="52">
        <f t="shared" si="38"/>
        <v>0</v>
      </c>
      <c r="J44" s="52">
        <f t="shared" si="38"/>
        <v>0</v>
      </c>
      <c r="K44" s="52">
        <f t="shared" si="38"/>
        <v>0</v>
      </c>
      <c r="L44" s="52">
        <f t="shared" si="38"/>
        <v>0</v>
      </c>
      <c r="M44" s="52">
        <f t="shared" si="38"/>
        <v>0</v>
      </c>
      <c r="N44" s="64">
        <f>N43-N45</f>
        <v>0</v>
      </c>
      <c r="O44" s="77">
        <f>O43-O45</f>
        <v>0</v>
      </c>
      <c r="P44" s="52">
        <f t="shared" ref="P44:BT44" si="39">P43-P45</f>
        <v>0</v>
      </c>
      <c r="Q44" s="52">
        <f t="shared" si="39"/>
        <v>0</v>
      </c>
      <c r="R44" s="52">
        <f t="shared" si="39"/>
        <v>0</v>
      </c>
      <c r="S44" s="52">
        <f t="shared" si="39"/>
        <v>0</v>
      </c>
      <c r="T44" s="52">
        <f t="shared" si="39"/>
        <v>0</v>
      </c>
      <c r="U44" s="52">
        <f t="shared" si="39"/>
        <v>0</v>
      </c>
      <c r="V44" s="52">
        <f t="shared" si="39"/>
        <v>0</v>
      </c>
      <c r="W44" s="52">
        <f t="shared" si="39"/>
        <v>0</v>
      </c>
      <c r="X44" s="64">
        <f t="shared" si="39"/>
        <v>0</v>
      </c>
      <c r="Y44" s="77">
        <f t="shared" si="39"/>
        <v>0</v>
      </c>
      <c r="Z44" s="52">
        <f t="shared" si="39"/>
        <v>0</v>
      </c>
      <c r="AA44" s="52">
        <f t="shared" si="39"/>
        <v>0</v>
      </c>
      <c r="AB44" s="52">
        <f t="shared" si="39"/>
        <v>0</v>
      </c>
      <c r="AC44" s="52">
        <f t="shared" si="39"/>
        <v>0</v>
      </c>
      <c r="AD44" s="52">
        <f t="shared" si="39"/>
        <v>0</v>
      </c>
      <c r="AE44" s="52">
        <f t="shared" si="39"/>
        <v>0</v>
      </c>
      <c r="AF44" s="52">
        <f t="shared" si="39"/>
        <v>0</v>
      </c>
      <c r="AG44" s="52">
        <f t="shared" si="39"/>
        <v>0</v>
      </c>
      <c r="AH44" s="64">
        <f t="shared" si="39"/>
        <v>0</v>
      </c>
      <c r="AI44" s="77">
        <f t="shared" si="39"/>
        <v>0</v>
      </c>
      <c r="AJ44" s="52">
        <f t="shared" si="39"/>
        <v>0</v>
      </c>
      <c r="AK44" s="52">
        <f t="shared" si="39"/>
        <v>0</v>
      </c>
      <c r="AL44" s="52">
        <f t="shared" si="39"/>
        <v>0</v>
      </c>
      <c r="AM44" s="52">
        <f t="shared" si="39"/>
        <v>0</v>
      </c>
      <c r="AN44" s="52">
        <f t="shared" si="39"/>
        <v>0</v>
      </c>
      <c r="AO44" s="52">
        <f t="shared" si="39"/>
        <v>0</v>
      </c>
      <c r="AP44" s="52">
        <f t="shared" si="39"/>
        <v>0</v>
      </c>
      <c r="AQ44" s="52">
        <f t="shared" si="39"/>
        <v>0</v>
      </c>
      <c r="AR44" s="64">
        <f t="shared" si="39"/>
        <v>0</v>
      </c>
      <c r="AS44" s="77">
        <f t="shared" si="39"/>
        <v>0</v>
      </c>
      <c r="AT44" s="52">
        <f t="shared" si="39"/>
        <v>0</v>
      </c>
      <c r="AU44" s="52">
        <f t="shared" si="39"/>
        <v>0</v>
      </c>
      <c r="AV44" s="52">
        <f t="shared" si="39"/>
        <v>0</v>
      </c>
      <c r="AW44" s="52">
        <f t="shared" si="39"/>
        <v>0</v>
      </c>
      <c r="AX44" s="52">
        <f t="shared" si="39"/>
        <v>0</v>
      </c>
      <c r="AY44" s="52">
        <f t="shared" si="39"/>
        <v>0</v>
      </c>
      <c r="AZ44" s="52">
        <f t="shared" si="39"/>
        <v>0</v>
      </c>
      <c r="BA44" s="52">
        <f t="shared" si="39"/>
        <v>0</v>
      </c>
      <c r="BB44" s="64">
        <f t="shared" si="39"/>
        <v>0</v>
      </c>
      <c r="BC44" s="77">
        <f t="shared" si="39"/>
        <v>358258.73</v>
      </c>
      <c r="BD44" s="52">
        <f t="shared" si="39"/>
        <v>1335151.9599999995</v>
      </c>
      <c r="BE44" s="52">
        <f t="shared" si="39"/>
        <v>121017.09000000008</v>
      </c>
      <c r="BF44" s="52">
        <f t="shared" si="39"/>
        <v>-903189.4</v>
      </c>
      <c r="BG44" s="52">
        <f t="shared" si="39"/>
        <v>669204.19999999925</v>
      </c>
      <c r="BH44" s="52">
        <f t="shared" si="39"/>
        <v>-109945.64</v>
      </c>
      <c r="BI44" s="52">
        <f t="shared" si="39"/>
        <v>5344.1700000000055</v>
      </c>
      <c r="BJ44" s="52">
        <f t="shared" si="39"/>
        <v>-30579.463053749991</v>
      </c>
      <c r="BK44" s="52">
        <f t="shared" si="39"/>
        <v>-125350.67</v>
      </c>
      <c r="BL44" s="64">
        <f t="shared" si="39"/>
        <v>-199372.67694624999</v>
      </c>
      <c r="BM44" s="77">
        <f t="shared" si="39"/>
        <v>159332.91000000003</v>
      </c>
      <c r="BN44" s="52">
        <f t="shared" si="39"/>
        <v>-2083.66</v>
      </c>
      <c r="BO44" s="52">
        <f t="shared" si="39"/>
        <v>509871.28999999934</v>
      </c>
      <c r="BP44" s="64">
        <f t="shared" si="39"/>
        <v>-197289.01694625002</v>
      </c>
      <c r="BQ44" s="52">
        <f t="shared" si="39"/>
        <v>3447.1823079999831</v>
      </c>
      <c r="BR44" s="52">
        <f t="shared" si="39"/>
        <v>2322.1228079999901</v>
      </c>
      <c r="BS44" s="52">
        <f t="shared" si="39"/>
        <v>-191519.71183025002</v>
      </c>
      <c r="BT44" s="225">
        <f t="shared" si="39"/>
        <v>85302.396286249161</v>
      </c>
      <c r="BU44" s="460"/>
      <c r="BV44" s="549"/>
      <c r="BW44" s="549"/>
      <c r="BX44" s="341"/>
      <c r="CC44" s="201"/>
    </row>
    <row r="45" spans="1:81" s="52" customFormat="1" ht="15.75" thickBot="1" x14ac:dyDescent="0.3">
      <c r="A45" s="3"/>
      <c r="B45" s="3"/>
      <c r="C45" s="209" t="s">
        <v>3074</v>
      </c>
      <c r="D45" s="8">
        <v>1589</v>
      </c>
      <c r="E45" s="77">
        <f>E32</f>
        <v>0</v>
      </c>
      <c r="F45" s="52">
        <f t="shared" ref="F45:BQ45" si="40">F32</f>
        <v>0</v>
      </c>
      <c r="G45" s="52">
        <f t="shared" si="40"/>
        <v>0</v>
      </c>
      <c r="H45" s="52">
        <f t="shared" si="40"/>
        <v>0</v>
      </c>
      <c r="I45" s="52">
        <f t="shared" si="40"/>
        <v>0</v>
      </c>
      <c r="J45" s="52">
        <f t="shared" si="40"/>
        <v>0</v>
      </c>
      <c r="K45" s="52">
        <f t="shared" si="40"/>
        <v>0</v>
      </c>
      <c r="L45" s="52">
        <f t="shared" si="40"/>
        <v>0</v>
      </c>
      <c r="M45" s="52">
        <f t="shared" si="40"/>
        <v>0</v>
      </c>
      <c r="N45" s="64">
        <f t="shared" si="40"/>
        <v>0</v>
      </c>
      <c r="O45" s="77">
        <f t="shared" si="40"/>
        <v>0</v>
      </c>
      <c r="P45" s="52">
        <f t="shared" si="40"/>
        <v>0</v>
      </c>
      <c r="Q45" s="52">
        <f t="shared" si="40"/>
        <v>0</v>
      </c>
      <c r="R45" s="52">
        <f t="shared" si="40"/>
        <v>0</v>
      </c>
      <c r="S45" s="52">
        <f t="shared" si="40"/>
        <v>0</v>
      </c>
      <c r="T45" s="52">
        <f t="shared" si="40"/>
        <v>0</v>
      </c>
      <c r="U45" s="52">
        <f t="shared" si="40"/>
        <v>0</v>
      </c>
      <c r="V45" s="52">
        <f t="shared" si="40"/>
        <v>0</v>
      </c>
      <c r="W45" s="52">
        <f t="shared" si="40"/>
        <v>0</v>
      </c>
      <c r="X45" s="64">
        <f t="shared" si="40"/>
        <v>0</v>
      </c>
      <c r="Y45" s="77">
        <f t="shared" si="40"/>
        <v>0</v>
      </c>
      <c r="Z45" s="52">
        <f t="shared" si="40"/>
        <v>0</v>
      </c>
      <c r="AA45" s="52">
        <f t="shared" si="40"/>
        <v>0</v>
      </c>
      <c r="AB45" s="52">
        <f t="shared" si="40"/>
        <v>0</v>
      </c>
      <c r="AC45" s="52">
        <f t="shared" si="40"/>
        <v>0</v>
      </c>
      <c r="AD45" s="52">
        <f t="shared" si="40"/>
        <v>0</v>
      </c>
      <c r="AE45" s="52">
        <f t="shared" si="40"/>
        <v>0</v>
      </c>
      <c r="AF45" s="52">
        <f t="shared" si="40"/>
        <v>0</v>
      </c>
      <c r="AG45" s="52">
        <f t="shared" si="40"/>
        <v>0</v>
      </c>
      <c r="AH45" s="64">
        <f t="shared" si="40"/>
        <v>0</v>
      </c>
      <c r="AI45" s="77">
        <f t="shared" si="40"/>
        <v>0</v>
      </c>
      <c r="AJ45" s="52">
        <f t="shared" si="40"/>
        <v>0</v>
      </c>
      <c r="AK45" s="52">
        <f t="shared" si="40"/>
        <v>0</v>
      </c>
      <c r="AL45" s="52">
        <f t="shared" si="40"/>
        <v>0</v>
      </c>
      <c r="AM45" s="52">
        <f t="shared" si="40"/>
        <v>0</v>
      </c>
      <c r="AN45" s="52">
        <f t="shared" si="40"/>
        <v>0</v>
      </c>
      <c r="AO45" s="52">
        <f t="shared" si="40"/>
        <v>0</v>
      </c>
      <c r="AP45" s="52">
        <f t="shared" si="40"/>
        <v>0</v>
      </c>
      <c r="AQ45" s="52">
        <f t="shared" si="40"/>
        <v>0</v>
      </c>
      <c r="AR45" s="64">
        <f t="shared" si="40"/>
        <v>0</v>
      </c>
      <c r="AS45" s="77">
        <f t="shared" si="40"/>
        <v>0</v>
      </c>
      <c r="AT45" s="52">
        <f t="shared" si="40"/>
        <v>0</v>
      </c>
      <c r="AU45" s="52">
        <f t="shared" si="40"/>
        <v>0</v>
      </c>
      <c r="AV45" s="52">
        <f t="shared" si="40"/>
        <v>0</v>
      </c>
      <c r="AW45" s="52">
        <f t="shared" si="40"/>
        <v>0</v>
      </c>
      <c r="AX45" s="52">
        <f t="shared" si="40"/>
        <v>0</v>
      </c>
      <c r="AY45" s="52">
        <f t="shared" si="40"/>
        <v>0</v>
      </c>
      <c r="AZ45" s="52">
        <f t="shared" si="40"/>
        <v>0</v>
      </c>
      <c r="BA45" s="52">
        <f t="shared" si="40"/>
        <v>0</v>
      </c>
      <c r="BB45" s="64">
        <f t="shared" si="40"/>
        <v>0</v>
      </c>
      <c r="BC45" s="77">
        <f t="shared" si="40"/>
        <v>1004686.3600000001</v>
      </c>
      <c r="BD45" s="52">
        <f t="shared" si="40"/>
        <v>-1109130.9999999998</v>
      </c>
      <c r="BE45" s="52">
        <f t="shared" si="40"/>
        <v>466803.5299999998</v>
      </c>
      <c r="BF45" s="52">
        <f t="shared" si="40"/>
        <v>1028029</v>
      </c>
      <c r="BG45" s="52">
        <f t="shared" si="40"/>
        <v>456780.83000000054</v>
      </c>
      <c r="BH45" s="52">
        <f t="shared" si="40"/>
        <v>92596.46</v>
      </c>
      <c r="BI45" s="52">
        <f t="shared" si="40"/>
        <v>13912.470000000001</v>
      </c>
      <c r="BJ45" s="52">
        <f t="shared" si="40"/>
        <v>81973.891036250003</v>
      </c>
      <c r="BK45" s="52">
        <f t="shared" si="40"/>
        <v>0</v>
      </c>
      <c r="BL45" s="64">
        <f t="shared" si="40"/>
        <v>24535.038963750005</v>
      </c>
      <c r="BM45" s="77">
        <f t="shared" si="40"/>
        <v>537884.99</v>
      </c>
      <c r="BN45" s="52">
        <f t="shared" si="40"/>
        <v>14710.49</v>
      </c>
      <c r="BO45" s="52">
        <f t="shared" si="40"/>
        <v>-81104.159999999451</v>
      </c>
      <c r="BP45" s="64">
        <f t="shared" si="40"/>
        <v>9824.548963750005</v>
      </c>
      <c r="BQ45" s="52">
        <f t="shared" si="40"/>
        <v>-1553.1446639999895</v>
      </c>
      <c r="BR45" s="52">
        <f>BR32</f>
        <v>-1046.2436639999928</v>
      </c>
      <c r="BS45" s="52">
        <f>BS32</f>
        <v>7225.1606357500223</v>
      </c>
      <c r="BT45" s="225">
        <f>BT32</f>
        <v>-73878.999364249437</v>
      </c>
      <c r="BU45" s="460"/>
      <c r="BV45" s="549"/>
      <c r="BW45" s="549"/>
      <c r="BX45" s="341"/>
      <c r="CC45" s="201"/>
    </row>
    <row r="46" spans="1:81" s="52" customFormat="1" ht="15" hidden="1" x14ac:dyDescent="0.25">
      <c r="A46" s="3"/>
      <c r="B46" s="3"/>
      <c r="C46" s="209"/>
      <c r="D46" s="548"/>
      <c r="E46" s="77"/>
      <c r="O46" s="77"/>
      <c r="Y46" s="77"/>
      <c r="AI46" s="77"/>
      <c r="AS46" s="77"/>
      <c r="BC46" s="77"/>
      <c r="BM46" s="77"/>
      <c r="BP46" s="64"/>
      <c r="BT46" s="460"/>
      <c r="BU46" s="460"/>
      <c r="BV46" s="549"/>
      <c r="BW46" s="549"/>
      <c r="BX46" s="341"/>
      <c r="CC46" s="201"/>
    </row>
    <row r="47" spans="1:81" s="52" customFormat="1" ht="15" hidden="1" x14ac:dyDescent="0.25">
      <c r="A47" s="3"/>
      <c r="B47" s="3"/>
      <c r="C47" s="207" t="s">
        <v>3072</v>
      </c>
      <c r="D47" s="8"/>
      <c r="E47" s="77">
        <f>SUM(E24:E40)</f>
        <v>0</v>
      </c>
      <c r="F47" s="52">
        <f>SUM(F24:F40)</f>
        <v>0</v>
      </c>
      <c r="G47" s="52">
        <f t="shared" ref="G47:M47" si="41">SUM(G24:G40)</f>
        <v>0</v>
      </c>
      <c r="H47" s="52">
        <f t="shared" si="41"/>
        <v>0</v>
      </c>
      <c r="I47" s="52">
        <f t="shared" si="41"/>
        <v>0</v>
      </c>
      <c r="J47" s="52">
        <f t="shared" si="41"/>
        <v>0</v>
      </c>
      <c r="K47" s="52">
        <f t="shared" si="41"/>
        <v>0</v>
      </c>
      <c r="L47" s="52">
        <f t="shared" si="41"/>
        <v>0</v>
      </c>
      <c r="M47" s="52">
        <f t="shared" si="41"/>
        <v>0</v>
      </c>
      <c r="N47" s="64">
        <f>SUM(N24:N40)</f>
        <v>0</v>
      </c>
      <c r="O47" s="77">
        <f>SUM(O24:O40)</f>
        <v>0</v>
      </c>
      <c r="P47" s="52">
        <f t="shared" ref="P47:BS47" si="42">SUM(P24:P40)</f>
        <v>0</v>
      </c>
      <c r="Q47" s="52">
        <f t="shared" si="42"/>
        <v>0</v>
      </c>
      <c r="R47" s="52">
        <f t="shared" si="42"/>
        <v>0</v>
      </c>
      <c r="S47" s="52">
        <f t="shared" si="42"/>
        <v>0</v>
      </c>
      <c r="T47" s="52">
        <f t="shared" si="42"/>
        <v>0</v>
      </c>
      <c r="U47" s="52">
        <f t="shared" si="42"/>
        <v>0</v>
      </c>
      <c r="V47" s="52">
        <f t="shared" si="42"/>
        <v>0</v>
      </c>
      <c r="W47" s="52">
        <f t="shared" si="42"/>
        <v>0</v>
      </c>
      <c r="X47" s="64">
        <f t="shared" si="42"/>
        <v>0</v>
      </c>
      <c r="Y47" s="77">
        <f t="shared" si="42"/>
        <v>0</v>
      </c>
      <c r="Z47" s="52">
        <f t="shared" si="42"/>
        <v>0</v>
      </c>
      <c r="AA47" s="52">
        <f t="shared" si="42"/>
        <v>0</v>
      </c>
      <c r="AB47" s="52">
        <f t="shared" si="42"/>
        <v>0</v>
      </c>
      <c r="AC47" s="52">
        <f t="shared" si="42"/>
        <v>0</v>
      </c>
      <c r="AD47" s="52">
        <f t="shared" si="42"/>
        <v>0</v>
      </c>
      <c r="AE47" s="52">
        <f t="shared" si="42"/>
        <v>0</v>
      </c>
      <c r="AF47" s="52">
        <f t="shared" si="42"/>
        <v>0</v>
      </c>
      <c r="AG47" s="52">
        <f t="shared" si="42"/>
        <v>0</v>
      </c>
      <c r="AH47" s="64">
        <f t="shared" si="42"/>
        <v>0</v>
      </c>
      <c r="AI47" s="77">
        <f t="shared" si="42"/>
        <v>0</v>
      </c>
      <c r="AJ47" s="52">
        <f t="shared" si="42"/>
        <v>0</v>
      </c>
      <c r="AK47" s="52">
        <f t="shared" si="42"/>
        <v>0</v>
      </c>
      <c r="AL47" s="52">
        <f t="shared" si="42"/>
        <v>0</v>
      </c>
      <c r="AM47" s="52">
        <f t="shared" si="42"/>
        <v>0</v>
      </c>
      <c r="AN47" s="52">
        <f t="shared" si="42"/>
        <v>0</v>
      </c>
      <c r="AO47" s="52">
        <f t="shared" si="42"/>
        <v>0</v>
      </c>
      <c r="AP47" s="52">
        <f t="shared" si="42"/>
        <v>0</v>
      </c>
      <c r="AQ47" s="52">
        <f t="shared" si="42"/>
        <v>0</v>
      </c>
      <c r="AR47" s="64">
        <f t="shared" si="42"/>
        <v>0</v>
      </c>
      <c r="AS47" s="77">
        <f t="shared" si="42"/>
        <v>0</v>
      </c>
      <c r="AT47" s="52">
        <f t="shared" si="42"/>
        <v>0</v>
      </c>
      <c r="AU47" s="52">
        <f t="shared" si="42"/>
        <v>0</v>
      </c>
      <c r="AV47" s="52">
        <f t="shared" si="42"/>
        <v>0</v>
      </c>
      <c r="AW47" s="52">
        <f t="shared" si="42"/>
        <v>0</v>
      </c>
      <c r="AX47" s="52">
        <f t="shared" si="42"/>
        <v>0</v>
      </c>
      <c r="AY47" s="52">
        <f t="shared" si="42"/>
        <v>0</v>
      </c>
      <c r="AZ47" s="52">
        <f t="shared" si="42"/>
        <v>0</v>
      </c>
      <c r="BA47" s="52">
        <f t="shared" si="42"/>
        <v>0</v>
      </c>
      <c r="BB47" s="64">
        <f t="shared" si="42"/>
        <v>0</v>
      </c>
      <c r="BC47" s="77">
        <f t="shared" si="42"/>
        <v>1362945.09</v>
      </c>
      <c r="BD47" s="52">
        <f t="shared" si="42"/>
        <v>226020.95999999982</v>
      </c>
      <c r="BE47" s="52">
        <f t="shared" si="42"/>
        <v>587820.61999999988</v>
      </c>
      <c r="BF47" s="52">
        <f t="shared" si="42"/>
        <v>124839.6</v>
      </c>
      <c r="BG47" s="52">
        <f t="shared" si="42"/>
        <v>1125985.0299999998</v>
      </c>
      <c r="BH47" s="52">
        <f t="shared" si="42"/>
        <v>-17349.179999999993</v>
      </c>
      <c r="BI47" s="52">
        <f t="shared" si="42"/>
        <v>19256.640000000007</v>
      </c>
      <c r="BJ47" s="52">
        <f t="shared" si="42"/>
        <v>51394.427982500012</v>
      </c>
      <c r="BK47" s="52">
        <f t="shared" si="42"/>
        <v>-125350.67</v>
      </c>
      <c r="BL47" s="64">
        <f t="shared" si="42"/>
        <v>-174837.63798249999</v>
      </c>
      <c r="BM47" s="77">
        <f t="shared" si="42"/>
        <v>697217.9</v>
      </c>
      <c r="BN47" s="52">
        <f t="shared" si="42"/>
        <v>12626.83</v>
      </c>
      <c r="BO47" s="52">
        <f t="shared" si="42"/>
        <v>428767.12999999989</v>
      </c>
      <c r="BP47" s="64">
        <f t="shared" si="42"/>
        <v>-187464.46798250001</v>
      </c>
      <c r="BQ47" s="52">
        <f t="shared" si="42"/>
        <v>1894.0376439999936</v>
      </c>
      <c r="BR47" s="52">
        <f t="shared" si="42"/>
        <v>1275.8791439999975</v>
      </c>
      <c r="BS47" s="52">
        <f t="shared" si="42"/>
        <v>-184294.5511945</v>
      </c>
      <c r="BT47" s="225"/>
      <c r="BU47" s="460"/>
      <c r="BV47" s="549"/>
      <c r="BW47" s="549"/>
      <c r="BX47" s="341"/>
      <c r="CC47" s="201"/>
    </row>
    <row r="48" spans="1:81" s="52" customFormat="1" ht="15" hidden="1" x14ac:dyDescent="0.25">
      <c r="A48" s="3"/>
      <c r="B48" s="3"/>
      <c r="C48" s="207" t="s">
        <v>3073</v>
      </c>
      <c r="D48" s="8"/>
      <c r="E48" s="77">
        <f>E47-E49</f>
        <v>0</v>
      </c>
      <c r="F48" s="52">
        <f>F47-F49</f>
        <v>0</v>
      </c>
      <c r="G48" s="52">
        <f t="shared" ref="G48:M48" si="43">G47-G49</f>
        <v>0</v>
      </c>
      <c r="H48" s="52">
        <f t="shared" si="43"/>
        <v>0</v>
      </c>
      <c r="I48" s="52">
        <f t="shared" si="43"/>
        <v>0</v>
      </c>
      <c r="J48" s="52">
        <f t="shared" si="43"/>
        <v>0</v>
      </c>
      <c r="K48" s="52">
        <f t="shared" si="43"/>
        <v>0</v>
      </c>
      <c r="L48" s="52">
        <f t="shared" si="43"/>
        <v>0</v>
      </c>
      <c r="M48" s="52">
        <f t="shared" si="43"/>
        <v>0</v>
      </c>
      <c r="N48" s="64">
        <f>N47-N49</f>
        <v>0</v>
      </c>
      <c r="O48" s="77">
        <f>O47-O49</f>
        <v>0</v>
      </c>
      <c r="P48" s="52">
        <f t="shared" ref="P48:AU48" si="44">P47-P49</f>
        <v>0</v>
      </c>
      <c r="Q48" s="52">
        <f t="shared" si="44"/>
        <v>0</v>
      </c>
      <c r="R48" s="52">
        <f t="shared" si="44"/>
        <v>0</v>
      </c>
      <c r="S48" s="52">
        <f t="shared" si="44"/>
        <v>0</v>
      </c>
      <c r="T48" s="52">
        <f t="shared" si="44"/>
        <v>0</v>
      </c>
      <c r="U48" s="52">
        <f t="shared" si="44"/>
        <v>0</v>
      </c>
      <c r="V48" s="52">
        <f t="shared" si="44"/>
        <v>0</v>
      </c>
      <c r="W48" s="52">
        <f t="shared" si="44"/>
        <v>0</v>
      </c>
      <c r="X48" s="64">
        <f t="shared" si="44"/>
        <v>0</v>
      </c>
      <c r="Y48" s="77">
        <f t="shared" si="44"/>
        <v>0</v>
      </c>
      <c r="Z48" s="52">
        <f t="shared" si="44"/>
        <v>0</v>
      </c>
      <c r="AA48" s="52">
        <f t="shared" si="44"/>
        <v>0</v>
      </c>
      <c r="AB48" s="52">
        <f t="shared" si="44"/>
        <v>0</v>
      </c>
      <c r="AC48" s="52">
        <f t="shared" si="44"/>
        <v>0</v>
      </c>
      <c r="AD48" s="52">
        <f t="shared" si="44"/>
        <v>0</v>
      </c>
      <c r="AE48" s="52">
        <f t="shared" si="44"/>
        <v>0</v>
      </c>
      <c r="AF48" s="52">
        <f t="shared" si="44"/>
        <v>0</v>
      </c>
      <c r="AG48" s="52">
        <f t="shared" si="44"/>
        <v>0</v>
      </c>
      <c r="AH48" s="64">
        <f t="shared" si="44"/>
        <v>0</v>
      </c>
      <c r="AI48" s="77">
        <f t="shared" si="44"/>
        <v>0</v>
      </c>
      <c r="AJ48" s="52">
        <f t="shared" si="44"/>
        <v>0</v>
      </c>
      <c r="AK48" s="52">
        <f t="shared" si="44"/>
        <v>0</v>
      </c>
      <c r="AL48" s="52">
        <f t="shared" si="44"/>
        <v>0</v>
      </c>
      <c r="AM48" s="52">
        <f t="shared" si="44"/>
        <v>0</v>
      </c>
      <c r="AN48" s="52">
        <f t="shared" si="44"/>
        <v>0</v>
      </c>
      <c r="AO48" s="52">
        <f t="shared" si="44"/>
        <v>0</v>
      </c>
      <c r="AP48" s="52">
        <f t="shared" si="44"/>
        <v>0</v>
      </c>
      <c r="AQ48" s="52">
        <f t="shared" si="44"/>
        <v>0</v>
      </c>
      <c r="AR48" s="64">
        <f t="shared" si="44"/>
        <v>0</v>
      </c>
      <c r="AS48" s="77">
        <f t="shared" si="44"/>
        <v>0</v>
      </c>
      <c r="AT48" s="52">
        <f t="shared" si="44"/>
        <v>0</v>
      </c>
      <c r="AU48" s="52">
        <f t="shared" si="44"/>
        <v>0</v>
      </c>
      <c r="AV48" s="52">
        <f t="shared" ref="AV48:BS48" si="45">AV47-AV49</f>
        <v>0</v>
      </c>
      <c r="AW48" s="52">
        <f t="shared" si="45"/>
        <v>0</v>
      </c>
      <c r="AX48" s="52">
        <f t="shared" si="45"/>
        <v>0</v>
      </c>
      <c r="AY48" s="52">
        <f t="shared" si="45"/>
        <v>0</v>
      </c>
      <c r="AZ48" s="52">
        <f t="shared" si="45"/>
        <v>0</v>
      </c>
      <c r="BA48" s="52">
        <f t="shared" si="45"/>
        <v>0</v>
      </c>
      <c r="BB48" s="64">
        <f t="shared" si="45"/>
        <v>0</v>
      </c>
      <c r="BC48" s="77">
        <f t="shared" si="45"/>
        <v>358258.73</v>
      </c>
      <c r="BD48" s="52">
        <f t="shared" si="45"/>
        <v>1335151.9599999995</v>
      </c>
      <c r="BE48" s="52">
        <f t="shared" si="45"/>
        <v>121017.09000000008</v>
      </c>
      <c r="BF48" s="52">
        <f t="shared" si="45"/>
        <v>-903189.4</v>
      </c>
      <c r="BG48" s="52">
        <f t="shared" si="45"/>
        <v>669204.19999999925</v>
      </c>
      <c r="BH48" s="52">
        <f t="shared" si="45"/>
        <v>-109945.64</v>
      </c>
      <c r="BI48" s="52">
        <f t="shared" si="45"/>
        <v>5344.1700000000055</v>
      </c>
      <c r="BJ48" s="52">
        <f t="shared" si="45"/>
        <v>-30579.463053749991</v>
      </c>
      <c r="BK48" s="52">
        <f t="shared" si="45"/>
        <v>-125350.67</v>
      </c>
      <c r="BL48" s="64">
        <f t="shared" si="45"/>
        <v>-199372.67694624999</v>
      </c>
      <c r="BM48" s="77">
        <f t="shared" si="45"/>
        <v>159332.91000000003</v>
      </c>
      <c r="BN48" s="52">
        <f t="shared" si="45"/>
        <v>-2083.66</v>
      </c>
      <c r="BO48" s="52">
        <f t="shared" si="45"/>
        <v>509871.28999999934</v>
      </c>
      <c r="BP48" s="64">
        <f t="shared" si="45"/>
        <v>-197289.01694625002</v>
      </c>
      <c r="BQ48" s="52">
        <f t="shared" si="45"/>
        <v>3447.1823079999831</v>
      </c>
      <c r="BR48" s="52">
        <f t="shared" si="45"/>
        <v>2322.1228079999901</v>
      </c>
      <c r="BS48" s="52">
        <f t="shared" si="45"/>
        <v>-191519.71183025002</v>
      </c>
      <c r="BT48" s="225"/>
      <c r="BU48" s="460"/>
      <c r="BV48" s="549"/>
      <c r="BW48" s="549"/>
      <c r="BX48" s="341"/>
      <c r="CC48" s="201"/>
    </row>
    <row r="49" spans="1:84" s="52" customFormat="1" ht="15.75" hidden="1" thickBot="1" x14ac:dyDescent="0.3">
      <c r="A49" s="3"/>
      <c r="B49" s="3"/>
      <c r="C49" s="209" t="s">
        <v>3074</v>
      </c>
      <c r="D49" s="8">
        <v>1589</v>
      </c>
      <c r="E49" s="77">
        <f>E32</f>
        <v>0</v>
      </c>
      <c r="F49" s="52">
        <f>F32</f>
        <v>0</v>
      </c>
      <c r="G49" s="52">
        <f t="shared" ref="G49:M49" si="46">G32</f>
        <v>0</v>
      </c>
      <c r="H49" s="52">
        <f t="shared" si="46"/>
        <v>0</v>
      </c>
      <c r="I49" s="52">
        <f t="shared" si="46"/>
        <v>0</v>
      </c>
      <c r="J49" s="52">
        <f t="shared" si="46"/>
        <v>0</v>
      </c>
      <c r="K49" s="52">
        <f t="shared" si="46"/>
        <v>0</v>
      </c>
      <c r="L49" s="52">
        <f t="shared" si="46"/>
        <v>0</v>
      </c>
      <c r="M49" s="52">
        <f t="shared" si="46"/>
        <v>0</v>
      </c>
      <c r="N49" s="64">
        <f>N32</f>
        <v>0</v>
      </c>
      <c r="O49" s="77">
        <f>O32</f>
        <v>0</v>
      </c>
      <c r="P49" s="52">
        <f t="shared" ref="P49:BS49" si="47">P32</f>
        <v>0</v>
      </c>
      <c r="Q49" s="52">
        <f t="shared" si="47"/>
        <v>0</v>
      </c>
      <c r="R49" s="52">
        <f t="shared" si="47"/>
        <v>0</v>
      </c>
      <c r="S49" s="52">
        <f t="shared" si="47"/>
        <v>0</v>
      </c>
      <c r="T49" s="52">
        <f t="shared" si="47"/>
        <v>0</v>
      </c>
      <c r="U49" s="52">
        <f t="shared" si="47"/>
        <v>0</v>
      </c>
      <c r="V49" s="52">
        <f t="shared" si="47"/>
        <v>0</v>
      </c>
      <c r="W49" s="52">
        <f t="shared" si="47"/>
        <v>0</v>
      </c>
      <c r="X49" s="64">
        <f t="shared" si="47"/>
        <v>0</v>
      </c>
      <c r="Y49" s="77">
        <f t="shared" si="47"/>
        <v>0</v>
      </c>
      <c r="Z49" s="52">
        <f t="shared" si="47"/>
        <v>0</v>
      </c>
      <c r="AA49" s="52">
        <f t="shared" si="47"/>
        <v>0</v>
      </c>
      <c r="AB49" s="52">
        <f t="shared" si="47"/>
        <v>0</v>
      </c>
      <c r="AC49" s="52">
        <f t="shared" si="47"/>
        <v>0</v>
      </c>
      <c r="AD49" s="52">
        <f t="shared" si="47"/>
        <v>0</v>
      </c>
      <c r="AE49" s="52">
        <f t="shared" si="47"/>
        <v>0</v>
      </c>
      <c r="AF49" s="52">
        <f t="shared" si="47"/>
        <v>0</v>
      </c>
      <c r="AG49" s="52">
        <f t="shared" si="47"/>
        <v>0</v>
      </c>
      <c r="AH49" s="64">
        <f t="shared" si="47"/>
        <v>0</v>
      </c>
      <c r="AI49" s="77">
        <f t="shared" si="47"/>
        <v>0</v>
      </c>
      <c r="AJ49" s="52">
        <f t="shared" si="47"/>
        <v>0</v>
      </c>
      <c r="AK49" s="52">
        <f t="shared" si="47"/>
        <v>0</v>
      </c>
      <c r="AL49" s="52">
        <f t="shared" si="47"/>
        <v>0</v>
      </c>
      <c r="AM49" s="52">
        <f t="shared" si="47"/>
        <v>0</v>
      </c>
      <c r="AN49" s="52">
        <f t="shared" si="47"/>
        <v>0</v>
      </c>
      <c r="AO49" s="52">
        <f t="shared" si="47"/>
        <v>0</v>
      </c>
      <c r="AP49" s="52">
        <f t="shared" si="47"/>
        <v>0</v>
      </c>
      <c r="AQ49" s="52">
        <f t="shared" si="47"/>
        <v>0</v>
      </c>
      <c r="AR49" s="64">
        <f t="shared" si="47"/>
        <v>0</v>
      </c>
      <c r="AS49" s="77">
        <f t="shared" si="47"/>
        <v>0</v>
      </c>
      <c r="AT49" s="52">
        <f t="shared" si="47"/>
        <v>0</v>
      </c>
      <c r="AU49" s="52">
        <f t="shared" si="47"/>
        <v>0</v>
      </c>
      <c r="AV49" s="52">
        <f t="shared" si="47"/>
        <v>0</v>
      </c>
      <c r="AW49" s="52">
        <f t="shared" si="47"/>
        <v>0</v>
      </c>
      <c r="AX49" s="52">
        <f t="shared" si="47"/>
        <v>0</v>
      </c>
      <c r="AY49" s="52">
        <f t="shared" si="47"/>
        <v>0</v>
      </c>
      <c r="AZ49" s="52">
        <f t="shared" si="47"/>
        <v>0</v>
      </c>
      <c r="BA49" s="52">
        <f t="shared" si="47"/>
        <v>0</v>
      </c>
      <c r="BB49" s="64">
        <f t="shared" si="47"/>
        <v>0</v>
      </c>
      <c r="BC49" s="77">
        <f t="shared" si="47"/>
        <v>1004686.3600000001</v>
      </c>
      <c r="BD49" s="52">
        <f t="shared" si="47"/>
        <v>-1109130.9999999998</v>
      </c>
      <c r="BE49" s="52">
        <f t="shared" si="47"/>
        <v>466803.5299999998</v>
      </c>
      <c r="BF49" s="52">
        <f t="shared" si="47"/>
        <v>1028029</v>
      </c>
      <c r="BG49" s="52">
        <f t="shared" si="47"/>
        <v>456780.83000000054</v>
      </c>
      <c r="BH49" s="52">
        <f t="shared" si="47"/>
        <v>92596.46</v>
      </c>
      <c r="BI49" s="52">
        <f t="shared" si="47"/>
        <v>13912.470000000001</v>
      </c>
      <c r="BJ49" s="52">
        <f t="shared" si="47"/>
        <v>81973.891036250003</v>
      </c>
      <c r="BK49" s="52">
        <f t="shared" si="47"/>
        <v>0</v>
      </c>
      <c r="BL49" s="64">
        <f t="shared" si="47"/>
        <v>24535.038963750005</v>
      </c>
      <c r="BM49" s="77">
        <f t="shared" si="47"/>
        <v>537884.99</v>
      </c>
      <c r="BN49" s="52">
        <f t="shared" si="47"/>
        <v>14710.49</v>
      </c>
      <c r="BO49" s="52">
        <f t="shared" si="47"/>
        <v>-81104.159999999451</v>
      </c>
      <c r="BP49" s="64">
        <f t="shared" si="47"/>
        <v>9824.548963750005</v>
      </c>
      <c r="BQ49" s="52">
        <f t="shared" si="47"/>
        <v>-1553.1446639999895</v>
      </c>
      <c r="BR49" s="52">
        <f t="shared" si="47"/>
        <v>-1046.2436639999928</v>
      </c>
      <c r="BS49" s="52">
        <f t="shared" si="47"/>
        <v>7225.1606357500223</v>
      </c>
      <c r="BT49" s="225"/>
      <c r="BU49" s="460"/>
      <c r="BV49" s="549"/>
      <c r="BW49" s="549"/>
      <c r="BX49" s="341"/>
      <c r="CC49" s="201"/>
    </row>
    <row r="50" spans="1:84" s="58" customFormat="1" ht="15" thickBot="1" x14ac:dyDescent="0.25">
      <c r="A50"/>
      <c r="B50"/>
      <c r="C50" s="217"/>
      <c r="D50" s="218"/>
      <c r="E50" s="550"/>
      <c r="F50" s="79"/>
      <c r="G50" s="79"/>
      <c r="H50" s="79"/>
      <c r="I50" s="79"/>
      <c r="J50" s="79"/>
      <c r="K50" s="79"/>
      <c r="L50" s="79"/>
      <c r="M50" s="79"/>
      <c r="N50" s="79"/>
      <c r="O50" s="78"/>
      <c r="P50" s="79"/>
      <c r="Q50" s="79"/>
      <c r="R50" s="79"/>
      <c r="S50" s="79"/>
      <c r="T50" s="79"/>
      <c r="U50" s="79"/>
      <c r="V50" s="79"/>
      <c r="W50" s="79"/>
      <c r="X50" s="79"/>
      <c r="Y50" s="78"/>
      <c r="Z50" s="79"/>
      <c r="AA50" s="79"/>
      <c r="AB50" s="79"/>
      <c r="AC50" s="79"/>
      <c r="AD50" s="79"/>
      <c r="AE50" s="79"/>
      <c r="AF50" s="79"/>
      <c r="AG50" s="79"/>
      <c r="AH50" s="79"/>
      <c r="AI50" s="78"/>
      <c r="AJ50" s="79"/>
      <c r="AK50" s="79"/>
      <c r="AL50" s="79"/>
      <c r="AM50" s="79"/>
      <c r="AN50" s="79"/>
      <c r="AO50" s="79"/>
      <c r="AP50" s="79"/>
      <c r="AQ50" s="79"/>
      <c r="AR50" s="79"/>
      <c r="AS50" s="78"/>
      <c r="AT50" s="79"/>
      <c r="AU50" s="79"/>
      <c r="AV50" s="79"/>
      <c r="AW50" s="79"/>
      <c r="AX50" s="79"/>
      <c r="AY50" s="79"/>
      <c r="AZ50" s="79"/>
      <c r="BA50" s="79"/>
      <c r="BB50" s="79"/>
      <c r="BC50" s="78"/>
      <c r="BD50" s="79"/>
      <c r="BE50" s="79"/>
      <c r="BF50" s="79"/>
      <c r="BG50" s="79"/>
      <c r="BH50" s="79"/>
      <c r="BI50" s="79"/>
      <c r="BJ50" s="79"/>
      <c r="BK50" s="79"/>
      <c r="BL50" s="79"/>
      <c r="BM50" s="78"/>
      <c r="BN50" s="79"/>
      <c r="BO50" s="79"/>
      <c r="BP50" s="79"/>
      <c r="BQ50" s="78"/>
      <c r="BR50" s="79"/>
      <c r="BS50" s="79"/>
      <c r="BT50" s="226"/>
      <c r="BU50" s="226"/>
      <c r="BV50" s="226"/>
      <c r="BW50" s="144"/>
      <c r="BX50" s="343"/>
      <c r="CC50" s="263"/>
    </row>
    <row r="53" spans="1:84" ht="30.75" customHeight="1" x14ac:dyDescent="0.2">
      <c r="B53" s="274"/>
      <c r="C53" s="760" t="s">
        <v>160</v>
      </c>
      <c r="D53" s="760"/>
      <c r="E53" s="760"/>
      <c r="F53" s="760"/>
      <c r="G53" s="273"/>
      <c r="H53" s="273"/>
      <c r="I53" s="273"/>
    </row>
    <row r="54" spans="1:84" ht="29.25" customHeight="1" x14ac:dyDescent="0.2">
      <c r="A54" s="80"/>
      <c r="B54" s="275"/>
      <c r="E54" s="494"/>
      <c r="F54" s="494"/>
      <c r="G54" s="494"/>
      <c r="H54" s="494"/>
      <c r="I54" s="276"/>
      <c r="L54" s="45"/>
      <c r="M54" s="45"/>
      <c r="V54" s="45"/>
      <c r="W54" s="45"/>
      <c r="AF54" s="45"/>
      <c r="AG54" s="45"/>
      <c r="AP54" s="45"/>
      <c r="AQ54" s="45"/>
      <c r="AZ54" s="45"/>
      <c r="BA54" s="45"/>
      <c r="BJ54" s="45"/>
      <c r="BK54" s="45"/>
      <c r="BM54" s="45"/>
      <c r="BN54" s="45"/>
      <c r="BO54" s="45"/>
      <c r="BP54" s="45"/>
    </row>
    <row r="55" spans="1:84" ht="55.15" customHeight="1" x14ac:dyDescent="0.2">
      <c r="A55" s="80"/>
      <c r="B55" s="275">
        <v>1</v>
      </c>
      <c r="C55" s="740" t="s">
        <v>2914</v>
      </c>
      <c r="D55" s="740"/>
      <c r="E55" s="276"/>
      <c r="F55" s="276"/>
      <c r="G55" s="276"/>
      <c r="H55" s="276"/>
      <c r="I55" s="276"/>
      <c r="L55" s="45"/>
      <c r="M55" s="45"/>
      <c r="V55" s="45"/>
      <c r="W55" s="45"/>
      <c r="AF55" s="45"/>
      <c r="AG55" s="45"/>
      <c r="AP55" s="45"/>
      <c r="AQ55" s="45"/>
      <c r="AZ55" s="45"/>
      <c r="BA55" s="45"/>
      <c r="BJ55" s="45"/>
      <c r="BK55" s="45"/>
      <c r="BM55" s="45"/>
      <c r="BN55" s="45"/>
      <c r="BO55" s="45"/>
      <c r="BP55" s="45"/>
    </row>
    <row r="56" spans="1:84" s="44" customFormat="1" ht="93" customHeight="1" x14ac:dyDescent="0.2">
      <c r="A56" s="80"/>
      <c r="B56" s="275">
        <v>2</v>
      </c>
      <c r="C56" s="740" t="s">
        <v>3438</v>
      </c>
      <c r="D56" s="740"/>
      <c r="E56" s="277"/>
      <c r="F56" s="276"/>
      <c r="G56" s="276"/>
      <c r="H56" s="276"/>
      <c r="I56" s="276"/>
      <c r="L56" s="45"/>
      <c r="M56" s="45"/>
      <c r="V56" s="45"/>
      <c r="W56" s="45"/>
      <c r="AF56" s="45"/>
      <c r="AG56" s="45"/>
      <c r="AP56" s="45"/>
      <c r="AQ56" s="45"/>
      <c r="AZ56" s="45"/>
      <c r="BA56" s="45"/>
      <c r="BJ56" s="45"/>
      <c r="BK56" s="45"/>
      <c r="BM56" s="45"/>
      <c r="BN56" s="45"/>
      <c r="BO56" s="45"/>
      <c r="BP56" s="45"/>
      <c r="BX56" s="342"/>
      <c r="BY56"/>
      <c r="BZ56"/>
      <c r="CA56"/>
      <c r="CB56"/>
      <c r="CC56"/>
      <c r="CD56"/>
      <c r="CE56"/>
      <c r="CF56"/>
    </row>
    <row r="57" spans="1:84" s="44" customFormat="1" ht="138.75" customHeight="1" x14ac:dyDescent="0.2">
      <c r="A57" s="80"/>
      <c r="B57" s="275">
        <v>3</v>
      </c>
      <c r="C57" s="740" t="s">
        <v>3437</v>
      </c>
      <c r="D57" s="740"/>
      <c r="E57" s="494"/>
      <c r="F57" s="494"/>
      <c r="G57" s="494"/>
      <c r="H57" s="494"/>
      <c r="I57" s="494"/>
      <c r="L57" s="45"/>
      <c r="M57" s="45"/>
      <c r="V57" s="45"/>
      <c r="W57" s="45"/>
      <c r="AF57" s="45"/>
      <c r="AG57" s="45"/>
      <c r="AP57" s="45"/>
      <c r="AQ57" s="45"/>
      <c r="AZ57" s="45"/>
      <c r="BA57" s="45"/>
      <c r="BJ57" s="45"/>
      <c r="BK57" s="45"/>
      <c r="BM57" s="45"/>
      <c r="BN57" s="45"/>
      <c r="BO57" s="45"/>
      <c r="BP57" s="45"/>
      <c r="BX57" s="342"/>
      <c r="BY57"/>
      <c r="BZ57"/>
      <c r="CA57"/>
      <c r="CB57"/>
      <c r="CC57"/>
      <c r="CD57"/>
      <c r="CE57"/>
      <c r="CF57"/>
    </row>
    <row r="58" spans="1:84" s="44" customFormat="1" ht="105.4" customHeight="1" x14ac:dyDescent="0.2">
      <c r="A58" s="80"/>
      <c r="B58" s="275">
        <v>4</v>
      </c>
      <c r="C58" s="740" t="s">
        <v>2957</v>
      </c>
      <c r="D58" s="740"/>
      <c r="E58" s="494"/>
      <c r="F58" s="494"/>
      <c r="G58" s="494"/>
      <c r="H58" s="494"/>
      <c r="I58" s="494"/>
      <c r="BX58" s="342"/>
      <c r="BY58"/>
      <c r="BZ58"/>
      <c r="CA58"/>
      <c r="CB58"/>
      <c r="CC58"/>
      <c r="CD58"/>
      <c r="CE58"/>
      <c r="CF58"/>
    </row>
    <row r="59" spans="1:84" s="44" customFormat="1" ht="75.75" customHeight="1" x14ac:dyDescent="0.2">
      <c r="A59" s="80"/>
      <c r="B59" s="275">
        <v>5</v>
      </c>
      <c r="C59" s="740" t="s">
        <v>3055</v>
      </c>
      <c r="D59" s="740"/>
      <c r="E59" s="494"/>
      <c r="F59" s="494"/>
      <c r="G59" s="494"/>
      <c r="H59" s="494"/>
      <c r="I59" s="494"/>
      <c r="BX59" s="342"/>
      <c r="BY59"/>
      <c r="BZ59"/>
      <c r="CA59"/>
      <c r="CB59"/>
      <c r="CC59"/>
      <c r="CD59"/>
      <c r="CE59"/>
      <c r="CF59"/>
    </row>
    <row r="60" spans="1:84" s="44" customFormat="1" ht="39.75" customHeight="1" x14ac:dyDescent="0.2">
      <c r="A60" s="80"/>
      <c r="B60" s="275">
        <v>6</v>
      </c>
      <c r="C60" s="740" t="s">
        <v>2958</v>
      </c>
      <c r="D60" s="740"/>
      <c r="E60" s="494"/>
      <c r="F60" s="494"/>
      <c r="G60" s="494"/>
      <c r="H60" s="494"/>
      <c r="I60" s="494"/>
      <c r="BX60" s="342"/>
      <c r="BY60"/>
      <c r="BZ60"/>
      <c r="CA60"/>
      <c r="CB60"/>
      <c r="CC60"/>
      <c r="CD60"/>
      <c r="CE60"/>
      <c r="CF60"/>
    </row>
  </sheetData>
  <mergeCells count="88">
    <mergeCell ref="BQ19:BT19"/>
    <mergeCell ref="H20:H22"/>
    <mergeCell ref="I20:I22"/>
    <mergeCell ref="AS19:BB19"/>
    <mergeCell ref="J20:J22"/>
    <mergeCell ref="K20:K22"/>
    <mergeCell ref="L20:L22"/>
    <mergeCell ref="M20:M22"/>
    <mergeCell ref="N20:N22"/>
    <mergeCell ref="W20:W22"/>
    <mergeCell ref="E19:N19"/>
    <mergeCell ref="O19:X19"/>
    <mergeCell ref="Y19:AH19"/>
    <mergeCell ref="AI19:AR19"/>
    <mergeCell ref="BM19:BP19"/>
    <mergeCell ref="BC19:BL19"/>
    <mergeCell ref="C20:C22"/>
    <mergeCell ref="D20:D22"/>
    <mergeCell ref="E20:E22"/>
    <mergeCell ref="F20:F22"/>
    <mergeCell ref="G20:G22"/>
    <mergeCell ref="AO20:AO22"/>
    <mergeCell ref="AP20:AP22"/>
    <mergeCell ref="AQ20:AQ22"/>
    <mergeCell ref="AR20:AR22"/>
    <mergeCell ref="AS20:AS22"/>
    <mergeCell ref="P20:P22"/>
    <mergeCell ref="Q20:Q22"/>
    <mergeCell ref="X20:X22"/>
    <mergeCell ref="Y20:Y22"/>
    <mergeCell ref="Z20:Z22"/>
    <mergeCell ref="R20:R22"/>
    <mergeCell ref="S20:S22"/>
    <mergeCell ref="T20:T22"/>
    <mergeCell ref="U20:U22"/>
    <mergeCell ref="V20:V22"/>
    <mergeCell ref="AJ20:AJ22"/>
    <mergeCell ref="AK20:AK22"/>
    <mergeCell ref="AL20:AL22"/>
    <mergeCell ref="AA20:AA22"/>
    <mergeCell ref="AD20:AD22"/>
    <mergeCell ref="AE20:AE22"/>
    <mergeCell ref="AF20:AF22"/>
    <mergeCell ref="AG20:AG22"/>
    <mergeCell ref="AH20:AH22"/>
    <mergeCell ref="BW20:BW22"/>
    <mergeCell ref="C53:F53"/>
    <mergeCell ref="BL20:BL22"/>
    <mergeCell ref="BM20:BM22"/>
    <mergeCell ref="BN20:BN22"/>
    <mergeCell ref="BO20:BO22"/>
    <mergeCell ref="BP20:BP22"/>
    <mergeCell ref="BQ20:BQ22"/>
    <mergeCell ref="BF20:BF22"/>
    <mergeCell ref="BG20:BG22"/>
    <mergeCell ref="BH20:BH22"/>
    <mergeCell ref="BI20:BI22"/>
    <mergeCell ref="BJ20:BJ22"/>
    <mergeCell ref="BK20:BK22"/>
    <mergeCell ref="AZ20:AZ22"/>
    <mergeCell ref="BA20:BA22"/>
    <mergeCell ref="BV20:BV22"/>
    <mergeCell ref="BB20:BB22"/>
    <mergeCell ref="BC20:BC22"/>
    <mergeCell ref="BD20:BD22"/>
    <mergeCell ref="BE20:BE22"/>
    <mergeCell ref="BU20:BU22"/>
    <mergeCell ref="C60:D60"/>
    <mergeCell ref="BR20:BR22"/>
    <mergeCell ref="BS20:BS22"/>
    <mergeCell ref="BT20:BT22"/>
    <mergeCell ref="AT20:AT22"/>
    <mergeCell ref="AU20:AU22"/>
    <mergeCell ref="AV20:AV22"/>
    <mergeCell ref="AW20:AW22"/>
    <mergeCell ref="AX20:AX22"/>
    <mergeCell ref="AY20:AY22"/>
    <mergeCell ref="AN20:AN22"/>
    <mergeCell ref="O20:O22"/>
    <mergeCell ref="AM20:AM22"/>
    <mergeCell ref="AB20:AB22"/>
    <mergeCell ref="AC20:AC22"/>
    <mergeCell ref="AI20:AI22"/>
    <mergeCell ref="C55:D55"/>
    <mergeCell ref="C56:D56"/>
    <mergeCell ref="C57:D57"/>
    <mergeCell ref="C58:D58"/>
    <mergeCell ref="C59:D59"/>
  </mergeCells>
  <conditionalFormatting sqref="F25:H25 K25:M25">
    <cfRule type="expression" dxfId="139" priority="43">
      <formula>$E$19&lt;2013</formula>
    </cfRule>
  </conditionalFormatting>
  <conditionalFormatting sqref="P25:R25 U25:W25">
    <cfRule type="expression" dxfId="138" priority="42">
      <formula>$O$19&lt;2013</formula>
    </cfRule>
  </conditionalFormatting>
  <conditionalFormatting sqref="Z25:AB25 AE25:AG25">
    <cfRule type="expression" dxfId="137" priority="41">
      <formula>$Y$19&lt;2013</formula>
    </cfRule>
  </conditionalFormatting>
  <conditionalFormatting sqref="AJ25:AL25 AO25:AQ25">
    <cfRule type="expression" dxfId="136" priority="40">
      <formula>$AI$19&lt;2013</formula>
    </cfRule>
  </conditionalFormatting>
  <conditionalFormatting sqref="AT25:AV25 AY25:BA25">
    <cfRule type="expression" dxfId="135" priority="39">
      <formula>$AS$19&lt;2013</formula>
    </cfRule>
  </conditionalFormatting>
  <conditionalFormatting sqref="BD25:BF25 BI25:BK25">
    <cfRule type="expression" dxfId="134" priority="38">
      <formula>$BC$19&lt;2013</formula>
    </cfRule>
  </conditionalFormatting>
  <conditionalFormatting sqref="U27:W28">
    <cfRule type="expression" dxfId="133" priority="36">
      <formula>$O$19&lt;2015</formula>
    </cfRule>
  </conditionalFormatting>
  <conditionalFormatting sqref="Z27:AB28 AE27:AG28">
    <cfRule type="expression" dxfId="132" priority="35">
      <formula>$Y$19&lt;2015</formula>
    </cfRule>
  </conditionalFormatting>
  <conditionalFormatting sqref="AJ27:AL28 AO27:AQ28">
    <cfRule type="expression" dxfId="131" priority="34">
      <formula>$AI$19&lt;2015</formula>
    </cfRule>
  </conditionalFormatting>
  <conditionalFormatting sqref="AT27:AV28 AY27:BA28">
    <cfRule type="expression" dxfId="130" priority="33">
      <formula>$AS$19&lt;2015</formula>
    </cfRule>
  </conditionalFormatting>
  <conditionalFormatting sqref="BD27:BF28 BI27:BK28">
    <cfRule type="expression" dxfId="129" priority="32">
      <formula>$BC$19&lt;2015</formula>
    </cfRule>
  </conditionalFormatting>
  <conditionalFormatting sqref="F24:G24">
    <cfRule type="expression" dxfId="128" priority="2">
      <formula>$E$19&lt;2013</formula>
    </cfRule>
  </conditionalFormatting>
  <conditionalFormatting sqref="BK26">
    <cfRule type="expression" dxfId="127" priority="1">
      <formula>$BC$19&lt;2015</formula>
    </cfRule>
  </conditionalFormatting>
  <dataValidations disablePrompts="1" count="1">
    <dataValidation type="list" errorTitle="Selection Needed" error="Please select an option from the drop-down list." prompt="Use the following format eg: January 1, 2013" sqref="BU31:BU32 BU34:BU37" xr:uid="{00000000-0002-0000-0400-000000000000}">
      <formula1>"Yes,No"</formula1>
    </dataValidation>
  </dataValidations>
  <pageMargins left="0.35433070866141736" right="0.39370078740157483" top="0.62992125984251968" bottom="0.98425196850393704" header="0.31496062992125984" footer="0.51181102362204722"/>
  <pageSetup paperSize="5" scale="29" fitToWidth="2" orientation="landscape" r:id="rId1"/>
  <headerFooter alignWithMargins="0"/>
  <colBreaks count="3" manualBreakCount="3">
    <brk id="4" max="1048575" man="1"/>
    <brk id="14" max="1048575" man="1"/>
    <brk id="24"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pageSetUpPr fitToPage="1"/>
  </sheetPr>
  <dimension ref="A1:CH130"/>
  <sheetViews>
    <sheetView showGridLines="0" topLeftCell="B16" zoomScale="80" zoomScaleNormal="80" workbookViewId="0">
      <pane xSplit="3" topLeftCell="BC1" activePane="topRight" state="frozenSplit"/>
      <selection activeCell="BT43" sqref="BT43"/>
      <selection pane="topRight" activeCell="BD67" sqref="BD67"/>
    </sheetView>
  </sheetViews>
  <sheetFormatPr defaultColWidth="9" defaultRowHeight="12.75" x14ac:dyDescent="0.2"/>
  <cols>
    <col min="1" max="1" width="5.140625" hidden="1" customWidth="1"/>
    <col min="2" max="2" width="33.28515625" customWidth="1"/>
    <col min="3" max="3" width="94.28515625" customWidth="1"/>
    <col min="4" max="4" width="11" customWidth="1"/>
    <col min="5" max="5" width="16" style="44" hidden="1" customWidth="1"/>
    <col min="6" max="6" width="23" style="44" hidden="1" customWidth="1"/>
    <col min="7" max="8" width="18.28515625" style="44" hidden="1" customWidth="1"/>
    <col min="9" max="9" width="14.7109375" style="44" hidden="1" customWidth="1"/>
    <col min="10" max="10" width="14" style="44" hidden="1" customWidth="1"/>
    <col min="11" max="13" width="14.85546875" style="44" hidden="1" customWidth="1"/>
    <col min="14" max="14" width="15.28515625" style="44" hidden="1" customWidth="1"/>
    <col min="15" max="15" width="16" style="44" customWidth="1"/>
    <col min="16" max="16" width="23" style="44" customWidth="1"/>
    <col min="17" max="18" width="18.28515625" style="44" customWidth="1"/>
    <col min="19" max="19" width="14.7109375" style="44" customWidth="1"/>
    <col min="20" max="20" width="14" style="44" customWidth="1"/>
    <col min="21" max="23" width="14.85546875" style="44" customWidth="1"/>
    <col min="24" max="24" width="15.28515625" style="44" customWidth="1"/>
    <col min="25" max="25" width="16" style="44" customWidth="1"/>
    <col min="26" max="26" width="23" style="44" customWidth="1"/>
    <col min="27" max="28" width="18.28515625" style="44" customWidth="1"/>
    <col min="29" max="29" width="14.7109375" style="44" customWidth="1"/>
    <col min="30" max="30" width="14" style="44" customWidth="1"/>
    <col min="31" max="33" width="14.85546875" style="44" customWidth="1"/>
    <col min="34" max="34" width="15.28515625" style="44" customWidth="1"/>
    <col min="35" max="35" width="16" style="44" customWidth="1"/>
    <col min="36" max="36" width="19.7109375" style="44" customWidth="1"/>
    <col min="37" max="38" width="18.28515625" style="44" customWidth="1"/>
    <col min="39" max="39" width="14.7109375" style="44" customWidth="1"/>
    <col min="40" max="40" width="14" style="44" customWidth="1"/>
    <col min="41" max="43" width="14.85546875" style="44" customWidth="1"/>
    <col min="44" max="44" width="15.28515625" style="44" customWidth="1"/>
    <col min="45" max="45" width="16" style="44" customWidth="1"/>
    <col min="46" max="46" width="18.7109375" style="44" customWidth="1"/>
    <col min="47" max="48" width="18.28515625" style="44" customWidth="1"/>
    <col min="49" max="49" width="14.7109375" style="44" customWidth="1"/>
    <col min="50" max="50" width="14" style="44" customWidth="1"/>
    <col min="51" max="53" width="14.85546875" style="44" customWidth="1"/>
    <col min="54" max="54" width="15.28515625" style="44" customWidth="1"/>
    <col min="55" max="55" width="16" style="44" customWidth="1"/>
    <col min="56" max="56" width="18.28515625" style="44" customWidth="1"/>
    <col min="57" max="57" width="18.28515625" style="44" hidden="1" customWidth="1"/>
    <col min="58" max="58" width="18.28515625" style="44" customWidth="1"/>
    <col min="59" max="59" width="14.7109375" style="44" customWidth="1"/>
    <col min="60" max="60" width="14" style="44" customWidth="1"/>
    <col min="61" max="61" width="14.85546875" style="44" customWidth="1"/>
    <col min="62" max="63" width="14.85546875" style="44" hidden="1" customWidth="1"/>
    <col min="64" max="64" width="15.28515625" style="44" customWidth="1"/>
    <col min="65" max="66" width="14.85546875" style="44" hidden="1" customWidth="1"/>
    <col min="67" max="67" width="18" style="44" hidden="1" customWidth="1"/>
    <col min="68" max="68" width="17.28515625" style="44" hidden="1" customWidth="1"/>
    <col min="69" max="69" width="17.5703125" style="44" customWidth="1"/>
    <col min="70" max="70" width="21" style="44" customWidth="1"/>
    <col min="71" max="71" width="26.85546875" style="44" customWidth="1"/>
    <col min="72" max="72" width="19.140625" style="58" customWidth="1"/>
    <col min="73" max="73" width="18.28515625" style="44" customWidth="1"/>
    <col min="74" max="74" width="22.28515625" style="44" bestFit="1" customWidth="1"/>
    <col min="75" max="75" width="19.85546875" style="44" customWidth="1"/>
    <col min="76" max="76" width="9" style="342"/>
    <col min="80" max="80" width="12.7109375" hidden="1" customWidth="1"/>
    <col min="81" max="81" width="9" hidden="1" customWidth="1"/>
    <col min="84" max="84" width="0" hidden="1" customWidth="1"/>
  </cols>
  <sheetData>
    <row r="1" spans="3:84" x14ac:dyDescent="0.2">
      <c r="F1" s="272">
        <v>16</v>
      </c>
      <c r="BQ1" s="260"/>
      <c r="BR1" s="260"/>
      <c r="BS1" s="260"/>
      <c r="BT1" s="263"/>
      <c r="BU1" s="260"/>
      <c r="CF1">
        <v>1</v>
      </c>
    </row>
    <row r="2" spans="3:84" x14ac:dyDescent="0.2">
      <c r="BQ2" s="260"/>
      <c r="BR2" s="260"/>
      <c r="BS2" s="260"/>
      <c r="BT2" s="263"/>
      <c r="BU2" s="260"/>
      <c r="CF2">
        <v>2</v>
      </c>
    </row>
    <row r="3" spans="3:84" x14ac:dyDescent="0.2">
      <c r="BQ3" s="260"/>
      <c r="BR3" s="260"/>
      <c r="BS3" s="260"/>
      <c r="BT3" s="263"/>
      <c r="BU3" s="260"/>
      <c r="CF3">
        <v>3</v>
      </c>
    </row>
    <row r="4" spans="3:84" x14ac:dyDescent="0.2">
      <c r="BQ4" s="260"/>
      <c r="BR4" s="260"/>
      <c r="BS4" s="260"/>
      <c r="BT4" s="263"/>
      <c r="BU4" s="260"/>
      <c r="CF4">
        <v>4</v>
      </c>
    </row>
    <row r="5" spans="3:84" x14ac:dyDescent="0.2">
      <c r="BQ5" s="260"/>
      <c r="BR5" s="260"/>
      <c r="BS5" s="260"/>
      <c r="BT5" s="263"/>
      <c r="BU5" s="260"/>
      <c r="CF5">
        <v>5</v>
      </c>
    </row>
    <row r="6" spans="3:84" x14ac:dyDescent="0.2">
      <c r="BQ6" s="260"/>
      <c r="BR6" s="260"/>
      <c r="BS6" s="260"/>
      <c r="BT6" s="263"/>
      <c r="BU6" s="260"/>
      <c r="CF6">
        <v>6</v>
      </c>
    </row>
    <row r="7" spans="3:84" x14ac:dyDescent="0.2">
      <c r="BQ7" s="260"/>
      <c r="BR7" s="260"/>
      <c r="BS7" s="260"/>
      <c r="BT7" s="263"/>
      <c r="BU7" s="260"/>
      <c r="CF7">
        <v>7</v>
      </c>
    </row>
    <row r="8" spans="3:84" x14ac:dyDescent="0.2">
      <c r="BQ8" s="260"/>
      <c r="BR8" s="260"/>
      <c r="BS8" s="260"/>
      <c r="BT8" s="263"/>
      <c r="BU8" s="260"/>
      <c r="CF8">
        <v>8</v>
      </c>
    </row>
    <row r="9" spans="3:84" x14ac:dyDescent="0.2">
      <c r="BQ9" s="260"/>
      <c r="BR9" s="260"/>
      <c r="BS9" s="260"/>
      <c r="BT9" s="263"/>
      <c r="BU9" s="260"/>
      <c r="CF9">
        <v>9</v>
      </c>
    </row>
    <row r="10" spans="3:84" x14ac:dyDescent="0.2">
      <c r="BQ10" s="260"/>
      <c r="BR10" s="260"/>
      <c r="BS10" s="260"/>
      <c r="BT10" s="263"/>
      <c r="BU10" s="260"/>
      <c r="CF10">
        <v>10</v>
      </c>
    </row>
    <row r="11" spans="3:84" x14ac:dyDescent="0.2">
      <c r="BQ11" s="260"/>
      <c r="BR11" s="260"/>
      <c r="BS11" s="260"/>
      <c r="BT11" s="263"/>
      <c r="BU11" s="260"/>
      <c r="CB11" s="303" t="b">
        <v>1</v>
      </c>
      <c r="CF11">
        <v>11</v>
      </c>
    </row>
    <row r="12" spans="3:84" x14ac:dyDescent="0.2">
      <c r="BQ12" s="260"/>
      <c r="BR12" s="260"/>
      <c r="BS12" s="260"/>
      <c r="BT12" s="263"/>
      <c r="BU12" s="260"/>
      <c r="CB12" s="303" t="b">
        <v>0</v>
      </c>
      <c r="CF12">
        <v>12</v>
      </c>
    </row>
    <row r="13" spans="3:84" x14ac:dyDescent="0.2">
      <c r="BQ13" s="260"/>
      <c r="BR13" s="260"/>
      <c r="BS13" s="260"/>
      <c r="BT13" s="263"/>
      <c r="BU13" s="260"/>
      <c r="CF13">
        <v>13</v>
      </c>
    </row>
    <row r="14" spans="3:84" x14ac:dyDescent="0.2">
      <c r="BQ14" s="260"/>
      <c r="BR14" s="260"/>
      <c r="BS14" s="260"/>
      <c r="BT14" s="263"/>
      <c r="BU14" s="260"/>
      <c r="CF14">
        <v>14</v>
      </c>
    </row>
    <row r="15" spans="3:84" x14ac:dyDescent="0.2">
      <c r="BQ15" s="260"/>
      <c r="BR15" s="260"/>
      <c r="BS15" s="260"/>
      <c r="BT15" s="263"/>
      <c r="BU15" s="260"/>
      <c r="CF15">
        <v>15</v>
      </c>
    </row>
    <row r="16" spans="3:84" ht="62.25" customHeight="1" x14ac:dyDescent="0.25">
      <c r="C16" s="330" t="s">
        <v>2869</v>
      </c>
      <c r="D16" s="330"/>
      <c r="E16" s="330"/>
      <c r="F16" s="330"/>
      <c r="G16" s="330"/>
      <c r="H16" s="330"/>
      <c r="I16" s="330"/>
      <c r="J16" s="330"/>
      <c r="K16" s="330"/>
      <c r="L16" s="330"/>
      <c r="M16" s="330"/>
      <c r="N16" s="330"/>
      <c r="O16" s="330"/>
      <c r="BQ16" s="260"/>
      <c r="BR16" s="260"/>
      <c r="BS16" s="260"/>
      <c r="BT16" s="263"/>
      <c r="BU16" s="260"/>
      <c r="CF16">
        <v>16</v>
      </c>
    </row>
    <row r="17" spans="1:86" ht="14.25" x14ac:dyDescent="0.2">
      <c r="E17" s="264"/>
      <c r="BQ17" s="260"/>
      <c r="BR17" s="260"/>
      <c r="BS17" s="260"/>
      <c r="BT17" s="263"/>
      <c r="BU17" s="260"/>
    </row>
    <row r="18" spans="1:86" ht="15.75" thickBot="1" x14ac:dyDescent="0.35">
      <c r="C18" s="2"/>
      <c r="BO18" s="81"/>
      <c r="BP18" s="81"/>
      <c r="BQ18" s="261"/>
      <c r="BR18" s="261"/>
      <c r="BS18" s="261"/>
      <c r="BT18" s="662"/>
      <c r="BU18" s="261"/>
    </row>
    <row r="19" spans="1:86" ht="29.25" thickBot="1" x14ac:dyDescent="0.5">
      <c r="C19" s="299"/>
      <c r="D19" s="46"/>
      <c r="E19" s="773">
        <v>2016</v>
      </c>
      <c r="F19" s="774"/>
      <c r="G19" s="774"/>
      <c r="H19" s="774"/>
      <c r="I19" s="774"/>
      <c r="J19" s="774"/>
      <c r="K19" s="774"/>
      <c r="L19" s="774"/>
      <c r="M19" s="774"/>
      <c r="N19" s="775"/>
      <c r="O19" s="770">
        <f>E19+1</f>
        <v>2017</v>
      </c>
      <c r="P19" s="771"/>
      <c r="Q19" s="771"/>
      <c r="R19" s="771"/>
      <c r="S19" s="771"/>
      <c r="T19" s="771"/>
      <c r="U19" s="771"/>
      <c r="V19" s="771"/>
      <c r="W19" s="771"/>
      <c r="X19" s="772"/>
      <c r="Y19" s="770">
        <f>O19+1</f>
        <v>2018</v>
      </c>
      <c r="Z19" s="771"/>
      <c r="AA19" s="771"/>
      <c r="AB19" s="771"/>
      <c r="AC19" s="771"/>
      <c r="AD19" s="771"/>
      <c r="AE19" s="771"/>
      <c r="AF19" s="771"/>
      <c r="AG19" s="771"/>
      <c r="AH19" s="772"/>
      <c r="AI19" s="770">
        <f>Y19+1</f>
        <v>2019</v>
      </c>
      <c r="AJ19" s="771"/>
      <c r="AK19" s="771"/>
      <c r="AL19" s="771"/>
      <c r="AM19" s="771"/>
      <c r="AN19" s="771"/>
      <c r="AO19" s="771"/>
      <c r="AP19" s="771"/>
      <c r="AQ19" s="771"/>
      <c r="AR19" s="772"/>
      <c r="AS19" s="770">
        <f>AI19+1</f>
        <v>2020</v>
      </c>
      <c r="AT19" s="771"/>
      <c r="AU19" s="771"/>
      <c r="AV19" s="771"/>
      <c r="AW19" s="771"/>
      <c r="AX19" s="771"/>
      <c r="AY19" s="771"/>
      <c r="AZ19" s="771"/>
      <c r="BA19" s="771"/>
      <c r="BB19" s="772"/>
      <c r="BC19" s="770">
        <f>AS19+1</f>
        <v>2021</v>
      </c>
      <c r="BD19" s="771"/>
      <c r="BE19" s="771"/>
      <c r="BF19" s="771"/>
      <c r="BG19" s="771"/>
      <c r="BH19" s="771"/>
      <c r="BI19" s="771"/>
      <c r="BJ19" s="771"/>
      <c r="BK19" s="771"/>
      <c r="BL19" s="772"/>
      <c r="BM19" s="770">
        <f>BC19+1</f>
        <v>2022</v>
      </c>
      <c r="BN19" s="771"/>
      <c r="BO19" s="771"/>
      <c r="BP19" s="772"/>
      <c r="BQ19" s="776" t="str">
        <f>CONCATENATE("Projected Interest on Dec-31-",RIGHT(BC19,2)," Balances")</f>
        <v>Projected Interest on Dec-31-21 Balances</v>
      </c>
      <c r="BR19" s="777"/>
      <c r="BS19" s="777"/>
      <c r="BT19" s="778"/>
      <c r="BU19" s="348"/>
      <c r="BV19" s="47" t="s">
        <v>19</v>
      </c>
      <c r="BW19" s="11"/>
    </row>
    <row r="20" spans="1:86" ht="14.25" customHeight="1" thickBot="1" x14ac:dyDescent="0.25">
      <c r="C20" s="761" t="s">
        <v>16</v>
      </c>
      <c r="D20" s="763" t="s">
        <v>0</v>
      </c>
      <c r="E20" s="754" t="str">
        <f>CONCATENATE("Opening Principal Amounts as of Jan-1-",RIGHT(E19,2))</f>
        <v>Opening Principal Amounts as of Jan-1-16</v>
      </c>
      <c r="F20" s="741" t="str">
        <f>CONCATENATE("Transactions Debit / (Credit) during ",E19)</f>
        <v>Transactions Debit / (Credit) during 2016</v>
      </c>
      <c r="G20" s="741" t="str">
        <f>CONCATENATE("OEB-Approved Disposition during ",E19)</f>
        <v>OEB-Approved Disposition during 2016</v>
      </c>
      <c r="H20" s="741" t="str">
        <f>CONCATENATE("Principal Adjustments(1) during ",E19)</f>
        <v>Principal Adjustments(1) during 2016</v>
      </c>
      <c r="I20" s="741" t="str">
        <f>CONCATENATE("Closing Principal Balance as of Dec-31-",RIGHT(E19,2))</f>
        <v>Closing Principal Balance as of Dec-31-16</v>
      </c>
      <c r="J20" s="741" t="str">
        <f>CONCATENATE("Opening Interest Amounts as of Jan-1-",RIGHT(E19,2))</f>
        <v>Opening Interest Amounts as of Jan-1-16</v>
      </c>
      <c r="K20" s="741" t="str">
        <f>CONCATENATE("Interest Jan-1 to Dec-31-",RIGHT(E19,2))</f>
        <v>Interest Jan-1 to Dec-31-16</v>
      </c>
      <c r="L20" s="741" t="str">
        <f>CONCATENATE("OEB-Approved Disposition during ",E19)</f>
        <v>OEB-Approved Disposition during 2016</v>
      </c>
      <c r="M20" s="741" t="str">
        <f>CONCATENATE("Interest Adjustments(1) during ",E19)</f>
        <v>Interest Adjustments(1) during 2016</v>
      </c>
      <c r="N20" s="745" t="str">
        <f>CONCATENATE("Closing Interest Amounts as of Dec-31-",RIGHT(E19,2))</f>
        <v>Closing Interest Amounts as of Dec-31-16</v>
      </c>
      <c r="O20" s="754" t="str">
        <f>CONCATENATE("Opening Principal Amounts as of Jan-1-",RIGHT(O19,2))</f>
        <v>Opening Principal Amounts as of Jan-1-17</v>
      </c>
      <c r="P20" s="741" t="str">
        <f>CONCATENATE("Transactions Debit / (Credit) during ",O19)</f>
        <v>Transactions Debit / (Credit) during 2017</v>
      </c>
      <c r="Q20" s="741" t="str">
        <f>CONCATENATE("OEB-Approved Disposition during ",O19)</f>
        <v>OEB-Approved Disposition during 2017</v>
      </c>
      <c r="R20" s="741" t="str">
        <f>CONCATENATE("Principal Adjustments(1) during ",O19)</f>
        <v>Principal Adjustments(1) during 2017</v>
      </c>
      <c r="S20" s="741" t="str">
        <f>CONCATENATE("Closing Principal Balance as of Dec-31-",RIGHT(O19,2))</f>
        <v>Closing Principal Balance as of Dec-31-17</v>
      </c>
      <c r="T20" s="741" t="str">
        <f>CONCATENATE("Opening Interest Amounts as of Jan-1-",RIGHT(O19,2))</f>
        <v>Opening Interest Amounts as of Jan-1-17</v>
      </c>
      <c r="U20" s="741" t="str">
        <f>CONCATENATE("Interest Jan-1 to Dec-31-",RIGHT(O19,2))</f>
        <v>Interest Jan-1 to Dec-31-17</v>
      </c>
      <c r="V20" s="741" t="str">
        <f>CONCATENATE("OEB-Approved Disposition during ",O19)</f>
        <v>OEB-Approved Disposition during 2017</v>
      </c>
      <c r="W20" s="741" t="str">
        <f>CONCATENATE("Interest Adjustments(1) during ",O19)</f>
        <v>Interest Adjustments(1) during 2017</v>
      </c>
      <c r="X20" s="745" t="str">
        <f>CONCATENATE("Closing Interest Amounts as of Dec-31-",RIGHT(O19,2))</f>
        <v>Closing Interest Amounts as of Dec-31-17</v>
      </c>
      <c r="Y20" s="754" t="str">
        <f>CONCATENATE("Opening Principal Amounts as of Jan-1-",RIGHT(Y19,2))</f>
        <v>Opening Principal Amounts as of Jan-1-18</v>
      </c>
      <c r="Z20" s="741" t="str">
        <f>CONCATENATE("Transactions(1) Debit / (Credit) during ",Y19)</f>
        <v>Transactions(1) Debit / (Credit) during 2018</v>
      </c>
      <c r="AA20" s="741" t="str">
        <f>CONCATENATE("OEB-Approved Disposition during ",Y19)</f>
        <v>OEB-Approved Disposition during 2018</v>
      </c>
      <c r="AB20" s="741" t="str">
        <f>CONCATENATE("Principal Adjustments(1) during ",Y19)</f>
        <v>Principal Adjustments(1) during 2018</v>
      </c>
      <c r="AC20" s="741" t="str">
        <f>CONCATENATE("Closing Principal Balance as of Dec-31-",RIGHT(Y19,2))</f>
        <v>Closing Principal Balance as of Dec-31-18</v>
      </c>
      <c r="AD20" s="741" t="str">
        <f>CONCATENATE("Opening Interest Amounts as of Jan-1-",RIGHT(Y19,2))</f>
        <v>Opening Interest Amounts as of Jan-1-18</v>
      </c>
      <c r="AE20" s="741" t="str">
        <f>CONCATENATE("Interest Jan-1 to Dec-31-",RIGHT(Y19,2))</f>
        <v>Interest Jan-1 to Dec-31-18</v>
      </c>
      <c r="AF20" s="741" t="str">
        <f>CONCATENATE("OEB-Approved Disposition during ",Y19)</f>
        <v>OEB-Approved Disposition during 2018</v>
      </c>
      <c r="AG20" s="741" t="str">
        <f>CONCATENATE("Interest Adjustments(1) during ",Y19)</f>
        <v>Interest Adjustments(1) during 2018</v>
      </c>
      <c r="AH20" s="745" t="str">
        <f>CONCATENATE("Closing Interest Amounts as of Dec-31-",RIGHT(Y19,2))</f>
        <v>Closing Interest Amounts as of Dec-31-18</v>
      </c>
      <c r="AI20" s="754" t="str">
        <f>CONCATENATE("Opening Principal Amounts as of Jan-1-",RIGHT(AI19,2))</f>
        <v>Opening Principal Amounts as of Jan-1-19</v>
      </c>
      <c r="AJ20" s="741" t="str">
        <f>CONCATENATE("Transactions(1) Debit / (Credit) during ",AI19)</f>
        <v>Transactions(1) Debit / (Credit) during 2019</v>
      </c>
      <c r="AK20" s="741" t="str">
        <f>CONCATENATE("OEB-Approved Disposition during ",AI19)</f>
        <v>OEB-Approved Disposition during 2019</v>
      </c>
      <c r="AL20" s="741" t="str">
        <f>CONCATENATE("Principal Adjustments(1) during ",AI19)</f>
        <v>Principal Adjustments(1) during 2019</v>
      </c>
      <c r="AM20" s="741" t="str">
        <f>CONCATENATE("Closing Principal Balance as of Dec-31-",RIGHT(AI19,2))</f>
        <v>Closing Principal Balance as of Dec-31-19</v>
      </c>
      <c r="AN20" s="741" t="str">
        <f>CONCATENATE("Opening Interest Amounts as of Jan-1-",RIGHT(AI19,2))</f>
        <v>Opening Interest Amounts as of Jan-1-19</v>
      </c>
      <c r="AO20" s="741" t="str">
        <f>CONCATENATE("Interest Jan-1 to Dec-31-",RIGHT(AI19,2))</f>
        <v>Interest Jan-1 to Dec-31-19</v>
      </c>
      <c r="AP20" s="741" t="str">
        <f>CONCATENATE("OEB-Approved Disposition during ",AI19)</f>
        <v>OEB-Approved Disposition during 2019</v>
      </c>
      <c r="AQ20" s="741" t="str">
        <f>CONCATENATE("Interest Adjustments(1) during ",AI19)</f>
        <v>Interest Adjustments(1) during 2019</v>
      </c>
      <c r="AR20" s="745" t="str">
        <f>CONCATENATE("Closing Interest Amounts as of Dec-31-",RIGHT(AI19,2))</f>
        <v>Closing Interest Amounts as of Dec-31-19</v>
      </c>
      <c r="AS20" s="754" t="str">
        <f>CONCATENATE("Opening Principal Amounts as of Jan-1-",RIGHT(AS19,2))</f>
        <v>Opening Principal Amounts as of Jan-1-20</v>
      </c>
      <c r="AT20" s="741" t="str">
        <f>CONCATENATE("Transactions Debit / (Credit) during ",AS19)</f>
        <v>Transactions Debit / (Credit) during 2020</v>
      </c>
      <c r="AU20" s="741" t="str">
        <f>CONCATENATE("OEB-Approved Disposition during ",AS19)</f>
        <v>OEB-Approved Disposition during 2020</v>
      </c>
      <c r="AV20" s="741" t="str">
        <f>CONCATENATE("Principal Adjustments(1) during ",AS19)</f>
        <v>Principal Adjustments(1) during 2020</v>
      </c>
      <c r="AW20" s="741" t="str">
        <f>CONCATENATE("Closing Principal Balance as of Dec-31-",RIGHT(AS19,2))</f>
        <v>Closing Principal Balance as of Dec-31-20</v>
      </c>
      <c r="AX20" s="741" t="str">
        <f>CONCATENATE("Opening Interest Amounts as of Jan-1-",RIGHT(AS19,2))</f>
        <v>Opening Interest Amounts as of Jan-1-20</v>
      </c>
      <c r="AY20" s="741" t="str">
        <f>CONCATENATE("Interest Jan-1 to Dec-31-",RIGHT(AS19,2))</f>
        <v>Interest Jan-1 to Dec-31-20</v>
      </c>
      <c r="AZ20" s="741" t="str">
        <f>CONCATENATE("OEB-Approved Disposition during ",AS19)</f>
        <v>OEB-Approved Disposition during 2020</v>
      </c>
      <c r="BA20" s="741" t="str">
        <f>CONCATENATE("Interest Adjustments(1) during ",AS19)</f>
        <v>Interest Adjustments(1) during 2020</v>
      </c>
      <c r="BB20" s="745" t="str">
        <f>CONCATENATE("Closing Interest Amounts as of Dec-31-",RIGHT(AS19,2))</f>
        <v>Closing Interest Amounts as of Dec-31-20</v>
      </c>
      <c r="BC20" s="754" t="str">
        <f>CONCATENATE("Opening Principal Amounts as of Jan-1-",RIGHT(BC19,2))</f>
        <v>Opening Principal Amounts as of Jan-1-21</v>
      </c>
      <c r="BD20" s="741" t="str">
        <f>CONCATENATE("Transactions Debit / (Credit) during ",BC19)</f>
        <v>Transactions Debit / (Credit) during 2021</v>
      </c>
      <c r="BE20" s="741" t="str">
        <f>CONCATENATE("OEB-Approved Disposition during ",BC19)</f>
        <v>OEB-Approved Disposition during 2021</v>
      </c>
      <c r="BF20" s="741" t="str">
        <f>CONCATENATE("Principal Adjustments(1) during ",BC19)</f>
        <v>Principal Adjustments(1) during 2021</v>
      </c>
      <c r="BG20" s="741" t="str">
        <f>CONCATENATE("Closing Principal Balance as of Dec-31-",RIGHT(BC19,2))</f>
        <v>Closing Principal Balance as of Dec-31-21</v>
      </c>
      <c r="BH20" s="741" t="str">
        <f>CONCATENATE("Opening Interest Amounts as of Jan-1-",RIGHT(BC19,2))</f>
        <v>Opening Interest Amounts as of Jan-1-21</v>
      </c>
      <c r="BI20" s="741" t="str">
        <f>CONCATENATE("Interest Jan-1 to Dec-31-",RIGHT(BC19,2))</f>
        <v>Interest Jan-1 to Dec-31-21</v>
      </c>
      <c r="BJ20" s="741" t="str">
        <f>CONCATENATE("OEB-Approved Disposition during ",BC19)</f>
        <v>OEB-Approved Disposition during 2021</v>
      </c>
      <c r="BK20" s="741" t="str">
        <f>CONCATENATE("Interest Adjustments(1) during ",BC19)</f>
        <v>Interest Adjustments(1) during 2021</v>
      </c>
      <c r="BL20" s="745" t="str">
        <f>CONCATENATE("Closing Interest Amounts as of Dec-31-",RIGHT(BC19,2))</f>
        <v>Closing Interest Amounts as of Dec-31-21</v>
      </c>
      <c r="BM20" s="741" t="str">
        <f>CONCATENATE("Principal Disposition during ",BM19," - instructed by  OEB")</f>
        <v>Principal Disposition during 2022 - instructed by  OEB</v>
      </c>
      <c r="BN20" s="741" t="str">
        <f>CONCATENATE("Interest Disposition during ",BM19," - instructed by  OEB")</f>
        <v>Interest Disposition during 2022 - instructed by  OEB</v>
      </c>
      <c r="BO20" s="741" t="str">
        <f>CONCATENATE("Closing Principal Balances as of Dec 31-",RIGHT(BM19-1,2)," Adjusted for Dispositions during ",BM19)</f>
        <v>Closing Principal Balances as of Dec 31-21 Adjusted for Dispositions during 2022</v>
      </c>
      <c r="BP20" s="741" t="str">
        <f>CONCATENATE("Closing Interest Balances as of Dec 31-",RIGHT(BM19-1,2)," Adjusted for Dispositions during ",BM19)</f>
        <v>Closing Interest Balances as of Dec 31-21 Adjusted for Dispositions during 2022</v>
      </c>
      <c r="BQ20" s="754" t="str">
        <f>CONCATENATE("Projected Interest  from Jan 1, ",BM19," to December 31, ",BM19," on  Dec 31 -",RIGHT(BM19-1,2)," balance adjusted for disposition during ",BM19," (2)")</f>
        <v>Projected Interest  from Jan 1, 2022 to December 31, 2022 on  Dec 31 -21 balance adjusted for disposition during 2022 (2)</v>
      </c>
      <c r="BR20" s="741" t="str">
        <f>CONCATENATE("Projected Interest from January 1, ",BM19+1," to April 30, ",BM19+1," on Dec 31 -",RIGHT(BC19,2)," balance adjusted for disposition during ",BM19,"  (2)")</f>
        <v>Projected Interest from January 1, 2023 to April 30, 2023 on Dec 31 -21 balance adjusted for disposition during 2022  (2)</v>
      </c>
      <c r="BS20" s="741" t="s">
        <v>159</v>
      </c>
      <c r="BT20" s="779" t="s">
        <v>18</v>
      </c>
      <c r="BU20" s="757" t="s">
        <v>638</v>
      </c>
      <c r="BV20" s="757" t="str">
        <f>CONCATENATE("As of Dec 31-",RIGHT(BC19,2))</f>
        <v>As of Dec 31-21</v>
      </c>
      <c r="BW20" s="745" t="str">
        <f>CONCATENATE("Variance                           RRR vs. ",BC19," Balance                        (Principal + Interest)")</f>
        <v>Variance                           RRR vs. 2021 Balance                        (Principal + Interest)</v>
      </c>
    </row>
    <row r="21" spans="1:86" ht="24.75" customHeight="1" x14ac:dyDescent="0.2">
      <c r="C21" s="762"/>
      <c r="D21" s="764"/>
      <c r="E21" s="755"/>
      <c r="F21" s="742"/>
      <c r="G21" s="752"/>
      <c r="H21" s="752"/>
      <c r="I21" s="752"/>
      <c r="J21" s="742"/>
      <c r="K21" s="752"/>
      <c r="L21" s="752"/>
      <c r="M21" s="752"/>
      <c r="N21" s="746"/>
      <c r="O21" s="755"/>
      <c r="P21" s="742"/>
      <c r="Q21" s="752"/>
      <c r="R21" s="752"/>
      <c r="S21" s="752"/>
      <c r="T21" s="742"/>
      <c r="U21" s="752"/>
      <c r="V21" s="752"/>
      <c r="W21" s="752"/>
      <c r="X21" s="746"/>
      <c r="Y21" s="755"/>
      <c r="Z21" s="742"/>
      <c r="AA21" s="752"/>
      <c r="AB21" s="752"/>
      <c r="AC21" s="752"/>
      <c r="AD21" s="742"/>
      <c r="AE21" s="752"/>
      <c r="AF21" s="752"/>
      <c r="AG21" s="752"/>
      <c r="AH21" s="746"/>
      <c r="AI21" s="755"/>
      <c r="AJ21" s="742"/>
      <c r="AK21" s="752"/>
      <c r="AL21" s="752"/>
      <c r="AM21" s="752"/>
      <c r="AN21" s="742"/>
      <c r="AO21" s="752"/>
      <c r="AP21" s="752"/>
      <c r="AQ21" s="752"/>
      <c r="AR21" s="746"/>
      <c r="AS21" s="755"/>
      <c r="AT21" s="742"/>
      <c r="AU21" s="752"/>
      <c r="AV21" s="752"/>
      <c r="AW21" s="752"/>
      <c r="AX21" s="742"/>
      <c r="AY21" s="752"/>
      <c r="AZ21" s="752"/>
      <c r="BA21" s="752"/>
      <c r="BB21" s="746"/>
      <c r="BC21" s="755"/>
      <c r="BD21" s="742"/>
      <c r="BE21" s="752"/>
      <c r="BF21" s="752"/>
      <c r="BG21" s="752"/>
      <c r="BH21" s="742"/>
      <c r="BI21" s="752"/>
      <c r="BJ21" s="752"/>
      <c r="BK21" s="752"/>
      <c r="BL21" s="746"/>
      <c r="BM21" s="752"/>
      <c r="BN21" s="752"/>
      <c r="BO21" s="752"/>
      <c r="BP21" s="752"/>
      <c r="BQ21" s="755"/>
      <c r="BR21" s="742"/>
      <c r="BS21" s="742"/>
      <c r="BT21" s="780"/>
      <c r="BU21" s="758"/>
      <c r="BV21" s="758"/>
      <c r="BW21" s="746"/>
      <c r="BY21" s="782" t="s">
        <v>3038</v>
      </c>
      <c r="BZ21" s="783"/>
      <c r="CA21" s="783"/>
      <c r="CB21" s="783"/>
      <c r="CC21" s="783"/>
      <c r="CD21" s="783"/>
      <c r="CE21" s="783"/>
      <c r="CF21" s="783"/>
      <c r="CG21" s="783"/>
      <c r="CH21" s="784"/>
    </row>
    <row r="22" spans="1:86" ht="37.15" customHeight="1" thickBot="1" x14ac:dyDescent="0.25">
      <c r="B22" s="9"/>
      <c r="C22" s="762"/>
      <c r="D22" s="764"/>
      <c r="E22" s="756"/>
      <c r="F22" s="743"/>
      <c r="G22" s="753"/>
      <c r="H22" s="753"/>
      <c r="I22" s="753"/>
      <c r="J22" s="743"/>
      <c r="K22" s="753"/>
      <c r="L22" s="753"/>
      <c r="M22" s="753"/>
      <c r="N22" s="747"/>
      <c r="O22" s="756"/>
      <c r="P22" s="743"/>
      <c r="Q22" s="753"/>
      <c r="R22" s="753"/>
      <c r="S22" s="753"/>
      <c r="T22" s="743"/>
      <c r="U22" s="753"/>
      <c r="V22" s="753"/>
      <c r="W22" s="753"/>
      <c r="X22" s="747"/>
      <c r="Y22" s="756"/>
      <c r="Z22" s="743"/>
      <c r="AA22" s="753"/>
      <c r="AB22" s="753"/>
      <c r="AC22" s="753"/>
      <c r="AD22" s="743"/>
      <c r="AE22" s="753"/>
      <c r="AF22" s="753"/>
      <c r="AG22" s="753"/>
      <c r="AH22" s="747"/>
      <c r="AI22" s="756"/>
      <c r="AJ22" s="743"/>
      <c r="AK22" s="753"/>
      <c r="AL22" s="753"/>
      <c r="AM22" s="753"/>
      <c r="AN22" s="743"/>
      <c r="AO22" s="753"/>
      <c r="AP22" s="753"/>
      <c r="AQ22" s="753"/>
      <c r="AR22" s="747"/>
      <c r="AS22" s="756"/>
      <c r="AT22" s="743"/>
      <c r="AU22" s="753"/>
      <c r="AV22" s="753"/>
      <c r="AW22" s="753"/>
      <c r="AX22" s="743"/>
      <c r="AY22" s="753"/>
      <c r="AZ22" s="753"/>
      <c r="BA22" s="753"/>
      <c r="BB22" s="747"/>
      <c r="BC22" s="756"/>
      <c r="BD22" s="743"/>
      <c r="BE22" s="753"/>
      <c r="BF22" s="753"/>
      <c r="BG22" s="753"/>
      <c r="BH22" s="743"/>
      <c r="BI22" s="753"/>
      <c r="BJ22" s="753"/>
      <c r="BK22" s="753"/>
      <c r="BL22" s="747"/>
      <c r="BM22" s="753"/>
      <c r="BN22" s="753"/>
      <c r="BO22" s="753"/>
      <c r="BP22" s="753"/>
      <c r="BQ22" s="756"/>
      <c r="BR22" s="743"/>
      <c r="BS22" s="744" t="s">
        <v>11</v>
      </c>
      <c r="BT22" s="781" t="s">
        <v>11</v>
      </c>
      <c r="BU22" s="759"/>
      <c r="BV22" s="759"/>
      <c r="BW22" s="747"/>
      <c r="BY22" s="785"/>
      <c r="BZ22" s="786"/>
      <c r="CA22" s="786"/>
      <c r="CB22" s="786"/>
      <c r="CC22" s="786"/>
      <c r="CD22" s="786"/>
      <c r="CE22" s="786"/>
      <c r="CF22" s="786"/>
      <c r="CG22" s="786"/>
      <c r="CH22" s="787"/>
    </row>
    <row r="23" spans="1:86" s="58" customFormat="1" ht="33.75" hidden="1" customHeight="1" thickBot="1" x14ac:dyDescent="0.25">
      <c r="A23"/>
      <c r="B23" s="271">
        <v>1</v>
      </c>
      <c r="C23" s="204" t="s">
        <v>21</v>
      </c>
      <c r="D23" s="205"/>
      <c r="E23" s="76"/>
      <c r="F23" s="52"/>
      <c r="G23" s="53"/>
      <c r="H23" s="53"/>
      <c r="I23" s="53"/>
      <c r="J23" s="53"/>
      <c r="K23" s="53"/>
      <c r="L23" s="53"/>
      <c r="M23" s="53"/>
      <c r="N23" s="54"/>
      <c r="O23" s="51"/>
      <c r="P23" s="52"/>
      <c r="Q23" s="53"/>
      <c r="R23" s="53"/>
      <c r="S23" s="53"/>
      <c r="T23" s="53"/>
      <c r="U23" s="53"/>
      <c r="V23" s="53"/>
      <c r="W23" s="53"/>
      <c r="X23" s="54"/>
      <c r="Y23" s="51"/>
      <c r="Z23" s="52"/>
      <c r="AA23" s="53"/>
      <c r="AB23" s="53"/>
      <c r="AC23" s="53"/>
      <c r="AD23" s="53"/>
      <c r="AE23" s="53"/>
      <c r="AF23" s="53"/>
      <c r="AG23" s="53"/>
      <c r="AH23" s="54"/>
      <c r="AI23" s="51"/>
      <c r="AJ23" s="52"/>
      <c r="AK23" s="53"/>
      <c r="AL23" s="53"/>
      <c r="AM23" s="53"/>
      <c r="AN23" s="53"/>
      <c r="AO23" s="53"/>
      <c r="AP23" s="53"/>
      <c r="AQ23" s="53"/>
      <c r="AR23" s="54"/>
      <c r="AS23" s="51"/>
      <c r="AT23" s="52"/>
      <c r="AU23" s="53"/>
      <c r="AV23" s="53"/>
      <c r="AW23" s="53"/>
      <c r="AX23" s="53"/>
      <c r="AY23" s="53"/>
      <c r="AZ23" s="53"/>
      <c r="BA23" s="53"/>
      <c r="BB23" s="54"/>
      <c r="BC23" s="51"/>
      <c r="BD23" s="52"/>
      <c r="BE23" s="53"/>
      <c r="BF23" s="53"/>
      <c r="BG23" s="53"/>
      <c r="BH23" s="53"/>
      <c r="BI23" s="53"/>
      <c r="BJ23" s="53"/>
      <c r="BK23" s="53"/>
      <c r="BL23" s="54"/>
      <c r="BM23" s="55"/>
      <c r="BN23" s="56"/>
      <c r="BO23" s="53"/>
      <c r="BP23" s="57"/>
      <c r="BT23" s="59"/>
      <c r="BU23" s="345"/>
      <c r="BV23" s="60"/>
      <c r="BW23" s="61"/>
      <c r="BX23" s="343"/>
    </row>
    <row r="24" spans="1:86" s="58" customFormat="1" ht="15" hidden="1" customHeight="1" thickBot="1" x14ac:dyDescent="0.25">
      <c r="A24">
        <v>1</v>
      </c>
      <c r="B24" s="271">
        <v>2</v>
      </c>
      <c r="C24" s="193" t="s">
        <v>23</v>
      </c>
      <c r="D24" s="194">
        <v>1550</v>
      </c>
      <c r="F24" s="246"/>
      <c r="G24" s="68"/>
      <c r="H24" s="63"/>
      <c r="I24" s="52">
        <f>E24+F24-G24+H24</f>
        <v>0</v>
      </c>
      <c r="J24" s="150"/>
      <c r="K24" s="151"/>
      <c r="L24" s="63"/>
      <c r="M24" s="63"/>
      <c r="N24" s="64">
        <f>J24+K24-L24+M24</f>
        <v>0</v>
      </c>
      <c r="O24" s="65">
        <f>I24</f>
        <v>0</v>
      </c>
      <c r="P24" s="63"/>
      <c r="Q24" s="63"/>
      <c r="R24" s="63"/>
      <c r="S24" s="52">
        <f>O24+P24-Q24+R24</f>
        <v>0</v>
      </c>
      <c r="T24" s="66">
        <f>N24</f>
        <v>0</v>
      </c>
      <c r="U24" s="63"/>
      <c r="V24" s="63"/>
      <c r="W24" s="63"/>
      <c r="X24" s="64">
        <f>T24+U24-V24+W24</f>
        <v>0</v>
      </c>
      <c r="Y24" s="65">
        <f t="shared" ref="Y24:Y32" si="0">S24</f>
        <v>0</v>
      </c>
      <c r="Z24" s="63"/>
      <c r="AA24" s="63"/>
      <c r="AB24" s="63"/>
      <c r="AC24" s="52">
        <f>Y24+Z24-AA24+AB24</f>
        <v>0</v>
      </c>
      <c r="AD24" s="66">
        <f t="shared" ref="AD24:AD35" si="1">X24</f>
        <v>0</v>
      </c>
      <c r="AE24" s="63"/>
      <c r="AF24" s="63"/>
      <c r="AG24" s="63"/>
      <c r="AH24" s="64">
        <f>AD24+AE24-AF24+AG24</f>
        <v>0</v>
      </c>
      <c r="AI24" s="65">
        <f t="shared" ref="AI24:AI39" si="2">AC24</f>
        <v>0</v>
      </c>
      <c r="AJ24" s="63"/>
      <c r="AK24" s="63"/>
      <c r="AL24" s="63"/>
      <c r="AM24" s="52">
        <f>AI24+AJ24-AK24+SUM(AL24:AL24)</f>
        <v>0</v>
      </c>
      <c r="AN24" s="66">
        <f t="shared" ref="AN24:AN39" si="3">AH24</f>
        <v>0</v>
      </c>
      <c r="AO24" s="63"/>
      <c r="AP24" s="63"/>
      <c r="AQ24" s="63"/>
      <c r="AR24" s="64">
        <f>AN24+AO24-AP24+AQ24</f>
        <v>0</v>
      </c>
      <c r="AS24" s="65">
        <f t="shared" ref="AS24:AS32" si="4">AM24</f>
        <v>0</v>
      </c>
      <c r="AT24" s="63"/>
      <c r="AU24" s="63"/>
      <c r="AV24" s="63"/>
      <c r="AW24" s="52">
        <f>AS24+AT24-AU24+AV24</f>
        <v>0</v>
      </c>
      <c r="AX24" s="66">
        <f t="shared" ref="AX24:AX39" si="5">AR24</f>
        <v>0</v>
      </c>
      <c r="AY24" s="63"/>
      <c r="AZ24" s="63"/>
      <c r="BA24" s="63"/>
      <c r="BB24" s="64">
        <f>AX24+AY24-AZ24+BA24</f>
        <v>0</v>
      </c>
      <c r="BC24" s="65">
        <f t="shared" ref="BC24:BC32" si="6">AW24</f>
        <v>0</v>
      </c>
      <c r="BD24" s="63"/>
      <c r="BE24" s="63"/>
      <c r="BF24" s="63"/>
      <c r="BG24" s="52">
        <f>BC24+BD24-BE24+SUM(BF24:BF24)</f>
        <v>0</v>
      </c>
      <c r="BH24" s="66">
        <f t="shared" ref="BH24:BH29" si="7">BB24</f>
        <v>0</v>
      </c>
      <c r="BI24" s="63"/>
      <c r="BJ24" s="63"/>
      <c r="BK24" s="63"/>
      <c r="BL24" s="64">
        <f>BH24+BI24-BJ24+BK24</f>
        <v>0</v>
      </c>
      <c r="BM24" s="62"/>
      <c r="BN24" s="63"/>
      <c r="BO24" s="66">
        <f>BG24-BM24</f>
        <v>0</v>
      </c>
      <c r="BP24" s="67">
        <f>BL24-BN24</f>
        <v>0</v>
      </c>
      <c r="BQ24" s="68"/>
      <c r="BR24" s="63"/>
      <c r="BS24" s="202">
        <f t="shared" ref="BS24:BS38" si="8">BP24+BQ24+BR24</f>
        <v>0</v>
      </c>
      <c r="BT24" s="59">
        <f>SUM(BO24:BR24)</f>
        <v>0</v>
      </c>
      <c r="BU24" s="345"/>
      <c r="BV24" s="137"/>
      <c r="BW24" s="59">
        <f>BV24-SUM(BG24,BL24)</f>
        <v>0</v>
      </c>
      <c r="BX24" s="343"/>
    </row>
    <row r="25" spans="1:86" s="58" customFormat="1" ht="15" hidden="1" thickBot="1" x14ac:dyDescent="0.25">
      <c r="A25">
        <v>2</v>
      </c>
      <c r="B25" s="271">
        <v>3</v>
      </c>
      <c r="C25" s="193" t="s">
        <v>131</v>
      </c>
      <c r="D25" s="194">
        <v>1551</v>
      </c>
      <c r="E25" s="199"/>
      <c r="F25" s="186"/>
      <c r="G25" s="63"/>
      <c r="H25" s="63"/>
      <c r="I25" s="52"/>
      <c r="J25" s="320"/>
      <c r="K25" s="63"/>
      <c r="L25" s="63"/>
      <c r="M25" s="63"/>
      <c r="N25" s="64"/>
      <c r="O25" s="65"/>
      <c r="P25" s="63"/>
      <c r="Q25" s="63"/>
      <c r="R25" s="63"/>
      <c r="S25" s="52"/>
      <c r="T25" s="198"/>
      <c r="U25" s="63"/>
      <c r="V25" s="63"/>
      <c r="W25" s="63"/>
      <c r="X25" s="64"/>
      <c r="Y25" s="65">
        <f t="shared" si="0"/>
        <v>0</v>
      </c>
      <c r="Z25" s="63"/>
      <c r="AA25" s="63"/>
      <c r="AB25" s="63"/>
      <c r="AC25" s="52">
        <f>Y25+Z25-AA25+AB25</f>
        <v>0</v>
      </c>
      <c r="AD25" s="66">
        <f t="shared" si="1"/>
        <v>0</v>
      </c>
      <c r="AE25" s="63"/>
      <c r="AF25" s="63"/>
      <c r="AG25" s="63"/>
      <c r="AH25" s="64">
        <f>AD25+AE25-AF25+AG25</f>
        <v>0</v>
      </c>
      <c r="AI25" s="65">
        <f>AC25</f>
        <v>0</v>
      </c>
      <c r="AJ25" s="63"/>
      <c r="AK25" s="63"/>
      <c r="AL25" s="63"/>
      <c r="AM25" s="52">
        <f t="shared" ref="AM25:AM39" si="9">AI25+AJ25-AK25+SUM(AL25:AL25)</f>
        <v>0</v>
      </c>
      <c r="AN25" s="66">
        <f t="shared" si="3"/>
        <v>0</v>
      </c>
      <c r="AO25" s="63"/>
      <c r="AP25" s="186"/>
      <c r="AQ25" s="136"/>
      <c r="AR25" s="64">
        <f>AN25+AO25-AP25+AQ25</f>
        <v>0</v>
      </c>
      <c r="AS25" s="65">
        <f t="shared" si="4"/>
        <v>0</v>
      </c>
      <c r="AT25" s="63"/>
      <c r="AU25" s="63"/>
      <c r="AV25" s="63"/>
      <c r="AW25" s="52">
        <f>AS25+AT25-AU25+AV25</f>
        <v>0</v>
      </c>
      <c r="AX25" s="66">
        <f t="shared" si="5"/>
        <v>0</v>
      </c>
      <c r="AY25" s="63"/>
      <c r="AZ25" s="186"/>
      <c r="BA25" s="136"/>
      <c r="BB25" s="64">
        <f>AX25+AY25-AZ25+BA25</f>
        <v>0</v>
      </c>
      <c r="BC25" s="65">
        <f t="shared" si="6"/>
        <v>0</v>
      </c>
      <c r="BD25" s="63"/>
      <c r="BE25" s="63"/>
      <c r="BF25" s="63"/>
      <c r="BG25" s="52">
        <f t="shared" ref="BG25:BG39" si="10">BC25+BD25-BE25+SUM(BF25:BF25)</f>
        <v>0</v>
      </c>
      <c r="BH25" s="66">
        <f t="shared" si="7"/>
        <v>0</v>
      </c>
      <c r="BI25" s="63"/>
      <c r="BJ25" s="186"/>
      <c r="BK25" s="136"/>
      <c r="BL25" s="64">
        <f>BH25+BI25-BJ25+BK25</f>
        <v>0</v>
      </c>
      <c r="BM25" s="62"/>
      <c r="BN25" s="63"/>
      <c r="BO25" s="66">
        <f t="shared" ref="BO25:BO39" si="11">BG25-BM25</f>
        <v>0</v>
      </c>
      <c r="BP25" s="67">
        <f t="shared" ref="BP25:BP39" si="12">BL25-BN25</f>
        <v>0</v>
      </c>
      <c r="BQ25" s="68"/>
      <c r="BR25" s="63"/>
      <c r="BS25" s="202">
        <f t="shared" si="8"/>
        <v>0</v>
      </c>
      <c r="BT25" s="59">
        <f>SUM(BO25:BR25)</f>
        <v>0</v>
      </c>
      <c r="BU25" s="345"/>
      <c r="BV25" s="137"/>
      <c r="BW25" s="59">
        <f t="shared" ref="BW25:BW45" si="13">BV25-SUM(BG25,BL25)</f>
        <v>0</v>
      </c>
      <c r="BX25" s="343"/>
    </row>
    <row r="26" spans="1:86" s="58" customFormat="1" ht="17.25" hidden="1" thickBot="1" x14ac:dyDescent="0.25">
      <c r="A26">
        <v>3</v>
      </c>
      <c r="B26" s="271">
        <v>4</v>
      </c>
      <c r="C26" s="193" t="s">
        <v>403</v>
      </c>
      <c r="D26" s="194">
        <v>1580</v>
      </c>
      <c r="E26" s="148"/>
      <c r="F26" s="149"/>
      <c r="G26" s="63"/>
      <c r="H26" s="63"/>
      <c r="I26" s="52">
        <f>E26+F26-G26+H26</f>
        <v>0</v>
      </c>
      <c r="J26" s="150"/>
      <c r="K26" s="151"/>
      <c r="L26" s="63"/>
      <c r="M26" s="63"/>
      <c r="N26" s="64">
        <f>J26+K26-L26+M26</f>
        <v>0</v>
      </c>
      <c r="O26" s="65">
        <f t="shared" ref="O26:O34" si="14">I26</f>
        <v>0</v>
      </c>
      <c r="P26" s="171"/>
      <c r="Q26" s="63"/>
      <c r="R26" s="63"/>
      <c r="S26" s="52">
        <f>O26+P26-Q26+R26</f>
        <v>0</v>
      </c>
      <c r="T26" s="66">
        <f t="shared" ref="T26:T34" si="15">N26</f>
        <v>0</v>
      </c>
      <c r="U26" s="175"/>
      <c r="V26" s="63"/>
      <c r="W26" s="63"/>
      <c r="X26" s="64">
        <f t="shared" ref="X26:X34" si="16">T26+U26-V26+W26</f>
        <v>0</v>
      </c>
      <c r="Y26" s="65">
        <f t="shared" si="0"/>
        <v>0</v>
      </c>
      <c r="Z26" s="63"/>
      <c r="AA26" s="63"/>
      <c r="AB26" s="63"/>
      <c r="AC26" s="52">
        <f>Y26+Z26-AA26+AB26</f>
        <v>0</v>
      </c>
      <c r="AD26" s="66">
        <f t="shared" si="1"/>
        <v>0</v>
      </c>
      <c r="AE26" s="63"/>
      <c r="AF26" s="63"/>
      <c r="AG26" s="63"/>
      <c r="AH26" s="64">
        <f t="shared" ref="AH26:AH34" si="17">AD26+AE26-AF26+AG26</f>
        <v>0</v>
      </c>
      <c r="AI26" s="65">
        <f t="shared" si="2"/>
        <v>0</v>
      </c>
      <c r="AJ26" s="63"/>
      <c r="AK26" s="63"/>
      <c r="AL26" s="63"/>
      <c r="AM26" s="52">
        <f t="shared" si="9"/>
        <v>0</v>
      </c>
      <c r="AN26" s="66">
        <f t="shared" si="3"/>
        <v>0</v>
      </c>
      <c r="AO26" s="63"/>
      <c r="AP26" s="63"/>
      <c r="AQ26" s="63"/>
      <c r="AR26" s="64">
        <f t="shared" ref="AR26:AR34" si="18">AN26+AO26-AP26+AQ26</f>
        <v>0</v>
      </c>
      <c r="AS26" s="65">
        <f t="shared" si="4"/>
        <v>0</v>
      </c>
      <c r="AT26" s="63"/>
      <c r="AU26" s="63"/>
      <c r="AV26" s="63"/>
      <c r="AW26" s="52">
        <f>AS26+AT26-AU26+AV26</f>
        <v>0</v>
      </c>
      <c r="AX26" s="66">
        <f t="shared" si="5"/>
        <v>0</v>
      </c>
      <c r="AY26" s="63"/>
      <c r="AZ26" s="63"/>
      <c r="BA26" s="63"/>
      <c r="BB26" s="64">
        <f t="shared" ref="BB26:BB34" si="19">AX26+AY26-AZ26+BA26</f>
        <v>0</v>
      </c>
      <c r="BC26" s="65">
        <f t="shared" si="6"/>
        <v>0</v>
      </c>
      <c r="BD26" s="63"/>
      <c r="BE26" s="63"/>
      <c r="BF26" s="63"/>
      <c r="BG26" s="52">
        <f t="shared" si="10"/>
        <v>0</v>
      </c>
      <c r="BH26" s="66">
        <f t="shared" si="7"/>
        <v>0</v>
      </c>
      <c r="BI26" s="63"/>
      <c r="BJ26" s="63"/>
      <c r="BK26" s="63"/>
      <c r="BL26" s="64">
        <f t="shared" ref="BL26:BL34" si="20">BH26+BI26-BJ26+BK26</f>
        <v>0</v>
      </c>
      <c r="BM26" s="62"/>
      <c r="BN26" s="63"/>
      <c r="BO26" s="66">
        <f t="shared" si="11"/>
        <v>0</v>
      </c>
      <c r="BP26" s="67">
        <f t="shared" si="12"/>
        <v>0</v>
      </c>
      <c r="BQ26" s="68"/>
      <c r="BR26" s="63"/>
      <c r="BS26" s="202">
        <f t="shared" si="8"/>
        <v>0</v>
      </c>
      <c r="BT26" s="59">
        <f>SUM(BO26:BR26)</f>
        <v>0</v>
      </c>
      <c r="BU26" s="345"/>
      <c r="BV26" s="137"/>
      <c r="BW26" s="59">
        <f t="shared" si="13"/>
        <v>0</v>
      </c>
      <c r="BX26" s="343"/>
    </row>
    <row r="27" spans="1:86" s="58" customFormat="1" ht="17.25" hidden="1" thickBot="1" x14ac:dyDescent="0.25">
      <c r="A27">
        <v>3.1</v>
      </c>
      <c r="B27" s="271">
        <v>5</v>
      </c>
      <c r="C27" s="193" t="s">
        <v>404</v>
      </c>
      <c r="D27" s="194">
        <v>1580</v>
      </c>
      <c r="E27" s="199"/>
      <c r="F27" s="63"/>
      <c r="G27" s="63"/>
      <c r="H27" s="63"/>
      <c r="I27" s="52"/>
      <c r="J27" s="320"/>
      <c r="K27" s="63"/>
      <c r="L27" s="63"/>
      <c r="M27" s="63"/>
      <c r="N27" s="64"/>
      <c r="O27" s="199"/>
      <c r="P27" s="63"/>
      <c r="Q27" s="63"/>
      <c r="R27" s="63"/>
      <c r="S27" s="52"/>
      <c r="T27" s="198"/>
      <c r="U27" s="63"/>
      <c r="V27" s="63"/>
      <c r="W27" s="63"/>
      <c r="X27" s="64"/>
      <c r="Y27" s="199"/>
      <c r="Z27" s="63"/>
      <c r="AA27" s="63"/>
      <c r="AB27" s="63"/>
      <c r="AC27" s="52"/>
      <c r="AD27" s="198"/>
      <c r="AE27" s="63"/>
      <c r="AF27" s="63"/>
      <c r="AG27" s="63"/>
      <c r="AH27" s="64"/>
      <c r="AI27" s="199"/>
      <c r="AJ27" s="63"/>
      <c r="AK27" s="63"/>
      <c r="AL27" s="63"/>
      <c r="AM27" s="52"/>
      <c r="AN27" s="198"/>
      <c r="AO27" s="63"/>
      <c r="AP27" s="63"/>
      <c r="AQ27" s="63"/>
      <c r="AR27" s="64"/>
      <c r="AS27" s="65">
        <f t="shared" si="4"/>
        <v>0</v>
      </c>
      <c r="AT27" s="63"/>
      <c r="AU27" s="63"/>
      <c r="AV27" s="63"/>
      <c r="AW27" s="52">
        <f>AS27+AT27-AU27+AV27</f>
        <v>0</v>
      </c>
      <c r="AX27" s="66">
        <f t="shared" si="5"/>
        <v>0</v>
      </c>
      <c r="AY27" s="63"/>
      <c r="AZ27" s="63"/>
      <c r="BA27" s="63"/>
      <c r="BB27" s="64">
        <f t="shared" si="19"/>
        <v>0</v>
      </c>
      <c r="BC27" s="65">
        <f t="shared" si="6"/>
        <v>0</v>
      </c>
      <c r="BD27" s="63"/>
      <c r="BE27" s="63"/>
      <c r="BF27" s="63"/>
      <c r="BG27" s="52">
        <f t="shared" si="10"/>
        <v>0</v>
      </c>
      <c r="BH27" s="66">
        <f t="shared" si="7"/>
        <v>0</v>
      </c>
      <c r="BI27" s="63"/>
      <c r="BJ27" s="63"/>
      <c r="BK27" s="63"/>
      <c r="BL27" s="64">
        <f t="shared" si="20"/>
        <v>0</v>
      </c>
      <c r="BM27" s="62"/>
      <c r="BN27" s="63"/>
      <c r="BO27" s="66">
        <f t="shared" si="11"/>
        <v>0</v>
      </c>
      <c r="BP27" s="67">
        <f t="shared" si="12"/>
        <v>0</v>
      </c>
      <c r="BQ27" s="68"/>
      <c r="BR27" s="63"/>
      <c r="BS27" s="202">
        <f t="shared" si="8"/>
        <v>0</v>
      </c>
      <c r="BT27" s="59">
        <v>0</v>
      </c>
      <c r="BU27" s="345"/>
      <c r="BV27" s="137">
        <v>0</v>
      </c>
      <c r="BW27" s="59">
        <f>BV27-SUM(BG27,BL27)</f>
        <v>0</v>
      </c>
      <c r="BX27" s="343"/>
      <c r="CB27" s="37" t="s">
        <v>161</v>
      </c>
      <c r="CC27" s="262" t="b">
        <v>1</v>
      </c>
    </row>
    <row r="28" spans="1:86" s="58" customFormat="1" ht="17.25" hidden="1" thickBot="1" x14ac:dyDescent="0.25">
      <c r="A28">
        <v>3.2</v>
      </c>
      <c r="B28" s="271">
        <v>6</v>
      </c>
      <c r="C28" s="193" t="s">
        <v>405</v>
      </c>
      <c r="D28" s="194">
        <v>1580</v>
      </c>
      <c r="E28" s="199"/>
      <c r="F28" s="63"/>
      <c r="G28" s="63"/>
      <c r="H28" s="63"/>
      <c r="I28" s="52"/>
      <c r="J28" s="320"/>
      <c r="K28" s="63"/>
      <c r="L28" s="63"/>
      <c r="M28" s="63"/>
      <c r="N28" s="64"/>
      <c r="O28" s="199"/>
      <c r="P28" s="63"/>
      <c r="Q28" s="63"/>
      <c r="R28" s="63"/>
      <c r="S28" s="52"/>
      <c r="T28" s="198"/>
      <c r="U28" s="63"/>
      <c r="V28" s="63"/>
      <c r="W28" s="63"/>
      <c r="X28" s="64"/>
      <c r="Y28" s="199"/>
      <c r="Z28" s="63"/>
      <c r="AA28" s="63"/>
      <c r="AB28" s="63"/>
      <c r="AC28" s="52"/>
      <c r="AD28" s="198"/>
      <c r="AE28" s="63"/>
      <c r="AF28" s="63"/>
      <c r="AG28" s="63"/>
      <c r="AH28" s="64"/>
      <c r="AI28" s="199"/>
      <c r="AJ28" s="63"/>
      <c r="AK28" s="63"/>
      <c r="AL28" s="63"/>
      <c r="AM28" s="52"/>
      <c r="AN28" s="198"/>
      <c r="AO28" s="63"/>
      <c r="AP28" s="63"/>
      <c r="AQ28" s="63"/>
      <c r="AR28" s="64"/>
      <c r="AS28" s="65">
        <f t="shared" si="4"/>
        <v>0</v>
      </c>
      <c r="AT28" s="63"/>
      <c r="AU28" s="63"/>
      <c r="AV28" s="63"/>
      <c r="AW28" s="52">
        <f>AS28+AT28-AU28+AV28</f>
        <v>0</v>
      </c>
      <c r="AX28" s="66">
        <f t="shared" si="5"/>
        <v>0</v>
      </c>
      <c r="AY28" s="63"/>
      <c r="AZ28" s="63"/>
      <c r="BA28" s="63"/>
      <c r="BB28" s="64">
        <f t="shared" si="19"/>
        <v>0</v>
      </c>
      <c r="BC28" s="65">
        <f t="shared" si="6"/>
        <v>0</v>
      </c>
      <c r="BD28" s="63"/>
      <c r="BE28" s="63"/>
      <c r="BF28" s="63"/>
      <c r="BG28" s="52">
        <f t="shared" si="10"/>
        <v>0</v>
      </c>
      <c r="BH28" s="66">
        <f t="shared" si="7"/>
        <v>0</v>
      </c>
      <c r="BI28" s="63"/>
      <c r="BJ28" s="63"/>
      <c r="BK28" s="63"/>
      <c r="BL28" s="64">
        <f t="shared" si="20"/>
        <v>0</v>
      </c>
      <c r="BM28" s="62"/>
      <c r="BN28" s="63"/>
      <c r="BO28" s="66">
        <f t="shared" si="11"/>
        <v>0</v>
      </c>
      <c r="BP28" s="67">
        <f t="shared" si="12"/>
        <v>0</v>
      </c>
      <c r="BQ28" s="68"/>
      <c r="BR28" s="63"/>
      <c r="BS28" s="202">
        <f t="shared" si="8"/>
        <v>0</v>
      </c>
      <c r="BT28" s="59">
        <f>IF(CC28=TRUE, SUM(BO28:BR28), 0)</f>
        <v>0</v>
      </c>
      <c r="BU28" s="345"/>
      <c r="BV28" s="137">
        <v>0</v>
      </c>
      <c r="BW28" s="59">
        <f>BV28-SUM(BG28,BL28)</f>
        <v>0</v>
      </c>
      <c r="BX28" s="343"/>
      <c r="CB28" s="37" t="s">
        <v>162</v>
      </c>
      <c r="CC28" s="263" t="b">
        <v>1</v>
      </c>
    </row>
    <row r="29" spans="1:86" s="58" customFormat="1" ht="15" hidden="1" thickBot="1" x14ac:dyDescent="0.25">
      <c r="A29">
        <v>4</v>
      </c>
      <c r="B29" s="271">
        <v>7</v>
      </c>
      <c r="C29" s="193" t="s">
        <v>2</v>
      </c>
      <c r="D29" s="194">
        <v>1584</v>
      </c>
      <c r="E29" s="148"/>
      <c r="F29" s="149"/>
      <c r="G29" s="63"/>
      <c r="H29" s="63"/>
      <c r="I29" s="52">
        <f t="shared" ref="I29:I39" si="21">E29+F29-G29+H29</f>
        <v>0</v>
      </c>
      <c r="J29" s="150"/>
      <c r="K29" s="151"/>
      <c r="L29" s="63"/>
      <c r="M29" s="63"/>
      <c r="N29" s="64">
        <f t="shared" ref="N29:N39" si="22">J29+K29-L29+M29</f>
        <v>0</v>
      </c>
      <c r="O29" s="65">
        <f t="shared" si="14"/>
        <v>0</v>
      </c>
      <c r="P29" s="172"/>
      <c r="Q29" s="63"/>
      <c r="R29" s="63"/>
      <c r="S29" s="52">
        <f>O29+P29-Q29+R29</f>
        <v>0</v>
      </c>
      <c r="T29" s="66">
        <f t="shared" si="15"/>
        <v>0</v>
      </c>
      <c r="U29" s="175"/>
      <c r="V29" s="63"/>
      <c r="W29" s="63"/>
      <c r="X29" s="64">
        <f t="shared" si="16"/>
        <v>0</v>
      </c>
      <c r="Y29" s="65">
        <f t="shared" si="0"/>
        <v>0</v>
      </c>
      <c r="Z29" s="63"/>
      <c r="AA29" s="63"/>
      <c r="AB29" s="63"/>
      <c r="AC29" s="52">
        <f>Y29+Z29-AA29+AB29</f>
        <v>0</v>
      </c>
      <c r="AD29" s="66">
        <f t="shared" si="1"/>
        <v>0</v>
      </c>
      <c r="AE29" s="63"/>
      <c r="AF29" s="63"/>
      <c r="AG29" s="63"/>
      <c r="AH29" s="64">
        <f t="shared" si="17"/>
        <v>0</v>
      </c>
      <c r="AI29" s="65">
        <f t="shared" si="2"/>
        <v>0</v>
      </c>
      <c r="AJ29" s="63"/>
      <c r="AK29" s="63"/>
      <c r="AL29" s="63"/>
      <c r="AM29" s="52">
        <f t="shared" si="9"/>
        <v>0</v>
      </c>
      <c r="AN29" s="66">
        <f t="shared" si="3"/>
        <v>0</v>
      </c>
      <c r="AO29" s="63"/>
      <c r="AP29" s="63"/>
      <c r="AQ29" s="63"/>
      <c r="AR29" s="64">
        <f t="shared" si="18"/>
        <v>0</v>
      </c>
      <c r="AS29" s="65">
        <f t="shared" si="4"/>
        <v>0</v>
      </c>
      <c r="AT29" s="63"/>
      <c r="AU29" s="63"/>
      <c r="AV29" s="63"/>
      <c r="AW29" s="52">
        <f t="shared" ref="AW29:AW40" si="23">AS29+AT29-AU29+AV29</f>
        <v>0</v>
      </c>
      <c r="AX29" s="66">
        <f t="shared" si="5"/>
        <v>0</v>
      </c>
      <c r="AY29" s="63"/>
      <c r="AZ29" s="63"/>
      <c r="BA29" s="63"/>
      <c r="BB29" s="64">
        <f t="shared" si="19"/>
        <v>0</v>
      </c>
      <c r="BC29" s="65">
        <f t="shared" si="6"/>
        <v>0</v>
      </c>
      <c r="BD29" s="63"/>
      <c r="BE29" s="63"/>
      <c r="BF29" s="63"/>
      <c r="BG29" s="52">
        <f t="shared" ref="BG29:BG35" si="24">BC29+BD29-BE29+SUM(BF29:BF29)</f>
        <v>0</v>
      </c>
      <c r="BH29" s="66">
        <f t="shared" si="7"/>
        <v>0</v>
      </c>
      <c r="BI29" s="63"/>
      <c r="BJ29" s="63"/>
      <c r="BK29" s="63"/>
      <c r="BL29" s="64">
        <f t="shared" si="20"/>
        <v>0</v>
      </c>
      <c r="BM29" s="62"/>
      <c r="BN29" s="63"/>
      <c r="BO29" s="66">
        <f t="shared" si="11"/>
        <v>0</v>
      </c>
      <c r="BP29" s="67">
        <f t="shared" si="12"/>
        <v>0</v>
      </c>
      <c r="BQ29" s="68"/>
      <c r="BR29" s="63"/>
      <c r="BS29" s="202">
        <f t="shared" si="8"/>
        <v>0</v>
      </c>
      <c r="BT29" s="59">
        <f>SUM(BO29:BR29)</f>
        <v>0</v>
      </c>
      <c r="BU29" s="345"/>
      <c r="BV29" s="137"/>
      <c r="BW29" s="59">
        <f t="shared" si="13"/>
        <v>0</v>
      </c>
      <c r="BX29" s="343"/>
      <c r="CC29" s="263"/>
    </row>
    <row r="30" spans="1:86" s="58" customFormat="1" ht="15" hidden="1" thickBot="1" x14ac:dyDescent="0.25">
      <c r="A30">
        <v>5</v>
      </c>
      <c r="B30" s="271">
        <v>8</v>
      </c>
      <c r="C30" s="193" t="s">
        <v>3</v>
      </c>
      <c r="D30" s="194">
        <v>1586</v>
      </c>
      <c r="E30" s="148"/>
      <c r="F30" s="149"/>
      <c r="G30" s="63"/>
      <c r="H30" s="63"/>
      <c r="I30" s="52">
        <f t="shared" si="21"/>
        <v>0</v>
      </c>
      <c r="J30" s="150"/>
      <c r="K30" s="151"/>
      <c r="L30" s="63"/>
      <c r="M30" s="63"/>
      <c r="N30" s="64">
        <f t="shared" si="22"/>
        <v>0</v>
      </c>
      <c r="O30" s="65">
        <f t="shared" si="14"/>
        <v>0</v>
      </c>
      <c r="P30" s="172"/>
      <c r="Q30" s="63"/>
      <c r="R30" s="63"/>
      <c r="S30" s="52">
        <f t="shared" ref="S30:S40" si="25">O30+P30-Q30+R30</f>
        <v>0</v>
      </c>
      <c r="T30" s="66">
        <f t="shared" si="15"/>
        <v>0</v>
      </c>
      <c r="U30" s="175"/>
      <c r="V30" s="63"/>
      <c r="W30" s="63"/>
      <c r="X30" s="64">
        <f t="shared" si="16"/>
        <v>0</v>
      </c>
      <c r="Y30" s="65">
        <f t="shared" si="0"/>
        <v>0</v>
      </c>
      <c r="Z30" s="63"/>
      <c r="AA30" s="63"/>
      <c r="AB30" s="63"/>
      <c r="AC30" s="52">
        <f t="shared" ref="AC30:AC40" si="26">Y30+Z30-AA30+AB30</f>
        <v>0</v>
      </c>
      <c r="AD30" s="66">
        <f t="shared" si="1"/>
        <v>0</v>
      </c>
      <c r="AE30" s="63"/>
      <c r="AF30" s="63"/>
      <c r="AG30" s="63"/>
      <c r="AH30" s="64">
        <f t="shared" si="17"/>
        <v>0</v>
      </c>
      <c r="AI30" s="65">
        <f t="shared" si="2"/>
        <v>0</v>
      </c>
      <c r="AJ30" s="63"/>
      <c r="AK30" s="63"/>
      <c r="AL30" s="63"/>
      <c r="AM30" s="52">
        <f t="shared" si="9"/>
        <v>0</v>
      </c>
      <c r="AN30" s="66">
        <f t="shared" si="3"/>
        <v>0</v>
      </c>
      <c r="AO30" s="63"/>
      <c r="AP30" s="63"/>
      <c r="AQ30" s="63"/>
      <c r="AR30" s="64">
        <f t="shared" si="18"/>
        <v>0</v>
      </c>
      <c r="AS30" s="65">
        <f t="shared" si="4"/>
        <v>0</v>
      </c>
      <c r="AT30" s="63"/>
      <c r="AU30" s="63"/>
      <c r="AV30" s="63"/>
      <c r="AW30" s="52">
        <f t="shared" si="23"/>
        <v>0</v>
      </c>
      <c r="AX30" s="66">
        <f t="shared" si="5"/>
        <v>0</v>
      </c>
      <c r="AY30" s="63"/>
      <c r="AZ30" s="63"/>
      <c r="BA30" s="63"/>
      <c r="BB30" s="64">
        <f t="shared" si="19"/>
        <v>0</v>
      </c>
      <c r="BC30" s="65">
        <f t="shared" si="6"/>
        <v>0</v>
      </c>
      <c r="BD30" s="63"/>
      <c r="BE30" s="63"/>
      <c r="BF30" s="63"/>
      <c r="BG30" s="52">
        <f t="shared" si="24"/>
        <v>0</v>
      </c>
      <c r="BH30" s="66">
        <f t="shared" ref="BH30:BH39" si="27">BB30</f>
        <v>0</v>
      </c>
      <c r="BI30" s="63"/>
      <c r="BJ30" s="63"/>
      <c r="BK30" s="63"/>
      <c r="BL30" s="64">
        <f t="shared" si="20"/>
        <v>0</v>
      </c>
      <c r="BM30" s="62"/>
      <c r="BN30" s="63"/>
      <c r="BO30" s="66">
        <f t="shared" si="11"/>
        <v>0</v>
      </c>
      <c r="BP30" s="67">
        <f t="shared" si="12"/>
        <v>0</v>
      </c>
      <c r="BQ30" s="68"/>
      <c r="BR30" s="63"/>
      <c r="BS30" s="202">
        <f t="shared" si="8"/>
        <v>0</v>
      </c>
      <c r="BT30" s="59">
        <f>SUM(BO30:BR30)</f>
        <v>0</v>
      </c>
      <c r="BU30" s="345"/>
      <c r="BV30" s="137"/>
      <c r="BW30" s="59">
        <f t="shared" si="13"/>
        <v>0</v>
      </c>
      <c r="BX30" s="343"/>
      <c r="CC30" s="263"/>
    </row>
    <row r="31" spans="1:86" s="58" customFormat="1" ht="17.25" hidden="1" thickBot="1" x14ac:dyDescent="0.25">
      <c r="A31">
        <v>6</v>
      </c>
      <c r="B31" s="271">
        <v>9</v>
      </c>
      <c r="C31" s="193" t="s">
        <v>416</v>
      </c>
      <c r="D31" s="194">
        <v>1588</v>
      </c>
      <c r="E31" s="135"/>
      <c r="F31" s="149"/>
      <c r="G31" s="63"/>
      <c r="H31" s="63"/>
      <c r="I31" s="52">
        <f t="shared" si="21"/>
        <v>0</v>
      </c>
      <c r="J31" s="63"/>
      <c r="K31" s="63"/>
      <c r="L31" s="63"/>
      <c r="M31" s="63"/>
      <c r="N31" s="64">
        <f t="shared" si="22"/>
        <v>0</v>
      </c>
      <c r="O31" s="65">
        <f t="shared" si="14"/>
        <v>0</v>
      </c>
      <c r="P31" s="63"/>
      <c r="Q31" s="63"/>
      <c r="R31" s="63"/>
      <c r="S31" s="52">
        <f t="shared" si="25"/>
        <v>0</v>
      </c>
      <c r="T31" s="66">
        <f t="shared" si="15"/>
        <v>0</v>
      </c>
      <c r="U31" s="63"/>
      <c r="V31" s="63"/>
      <c r="W31" s="63"/>
      <c r="X31" s="64">
        <f t="shared" si="16"/>
        <v>0</v>
      </c>
      <c r="Y31" s="65">
        <f t="shared" si="0"/>
        <v>0</v>
      </c>
      <c r="Z31" s="63"/>
      <c r="AA31" s="63"/>
      <c r="AB31" s="63"/>
      <c r="AC31" s="52">
        <f t="shared" si="26"/>
        <v>0</v>
      </c>
      <c r="AD31" s="66">
        <f t="shared" si="1"/>
        <v>0</v>
      </c>
      <c r="AE31" s="63"/>
      <c r="AF31" s="63"/>
      <c r="AG31" s="63"/>
      <c r="AH31" s="64">
        <f t="shared" si="17"/>
        <v>0</v>
      </c>
      <c r="AI31" s="65">
        <f t="shared" si="2"/>
        <v>0</v>
      </c>
      <c r="AJ31" s="63"/>
      <c r="AK31" s="63"/>
      <c r="AL31" s="63"/>
      <c r="AM31" s="52">
        <f t="shared" si="9"/>
        <v>0</v>
      </c>
      <c r="AN31" s="66">
        <f t="shared" si="3"/>
        <v>0</v>
      </c>
      <c r="AO31" s="63"/>
      <c r="AP31" s="63"/>
      <c r="AQ31" s="63"/>
      <c r="AR31" s="64">
        <f t="shared" si="18"/>
        <v>0</v>
      </c>
      <c r="AS31" s="65">
        <f t="shared" si="4"/>
        <v>0</v>
      </c>
      <c r="AT31" s="63"/>
      <c r="AU31" s="63"/>
      <c r="AV31" s="63"/>
      <c r="AW31" s="52">
        <f t="shared" si="23"/>
        <v>0</v>
      </c>
      <c r="AX31" s="66">
        <f t="shared" si="5"/>
        <v>0</v>
      </c>
      <c r="AY31" s="63"/>
      <c r="AZ31" s="63"/>
      <c r="BA31" s="63"/>
      <c r="BB31" s="64">
        <f t="shared" si="19"/>
        <v>0</v>
      </c>
      <c r="BC31" s="65">
        <f t="shared" si="6"/>
        <v>0</v>
      </c>
      <c r="BD31" s="63"/>
      <c r="BE31" s="63"/>
      <c r="BF31" s="63"/>
      <c r="BG31" s="52">
        <f t="shared" si="24"/>
        <v>0</v>
      </c>
      <c r="BH31" s="66">
        <f t="shared" si="27"/>
        <v>0</v>
      </c>
      <c r="BI31" s="63"/>
      <c r="BJ31" s="63"/>
      <c r="BK31" s="63"/>
      <c r="BL31" s="64">
        <f t="shared" si="20"/>
        <v>0</v>
      </c>
      <c r="BM31" s="62"/>
      <c r="BN31" s="63"/>
      <c r="BO31" s="66">
        <f t="shared" si="11"/>
        <v>0</v>
      </c>
      <c r="BP31" s="67">
        <f t="shared" si="12"/>
        <v>0</v>
      </c>
      <c r="BQ31" s="68"/>
      <c r="BR31" s="63"/>
      <c r="BS31" s="202">
        <f t="shared" si="8"/>
        <v>0</v>
      </c>
      <c r="BT31" s="59">
        <f>SUM(BO31:BR31)</f>
        <v>0</v>
      </c>
      <c r="BU31" s="345"/>
      <c r="BV31" s="137"/>
      <c r="BW31" s="59">
        <f t="shared" si="13"/>
        <v>0</v>
      </c>
      <c r="BX31" s="343"/>
      <c r="CC31" s="263"/>
    </row>
    <row r="32" spans="1:86" s="58" customFormat="1" ht="17.25" hidden="1" thickBot="1" x14ac:dyDescent="0.25">
      <c r="A32">
        <v>7</v>
      </c>
      <c r="B32" s="271">
        <v>10</v>
      </c>
      <c r="C32" s="193" t="s">
        <v>417</v>
      </c>
      <c r="D32" s="194">
        <v>1589</v>
      </c>
      <c r="E32" s="148"/>
      <c r="F32" s="149"/>
      <c r="G32" s="63"/>
      <c r="H32" s="63"/>
      <c r="I32" s="52">
        <f t="shared" si="21"/>
        <v>0</v>
      </c>
      <c r="J32" s="152"/>
      <c r="K32" s="153"/>
      <c r="L32" s="63"/>
      <c r="M32" s="63"/>
      <c r="N32" s="64">
        <f t="shared" si="22"/>
        <v>0</v>
      </c>
      <c r="O32" s="65">
        <f t="shared" si="14"/>
        <v>0</v>
      </c>
      <c r="P32" s="173"/>
      <c r="Q32" s="63"/>
      <c r="R32" s="63"/>
      <c r="S32" s="52">
        <f t="shared" si="25"/>
        <v>0</v>
      </c>
      <c r="T32" s="66">
        <f t="shared" si="15"/>
        <v>0</v>
      </c>
      <c r="U32" s="176"/>
      <c r="V32" s="63"/>
      <c r="W32" s="63"/>
      <c r="X32" s="64">
        <f t="shared" si="16"/>
        <v>0</v>
      </c>
      <c r="Y32" s="65">
        <f t="shared" si="0"/>
        <v>0</v>
      </c>
      <c r="Z32" s="63"/>
      <c r="AA32" s="63"/>
      <c r="AB32" s="63"/>
      <c r="AC32" s="52">
        <f t="shared" si="26"/>
        <v>0</v>
      </c>
      <c r="AD32" s="66">
        <f t="shared" si="1"/>
        <v>0</v>
      </c>
      <c r="AE32" s="63"/>
      <c r="AF32" s="63"/>
      <c r="AG32" s="63"/>
      <c r="AH32" s="64">
        <f t="shared" si="17"/>
        <v>0</v>
      </c>
      <c r="AI32" s="65">
        <f t="shared" si="2"/>
        <v>0</v>
      </c>
      <c r="AJ32" s="63"/>
      <c r="AK32" s="63"/>
      <c r="AL32" s="63"/>
      <c r="AM32" s="52">
        <f t="shared" si="9"/>
        <v>0</v>
      </c>
      <c r="AN32" s="66">
        <f t="shared" si="3"/>
        <v>0</v>
      </c>
      <c r="AO32" s="63"/>
      <c r="AP32" s="63"/>
      <c r="AQ32" s="63"/>
      <c r="AR32" s="64">
        <f t="shared" si="18"/>
        <v>0</v>
      </c>
      <c r="AS32" s="65">
        <f t="shared" si="4"/>
        <v>0</v>
      </c>
      <c r="AT32" s="63"/>
      <c r="AU32" s="63"/>
      <c r="AV32" s="63"/>
      <c r="AW32" s="52">
        <f t="shared" si="23"/>
        <v>0</v>
      </c>
      <c r="AX32" s="66">
        <f t="shared" si="5"/>
        <v>0</v>
      </c>
      <c r="AY32" s="63"/>
      <c r="AZ32" s="63"/>
      <c r="BA32" s="63"/>
      <c r="BB32" s="64">
        <f t="shared" si="19"/>
        <v>0</v>
      </c>
      <c r="BC32" s="65">
        <f t="shared" si="6"/>
        <v>0</v>
      </c>
      <c r="BD32" s="63"/>
      <c r="BE32" s="63"/>
      <c r="BF32" s="63"/>
      <c r="BG32" s="52">
        <f t="shared" si="24"/>
        <v>0</v>
      </c>
      <c r="BH32" s="66">
        <f t="shared" si="27"/>
        <v>0</v>
      </c>
      <c r="BI32" s="63"/>
      <c r="BJ32" s="63"/>
      <c r="BK32" s="63"/>
      <c r="BL32" s="64">
        <f t="shared" si="20"/>
        <v>0</v>
      </c>
      <c r="BM32" s="62"/>
      <c r="BN32" s="63"/>
      <c r="BO32" s="66">
        <f t="shared" si="11"/>
        <v>0</v>
      </c>
      <c r="BP32" s="67">
        <f t="shared" si="12"/>
        <v>0</v>
      </c>
      <c r="BQ32" s="68"/>
      <c r="BR32" s="63"/>
      <c r="BS32" s="202">
        <f t="shared" si="8"/>
        <v>0</v>
      </c>
      <c r="BT32" s="59">
        <f>SUM(BO32:BR32)</f>
        <v>0</v>
      </c>
      <c r="BU32" s="345"/>
      <c r="BV32" s="137"/>
      <c r="BW32" s="59">
        <f t="shared" si="13"/>
        <v>0</v>
      </c>
      <c r="BX32" s="343"/>
      <c r="CC32" s="263"/>
    </row>
    <row r="33" spans="1:81" s="58" customFormat="1" ht="17.25" hidden="1" thickBot="1" x14ac:dyDescent="0.25">
      <c r="A33">
        <v>8</v>
      </c>
      <c r="B33" s="271">
        <v>11</v>
      </c>
      <c r="C33" s="195" t="s">
        <v>36</v>
      </c>
      <c r="D33" s="194">
        <v>1595</v>
      </c>
      <c r="E33" s="135"/>
      <c r="F33" s="149"/>
      <c r="G33" s="63"/>
      <c r="H33" s="63"/>
      <c r="I33" s="52">
        <f t="shared" si="21"/>
        <v>0</v>
      </c>
      <c r="J33" s="63"/>
      <c r="K33" s="63"/>
      <c r="L33" s="63"/>
      <c r="M33" s="63"/>
      <c r="N33" s="64">
        <f t="shared" si="22"/>
        <v>0</v>
      </c>
      <c r="O33" s="65">
        <f>I33</f>
        <v>0</v>
      </c>
      <c r="P33" s="174"/>
      <c r="Q33" s="63"/>
      <c r="R33" s="63"/>
      <c r="S33" s="52">
        <f t="shared" si="25"/>
        <v>0</v>
      </c>
      <c r="T33" s="66">
        <f>N33</f>
        <v>0</v>
      </c>
      <c r="U33" s="63"/>
      <c r="V33" s="63"/>
      <c r="W33" s="63"/>
      <c r="X33" s="64">
        <f t="shared" si="16"/>
        <v>0</v>
      </c>
      <c r="Y33" s="65">
        <f t="shared" ref="Y33:Y39" si="28">S33</f>
        <v>0</v>
      </c>
      <c r="Z33" s="63"/>
      <c r="AA33" s="63"/>
      <c r="AB33" s="63"/>
      <c r="AC33" s="52">
        <f t="shared" si="26"/>
        <v>0</v>
      </c>
      <c r="AD33" s="66">
        <f t="shared" si="1"/>
        <v>0</v>
      </c>
      <c r="AE33" s="63"/>
      <c r="AF33" s="63"/>
      <c r="AG33" s="63"/>
      <c r="AH33" s="64">
        <f t="shared" si="17"/>
        <v>0</v>
      </c>
      <c r="AI33" s="65">
        <f t="shared" si="2"/>
        <v>0</v>
      </c>
      <c r="AJ33" s="63"/>
      <c r="AK33" s="63"/>
      <c r="AL33" s="63"/>
      <c r="AM33" s="52">
        <f t="shared" si="9"/>
        <v>0</v>
      </c>
      <c r="AN33" s="66">
        <f t="shared" si="3"/>
        <v>0</v>
      </c>
      <c r="AO33" s="63"/>
      <c r="AP33" s="63"/>
      <c r="AQ33" s="63"/>
      <c r="AR33" s="64">
        <f t="shared" si="18"/>
        <v>0</v>
      </c>
      <c r="AS33" s="65">
        <f t="shared" ref="AS33:AS39" si="29">AM33</f>
        <v>0</v>
      </c>
      <c r="AT33" s="63"/>
      <c r="AU33" s="63"/>
      <c r="AV33" s="63"/>
      <c r="AW33" s="52">
        <f t="shared" si="23"/>
        <v>0</v>
      </c>
      <c r="AX33" s="66">
        <f t="shared" si="5"/>
        <v>0</v>
      </c>
      <c r="AY33" s="63"/>
      <c r="AZ33" s="63"/>
      <c r="BA33" s="63"/>
      <c r="BB33" s="64">
        <f t="shared" si="19"/>
        <v>0</v>
      </c>
      <c r="BC33" s="65">
        <f t="shared" ref="BC33:BC39" si="30">AW33</f>
        <v>0</v>
      </c>
      <c r="BD33" s="63"/>
      <c r="BE33" s="63"/>
      <c r="BF33" s="63"/>
      <c r="BG33" s="52">
        <f t="shared" si="24"/>
        <v>0</v>
      </c>
      <c r="BH33" s="66">
        <f t="shared" si="27"/>
        <v>0</v>
      </c>
      <c r="BI33" s="63"/>
      <c r="BJ33" s="63"/>
      <c r="BK33" s="63"/>
      <c r="BL33" s="64">
        <f t="shared" si="20"/>
        <v>0</v>
      </c>
      <c r="BM33" s="62"/>
      <c r="BN33" s="63"/>
      <c r="BO33" s="66">
        <f t="shared" si="11"/>
        <v>0</v>
      </c>
      <c r="BP33" s="67">
        <f t="shared" si="12"/>
        <v>0</v>
      </c>
      <c r="BQ33" s="68"/>
      <c r="BR33" s="63"/>
      <c r="BS33" s="202">
        <f t="shared" si="8"/>
        <v>0</v>
      </c>
      <c r="BT33" s="59">
        <f t="shared" ref="BT33:BT39" si="31">IF(CC33=TRUE, SUM(BO33:BR33), 0)</f>
        <v>0</v>
      </c>
      <c r="BU33" s="345"/>
      <c r="BV33" s="137"/>
      <c r="BW33" s="59">
        <f t="shared" si="13"/>
        <v>0</v>
      </c>
      <c r="BX33" s="343"/>
      <c r="CB33" s="219" t="s">
        <v>163</v>
      </c>
      <c r="CC33" s="263" t="b">
        <v>0</v>
      </c>
    </row>
    <row r="34" spans="1:81" s="58" customFormat="1" ht="17.25" hidden="1" thickBot="1" x14ac:dyDescent="0.25">
      <c r="A34">
        <v>9</v>
      </c>
      <c r="B34" s="271">
        <v>12</v>
      </c>
      <c r="C34" s="195" t="s">
        <v>37</v>
      </c>
      <c r="D34" s="194">
        <v>1595</v>
      </c>
      <c r="E34" s="135"/>
      <c r="F34" s="63"/>
      <c r="G34" s="63"/>
      <c r="H34" s="63"/>
      <c r="I34" s="52">
        <f t="shared" si="21"/>
        <v>0</v>
      </c>
      <c r="J34" s="63"/>
      <c r="K34" s="63"/>
      <c r="L34" s="63"/>
      <c r="M34" s="63"/>
      <c r="N34" s="64">
        <f t="shared" si="22"/>
        <v>0</v>
      </c>
      <c r="O34" s="65">
        <f t="shared" si="14"/>
        <v>0</v>
      </c>
      <c r="P34" s="63"/>
      <c r="Q34" s="63"/>
      <c r="R34" s="63"/>
      <c r="S34" s="52">
        <f t="shared" si="25"/>
        <v>0</v>
      </c>
      <c r="T34" s="66">
        <f t="shared" si="15"/>
        <v>0</v>
      </c>
      <c r="U34" s="63"/>
      <c r="V34" s="63"/>
      <c r="W34" s="63"/>
      <c r="X34" s="64">
        <f t="shared" si="16"/>
        <v>0</v>
      </c>
      <c r="Y34" s="65">
        <f t="shared" si="28"/>
        <v>0</v>
      </c>
      <c r="Z34" s="63"/>
      <c r="AA34" s="63"/>
      <c r="AB34" s="63"/>
      <c r="AC34" s="52">
        <f t="shared" si="26"/>
        <v>0</v>
      </c>
      <c r="AD34" s="66">
        <f t="shared" si="1"/>
        <v>0</v>
      </c>
      <c r="AE34" s="63"/>
      <c r="AF34" s="63"/>
      <c r="AG34" s="63"/>
      <c r="AH34" s="64">
        <f t="shared" si="17"/>
        <v>0</v>
      </c>
      <c r="AI34" s="65">
        <f t="shared" si="2"/>
        <v>0</v>
      </c>
      <c r="AJ34" s="63"/>
      <c r="AK34" s="63"/>
      <c r="AL34" s="63"/>
      <c r="AM34" s="52">
        <f t="shared" si="9"/>
        <v>0</v>
      </c>
      <c r="AN34" s="66">
        <f t="shared" si="3"/>
        <v>0</v>
      </c>
      <c r="AO34" s="63"/>
      <c r="AP34" s="63"/>
      <c r="AQ34" s="63"/>
      <c r="AR34" s="64">
        <f t="shared" si="18"/>
        <v>0</v>
      </c>
      <c r="AS34" s="65">
        <f t="shared" si="29"/>
        <v>0</v>
      </c>
      <c r="AT34" s="63"/>
      <c r="AU34" s="63"/>
      <c r="AV34" s="63"/>
      <c r="AW34" s="52">
        <f t="shared" si="23"/>
        <v>0</v>
      </c>
      <c r="AX34" s="66">
        <f t="shared" si="5"/>
        <v>0</v>
      </c>
      <c r="AY34" s="63"/>
      <c r="AZ34" s="63"/>
      <c r="BA34" s="63"/>
      <c r="BB34" s="64">
        <f t="shared" si="19"/>
        <v>0</v>
      </c>
      <c r="BC34" s="65">
        <f t="shared" si="30"/>
        <v>0</v>
      </c>
      <c r="BD34" s="63"/>
      <c r="BE34" s="63"/>
      <c r="BF34" s="63"/>
      <c r="BG34" s="52">
        <f t="shared" si="24"/>
        <v>0</v>
      </c>
      <c r="BH34" s="66">
        <f t="shared" si="27"/>
        <v>0</v>
      </c>
      <c r="BI34" s="63"/>
      <c r="BJ34" s="63"/>
      <c r="BK34" s="63"/>
      <c r="BL34" s="64">
        <f t="shared" si="20"/>
        <v>0</v>
      </c>
      <c r="BM34" s="62"/>
      <c r="BN34" s="63"/>
      <c r="BO34" s="66">
        <f t="shared" si="11"/>
        <v>0</v>
      </c>
      <c r="BP34" s="67">
        <f t="shared" si="12"/>
        <v>0</v>
      </c>
      <c r="BQ34" s="68"/>
      <c r="BR34" s="63"/>
      <c r="BS34" s="202">
        <f t="shared" si="8"/>
        <v>0</v>
      </c>
      <c r="BT34" s="59">
        <f t="shared" si="31"/>
        <v>0</v>
      </c>
      <c r="BU34" s="345"/>
      <c r="BV34" s="137"/>
      <c r="BW34" s="59">
        <f t="shared" si="13"/>
        <v>0</v>
      </c>
      <c r="BX34" s="343"/>
      <c r="CB34" s="219" t="s">
        <v>164</v>
      </c>
      <c r="CC34" s="263" t="b">
        <v>0</v>
      </c>
    </row>
    <row r="35" spans="1:81" s="58" customFormat="1" ht="17.25" hidden="1" thickBot="1" x14ac:dyDescent="0.25">
      <c r="A35">
        <v>10</v>
      </c>
      <c r="B35" s="271">
        <v>13</v>
      </c>
      <c r="C35" s="195" t="s">
        <v>69</v>
      </c>
      <c r="D35" s="194">
        <v>1595</v>
      </c>
      <c r="E35" s="135"/>
      <c r="F35" s="63"/>
      <c r="G35" s="63"/>
      <c r="H35" s="63"/>
      <c r="I35" s="52">
        <f t="shared" si="21"/>
        <v>0</v>
      </c>
      <c r="J35" s="63"/>
      <c r="K35" s="63"/>
      <c r="L35" s="63"/>
      <c r="M35" s="63"/>
      <c r="N35" s="64">
        <f t="shared" si="22"/>
        <v>0</v>
      </c>
      <c r="O35" s="65">
        <f t="shared" ref="O35:O40" si="32">I35</f>
        <v>0</v>
      </c>
      <c r="P35" s="63"/>
      <c r="Q35" s="63"/>
      <c r="R35" s="63"/>
      <c r="S35" s="52">
        <f t="shared" si="25"/>
        <v>0</v>
      </c>
      <c r="T35" s="66">
        <f t="shared" ref="T35:T40" si="33">N35</f>
        <v>0</v>
      </c>
      <c r="U35" s="63"/>
      <c r="V35" s="63"/>
      <c r="W35" s="63"/>
      <c r="X35" s="64">
        <f t="shared" ref="X35:X40" si="34">T35+U35-V35+W35</f>
        <v>0</v>
      </c>
      <c r="Y35" s="65">
        <f t="shared" si="28"/>
        <v>0</v>
      </c>
      <c r="Z35" s="63"/>
      <c r="AA35" s="63"/>
      <c r="AB35" s="63"/>
      <c r="AC35" s="52">
        <f t="shared" si="26"/>
        <v>0</v>
      </c>
      <c r="AD35" s="66">
        <f t="shared" si="1"/>
        <v>0</v>
      </c>
      <c r="AE35" s="63"/>
      <c r="AF35" s="63"/>
      <c r="AG35" s="63"/>
      <c r="AH35" s="64">
        <f t="shared" ref="AH35:AH40" si="35">AD35+AE35-AF35+AG35</f>
        <v>0</v>
      </c>
      <c r="AI35" s="65">
        <f t="shared" si="2"/>
        <v>0</v>
      </c>
      <c r="AJ35" s="63"/>
      <c r="AK35" s="63"/>
      <c r="AL35" s="63"/>
      <c r="AM35" s="52">
        <f t="shared" si="9"/>
        <v>0</v>
      </c>
      <c r="AN35" s="66">
        <f t="shared" si="3"/>
        <v>0</v>
      </c>
      <c r="AO35" s="63"/>
      <c r="AP35" s="63"/>
      <c r="AQ35" s="63"/>
      <c r="AR35" s="64">
        <f t="shared" ref="AR35:AR40" si="36">AN35+AO35-AP35+AQ35</f>
        <v>0</v>
      </c>
      <c r="AS35" s="65">
        <f t="shared" si="29"/>
        <v>0</v>
      </c>
      <c r="AT35" s="63"/>
      <c r="AU35" s="63"/>
      <c r="AV35" s="63"/>
      <c r="AW35" s="52">
        <f t="shared" si="23"/>
        <v>0</v>
      </c>
      <c r="AX35" s="66">
        <f t="shared" si="5"/>
        <v>0</v>
      </c>
      <c r="AY35" s="63"/>
      <c r="AZ35" s="63"/>
      <c r="BA35" s="63"/>
      <c r="BB35" s="64">
        <f t="shared" ref="BB35:BB40" si="37">AX35+AY35-AZ35+BA35</f>
        <v>0</v>
      </c>
      <c r="BC35" s="65">
        <f t="shared" si="30"/>
        <v>0</v>
      </c>
      <c r="BD35" s="63"/>
      <c r="BE35" s="63"/>
      <c r="BF35" s="63"/>
      <c r="BG35" s="52">
        <f t="shared" si="24"/>
        <v>0</v>
      </c>
      <c r="BH35" s="66">
        <f t="shared" si="27"/>
        <v>0</v>
      </c>
      <c r="BI35" s="63"/>
      <c r="BJ35" s="63"/>
      <c r="BK35" s="63"/>
      <c r="BL35" s="64">
        <f t="shared" ref="BL35:BL40" si="38">BH35+BI35-BJ35+BK35</f>
        <v>0</v>
      </c>
      <c r="BM35" s="62"/>
      <c r="BN35" s="63"/>
      <c r="BO35" s="66">
        <f t="shared" si="11"/>
        <v>0</v>
      </c>
      <c r="BP35" s="67">
        <f t="shared" si="12"/>
        <v>0</v>
      </c>
      <c r="BQ35" s="68"/>
      <c r="BR35" s="63"/>
      <c r="BS35" s="202">
        <f t="shared" si="8"/>
        <v>0</v>
      </c>
      <c r="BT35" s="59">
        <f t="shared" si="31"/>
        <v>0</v>
      </c>
      <c r="BU35" s="345"/>
      <c r="BV35" s="137"/>
      <c r="BW35" s="59">
        <f t="shared" si="13"/>
        <v>0</v>
      </c>
      <c r="BX35" s="343"/>
      <c r="CB35" s="219" t="s">
        <v>165</v>
      </c>
      <c r="CC35" s="263" t="b">
        <v>0</v>
      </c>
    </row>
    <row r="36" spans="1:81" s="58" customFormat="1" ht="17.25" hidden="1" thickBot="1" x14ac:dyDescent="0.25">
      <c r="A36">
        <v>11</v>
      </c>
      <c r="B36" s="271">
        <v>14</v>
      </c>
      <c r="C36" s="195" t="s">
        <v>130</v>
      </c>
      <c r="D36" s="194">
        <v>1595</v>
      </c>
      <c r="E36" s="135"/>
      <c r="F36" s="63"/>
      <c r="G36" s="63"/>
      <c r="H36" s="63"/>
      <c r="I36" s="52">
        <f t="shared" si="21"/>
        <v>0</v>
      </c>
      <c r="J36" s="63"/>
      <c r="K36" s="63"/>
      <c r="L36" s="63"/>
      <c r="M36" s="63"/>
      <c r="N36" s="64">
        <f t="shared" si="22"/>
        <v>0</v>
      </c>
      <c r="O36" s="65">
        <f t="shared" si="32"/>
        <v>0</v>
      </c>
      <c r="P36" s="63"/>
      <c r="Q36" s="63"/>
      <c r="R36" s="63"/>
      <c r="S36" s="52">
        <f t="shared" si="25"/>
        <v>0</v>
      </c>
      <c r="T36" s="66">
        <f t="shared" si="33"/>
        <v>0</v>
      </c>
      <c r="U36" s="63"/>
      <c r="V36" s="63"/>
      <c r="W36" s="63"/>
      <c r="X36" s="64">
        <f t="shared" si="34"/>
        <v>0</v>
      </c>
      <c r="Y36" s="65">
        <f t="shared" si="28"/>
        <v>0</v>
      </c>
      <c r="Z36" s="63"/>
      <c r="AA36" s="63"/>
      <c r="AB36" s="63"/>
      <c r="AC36" s="52">
        <f t="shared" si="26"/>
        <v>0</v>
      </c>
      <c r="AD36" s="66">
        <f>X36</f>
        <v>0</v>
      </c>
      <c r="AE36" s="63"/>
      <c r="AF36" s="63"/>
      <c r="AG36" s="63"/>
      <c r="AH36" s="64">
        <f t="shared" si="35"/>
        <v>0</v>
      </c>
      <c r="AI36" s="65">
        <f t="shared" si="2"/>
        <v>0</v>
      </c>
      <c r="AJ36" s="63"/>
      <c r="AK36" s="63"/>
      <c r="AL36" s="63"/>
      <c r="AM36" s="52">
        <f t="shared" si="9"/>
        <v>0</v>
      </c>
      <c r="AN36" s="66">
        <f t="shared" si="3"/>
        <v>0</v>
      </c>
      <c r="AO36" s="63"/>
      <c r="AP36" s="63"/>
      <c r="AQ36" s="63"/>
      <c r="AR36" s="64">
        <f t="shared" si="36"/>
        <v>0</v>
      </c>
      <c r="AS36" s="65">
        <f t="shared" si="29"/>
        <v>0</v>
      </c>
      <c r="AT36" s="63"/>
      <c r="AU36" s="63"/>
      <c r="AV36" s="63"/>
      <c r="AW36" s="52">
        <f t="shared" si="23"/>
        <v>0</v>
      </c>
      <c r="AX36" s="66">
        <f t="shared" si="5"/>
        <v>0</v>
      </c>
      <c r="AY36" s="63"/>
      <c r="AZ36" s="63"/>
      <c r="BA36" s="63"/>
      <c r="BB36" s="64">
        <f t="shared" si="37"/>
        <v>0</v>
      </c>
      <c r="BC36" s="65">
        <f t="shared" si="30"/>
        <v>0</v>
      </c>
      <c r="BD36" s="63"/>
      <c r="BE36" s="63"/>
      <c r="BF36" s="63"/>
      <c r="BG36" s="52">
        <f t="shared" si="10"/>
        <v>0</v>
      </c>
      <c r="BH36" s="66">
        <f t="shared" si="27"/>
        <v>0</v>
      </c>
      <c r="BI36" s="63"/>
      <c r="BJ36" s="63"/>
      <c r="BK36" s="63"/>
      <c r="BL36" s="64">
        <f t="shared" si="38"/>
        <v>0</v>
      </c>
      <c r="BM36" s="62"/>
      <c r="BN36" s="63"/>
      <c r="BO36" s="66">
        <f t="shared" si="11"/>
        <v>0</v>
      </c>
      <c r="BP36" s="67">
        <f t="shared" si="12"/>
        <v>0</v>
      </c>
      <c r="BQ36" s="68"/>
      <c r="BR36" s="63"/>
      <c r="BS36" s="202">
        <f t="shared" si="8"/>
        <v>0</v>
      </c>
      <c r="BT36" s="59">
        <f t="shared" si="31"/>
        <v>0</v>
      </c>
      <c r="BU36" s="345"/>
      <c r="BV36" s="137"/>
      <c r="BW36" s="59">
        <f t="shared" si="13"/>
        <v>0</v>
      </c>
      <c r="BX36" s="343"/>
      <c r="CB36" s="219" t="s">
        <v>166</v>
      </c>
      <c r="CC36" s="263" t="b">
        <v>0</v>
      </c>
    </row>
    <row r="37" spans="1:81" s="58" customFormat="1" ht="17.25" hidden="1" thickBot="1" x14ac:dyDescent="0.25">
      <c r="A37">
        <v>12</v>
      </c>
      <c r="B37" s="271">
        <v>15</v>
      </c>
      <c r="C37" s="195" t="s">
        <v>399</v>
      </c>
      <c r="D37" s="194">
        <v>1595</v>
      </c>
      <c r="E37" s="135"/>
      <c r="F37" s="63"/>
      <c r="G37" s="63"/>
      <c r="H37" s="63"/>
      <c r="I37" s="52">
        <f t="shared" si="21"/>
        <v>0</v>
      </c>
      <c r="J37" s="63"/>
      <c r="K37" s="63"/>
      <c r="L37" s="63"/>
      <c r="M37" s="63"/>
      <c r="N37" s="64">
        <f t="shared" si="22"/>
        <v>0</v>
      </c>
      <c r="O37" s="65">
        <f t="shared" si="32"/>
        <v>0</v>
      </c>
      <c r="P37" s="63"/>
      <c r="Q37" s="63"/>
      <c r="R37" s="63"/>
      <c r="S37" s="52">
        <f t="shared" si="25"/>
        <v>0</v>
      </c>
      <c r="T37" s="66">
        <f t="shared" si="33"/>
        <v>0</v>
      </c>
      <c r="U37" s="63"/>
      <c r="V37" s="63"/>
      <c r="W37" s="63"/>
      <c r="X37" s="64">
        <f t="shared" si="34"/>
        <v>0</v>
      </c>
      <c r="Y37" s="65">
        <f t="shared" si="28"/>
        <v>0</v>
      </c>
      <c r="Z37" s="63"/>
      <c r="AA37" s="63"/>
      <c r="AB37" s="63"/>
      <c r="AC37" s="52">
        <f t="shared" si="26"/>
        <v>0</v>
      </c>
      <c r="AD37" s="66">
        <f>X37</f>
        <v>0</v>
      </c>
      <c r="AE37" s="63"/>
      <c r="AF37" s="63"/>
      <c r="AG37" s="63"/>
      <c r="AH37" s="64">
        <f t="shared" si="35"/>
        <v>0</v>
      </c>
      <c r="AI37" s="65">
        <f t="shared" si="2"/>
        <v>0</v>
      </c>
      <c r="AJ37" s="63"/>
      <c r="AK37" s="63"/>
      <c r="AL37" s="63"/>
      <c r="AM37" s="52">
        <f t="shared" si="9"/>
        <v>0</v>
      </c>
      <c r="AN37" s="66">
        <f t="shared" si="3"/>
        <v>0</v>
      </c>
      <c r="AO37" s="63"/>
      <c r="AP37" s="63"/>
      <c r="AQ37" s="63"/>
      <c r="AR37" s="64">
        <f t="shared" si="36"/>
        <v>0</v>
      </c>
      <c r="AS37" s="65">
        <f t="shared" si="29"/>
        <v>0</v>
      </c>
      <c r="AT37" s="63"/>
      <c r="AU37" s="63"/>
      <c r="AV37" s="63"/>
      <c r="AW37" s="52">
        <f t="shared" si="23"/>
        <v>0</v>
      </c>
      <c r="AX37" s="66">
        <f t="shared" si="5"/>
        <v>0</v>
      </c>
      <c r="AY37" s="63"/>
      <c r="AZ37" s="63"/>
      <c r="BA37" s="63"/>
      <c r="BB37" s="64">
        <f t="shared" si="37"/>
        <v>0</v>
      </c>
      <c r="BC37" s="65">
        <f t="shared" si="30"/>
        <v>0</v>
      </c>
      <c r="BD37" s="63"/>
      <c r="BE37" s="63"/>
      <c r="BF37" s="63"/>
      <c r="BG37" s="52">
        <f t="shared" si="10"/>
        <v>0</v>
      </c>
      <c r="BH37" s="66">
        <f t="shared" si="27"/>
        <v>0</v>
      </c>
      <c r="BI37" s="63"/>
      <c r="BJ37" s="63"/>
      <c r="BK37" s="63"/>
      <c r="BL37" s="64">
        <f t="shared" si="38"/>
        <v>0</v>
      </c>
      <c r="BM37" s="62"/>
      <c r="BN37" s="63"/>
      <c r="BO37" s="66">
        <f t="shared" si="11"/>
        <v>0</v>
      </c>
      <c r="BP37" s="67">
        <f t="shared" si="12"/>
        <v>0</v>
      </c>
      <c r="BQ37" s="68"/>
      <c r="BR37" s="63"/>
      <c r="BS37" s="202">
        <f t="shared" si="8"/>
        <v>0</v>
      </c>
      <c r="BT37" s="59">
        <f t="shared" si="31"/>
        <v>0</v>
      </c>
      <c r="BU37" s="345"/>
      <c r="BV37" s="137"/>
      <c r="BW37" s="59">
        <f t="shared" si="13"/>
        <v>0</v>
      </c>
      <c r="BX37" s="343"/>
      <c r="CB37" s="219" t="s">
        <v>167</v>
      </c>
      <c r="CC37" s="263" t="b">
        <v>0</v>
      </c>
    </row>
    <row r="38" spans="1:81" s="58" customFormat="1" ht="17.25" hidden="1" thickBot="1" x14ac:dyDescent="0.25">
      <c r="A38">
        <v>13</v>
      </c>
      <c r="B38" s="271">
        <v>16</v>
      </c>
      <c r="C38" s="195" t="s">
        <v>400</v>
      </c>
      <c r="D38" s="194">
        <v>1595</v>
      </c>
      <c r="E38" s="135"/>
      <c r="F38" s="63"/>
      <c r="G38" s="63"/>
      <c r="H38" s="63"/>
      <c r="I38" s="52">
        <f t="shared" si="21"/>
        <v>0</v>
      </c>
      <c r="J38" s="63"/>
      <c r="K38" s="63"/>
      <c r="L38" s="63"/>
      <c r="M38" s="63"/>
      <c r="N38" s="64">
        <f t="shared" si="22"/>
        <v>0</v>
      </c>
      <c r="O38" s="65">
        <f t="shared" si="32"/>
        <v>0</v>
      </c>
      <c r="P38" s="63"/>
      <c r="Q38" s="63"/>
      <c r="R38" s="63"/>
      <c r="S38" s="52">
        <f t="shared" si="25"/>
        <v>0</v>
      </c>
      <c r="T38" s="66">
        <f t="shared" si="33"/>
        <v>0</v>
      </c>
      <c r="U38" s="63"/>
      <c r="V38" s="63"/>
      <c r="W38" s="63"/>
      <c r="X38" s="64">
        <f t="shared" si="34"/>
        <v>0</v>
      </c>
      <c r="Y38" s="65">
        <f t="shared" si="28"/>
        <v>0</v>
      </c>
      <c r="Z38" s="63"/>
      <c r="AA38" s="63"/>
      <c r="AB38" s="63"/>
      <c r="AC38" s="52">
        <f t="shared" si="26"/>
        <v>0</v>
      </c>
      <c r="AD38" s="66">
        <f>X38</f>
        <v>0</v>
      </c>
      <c r="AE38" s="63"/>
      <c r="AF38" s="63"/>
      <c r="AG38" s="63"/>
      <c r="AH38" s="64">
        <f t="shared" si="35"/>
        <v>0</v>
      </c>
      <c r="AI38" s="65">
        <f t="shared" si="2"/>
        <v>0</v>
      </c>
      <c r="AJ38" s="63"/>
      <c r="AK38" s="63"/>
      <c r="AL38" s="63"/>
      <c r="AM38" s="52">
        <f t="shared" si="9"/>
        <v>0</v>
      </c>
      <c r="AN38" s="66">
        <f t="shared" si="3"/>
        <v>0</v>
      </c>
      <c r="AO38" s="63"/>
      <c r="AP38" s="63"/>
      <c r="AQ38" s="63"/>
      <c r="AR38" s="64">
        <f t="shared" si="36"/>
        <v>0</v>
      </c>
      <c r="AS38" s="65">
        <f t="shared" si="29"/>
        <v>0</v>
      </c>
      <c r="AT38" s="63"/>
      <c r="AU38" s="63"/>
      <c r="AV38" s="63"/>
      <c r="AW38" s="52">
        <f t="shared" si="23"/>
        <v>0</v>
      </c>
      <c r="AX38" s="66">
        <f t="shared" si="5"/>
        <v>0</v>
      </c>
      <c r="AY38" s="63"/>
      <c r="AZ38" s="63"/>
      <c r="BA38" s="63"/>
      <c r="BB38" s="64">
        <f t="shared" si="37"/>
        <v>0</v>
      </c>
      <c r="BC38" s="65">
        <f t="shared" si="30"/>
        <v>0</v>
      </c>
      <c r="BD38" s="63"/>
      <c r="BE38" s="63"/>
      <c r="BF38" s="63"/>
      <c r="BG38" s="52">
        <f t="shared" si="10"/>
        <v>0</v>
      </c>
      <c r="BH38" s="66">
        <f t="shared" si="27"/>
        <v>0</v>
      </c>
      <c r="BI38" s="63"/>
      <c r="BJ38" s="63"/>
      <c r="BK38" s="63"/>
      <c r="BL38" s="64">
        <f t="shared" si="38"/>
        <v>0</v>
      </c>
      <c r="BM38" s="62"/>
      <c r="BN38" s="63"/>
      <c r="BO38" s="66">
        <f t="shared" si="11"/>
        <v>0</v>
      </c>
      <c r="BP38" s="67">
        <f t="shared" si="12"/>
        <v>0</v>
      </c>
      <c r="BQ38" s="68"/>
      <c r="BR38" s="63"/>
      <c r="BS38" s="202">
        <f t="shared" si="8"/>
        <v>0</v>
      </c>
      <c r="BT38" s="59">
        <f t="shared" si="31"/>
        <v>0</v>
      </c>
      <c r="BU38" s="345"/>
      <c r="BV38" s="137"/>
      <c r="BW38" s="59">
        <f t="shared" si="13"/>
        <v>0</v>
      </c>
      <c r="BX38" s="343"/>
      <c r="CB38" s="219" t="s">
        <v>169</v>
      </c>
      <c r="CC38" s="263" t="b">
        <v>0</v>
      </c>
    </row>
    <row r="39" spans="1:81" s="58" customFormat="1" ht="17.25" hidden="1" thickBot="1" x14ac:dyDescent="0.25">
      <c r="A39">
        <v>14</v>
      </c>
      <c r="B39" s="271">
        <v>17</v>
      </c>
      <c r="C39" s="196" t="s">
        <v>401</v>
      </c>
      <c r="D39" s="206">
        <v>1595</v>
      </c>
      <c r="E39" s="135"/>
      <c r="F39" s="63"/>
      <c r="G39" s="63"/>
      <c r="H39" s="63"/>
      <c r="I39" s="52">
        <f t="shared" si="21"/>
        <v>0</v>
      </c>
      <c r="J39" s="63"/>
      <c r="K39" s="63"/>
      <c r="L39" s="63"/>
      <c r="M39" s="63"/>
      <c r="N39" s="64">
        <f t="shared" si="22"/>
        <v>0</v>
      </c>
      <c r="O39" s="65">
        <f t="shared" si="32"/>
        <v>0</v>
      </c>
      <c r="P39" s="63"/>
      <c r="Q39" s="63"/>
      <c r="R39" s="63"/>
      <c r="S39" s="52">
        <f t="shared" si="25"/>
        <v>0</v>
      </c>
      <c r="T39" s="66">
        <f t="shared" si="33"/>
        <v>0</v>
      </c>
      <c r="U39" s="63"/>
      <c r="V39" s="63"/>
      <c r="W39" s="63"/>
      <c r="X39" s="64">
        <f t="shared" si="34"/>
        <v>0</v>
      </c>
      <c r="Y39" s="65">
        <f t="shared" si="28"/>
        <v>0</v>
      </c>
      <c r="Z39" s="63"/>
      <c r="AA39" s="63"/>
      <c r="AB39" s="63"/>
      <c r="AC39" s="52">
        <f t="shared" si="26"/>
        <v>0</v>
      </c>
      <c r="AD39" s="66">
        <f>X39</f>
        <v>0</v>
      </c>
      <c r="AE39" s="63"/>
      <c r="AF39" s="63"/>
      <c r="AG39" s="63"/>
      <c r="AH39" s="64">
        <f t="shared" si="35"/>
        <v>0</v>
      </c>
      <c r="AI39" s="65">
        <f t="shared" si="2"/>
        <v>0</v>
      </c>
      <c r="AJ39" s="63"/>
      <c r="AK39" s="63"/>
      <c r="AL39" s="63"/>
      <c r="AM39" s="52">
        <f t="shared" si="9"/>
        <v>0</v>
      </c>
      <c r="AN39" s="66">
        <f t="shared" si="3"/>
        <v>0</v>
      </c>
      <c r="AO39" s="63"/>
      <c r="AP39" s="63"/>
      <c r="AQ39" s="63"/>
      <c r="AR39" s="64">
        <f t="shared" si="36"/>
        <v>0</v>
      </c>
      <c r="AS39" s="65">
        <f t="shared" si="29"/>
        <v>0</v>
      </c>
      <c r="AT39" s="63"/>
      <c r="AU39" s="63"/>
      <c r="AV39" s="63"/>
      <c r="AW39" s="52">
        <f t="shared" si="23"/>
        <v>0</v>
      </c>
      <c r="AX39" s="66">
        <f t="shared" si="5"/>
        <v>0</v>
      </c>
      <c r="AY39" s="63"/>
      <c r="AZ39" s="63"/>
      <c r="BA39" s="63"/>
      <c r="BB39" s="64">
        <f t="shared" si="37"/>
        <v>0</v>
      </c>
      <c r="BC39" s="65">
        <f t="shared" si="30"/>
        <v>0</v>
      </c>
      <c r="BD39" s="63"/>
      <c r="BE39" s="63"/>
      <c r="BF39" s="63"/>
      <c r="BG39" s="52">
        <f t="shared" si="10"/>
        <v>0</v>
      </c>
      <c r="BH39" s="66">
        <f t="shared" si="27"/>
        <v>0</v>
      </c>
      <c r="BI39" s="63"/>
      <c r="BJ39" s="63"/>
      <c r="BK39" s="63"/>
      <c r="BL39" s="64">
        <f t="shared" si="38"/>
        <v>0</v>
      </c>
      <c r="BM39" s="62"/>
      <c r="BN39" s="63"/>
      <c r="BO39" s="66">
        <f t="shared" si="11"/>
        <v>0</v>
      </c>
      <c r="BP39" s="67">
        <f t="shared" si="12"/>
        <v>0</v>
      </c>
      <c r="BQ39" s="68"/>
      <c r="BR39" s="63"/>
      <c r="BS39" s="202">
        <f>BP39+BQ39+BR39</f>
        <v>0</v>
      </c>
      <c r="BT39" s="663">
        <f t="shared" si="31"/>
        <v>0</v>
      </c>
      <c r="BU39" s="459"/>
      <c r="BV39" s="137"/>
      <c r="BW39" s="59">
        <f t="shared" si="13"/>
        <v>0</v>
      </c>
      <c r="BX39" s="343"/>
      <c r="CB39" s="219" t="s">
        <v>168</v>
      </c>
      <c r="CC39" s="263" t="b">
        <v>0</v>
      </c>
    </row>
    <row r="40" spans="1:81" s="58" customFormat="1" ht="17.25" hidden="1" thickBot="1" x14ac:dyDescent="0.25">
      <c r="A40">
        <v>15</v>
      </c>
      <c r="B40" s="271">
        <v>18</v>
      </c>
      <c r="C40" s="196" t="s">
        <v>402</v>
      </c>
      <c r="D40" s="206">
        <v>1595</v>
      </c>
      <c r="E40" s="135"/>
      <c r="F40" s="63"/>
      <c r="G40" s="63"/>
      <c r="H40" s="63"/>
      <c r="I40" s="52">
        <f>E40+F40-G40+H40</f>
        <v>0</v>
      </c>
      <c r="J40" s="63"/>
      <c r="K40" s="63"/>
      <c r="L40" s="63"/>
      <c r="M40" s="63"/>
      <c r="N40" s="64">
        <f>J40+K40-L40+M40</f>
        <v>0</v>
      </c>
      <c r="O40" s="65">
        <f t="shared" si="32"/>
        <v>0</v>
      </c>
      <c r="P40" s="63"/>
      <c r="Q40" s="63"/>
      <c r="R40" s="63"/>
      <c r="S40" s="52">
        <f t="shared" si="25"/>
        <v>0</v>
      </c>
      <c r="T40" s="66">
        <f t="shared" si="33"/>
        <v>0</v>
      </c>
      <c r="U40" s="63"/>
      <c r="V40" s="63"/>
      <c r="W40" s="63"/>
      <c r="X40" s="64">
        <f t="shared" si="34"/>
        <v>0</v>
      </c>
      <c r="Y40" s="65">
        <f>S40</f>
        <v>0</v>
      </c>
      <c r="Z40" s="63"/>
      <c r="AA40" s="63"/>
      <c r="AB40" s="63"/>
      <c r="AC40" s="52">
        <f t="shared" si="26"/>
        <v>0</v>
      </c>
      <c r="AD40" s="66">
        <f>X40</f>
        <v>0</v>
      </c>
      <c r="AE40" s="63"/>
      <c r="AF40" s="63"/>
      <c r="AG40" s="63"/>
      <c r="AH40" s="64">
        <f t="shared" si="35"/>
        <v>0</v>
      </c>
      <c r="AI40" s="65">
        <f>AC40</f>
        <v>0</v>
      </c>
      <c r="AJ40" s="63"/>
      <c r="AK40" s="63"/>
      <c r="AL40" s="63"/>
      <c r="AM40" s="52">
        <f>AI40+AJ40-AK40+SUM(AL40:AL40)</f>
        <v>0</v>
      </c>
      <c r="AN40" s="66">
        <f>AH40</f>
        <v>0</v>
      </c>
      <c r="AO40" s="63"/>
      <c r="AP40" s="63"/>
      <c r="AQ40" s="63"/>
      <c r="AR40" s="64">
        <f t="shared" si="36"/>
        <v>0</v>
      </c>
      <c r="AS40" s="65">
        <f>AM40</f>
        <v>0</v>
      </c>
      <c r="AT40" s="63"/>
      <c r="AU40" s="63"/>
      <c r="AV40" s="63"/>
      <c r="AW40" s="52">
        <f t="shared" si="23"/>
        <v>0</v>
      </c>
      <c r="AX40" s="66">
        <f>AR40</f>
        <v>0</v>
      </c>
      <c r="AY40" s="63"/>
      <c r="AZ40" s="63"/>
      <c r="BA40" s="63"/>
      <c r="BB40" s="64">
        <f t="shared" si="37"/>
        <v>0</v>
      </c>
      <c r="BC40" s="65">
        <f>AW40</f>
        <v>0</v>
      </c>
      <c r="BD40" s="63"/>
      <c r="BE40" s="63"/>
      <c r="BF40" s="63"/>
      <c r="BG40" s="52">
        <f>BC40+BD40-BE40+SUM(BF40:BF40)</f>
        <v>0</v>
      </c>
      <c r="BH40" s="66">
        <f>BB40</f>
        <v>0</v>
      </c>
      <c r="BI40" s="63"/>
      <c r="BJ40" s="63"/>
      <c r="BK40" s="63"/>
      <c r="BL40" s="64">
        <f t="shared" si="38"/>
        <v>0</v>
      </c>
      <c r="BM40" s="62"/>
      <c r="BN40" s="63"/>
      <c r="BO40" s="66">
        <f>BG40-BM40</f>
        <v>0</v>
      </c>
      <c r="BP40" s="67">
        <f>BL40-BN40</f>
        <v>0</v>
      </c>
      <c r="BQ40" s="68"/>
      <c r="BR40" s="63"/>
      <c r="BS40" s="202">
        <f>BP40+BQ40+BR40</f>
        <v>0</v>
      </c>
      <c r="BT40" s="663">
        <f>IF(CC40=TRUE, SUM(BO40:BR40), 0)</f>
        <v>0</v>
      </c>
      <c r="BU40" s="459"/>
      <c r="BV40" s="137"/>
      <c r="BW40" s="59">
        <f t="shared" si="13"/>
        <v>0</v>
      </c>
      <c r="BX40" s="343"/>
      <c r="CB40" s="219"/>
      <c r="CC40" s="263" t="b">
        <v>0</v>
      </c>
    </row>
    <row r="41" spans="1:81" s="58" customFormat="1" ht="15" hidden="1" thickBot="1" x14ac:dyDescent="0.25">
      <c r="A41"/>
      <c r="B41" s="271">
        <v>19</v>
      </c>
      <c r="C41" s="247" t="s">
        <v>421</v>
      </c>
      <c r="D41" s="194"/>
      <c r="E41" s="200"/>
      <c r="F41" s="201"/>
      <c r="G41" s="201"/>
      <c r="H41" s="201"/>
      <c r="I41" s="52"/>
      <c r="J41" s="201"/>
      <c r="K41" s="201"/>
      <c r="L41" s="201"/>
      <c r="M41" s="201"/>
      <c r="N41" s="64"/>
      <c r="O41" s="77"/>
      <c r="P41" s="201"/>
      <c r="Q41" s="201"/>
      <c r="R41" s="201"/>
      <c r="S41" s="52"/>
      <c r="T41" s="52"/>
      <c r="U41" s="201"/>
      <c r="V41" s="201"/>
      <c r="W41" s="201"/>
      <c r="X41" s="64"/>
      <c r="Y41" s="77"/>
      <c r="Z41" s="201"/>
      <c r="AA41" s="201"/>
      <c r="AB41" s="201"/>
      <c r="AC41" s="52"/>
      <c r="AD41" s="52"/>
      <c r="AE41" s="201"/>
      <c r="AF41" s="201"/>
      <c r="AG41" s="201"/>
      <c r="AH41" s="64"/>
      <c r="AI41" s="77"/>
      <c r="AJ41" s="201"/>
      <c r="AK41" s="201"/>
      <c r="AL41" s="201"/>
      <c r="AM41" s="52"/>
      <c r="AN41" s="52"/>
      <c r="AO41" s="201"/>
      <c r="AP41" s="201"/>
      <c r="AQ41" s="201"/>
      <c r="AR41" s="64"/>
      <c r="AS41" s="77"/>
      <c r="AT41" s="201"/>
      <c r="AU41" s="201"/>
      <c r="AV41" s="201"/>
      <c r="AW41" s="52"/>
      <c r="AX41" s="52"/>
      <c r="AY41" s="201"/>
      <c r="AZ41" s="201"/>
      <c r="BA41" s="201"/>
      <c r="BB41" s="64"/>
      <c r="BC41" s="77"/>
      <c r="BD41" s="201"/>
      <c r="BE41" s="201"/>
      <c r="BF41" s="201"/>
      <c r="BG41" s="52"/>
      <c r="BH41" s="52"/>
      <c r="BI41" s="201"/>
      <c r="BJ41" s="201"/>
      <c r="BK41" s="201"/>
      <c r="BL41" s="64"/>
      <c r="BM41" s="200"/>
      <c r="BN41" s="201"/>
      <c r="BO41" s="52"/>
      <c r="BP41" s="64"/>
      <c r="BQ41" s="201"/>
      <c r="BR41" s="201"/>
      <c r="BS41" s="202"/>
      <c r="BT41" s="59"/>
      <c r="BU41" s="345"/>
      <c r="BV41" s="203"/>
      <c r="BW41" s="59"/>
      <c r="BX41" s="343"/>
      <c r="CC41" s="263"/>
    </row>
    <row r="42" spans="1:81" s="58" customFormat="1" ht="15" hidden="1" customHeight="1" x14ac:dyDescent="0.2">
      <c r="A42"/>
      <c r="B42" s="271">
        <v>20</v>
      </c>
      <c r="C42" s="193"/>
      <c r="D42" s="10"/>
      <c r="E42" s="77"/>
      <c r="F42" s="52"/>
      <c r="G42" s="52"/>
      <c r="H42" s="52"/>
      <c r="I42" s="52"/>
      <c r="J42" s="52"/>
      <c r="K42" s="52"/>
      <c r="L42" s="52"/>
      <c r="M42" s="52"/>
      <c r="N42" s="64"/>
      <c r="O42" s="51"/>
      <c r="P42" s="52"/>
      <c r="Q42" s="52"/>
      <c r="R42" s="52"/>
      <c r="S42" s="52"/>
      <c r="T42" s="52"/>
      <c r="U42" s="52"/>
      <c r="V42" s="52"/>
      <c r="W42" s="52"/>
      <c r="X42" s="64"/>
      <c r="Y42" s="51"/>
      <c r="Z42" s="52"/>
      <c r="AA42" s="52"/>
      <c r="AB42" s="52"/>
      <c r="AC42" s="52"/>
      <c r="AD42" s="52"/>
      <c r="AE42" s="52"/>
      <c r="AF42" s="52"/>
      <c r="AG42" s="52"/>
      <c r="AH42" s="64"/>
      <c r="AI42" s="51"/>
      <c r="AJ42" s="52"/>
      <c r="AK42" s="52"/>
      <c r="AL42" s="52"/>
      <c r="AM42" s="52"/>
      <c r="AN42" s="52"/>
      <c r="AO42" s="52"/>
      <c r="AP42" s="52"/>
      <c r="AQ42" s="52"/>
      <c r="AR42" s="64"/>
      <c r="AS42" s="51"/>
      <c r="AT42" s="52"/>
      <c r="AU42" s="52"/>
      <c r="AV42" s="52"/>
      <c r="AW42" s="52"/>
      <c r="AX42" s="52"/>
      <c r="AY42" s="52"/>
      <c r="AZ42" s="52"/>
      <c r="BA42" s="52"/>
      <c r="BB42" s="64"/>
      <c r="BC42" s="51"/>
      <c r="BD42" s="52"/>
      <c r="BE42" s="52"/>
      <c r="BF42" s="52"/>
      <c r="BG42" s="52"/>
      <c r="BH42" s="52"/>
      <c r="BI42" s="52"/>
      <c r="BJ42" s="52"/>
      <c r="BK42" s="52"/>
      <c r="BL42" s="64"/>
      <c r="BM42" s="51"/>
      <c r="BN42" s="52"/>
      <c r="BO42" s="52"/>
      <c r="BP42" s="64"/>
      <c r="BT42" s="59"/>
      <c r="BU42" s="345"/>
      <c r="BV42" s="60"/>
      <c r="BW42" s="59"/>
      <c r="BX42" s="343"/>
      <c r="CC42" s="263"/>
    </row>
    <row r="43" spans="1:81" s="52" customFormat="1" ht="15" hidden="1" x14ac:dyDescent="0.25">
      <c r="A43" s="3"/>
      <c r="B43" s="3"/>
      <c r="C43" s="207" t="s">
        <v>67</v>
      </c>
      <c r="D43" s="6"/>
      <c r="E43" s="52">
        <f>SUM(E24:E40)</f>
        <v>0</v>
      </c>
      <c r="F43" s="52">
        <f t="shared" ref="F43:N43" si="39">SUM(F24:F40)</f>
        <v>0</v>
      </c>
      <c r="G43" s="52">
        <f t="shared" si="39"/>
        <v>0</v>
      </c>
      <c r="H43" s="52">
        <f t="shared" si="39"/>
        <v>0</v>
      </c>
      <c r="I43" s="52">
        <f t="shared" si="39"/>
        <v>0</v>
      </c>
      <c r="J43" s="52">
        <f t="shared" si="39"/>
        <v>0</v>
      </c>
      <c r="K43" s="52">
        <f t="shared" si="39"/>
        <v>0</v>
      </c>
      <c r="L43" s="52">
        <f t="shared" si="39"/>
        <v>0</v>
      </c>
      <c r="M43" s="52">
        <f t="shared" si="39"/>
        <v>0</v>
      </c>
      <c r="N43" s="52">
        <f t="shared" si="39"/>
        <v>0</v>
      </c>
      <c r="O43" s="51">
        <f>SUM(O24:O40)</f>
        <v>0</v>
      </c>
      <c r="P43" s="52">
        <f>SUM(P24:P40)</f>
        <v>0</v>
      </c>
      <c r="Q43" s="52">
        <f t="shared" ref="Q43:W43" si="40">SUM(Q24:Q40)</f>
        <v>0</v>
      </c>
      <c r="R43" s="52">
        <f t="shared" si="40"/>
        <v>0</v>
      </c>
      <c r="S43" s="52">
        <f t="shared" si="40"/>
        <v>0</v>
      </c>
      <c r="T43" s="52">
        <f t="shared" si="40"/>
        <v>0</v>
      </c>
      <c r="U43" s="52">
        <f t="shared" si="40"/>
        <v>0</v>
      </c>
      <c r="V43" s="52">
        <f t="shared" si="40"/>
        <v>0</v>
      </c>
      <c r="W43" s="52">
        <f t="shared" si="40"/>
        <v>0</v>
      </c>
      <c r="X43" s="52">
        <f>SUM(X24:X40)</f>
        <v>0</v>
      </c>
      <c r="Y43" s="51">
        <f>SUM(Y24:Y40)</f>
        <v>0</v>
      </c>
      <c r="Z43" s="52">
        <f>SUM(Z24:Z40)</f>
        <v>0</v>
      </c>
      <c r="AA43" s="52">
        <f t="shared" ref="AA43:AG43" si="41">SUM(AA24:AA40)</f>
        <v>0</v>
      </c>
      <c r="AB43" s="52">
        <f t="shared" si="41"/>
        <v>0</v>
      </c>
      <c r="AC43" s="52">
        <f t="shared" si="41"/>
        <v>0</v>
      </c>
      <c r="AD43" s="52">
        <f t="shared" si="41"/>
        <v>0</v>
      </c>
      <c r="AE43" s="52">
        <f t="shared" si="41"/>
        <v>0</v>
      </c>
      <c r="AF43" s="52">
        <f t="shared" si="41"/>
        <v>0</v>
      </c>
      <c r="AG43" s="52">
        <f t="shared" si="41"/>
        <v>0</v>
      </c>
      <c r="AH43" s="52">
        <f t="shared" ref="AH43:BS43" si="42">SUM(AH24:AH40)</f>
        <v>0</v>
      </c>
      <c r="AI43" s="52">
        <f t="shared" si="42"/>
        <v>0</v>
      </c>
      <c r="AJ43" s="52">
        <f t="shared" si="42"/>
        <v>0</v>
      </c>
      <c r="AK43" s="52">
        <f t="shared" si="42"/>
        <v>0</v>
      </c>
      <c r="AL43" s="52">
        <f t="shared" si="42"/>
        <v>0</v>
      </c>
      <c r="AM43" s="52">
        <f t="shared" si="42"/>
        <v>0</v>
      </c>
      <c r="AN43" s="52">
        <f t="shared" si="42"/>
        <v>0</v>
      </c>
      <c r="AO43" s="52">
        <f t="shared" si="42"/>
        <v>0</v>
      </c>
      <c r="AP43" s="52">
        <f t="shared" si="42"/>
        <v>0</v>
      </c>
      <c r="AQ43" s="52">
        <f t="shared" si="42"/>
        <v>0</v>
      </c>
      <c r="AR43" s="52">
        <f t="shared" si="42"/>
        <v>0</v>
      </c>
      <c r="AS43" s="52">
        <f t="shared" si="42"/>
        <v>0</v>
      </c>
      <c r="AT43" s="52">
        <f t="shared" si="42"/>
        <v>0</v>
      </c>
      <c r="AU43" s="52">
        <f t="shared" si="42"/>
        <v>0</v>
      </c>
      <c r="AV43" s="52">
        <f t="shared" si="42"/>
        <v>0</v>
      </c>
      <c r="AW43" s="52">
        <f t="shared" si="42"/>
        <v>0</v>
      </c>
      <c r="AX43" s="52">
        <f t="shared" si="42"/>
        <v>0</v>
      </c>
      <c r="AY43" s="52">
        <f t="shared" si="42"/>
        <v>0</v>
      </c>
      <c r="AZ43" s="52">
        <f t="shared" si="42"/>
        <v>0</v>
      </c>
      <c r="BA43" s="52">
        <f t="shared" si="42"/>
        <v>0</v>
      </c>
      <c r="BB43" s="52">
        <f t="shared" si="42"/>
        <v>0</v>
      </c>
      <c r="BC43" s="52">
        <f t="shared" si="42"/>
        <v>0</v>
      </c>
      <c r="BD43" s="52">
        <f t="shared" si="42"/>
        <v>0</v>
      </c>
      <c r="BE43" s="52">
        <f t="shared" si="42"/>
        <v>0</v>
      </c>
      <c r="BF43" s="52">
        <f t="shared" si="42"/>
        <v>0</v>
      </c>
      <c r="BG43" s="52">
        <f t="shared" si="42"/>
        <v>0</v>
      </c>
      <c r="BH43" s="52">
        <f t="shared" si="42"/>
        <v>0</v>
      </c>
      <c r="BI43" s="52">
        <f t="shared" si="42"/>
        <v>0</v>
      </c>
      <c r="BJ43" s="52">
        <f t="shared" si="42"/>
        <v>0</v>
      </c>
      <c r="BK43" s="52">
        <f t="shared" si="42"/>
        <v>0</v>
      </c>
      <c r="BL43" s="52">
        <f t="shared" si="42"/>
        <v>0</v>
      </c>
      <c r="BM43" s="52">
        <f t="shared" si="42"/>
        <v>0</v>
      </c>
      <c r="BN43" s="52">
        <f t="shared" si="42"/>
        <v>0</v>
      </c>
      <c r="BO43" s="52">
        <f t="shared" si="42"/>
        <v>0</v>
      </c>
      <c r="BP43" s="52">
        <f t="shared" si="42"/>
        <v>0</v>
      </c>
      <c r="BQ43" s="52">
        <f t="shared" si="42"/>
        <v>0</v>
      </c>
      <c r="BR43" s="52">
        <f t="shared" si="42"/>
        <v>0</v>
      </c>
      <c r="BS43" s="52">
        <f t="shared" si="42"/>
        <v>0</v>
      </c>
      <c r="BT43" s="64">
        <f>SUM(BT24:BT40)</f>
        <v>0</v>
      </c>
      <c r="BU43" s="45"/>
      <c r="BV43" s="270"/>
      <c r="BW43" s="64">
        <f t="shared" si="13"/>
        <v>0</v>
      </c>
      <c r="BX43" s="344"/>
      <c r="CC43" s="201"/>
    </row>
    <row r="44" spans="1:81" s="52" customFormat="1" ht="15" hidden="1" x14ac:dyDescent="0.25">
      <c r="A44" s="3"/>
      <c r="B44" s="3"/>
      <c r="C44" s="207" t="s">
        <v>68</v>
      </c>
      <c r="D44" s="208"/>
      <c r="E44" s="77">
        <f>E43-E45</f>
        <v>0</v>
      </c>
      <c r="F44" s="52">
        <f t="shared" ref="F44:AH44" si="43">F43-F45</f>
        <v>0</v>
      </c>
      <c r="G44" s="52">
        <f t="shared" si="43"/>
        <v>0</v>
      </c>
      <c r="H44" s="52">
        <f t="shared" si="43"/>
        <v>0</v>
      </c>
      <c r="I44" s="52">
        <f t="shared" si="43"/>
        <v>0</v>
      </c>
      <c r="J44" s="52">
        <f t="shared" si="43"/>
        <v>0</v>
      </c>
      <c r="K44" s="52">
        <f t="shared" si="43"/>
        <v>0</v>
      </c>
      <c r="L44" s="52">
        <f t="shared" si="43"/>
        <v>0</v>
      </c>
      <c r="M44" s="52">
        <f t="shared" si="43"/>
        <v>0</v>
      </c>
      <c r="N44" s="64">
        <f t="shared" si="43"/>
        <v>0</v>
      </c>
      <c r="O44" s="51">
        <f t="shared" si="43"/>
        <v>0</v>
      </c>
      <c r="P44" s="52">
        <f t="shared" si="43"/>
        <v>0</v>
      </c>
      <c r="Q44" s="52">
        <f t="shared" si="43"/>
        <v>0</v>
      </c>
      <c r="R44" s="52">
        <f t="shared" si="43"/>
        <v>0</v>
      </c>
      <c r="S44" s="52">
        <f t="shared" si="43"/>
        <v>0</v>
      </c>
      <c r="T44" s="52">
        <f t="shared" si="43"/>
        <v>0</v>
      </c>
      <c r="U44" s="52">
        <f t="shared" si="43"/>
        <v>0</v>
      </c>
      <c r="V44" s="52">
        <f t="shared" si="43"/>
        <v>0</v>
      </c>
      <c r="W44" s="52">
        <f t="shared" si="43"/>
        <v>0</v>
      </c>
      <c r="X44" s="64">
        <f t="shared" si="43"/>
        <v>0</v>
      </c>
      <c r="Y44" s="51">
        <f t="shared" si="43"/>
        <v>0</v>
      </c>
      <c r="Z44" s="52">
        <f t="shared" si="43"/>
        <v>0</v>
      </c>
      <c r="AA44" s="52">
        <f t="shared" si="43"/>
        <v>0</v>
      </c>
      <c r="AB44" s="52">
        <f t="shared" si="43"/>
        <v>0</v>
      </c>
      <c r="AC44" s="52">
        <f t="shared" si="43"/>
        <v>0</v>
      </c>
      <c r="AD44" s="52">
        <f t="shared" si="43"/>
        <v>0</v>
      </c>
      <c r="AE44" s="52">
        <f t="shared" si="43"/>
        <v>0</v>
      </c>
      <c r="AF44" s="52">
        <f t="shared" si="43"/>
        <v>0</v>
      </c>
      <c r="AG44" s="52">
        <f t="shared" si="43"/>
        <v>0</v>
      </c>
      <c r="AH44" s="64">
        <f t="shared" si="43"/>
        <v>0</v>
      </c>
      <c r="AI44" s="51">
        <f t="shared" ref="AI44:AR44" si="44">AI43-AI45</f>
        <v>0</v>
      </c>
      <c r="AJ44" s="52">
        <f t="shared" si="44"/>
        <v>0</v>
      </c>
      <c r="AK44" s="52">
        <f t="shared" si="44"/>
        <v>0</v>
      </c>
      <c r="AL44" s="52">
        <f t="shared" si="44"/>
        <v>0</v>
      </c>
      <c r="AM44" s="52">
        <f t="shared" si="44"/>
        <v>0</v>
      </c>
      <c r="AN44" s="52">
        <f t="shared" si="44"/>
        <v>0</v>
      </c>
      <c r="AO44" s="52">
        <f t="shared" si="44"/>
        <v>0</v>
      </c>
      <c r="AP44" s="52">
        <f t="shared" si="44"/>
        <v>0</v>
      </c>
      <c r="AQ44" s="52">
        <f t="shared" si="44"/>
        <v>0</v>
      </c>
      <c r="AR44" s="64">
        <f t="shared" si="44"/>
        <v>0</v>
      </c>
      <c r="AS44" s="51">
        <f t="shared" ref="AS44:BB44" si="45">AS43-AS45</f>
        <v>0</v>
      </c>
      <c r="AT44" s="52">
        <f t="shared" si="45"/>
        <v>0</v>
      </c>
      <c r="AU44" s="52">
        <f t="shared" si="45"/>
        <v>0</v>
      </c>
      <c r="AV44" s="52">
        <f t="shared" si="45"/>
        <v>0</v>
      </c>
      <c r="AW44" s="52">
        <f t="shared" si="45"/>
        <v>0</v>
      </c>
      <c r="AX44" s="52">
        <f t="shared" si="45"/>
        <v>0</v>
      </c>
      <c r="AY44" s="52">
        <f t="shared" si="45"/>
        <v>0</v>
      </c>
      <c r="AZ44" s="52">
        <f t="shared" si="45"/>
        <v>0</v>
      </c>
      <c r="BA44" s="52">
        <f t="shared" si="45"/>
        <v>0</v>
      </c>
      <c r="BB44" s="64">
        <f t="shared" si="45"/>
        <v>0</v>
      </c>
      <c r="BC44" s="51">
        <f t="shared" ref="BC44:BL44" si="46">BC43-BC45</f>
        <v>0</v>
      </c>
      <c r="BD44" s="52">
        <f t="shared" si="46"/>
        <v>0</v>
      </c>
      <c r="BE44" s="52">
        <f t="shared" si="46"/>
        <v>0</v>
      </c>
      <c r="BF44" s="52">
        <f t="shared" si="46"/>
        <v>0</v>
      </c>
      <c r="BG44" s="52">
        <f t="shared" si="46"/>
        <v>0</v>
      </c>
      <c r="BH44" s="52">
        <f t="shared" si="46"/>
        <v>0</v>
      </c>
      <c r="BI44" s="52">
        <f t="shared" si="46"/>
        <v>0</v>
      </c>
      <c r="BJ44" s="52">
        <f t="shared" si="46"/>
        <v>0</v>
      </c>
      <c r="BK44" s="52">
        <f t="shared" si="46"/>
        <v>0</v>
      </c>
      <c r="BL44" s="64">
        <f t="shared" si="46"/>
        <v>0</v>
      </c>
      <c r="BM44" s="51">
        <f t="shared" ref="BM44:BV44" si="47">BM43-BM45</f>
        <v>0</v>
      </c>
      <c r="BN44" s="52">
        <f t="shared" si="47"/>
        <v>0</v>
      </c>
      <c r="BO44" s="52">
        <f t="shared" si="47"/>
        <v>0</v>
      </c>
      <c r="BP44" s="64">
        <f t="shared" si="47"/>
        <v>0</v>
      </c>
      <c r="BQ44" s="52">
        <f t="shared" si="47"/>
        <v>0</v>
      </c>
      <c r="BR44" s="52">
        <f t="shared" si="47"/>
        <v>0</v>
      </c>
      <c r="BS44" s="52">
        <f t="shared" si="47"/>
        <v>0</v>
      </c>
      <c r="BT44" s="52">
        <f t="shared" si="47"/>
        <v>0</v>
      </c>
      <c r="BU44" s="45"/>
      <c r="BV44" s="69">
        <f t="shared" si="47"/>
        <v>0</v>
      </c>
      <c r="BW44" s="64">
        <f t="shared" si="13"/>
        <v>0</v>
      </c>
      <c r="BX44" s="344"/>
      <c r="CC44" s="201"/>
    </row>
    <row r="45" spans="1:81" s="52" customFormat="1" ht="14.25" hidden="1" customHeight="1" x14ac:dyDescent="0.25">
      <c r="A45" s="3"/>
      <c r="B45" s="3"/>
      <c r="C45" s="209" t="str">
        <f>C32</f>
        <v>RSVA - Global Adjustment 12</v>
      </c>
      <c r="D45" s="210">
        <v>1589</v>
      </c>
      <c r="E45" s="77">
        <f>E32</f>
        <v>0</v>
      </c>
      <c r="F45" s="52">
        <f t="shared" ref="F45:AJ45" si="48">F32</f>
        <v>0</v>
      </c>
      <c r="G45" s="52">
        <f t="shared" si="48"/>
        <v>0</v>
      </c>
      <c r="H45" s="52">
        <f t="shared" si="48"/>
        <v>0</v>
      </c>
      <c r="I45" s="52">
        <f t="shared" si="48"/>
        <v>0</v>
      </c>
      <c r="J45" s="52">
        <f t="shared" si="48"/>
        <v>0</v>
      </c>
      <c r="K45" s="52">
        <f t="shared" si="48"/>
        <v>0</v>
      </c>
      <c r="L45" s="52">
        <f t="shared" si="48"/>
        <v>0</v>
      </c>
      <c r="M45" s="52">
        <f t="shared" si="48"/>
        <v>0</v>
      </c>
      <c r="N45" s="64">
        <f t="shared" si="48"/>
        <v>0</v>
      </c>
      <c r="O45" s="51">
        <f t="shared" si="48"/>
        <v>0</v>
      </c>
      <c r="P45" s="52">
        <f t="shared" si="48"/>
        <v>0</v>
      </c>
      <c r="Q45" s="52">
        <f t="shared" si="48"/>
        <v>0</v>
      </c>
      <c r="R45" s="52">
        <f t="shared" si="48"/>
        <v>0</v>
      </c>
      <c r="S45" s="52">
        <f t="shared" si="48"/>
        <v>0</v>
      </c>
      <c r="T45" s="52">
        <f t="shared" si="48"/>
        <v>0</v>
      </c>
      <c r="U45" s="52">
        <f t="shared" si="48"/>
        <v>0</v>
      </c>
      <c r="V45" s="52">
        <f t="shared" si="48"/>
        <v>0</v>
      </c>
      <c r="W45" s="52">
        <f t="shared" si="48"/>
        <v>0</v>
      </c>
      <c r="X45" s="64">
        <f t="shared" si="48"/>
        <v>0</v>
      </c>
      <c r="Y45" s="51">
        <f t="shared" si="48"/>
        <v>0</v>
      </c>
      <c r="Z45" s="52">
        <f t="shared" si="48"/>
        <v>0</v>
      </c>
      <c r="AA45" s="52">
        <f t="shared" si="48"/>
        <v>0</v>
      </c>
      <c r="AB45" s="52">
        <f t="shared" si="48"/>
        <v>0</v>
      </c>
      <c r="AC45" s="52">
        <f t="shared" si="48"/>
        <v>0</v>
      </c>
      <c r="AD45" s="52">
        <f t="shared" si="48"/>
        <v>0</v>
      </c>
      <c r="AE45" s="52">
        <f t="shared" si="48"/>
        <v>0</v>
      </c>
      <c r="AF45" s="52">
        <f t="shared" si="48"/>
        <v>0</v>
      </c>
      <c r="AG45" s="52">
        <f t="shared" si="48"/>
        <v>0</v>
      </c>
      <c r="AH45" s="64">
        <f t="shared" si="48"/>
        <v>0</v>
      </c>
      <c r="AI45" s="51">
        <f t="shared" si="48"/>
        <v>0</v>
      </c>
      <c r="AJ45" s="52">
        <f t="shared" si="48"/>
        <v>0</v>
      </c>
      <c r="AK45" s="52">
        <f t="shared" ref="AK45:BQ45" si="49">AK32</f>
        <v>0</v>
      </c>
      <c r="AL45" s="52">
        <f t="shared" si="49"/>
        <v>0</v>
      </c>
      <c r="AM45" s="52">
        <f t="shared" si="49"/>
        <v>0</v>
      </c>
      <c r="AN45" s="52">
        <f t="shared" si="49"/>
        <v>0</v>
      </c>
      <c r="AO45" s="52">
        <f t="shared" si="49"/>
        <v>0</v>
      </c>
      <c r="AP45" s="52">
        <f t="shared" si="49"/>
        <v>0</v>
      </c>
      <c r="AQ45" s="52">
        <f t="shared" si="49"/>
        <v>0</v>
      </c>
      <c r="AR45" s="64">
        <f t="shared" si="49"/>
        <v>0</v>
      </c>
      <c r="AS45" s="51">
        <f t="shared" si="49"/>
        <v>0</v>
      </c>
      <c r="AT45" s="52">
        <f t="shared" si="49"/>
        <v>0</v>
      </c>
      <c r="AU45" s="52">
        <f t="shared" si="49"/>
        <v>0</v>
      </c>
      <c r="AV45" s="52">
        <f t="shared" si="49"/>
        <v>0</v>
      </c>
      <c r="AW45" s="52">
        <f t="shared" si="49"/>
        <v>0</v>
      </c>
      <c r="AX45" s="52">
        <f t="shared" si="49"/>
        <v>0</v>
      </c>
      <c r="AY45" s="52">
        <f t="shared" si="49"/>
        <v>0</v>
      </c>
      <c r="AZ45" s="52">
        <f t="shared" si="49"/>
        <v>0</v>
      </c>
      <c r="BA45" s="52">
        <f t="shared" si="49"/>
        <v>0</v>
      </c>
      <c r="BB45" s="64">
        <f t="shared" si="49"/>
        <v>0</v>
      </c>
      <c r="BC45" s="51">
        <f t="shared" ref="BC45:BL45" si="50">BC32</f>
        <v>0</v>
      </c>
      <c r="BD45" s="52">
        <f>BD32</f>
        <v>0</v>
      </c>
      <c r="BE45" s="52">
        <f t="shared" si="50"/>
        <v>0</v>
      </c>
      <c r="BF45" s="52">
        <f t="shared" si="50"/>
        <v>0</v>
      </c>
      <c r="BG45" s="52">
        <f t="shared" si="50"/>
        <v>0</v>
      </c>
      <c r="BH45" s="52">
        <f t="shared" si="50"/>
        <v>0</v>
      </c>
      <c r="BI45" s="52">
        <f t="shared" si="50"/>
        <v>0</v>
      </c>
      <c r="BJ45" s="52">
        <f t="shared" si="50"/>
        <v>0</v>
      </c>
      <c r="BK45" s="52">
        <f t="shared" si="50"/>
        <v>0</v>
      </c>
      <c r="BL45" s="64">
        <f t="shared" si="50"/>
        <v>0</v>
      </c>
      <c r="BM45" s="51">
        <f t="shared" si="49"/>
        <v>0</v>
      </c>
      <c r="BN45" s="52">
        <f t="shared" si="49"/>
        <v>0</v>
      </c>
      <c r="BO45" s="52">
        <f t="shared" si="49"/>
        <v>0</v>
      </c>
      <c r="BP45" s="64">
        <f t="shared" si="49"/>
        <v>0</v>
      </c>
      <c r="BQ45" s="52">
        <f t="shared" si="49"/>
        <v>0</v>
      </c>
      <c r="BR45" s="52">
        <f>BR32</f>
        <v>0</v>
      </c>
      <c r="BS45" s="52">
        <f>BS32</f>
        <v>0</v>
      </c>
      <c r="BT45" s="64">
        <f>SUM(BO45:BR45)</f>
        <v>0</v>
      </c>
      <c r="BU45" s="460"/>
      <c r="BV45" s="69">
        <f>BV32</f>
        <v>0</v>
      </c>
      <c r="BW45" s="64">
        <f t="shared" si="13"/>
        <v>0</v>
      </c>
      <c r="BX45" s="344"/>
      <c r="CC45" s="201"/>
    </row>
    <row r="46" spans="1:81" s="58" customFormat="1" ht="15" hidden="1" x14ac:dyDescent="0.25">
      <c r="A46"/>
      <c r="B46"/>
      <c r="C46" s="209"/>
      <c r="D46" s="211"/>
      <c r="E46" s="77"/>
      <c r="F46" s="52"/>
      <c r="G46" s="52"/>
      <c r="H46" s="52"/>
      <c r="I46" s="52"/>
      <c r="J46" s="52"/>
      <c r="K46" s="52"/>
      <c r="L46" s="52"/>
      <c r="M46" s="52"/>
      <c r="N46" s="64"/>
      <c r="O46" s="51"/>
      <c r="P46" s="52"/>
      <c r="Q46" s="52"/>
      <c r="R46" s="52"/>
      <c r="S46" s="52"/>
      <c r="T46" s="52"/>
      <c r="U46" s="52"/>
      <c r="V46" s="52"/>
      <c r="W46" s="52"/>
      <c r="X46" s="64"/>
      <c r="Y46" s="51"/>
      <c r="Z46" s="52"/>
      <c r="AA46" s="52"/>
      <c r="AB46" s="52"/>
      <c r="AC46" s="52"/>
      <c r="AD46" s="52"/>
      <c r="AE46" s="52"/>
      <c r="AF46" s="52"/>
      <c r="AG46" s="52"/>
      <c r="AH46" s="64"/>
      <c r="AI46" s="51"/>
      <c r="AJ46" s="52"/>
      <c r="AK46" s="52"/>
      <c r="AL46" s="52"/>
      <c r="AM46" s="52"/>
      <c r="AN46" s="52"/>
      <c r="AO46" s="52"/>
      <c r="AP46" s="52"/>
      <c r="AQ46" s="52"/>
      <c r="AR46" s="64"/>
      <c r="AS46" s="51"/>
      <c r="AT46" s="52"/>
      <c r="AU46" s="52"/>
      <c r="AV46" s="52"/>
      <c r="AW46" s="52"/>
      <c r="AX46" s="52"/>
      <c r="AY46" s="52"/>
      <c r="AZ46" s="52"/>
      <c r="BA46" s="52"/>
      <c r="BB46" s="64"/>
      <c r="BC46" s="51"/>
      <c r="BD46" s="52"/>
      <c r="BE46" s="52"/>
      <c r="BF46" s="52"/>
      <c r="BG46" s="52"/>
      <c r="BH46" s="52"/>
      <c r="BI46" s="52"/>
      <c r="BJ46" s="52"/>
      <c r="BK46" s="52"/>
      <c r="BL46" s="64"/>
      <c r="BM46" s="51"/>
      <c r="BN46" s="52"/>
      <c r="BO46" s="52"/>
      <c r="BP46" s="64"/>
      <c r="BT46" s="59"/>
      <c r="BU46" s="345"/>
      <c r="BV46" s="60"/>
      <c r="BW46" s="59"/>
      <c r="BX46" s="343"/>
      <c r="CC46" s="263"/>
    </row>
    <row r="47" spans="1:81" s="58" customFormat="1" ht="35.25" customHeight="1" thickBot="1" x14ac:dyDescent="0.25">
      <c r="A47"/>
      <c r="B47"/>
      <c r="C47" s="204" t="s">
        <v>22</v>
      </c>
      <c r="D47" s="205"/>
      <c r="E47" s="77"/>
      <c r="F47" s="52"/>
      <c r="G47" s="52"/>
      <c r="H47" s="52"/>
      <c r="I47" s="52"/>
      <c r="J47" s="52"/>
      <c r="K47" s="52"/>
      <c r="L47" s="52"/>
      <c r="M47" s="52"/>
      <c r="N47" s="64"/>
      <c r="O47" s="51"/>
      <c r="P47" s="52"/>
      <c r="Q47" s="52"/>
      <c r="R47" s="52"/>
      <c r="S47" s="52"/>
      <c r="T47" s="52"/>
      <c r="U47" s="52"/>
      <c r="V47" s="52"/>
      <c r="W47" s="52"/>
      <c r="X47" s="64"/>
      <c r="Y47" s="51"/>
      <c r="Z47" s="52"/>
      <c r="AA47" s="52"/>
      <c r="AB47" s="52"/>
      <c r="AC47" s="52"/>
      <c r="AD47" s="52"/>
      <c r="AE47" s="52"/>
      <c r="AF47" s="52"/>
      <c r="AG47" s="52"/>
      <c r="AH47" s="64"/>
      <c r="AI47" s="51"/>
      <c r="AJ47" s="52"/>
      <c r="AK47" s="52"/>
      <c r="AL47" s="52"/>
      <c r="AM47" s="52"/>
      <c r="AN47" s="52"/>
      <c r="AO47" s="52"/>
      <c r="AP47" s="52"/>
      <c r="AQ47" s="52"/>
      <c r="AR47" s="64"/>
      <c r="AS47" s="51"/>
      <c r="AT47" s="52"/>
      <c r="AU47" s="52"/>
      <c r="AV47" s="52"/>
      <c r="AW47" s="52"/>
      <c r="AX47" s="52"/>
      <c r="AY47" s="52"/>
      <c r="AZ47" s="52"/>
      <c r="BA47" s="52"/>
      <c r="BB47" s="64"/>
      <c r="BC47" s="51"/>
      <c r="BD47" s="52"/>
      <c r="BE47" s="52"/>
      <c r="BF47" s="52"/>
      <c r="BG47" s="52"/>
      <c r="BH47" s="52"/>
      <c r="BI47" s="52"/>
      <c r="BJ47" s="52"/>
      <c r="BK47" s="52"/>
      <c r="BL47" s="64"/>
      <c r="BM47" s="51"/>
      <c r="BN47" s="52"/>
      <c r="BO47" s="52"/>
      <c r="BP47" s="64"/>
      <c r="BT47" s="59"/>
      <c r="BU47" s="345"/>
      <c r="BV47" s="60"/>
      <c r="BW47" s="59"/>
      <c r="BX47" s="343"/>
      <c r="CC47" s="263"/>
    </row>
    <row r="48" spans="1:81" s="58" customFormat="1" ht="15" thickBot="1" x14ac:dyDescent="0.25">
      <c r="A48">
        <v>16</v>
      </c>
      <c r="B48"/>
      <c r="C48" s="193" t="s">
        <v>3075</v>
      </c>
      <c r="D48" s="194">
        <v>1508</v>
      </c>
      <c r="E48" s="135"/>
      <c r="F48" s="63"/>
      <c r="G48" s="63"/>
      <c r="H48" s="63"/>
      <c r="I48" s="52">
        <f t="shared" ref="I48:I78" si="51">E48+F48-G48+H48</f>
        <v>0</v>
      </c>
      <c r="J48" s="63"/>
      <c r="K48" s="166"/>
      <c r="L48" s="63"/>
      <c r="M48" s="63"/>
      <c r="N48" s="64">
        <f t="shared" ref="N48:N78" si="52">J48+K48-L48+M48</f>
        <v>0</v>
      </c>
      <c r="O48" s="65">
        <f t="shared" ref="O48:O70" si="53">I48</f>
        <v>0</v>
      </c>
      <c r="P48" s="177"/>
      <c r="Q48" s="63"/>
      <c r="R48" s="63"/>
      <c r="S48" s="52">
        <f t="shared" ref="S48:S78" si="54">O48+P48-Q48+R48</f>
        <v>0</v>
      </c>
      <c r="T48" s="66">
        <f t="shared" ref="T48:T78" si="55">N48</f>
        <v>0</v>
      </c>
      <c r="U48" s="183"/>
      <c r="V48" s="63"/>
      <c r="W48" s="63"/>
      <c r="X48" s="64">
        <f t="shared" ref="X48:X78" si="56">T48+U48-V48+W48</f>
        <v>0</v>
      </c>
      <c r="Y48" s="65">
        <f t="shared" ref="Y48:Y78" si="57">S48</f>
        <v>0</v>
      </c>
      <c r="Z48" s="63"/>
      <c r="AA48" s="63"/>
      <c r="AB48" s="63"/>
      <c r="AC48" s="52">
        <f t="shared" ref="AC48:AC78" si="58">Y48+Z48-AA48+AB48</f>
        <v>0</v>
      </c>
      <c r="AD48" s="66">
        <f t="shared" ref="AD48:AD78" si="59">X48</f>
        <v>0</v>
      </c>
      <c r="AE48" s="63"/>
      <c r="AF48" s="63"/>
      <c r="AG48" s="63"/>
      <c r="AH48" s="64">
        <f t="shared" ref="AH48:AH78" si="60">AD48+AE48-AF48+AG48</f>
        <v>0</v>
      </c>
      <c r="AI48" s="65">
        <f t="shared" ref="AI48:AI74" si="61">AC48</f>
        <v>0</v>
      </c>
      <c r="AJ48" s="63"/>
      <c r="AK48" s="63"/>
      <c r="AL48" s="63"/>
      <c r="AM48" s="52">
        <f t="shared" ref="AM48:AM78" si="62">AI48+AJ48-AK48+SUM(AL48:AL48)</f>
        <v>0</v>
      </c>
      <c r="AN48" s="66">
        <f t="shared" ref="AN48:AN78" si="63">AH48</f>
        <v>0</v>
      </c>
      <c r="AO48" s="63"/>
      <c r="AP48" s="63"/>
      <c r="AQ48" s="63"/>
      <c r="AR48" s="64">
        <f t="shared" ref="AR48:AR72" si="64">AN48+AO48-AP48+AQ48</f>
        <v>0</v>
      </c>
      <c r="AS48" s="65">
        <f t="shared" ref="AS48:AS74" si="65">AM48</f>
        <v>0</v>
      </c>
      <c r="AT48" s="63"/>
      <c r="AU48" s="63"/>
      <c r="AV48" s="63"/>
      <c r="AW48" s="52">
        <f t="shared" ref="AW48:AW78" si="66">AS48+AT48-AU48+AV48</f>
        <v>0</v>
      </c>
      <c r="AX48" s="66">
        <f t="shared" ref="AX48:AX78" si="67">AR48</f>
        <v>0</v>
      </c>
      <c r="AY48" s="63"/>
      <c r="AZ48" s="63"/>
      <c r="BA48" s="63"/>
      <c r="BB48" s="64">
        <f>AX48+AY48-AZ48+BA48</f>
        <v>0</v>
      </c>
      <c r="BC48" s="65">
        <f t="shared" ref="BC48:BC74" si="68">AW48</f>
        <v>0</v>
      </c>
      <c r="BD48" s="63"/>
      <c r="BE48" s="63"/>
      <c r="BF48" s="63"/>
      <c r="BG48" s="52">
        <f>BC48+BD48-BE48+SUM(BF48:BF48)</f>
        <v>0</v>
      </c>
      <c r="BH48" s="66">
        <f>BB48</f>
        <v>0</v>
      </c>
      <c r="BI48" s="63"/>
      <c r="BJ48" s="63"/>
      <c r="BK48" s="63"/>
      <c r="BL48" s="64">
        <f t="shared" ref="BL48:BL72" si="69">BH48+BI48-BJ48+BK48</f>
        <v>0</v>
      </c>
      <c r="BM48" s="62"/>
      <c r="BN48" s="63"/>
      <c r="BO48" s="66">
        <f>BG48-BM48</f>
        <v>0</v>
      </c>
      <c r="BP48" s="67">
        <f>BL48-BN48</f>
        <v>0</v>
      </c>
      <c r="BQ48" s="68"/>
      <c r="BR48" s="63"/>
      <c r="BS48" s="202">
        <f>BP48+BQ48+BR48</f>
        <v>0</v>
      </c>
      <c r="BT48" s="59">
        <f t="shared" ref="BT48:BT53" si="70">SUM(BO48:BR48)</f>
        <v>0</v>
      </c>
      <c r="BU48" s="345"/>
      <c r="BV48" s="625"/>
      <c r="BW48" s="591">
        <f t="shared" ref="BW48:BW78" si="71">BV48-SUM(BG48,BL48)</f>
        <v>0</v>
      </c>
      <c r="BX48" s="341" t="str">
        <f>IF(ABS(BW48)&gt;1,"Please provide an explanation of the variance in the tab 3 - Appendix A","")</f>
        <v/>
      </c>
      <c r="CC48" s="263"/>
    </row>
    <row r="49" spans="1:81" s="58" customFormat="1" ht="17.25" thickBot="1" x14ac:dyDescent="0.25">
      <c r="A49">
        <v>17</v>
      </c>
      <c r="B49"/>
      <c r="C49" s="193" t="s">
        <v>2929</v>
      </c>
      <c r="D49" s="194">
        <v>1508</v>
      </c>
      <c r="E49" s="500"/>
      <c r="F49" s="500"/>
      <c r="G49" s="500"/>
      <c r="H49" s="500"/>
      <c r="I49" s="52">
        <f>E49+F49-G49+H49</f>
        <v>0</v>
      </c>
      <c r="J49" s="500"/>
      <c r="K49" s="500"/>
      <c r="L49" s="500"/>
      <c r="M49" s="500"/>
      <c r="N49" s="64">
        <f>J49+K49-L49+M49</f>
        <v>0</v>
      </c>
      <c r="O49" s="65">
        <f>I49</f>
        <v>0</v>
      </c>
      <c r="P49" s="500"/>
      <c r="Q49" s="500"/>
      <c r="R49" s="500"/>
      <c r="S49" s="52">
        <f t="shared" si="54"/>
        <v>0</v>
      </c>
      <c r="T49" s="66">
        <f t="shared" si="55"/>
        <v>0</v>
      </c>
      <c r="U49" s="500"/>
      <c r="V49" s="500"/>
      <c r="W49" s="500"/>
      <c r="X49" s="64">
        <f>T49+U49-V49+W49</f>
        <v>0</v>
      </c>
      <c r="Y49" s="65">
        <f t="shared" si="57"/>
        <v>0</v>
      </c>
      <c r="Z49" s="63">
        <v>-25567</v>
      </c>
      <c r="AA49" s="63"/>
      <c r="AB49" s="63"/>
      <c r="AC49" s="52">
        <f t="shared" si="58"/>
        <v>-25567</v>
      </c>
      <c r="AD49" s="66">
        <f t="shared" si="59"/>
        <v>0</v>
      </c>
      <c r="AE49" s="63">
        <v>-92</v>
      </c>
      <c r="AF49" s="63"/>
      <c r="AG49" s="63"/>
      <c r="AH49" s="64">
        <f t="shared" si="60"/>
        <v>-92</v>
      </c>
      <c r="AI49" s="65">
        <f t="shared" si="61"/>
        <v>-25567</v>
      </c>
      <c r="AJ49" s="63"/>
      <c r="AK49" s="63"/>
      <c r="AL49" s="63"/>
      <c r="AM49" s="52">
        <f t="shared" si="62"/>
        <v>-25567</v>
      </c>
      <c r="AN49" s="66">
        <f t="shared" si="63"/>
        <v>-92</v>
      </c>
      <c r="AO49" s="63">
        <v>-575</v>
      </c>
      <c r="AP49" s="63"/>
      <c r="AQ49" s="63"/>
      <c r="AR49" s="64">
        <f t="shared" si="64"/>
        <v>-667</v>
      </c>
      <c r="AS49" s="65">
        <f t="shared" si="65"/>
        <v>-25567</v>
      </c>
      <c r="AT49" s="63"/>
      <c r="AU49" s="63"/>
      <c r="AV49" s="63"/>
      <c r="AW49" s="52">
        <f t="shared" si="66"/>
        <v>-25567</v>
      </c>
      <c r="AX49" s="66">
        <f t="shared" si="67"/>
        <v>-667</v>
      </c>
      <c r="AY49" s="319">
        <v>-352</v>
      </c>
      <c r="AZ49" s="319"/>
      <c r="BA49" s="319"/>
      <c r="BB49" s="64">
        <f t="shared" ref="BB49:BB72" si="72">AX49+AY49-AZ49+BA49</f>
        <v>-1019</v>
      </c>
      <c r="BC49" s="65">
        <f t="shared" si="68"/>
        <v>-25567</v>
      </c>
      <c r="BD49" s="63"/>
      <c r="BE49" s="63"/>
      <c r="BF49" s="63">
        <v>93876.29</v>
      </c>
      <c r="BG49" s="52">
        <f>BC49+BD49-BE49+SUM(BF49:BF49)</f>
        <v>68309.289999999994</v>
      </c>
      <c r="BH49" s="66">
        <f>BB49</f>
        <v>-1019</v>
      </c>
      <c r="BI49" s="63">
        <v>-146</v>
      </c>
      <c r="BJ49" s="63"/>
      <c r="BK49" s="63"/>
      <c r="BL49" s="64">
        <f t="shared" si="69"/>
        <v>-1165</v>
      </c>
      <c r="BM49" s="62"/>
      <c r="BN49" s="63"/>
      <c r="BO49" s="66">
        <f>BG49-BM49</f>
        <v>68309.289999999994</v>
      </c>
      <c r="BP49" s="67">
        <f>BL49-BN49</f>
        <v>-1165</v>
      </c>
      <c r="BQ49" s="68">
        <f>(BO49*3/12*0.57%)+(BO49*3/12*1.02%)+(BO49*3/12*2.2%)+(BO49*3/12*3.87%)</f>
        <v>1308.1229034999999</v>
      </c>
      <c r="BR49" s="63">
        <f>BO49*(3.87%)*4/12</f>
        <v>881.18984099999989</v>
      </c>
      <c r="BS49" s="202">
        <f>BP49+BQ49+BR49</f>
        <v>1024.3127444999998</v>
      </c>
      <c r="BT49" s="59">
        <f t="shared" si="70"/>
        <v>69333.602744499993</v>
      </c>
      <c r="BU49" s="345"/>
      <c r="BV49" s="625">
        <v>-26732.250000000004</v>
      </c>
      <c r="BW49" s="591">
        <f t="shared" si="71"/>
        <v>-93876.54</v>
      </c>
      <c r="BX49" s="341"/>
      <c r="CC49" s="263"/>
    </row>
    <row r="50" spans="1:81" s="58" customFormat="1" ht="17.25" thickBot="1" x14ac:dyDescent="0.25">
      <c r="A50">
        <v>18</v>
      </c>
      <c r="B50"/>
      <c r="C50" s="212" t="s">
        <v>2926</v>
      </c>
      <c r="D50" s="194">
        <v>1508</v>
      </c>
      <c r="E50" s="500"/>
      <c r="F50" s="500"/>
      <c r="G50" s="500"/>
      <c r="H50" s="500"/>
      <c r="I50" s="52">
        <f>E50+F50-G50+H50</f>
        <v>0</v>
      </c>
      <c r="J50" s="500"/>
      <c r="K50" s="500"/>
      <c r="L50" s="500"/>
      <c r="M50" s="500"/>
      <c r="N50" s="64">
        <f>J50+K50-L50+M50</f>
        <v>0</v>
      </c>
      <c r="O50" s="65">
        <f>I50</f>
        <v>0</v>
      </c>
      <c r="P50" s="500"/>
      <c r="Q50" s="500"/>
      <c r="R50" s="500"/>
      <c r="S50" s="52">
        <f t="shared" si="54"/>
        <v>0</v>
      </c>
      <c r="T50" s="66">
        <f>N50</f>
        <v>0</v>
      </c>
      <c r="U50" s="500"/>
      <c r="V50" s="500"/>
      <c r="W50" s="500"/>
      <c r="X50" s="64">
        <f>T50+U50-V50+W50</f>
        <v>0</v>
      </c>
      <c r="Y50" s="65">
        <f>S50</f>
        <v>0</v>
      </c>
      <c r="Z50" s="500"/>
      <c r="AA50" s="500"/>
      <c r="AB50" s="500"/>
      <c r="AC50" s="52">
        <f t="shared" si="58"/>
        <v>0</v>
      </c>
      <c r="AD50" s="66">
        <f t="shared" si="59"/>
        <v>0</v>
      </c>
      <c r="AE50" s="500"/>
      <c r="AF50" s="500"/>
      <c r="AG50" s="500"/>
      <c r="AH50" s="64">
        <f t="shared" si="60"/>
        <v>0</v>
      </c>
      <c r="AI50" s="65">
        <f t="shared" si="61"/>
        <v>0</v>
      </c>
      <c r="AJ50" s="63"/>
      <c r="AK50" s="63"/>
      <c r="AL50" s="63"/>
      <c r="AM50" s="52">
        <f t="shared" si="62"/>
        <v>0</v>
      </c>
      <c r="AN50" s="66">
        <f t="shared" si="63"/>
        <v>0</v>
      </c>
      <c r="AO50" s="63"/>
      <c r="AP50" s="63"/>
      <c r="AQ50" s="63"/>
      <c r="AR50" s="64">
        <f t="shared" si="64"/>
        <v>0</v>
      </c>
      <c r="AS50" s="65">
        <f t="shared" si="65"/>
        <v>0</v>
      </c>
      <c r="AT50" s="63"/>
      <c r="AU50" s="63"/>
      <c r="AV50" s="63"/>
      <c r="AW50" s="52">
        <f t="shared" si="66"/>
        <v>0</v>
      </c>
      <c r="AX50" s="66">
        <f t="shared" si="67"/>
        <v>0</v>
      </c>
      <c r="AY50" s="319"/>
      <c r="AZ50" s="319"/>
      <c r="BA50" s="319"/>
      <c r="BB50" s="64">
        <f t="shared" si="72"/>
        <v>0</v>
      </c>
      <c r="BC50" s="65">
        <f t="shared" si="68"/>
        <v>0</v>
      </c>
      <c r="BD50" s="63"/>
      <c r="BE50" s="63"/>
      <c r="BF50" s="63"/>
      <c r="BG50" s="52">
        <f>BC50+BD50-BE50+SUM(BF50:BF50)</f>
        <v>0</v>
      </c>
      <c r="BH50" s="66">
        <f>BB50</f>
        <v>0</v>
      </c>
      <c r="BI50" s="63"/>
      <c r="BJ50" s="63"/>
      <c r="BK50" s="63"/>
      <c r="BL50" s="64">
        <f t="shared" si="69"/>
        <v>0</v>
      </c>
      <c r="BM50" s="62"/>
      <c r="BN50" s="63"/>
      <c r="BO50" s="66">
        <f>BG50-BM50</f>
        <v>0</v>
      </c>
      <c r="BP50" s="67">
        <f>BL50-BN50</f>
        <v>0</v>
      </c>
      <c r="BQ50" s="68"/>
      <c r="BR50" s="63"/>
      <c r="BS50" s="202">
        <f>BP50+BQ50+BR50</f>
        <v>0</v>
      </c>
      <c r="BT50" s="59">
        <f t="shared" si="70"/>
        <v>0</v>
      </c>
      <c r="BU50" s="345"/>
      <c r="BV50" s="625"/>
      <c r="BW50" s="591">
        <f t="shared" si="71"/>
        <v>0</v>
      </c>
      <c r="BX50" s="341"/>
      <c r="CC50" s="263"/>
    </row>
    <row r="51" spans="1:81" s="58" customFormat="1" ht="17.25" thickBot="1" x14ac:dyDescent="0.25">
      <c r="A51">
        <v>19</v>
      </c>
      <c r="B51"/>
      <c r="C51" s="212" t="s">
        <v>3050</v>
      </c>
      <c r="D51" s="194">
        <v>1508</v>
      </c>
      <c r="E51" s="500"/>
      <c r="F51" s="500"/>
      <c r="G51" s="500"/>
      <c r="H51" s="500"/>
      <c r="I51" s="52">
        <f t="shared" si="51"/>
        <v>0</v>
      </c>
      <c r="J51" s="500"/>
      <c r="K51" s="500"/>
      <c r="L51" s="500"/>
      <c r="M51" s="500"/>
      <c r="N51" s="64">
        <f t="shared" si="52"/>
        <v>0</v>
      </c>
      <c r="O51" s="65">
        <f t="shared" si="53"/>
        <v>0</v>
      </c>
      <c r="P51" s="500"/>
      <c r="Q51" s="500"/>
      <c r="R51" s="500"/>
      <c r="S51" s="52">
        <f t="shared" si="54"/>
        <v>0</v>
      </c>
      <c r="T51" s="66">
        <f t="shared" si="55"/>
        <v>0</v>
      </c>
      <c r="U51" s="500"/>
      <c r="V51" s="500"/>
      <c r="W51" s="500"/>
      <c r="X51" s="64">
        <f t="shared" si="56"/>
        <v>0</v>
      </c>
      <c r="Y51" s="65">
        <f t="shared" si="57"/>
        <v>0</v>
      </c>
      <c r="Z51" s="500"/>
      <c r="AA51" s="500"/>
      <c r="AB51" s="500"/>
      <c r="AC51" s="52">
        <f t="shared" si="58"/>
        <v>0</v>
      </c>
      <c r="AD51" s="66">
        <f t="shared" si="59"/>
        <v>0</v>
      </c>
      <c r="AE51" s="500"/>
      <c r="AF51" s="500"/>
      <c r="AG51" s="500"/>
      <c r="AH51" s="64">
        <f t="shared" si="60"/>
        <v>0</v>
      </c>
      <c r="AI51" s="65">
        <f t="shared" si="61"/>
        <v>0</v>
      </c>
      <c r="AJ51" s="500"/>
      <c r="AK51" s="500"/>
      <c r="AL51" s="500"/>
      <c r="AM51" s="52">
        <f t="shared" si="62"/>
        <v>0</v>
      </c>
      <c r="AN51" s="66">
        <f t="shared" si="63"/>
        <v>0</v>
      </c>
      <c r="AO51" s="500"/>
      <c r="AP51" s="500"/>
      <c r="AQ51" s="500"/>
      <c r="AR51" s="64">
        <f t="shared" si="64"/>
        <v>0</v>
      </c>
      <c r="AS51" s="65">
        <f t="shared" si="65"/>
        <v>0</v>
      </c>
      <c r="AT51" s="63"/>
      <c r="AU51" s="63"/>
      <c r="AV51" s="63"/>
      <c r="AW51" s="52">
        <f t="shared" si="66"/>
        <v>0</v>
      </c>
      <c r="AX51" s="66">
        <f t="shared" si="67"/>
        <v>0</v>
      </c>
      <c r="AY51" s="63"/>
      <c r="AZ51" s="63"/>
      <c r="BA51" s="63"/>
      <c r="BB51" s="64">
        <f t="shared" si="72"/>
        <v>0</v>
      </c>
      <c r="BC51" s="65">
        <f t="shared" si="68"/>
        <v>0</v>
      </c>
      <c r="BD51" s="63"/>
      <c r="BE51" s="63"/>
      <c r="BF51" s="63"/>
      <c r="BG51" s="52">
        <f>BC51+BD51-BE51+SUM(BF51:BF51)</f>
        <v>0</v>
      </c>
      <c r="BH51" s="66">
        <f>BB51</f>
        <v>0</v>
      </c>
      <c r="BI51" s="63"/>
      <c r="BJ51" s="63"/>
      <c r="BK51" s="63"/>
      <c r="BL51" s="64">
        <f t="shared" si="69"/>
        <v>0</v>
      </c>
      <c r="BM51" s="62"/>
      <c r="BN51" s="63"/>
      <c r="BO51" s="66">
        <f>BG51-BM51</f>
        <v>0</v>
      </c>
      <c r="BP51" s="67">
        <f>BL51-BN51</f>
        <v>0</v>
      </c>
      <c r="BQ51" s="68"/>
      <c r="BR51" s="63"/>
      <c r="BS51" s="202">
        <f>BP51+BQ51+BR51</f>
        <v>0</v>
      </c>
      <c r="BT51" s="59">
        <f t="shared" si="70"/>
        <v>0</v>
      </c>
      <c r="BU51" s="650"/>
      <c r="BV51" s="625"/>
      <c r="BW51" s="591">
        <f t="shared" si="71"/>
        <v>0</v>
      </c>
      <c r="BX51" s="341"/>
      <c r="CB51" s="221">
        <v>1508</v>
      </c>
      <c r="CC51" s="263" t="b">
        <v>0</v>
      </c>
    </row>
    <row r="52" spans="1:81" s="58" customFormat="1" ht="17.25" thickBot="1" x14ac:dyDescent="0.25">
      <c r="A52">
        <v>20</v>
      </c>
      <c r="B52"/>
      <c r="C52" s="212" t="s">
        <v>3455</v>
      </c>
      <c r="D52" s="194">
        <v>1508</v>
      </c>
      <c r="E52" s="500"/>
      <c r="F52" s="500"/>
      <c r="G52" s="500"/>
      <c r="H52" s="500"/>
      <c r="I52" s="52">
        <f t="shared" si="51"/>
        <v>0</v>
      </c>
      <c r="J52" s="500"/>
      <c r="K52" s="500"/>
      <c r="L52" s="500"/>
      <c r="M52" s="500"/>
      <c r="N52" s="64">
        <f t="shared" si="52"/>
        <v>0</v>
      </c>
      <c r="O52" s="65">
        <f t="shared" si="53"/>
        <v>0</v>
      </c>
      <c r="P52" s="500"/>
      <c r="Q52" s="500"/>
      <c r="R52" s="500"/>
      <c r="S52" s="52">
        <f t="shared" si="54"/>
        <v>0</v>
      </c>
      <c r="T52" s="66">
        <f t="shared" si="55"/>
        <v>0</v>
      </c>
      <c r="U52" s="500"/>
      <c r="V52" s="500"/>
      <c r="W52" s="500"/>
      <c r="X52" s="64">
        <f t="shared" si="56"/>
        <v>0</v>
      </c>
      <c r="Y52" s="65">
        <f t="shared" si="57"/>
        <v>0</v>
      </c>
      <c r="Z52" s="500"/>
      <c r="AA52" s="500"/>
      <c r="AB52" s="500"/>
      <c r="AC52" s="52">
        <f t="shared" si="58"/>
        <v>0</v>
      </c>
      <c r="AD52" s="66">
        <f t="shared" si="59"/>
        <v>0</v>
      </c>
      <c r="AE52" s="500"/>
      <c r="AF52" s="500"/>
      <c r="AG52" s="500"/>
      <c r="AH52" s="64">
        <f t="shared" si="60"/>
        <v>0</v>
      </c>
      <c r="AI52" s="65">
        <f t="shared" si="61"/>
        <v>0</v>
      </c>
      <c r="AJ52" s="500"/>
      <c r="AK52" s="500"/>
      <c r="AL52" s="500"/>
      <c r="AM52" s="52">
        <f t="shared" si="62"/>
        <v>0</v>
      </c>
      <c r="AN52" s="66">
        <f t="shared" si="63"/>
        <v>0</v>
      </c>
      <c r="AO52" s="500"/>
      <c r="AP52" s="500"/>
      <c r="AQ52" s="500"/>
      <c r="AR52" s="64">
        <f t="shared" si="64"/>
        <v>0</v>
      </c>
      <c r="AS52" s="65">
        <f t="shared" si="65"/>
        <v>0</v>
      </c>
      <c r="AT52" s="500"/>
      <c r="AU52" s="500"/>
      <c r="AV52" s="500"/>
      <c r="AW52" s="52">
        <f t="shared" si="66"/>
        <v>0</v>
      </c>
      <c r="AX52" s="66">
        <f t="shared" si="67"/>
        <v>0</v>
      </c>
      <c r="AY52" s="500"/>
      <c r="AZ52" s="500"/>
      <c r="BA52" s="500"/>
      <c r="BB52" s="64">
        <f t="shared" si="72"/>
        <v>0</v>
      </c>
      <c r="BC52" s="65">
        <f t="shared" si="68"/>
        <v>0</v>
      </c>
      <c r="BD52" s="63"/>
      <c r="BE52" s="63"/>
      <c r="BF52" s="63"/>
      <c r="BG52" s="52">
        <f t="shared" ref="BG52:BG70" si="73">BC52+BD52-BE52+SUM(BF52:BF52)</f>
        <v>0</v>
      </c>
      <c r="BH52" s="66">
        <f t="shared" ref="BH52:BH70" si="74">BB52</f>
        <v>0</v>
      </c>
      <c r="BI52" s="63"/>
      <c r="BJ52" s="63"/>
      <c r="BK52" s="63"/>
      <c r="BL52" s="64">
        <f t="shared" si="69"/>
        <v>0</v>
      </c>
      <c r="BM52" s="62"/>
      <c r="BN52" s="63"/>
      <c r="BO52" s="66">
        <f t="shared" ref="BO52:BO70" si="75">BG52-BM52</f>
        <v>0</v>
      </c>
      <c r="BP52" s="67">
        <f t="shared" ref="BP52:BP70" si="76">BL52-BN52</f>
        <v>0</v>
      </c>
      <c r="BQ52" s="68"/>
      <c r="BR52" s="63"/>
      <c r="BS52" s="202">
        <f t="shared" ref="BS52:BS70" si="77">BP52+BQ52+BR52</f>
        <v>0</v>
      </c>
      <c r="BT52" s="59">
        <f t="shared" si="70"/>
        <v>0</v>
      </c>
      <c r="BU52" s="650"/>
      <c r="BV52" s="625"/>
      <c r="BW52" s="591">
        <f t="shared" si="71"/>
        <v>0</v>
      </c>
      <c r="BX52" s="341"/>
      <c r="CB52" s="221">
        <v>1508</v>
      </c>
      <c r="CC52" s="263" t="b">
        <v>0</v>
      </c>
    </row>
    <row r="53" spans="1:81" s="58" customFormat="1" ht="17.25" thickBot="1" x14ac:dyDescent="0.25">
      <c r="A53">
        <v>21</v>
      </c>
      <c r="B53"/>
      <c r="C53" s="212" t="s">
        <v>3457</v>
      </c>
      <c r="D53" s="194">
        <v>1508</v>
      </c>
      <c r="E53" s="500"/>
      <c r="F53" s="500"/>
      <c r="G53" s="500"/>
      <c r="H53" s="500"/>
      <c r="I53" s="52">
        <f t="shared" si="51"/>
        <v>0</v>
      </c>
      <c r="J53" s="500"/>
      <c r="K53" s="500"/>
      <c r="L53" s="500"/>
      <c r="M53" s="500"/>
      <c r="N53" s="64">
        <f t="shared" si="52"/>
        <v>0</v>
      </c>
      <c r="O53" s="65">
        <f t="shared" si="53"/>
        <v>0</v>
      </c>
      <c r="P53" s="500"/>
      <c r="Q53" s="500"/>
      <c r="R53" s="500"/>
      <c r="S53" s="52">
        <f t="shared" si="54"/>
        <v>0</v>
      </c>
      <c r="T53" s="66">
        <f t="shared" si="55"/>
        <v>0</v>
      </c>
      <c r="U53" s="500"/>
      <c r="V53" s="500"/>
      <c r="W53" s="500"/>
      <c r="X53" s="64">
        <f t="shared" si="56"/>
        <v>0</v>
      </c>
      <c r="Y53" s="65">
        <f t="shared" si="57"/>
        <v>0</v>
      </c>
      <c r="Z53" s="500"/>
      <c r="AA53" s="500"/>
      <c r="AB53" s="500"/>
      <c r="AC53" s="52">
        <f t="shared" si="58"/>
        <v>0</v>
      </c>
      <c r="AD53" s="66">
        <f t="shared" si="59"/>
        <v>0</v>
      </c>
      <c r="AE53" s="500"/>
      <c r="AF53" s="500"/>
      <c r="AG53" s="500"/>
      <c r="AH53" s="64">
        <f t="shared" si="60"/>
        <v>0</v>
      </c>
      <c r="AI53" s="65">
        <f t="shared" si="61"/>
        <v>0</v>
      </c>
      <c r="AJ53" s="500"/>
      <c r="AK53" s="500"/>
      <c r="AL53" s="500"/>
      <c r="AM53" s="52">
        <f t="shared" si="62"/>
        <v>0</v>
      </c>
      <c r="AN53" s="66">
        <f t="shared" si="63"/>
        <v>0</v>
      </c>
      <c r="AO53" s="500"/>
      <c r="AP53" s="500"/>
      <c r="AQ53" s="500"/>
      <c r="AR53" s="64">
        <f t="shared" si="64"/>
        <v>0</v>
      </c>
      <c r="AS53" s="65">
        <f t="shared" si="65"/>
        <v>0</v>
      </c>
      <c r="AT53" s="500"/>
      <c r="AU53" s="500"/>
      <c r="AV53" s="500"/>
      <c r="AW53" s="52">
        <f t="shared" si="66"/>
        <v>0</v>
      </c>
      <c r="AX53" s="66">
        <f t="shared" si="67"/>
        <v>0</v>
      </c>
      <c r="AY53" s="500"/>
      <c r="AZ53" s="500"/>
      <c r="BA53" s="500"/>
      <c r="BB53" s="64">
        <f t="shared" si="72"/>
        <v>0</v>
      </c>
      <c r="BC53" s="65">
        <f t="shared" si="68"/>
        <v>0</v>
      </c>
      <c r="BD53" s="63"/>
      <c r="BE53" s="63"/>
      <c r="BF53" s="63"/>
      <c r="BG53" s="52">
        <f t="shared" si="73"/>
        <v>0</v>
      </c>
      <c r="BH53" s="66">
        <f t="shared" si="74"/>
        <v>0</v>
      </c>
      <c r="BI53" s="63"/>
      <c r="BJ53" s="63"/>
      <c r="BK53" s="63"/>
      <c r="BL53" s="64">
        <f t="shared" si="69"/>
        <v>0</v>
      </c>
      <c r="BM53" s="62"/>
      <c r="BN53" s="63"/>
      <c r="BO53" s="66">
        <f t="shared" si="75"/>
        <v>0</v>
      </c>
      <c r="BP53" s="67">
        <f t="shared" si="76"/>
        <v>0</v>
      </c>
      <c r="BQ53" s="68"/>
      <c r="BR53" s="63"/>
      <c r="BS53" s="202">
        <f t="shared" si="77"/>
        <v>0</v>
      </c>
      <c r="BT53" s="59">
        <f t="shared" si="70"/>
        <v>0</v>
      </c>
      <c r="BU53" s="650"/>
      <c r="BV53" s="625"/>
      <c r="BW53" s="591">
        <f t="shared" si="71"/>
        <v>0</v>
      </c>
      <c r="BX53" s="341"/>
      <c r="CB53" s="221">
        <v>1508</v>
      </c>
      <c r="CC53" s="263" t="b">
        <v>0</v>
      </c>
    </row>
    <row r="54" spans="1:81" s="58" customFormat="1" ht="15.75" thickBot="1" x14ac:dyDescent="0.25">
      <c r="A54">
        <v>22</v>
      </c>
      <c r="B54"/>
      <c r="C54" s="135" t="s">
        <v>3480</v>
      </c>
      <c r="D54" s="194">
        <v>1508</v>
      </c>
      <c r="E54" s="135"/>
      <c r="F54" s="63"/>
      <c r="G54" s="63"/>
      <c r="H54" s="63"/>
      <c r="I54" s="52">
        <f t="shared" si="51"/>
        <v>0</v>
      </c>
      <c r="J54" s="63"/>
      <c r="K54" s="63"/>
      <c r="L54" s="63"/>
      <c r="M54" s="63"/>
      <c r="N54" s="64">
        <f t="shared" si="52"/>
        <v>0</v>
      </c>
      <c r="O54" s="65">
        <f t="shared" si="53"/>
        <v>0</v>
      </c>
      <c r="P54" s="278"/>
      <c r="Q54" s="63"/>
      <c r="R54" s="63"/>
      <c r="S54" s="52">
        <f t="shared" si="54"/>
        <v>0</v>
      </c>
      <c r="T54" s="66">
        <f t="shared" si="55"/>
        <v>0</v>
      </c>
      <c r="U54" s="63"/>
      <c r="V54" s="63"/>
      <c r="W54" s="63"/>
      <c r="X54" s="64">
        <f t="shared" si="56"/>
        <v>0</v>
      </c>
      <c r="Y54" s="65">
        <f t="shared" si="57"/>
        <v>0</v>
      </c>
      <c r="Z54" s="63"/>
      <c r="AA54" s="63"/>
      <c r="AB54" s="63"/>
      <c r="AC54" s="52">
        <f t="shared" si="58"/>
        <v>0</v>
      </c>
      <c r="AD54" s="66">
        <f t="shared" si="59"/>
        <v>0</v>
      </c>
      <c r="AE54" s="63"/>
      <c r="AF54" s="63"/>
      <c r="AG54" s="63"/>
      <c r="AH54" s="64">
        <f t="shared" si="60"/>
        <v>0</v>
      </c>
      <c r="AI54" s="65">
        <f t="shared" si="61"/>
        <v>0</v>
      </c>
      <c r="AJ54" s="63"/>
      <c r="AK54" s="63"/>
      <c r="AL54" s="63"/>
      <c r="AM54" s="52">
        <f t="shared" si="62"/>
        <v>0</v>
      </c>
      <c r="AN54" s="66">
        <f t="shared" si="63"/>
        <v>0</v>
      </c>
      <c r="AO54" s="63"/>
      <c r="AP54" s="63"/>
      <c r="AQ54" s="63"/>
      <c r="AR54" s="64">
        <f t="shared" si="64"/>
        <v>0</v>
      </c>
      <c r="AS54" s="65">
        <f t="shared" si="65"/>
        <v>0</v>
      </c>
      <c r="AT54" s="63"/>
      <c r="AU54" s="63"/>
      <c r="AV54" s="63"/>
      <c r="AW54" s="52">
        <f t="shared" si="66"/>
        <v>0</v>
      </c>
      <c r="AX54" s="66">
        <f t="shared" si="67"/>
        <v>0</v>
      </c>
      <c r="AY54" s="63"/>
      <c r="AZ54" s="63"/>
      <c r="BA54" s="63"/>
      <c r="BB54" s="64">
        <f t="shared" si="72"/>
        <v>0</v>
      </c>
      <c r="BC54" s="65">
        <f t="shared" si="68"/>
        <v>0</v>
      </c>
      <c r="BD54" s="63">
        <v>6020119.5899999999</v>
      </c>
      <c r="BE54" s="63"/>
      <c r="BF54" s="63"/>
      <c r="BG54" s="52">
        <f t="shared" si="73"/>
        <v>6020119.5899999999</v>
      </c>
      <c r="BH54" s="66">
        <f t="shared" si="74"/>
        <v>0</v>
      </c>
      <c r="BI54" s="63"/>
      <c r="BJ54" s="63"/>
      <c r="BK54" s="63"/>
      <c r="BL54" s="64">
        <f t="shared" si="69"/>
        <v>0</v>
      </c>
      <c r="BM54" s="62"/>
      <c r="BN54" s="63"/>
      <c r="BO54" s="66">
        <f t="shared" si="75"/>
        <v>6020119.5899999999</v>
      </c>
      <c r="BP54" s="67">
        <f t="shared" si="76"/>
        <v>0</v>
      </c>
      <c r="BQ54" s="68"/>
      <c r="BR54" s="63"/>
      <c r="BS54" s="202">
        <f t="shared" si="77"/>
        <v>0</v>
      </c>
      <c r="BT54" s="59">
        <f t="shared" ref="BT54:BT70" si="78">IF(BU54="Yes", SUM(BO54:BR54), 0)</f>
        <v>0</v>
      </c>
      <c r="BU54" s="461" t="s">
        <v>637</v>
      </c>
      <c r="BV54" s="625">
        <v>6020120</v>
      </c>
      <c r="BW54" s="591">
        <f t="shared" si="71"/>
        <v>0.41000000014901161</v>
      </c>
      <c r="BX54" s="341"/>
      <c r="CB54" s="221">
        <v>1508</v>
      </c>
      <c r="CC54" s="263" t="b">
        <v>0</v>
      </c>
    </row>
    <row r="55" spans="1:81" s="58" customFormat="1" ht="15.75" thickBot="1" x14ac:dyDescent="0.25">
      <c r="A55">
        <v>23</v>
      </c>
      <c r="B55"/>
      <c r="C55" s="135" t="s">
        <v>3481</v>
      </c>
      <c r="D55" s="194">
        <v>1508</v>
      </c>
      <c r="E55" s="135"/>
      <c r="F55" s="63"/>
      <c r="G55" s="63"/>
      <c r="H55" s="63"/>
      <c r="I55" s="52">
        <f t="shared" si="51"/>
        <v>0</v>
      </c>
      <c r="J55" s="63"/>
      <c r="K55" s="63"/>
      <c r="L55" s="63"/>
      <c r="M55" s="63"/>
      <c r="N55" s="64">
        <f t="shared" si="52"/>
        <v>0</v>
      </c>
      <c r="O55" s="65">
        <f t="shared" si="53"/>
        <v>0</v>
      </c>
      <c r="P55" s="278"/>
      <c r="Q55" s="63"/>
      <c r="R55" s="63"/>
      <c r="S55" s="52">
        <f t="shared" si="54"/>
        <v>0</v>
      </c>
      <c r="T55" s="66">
        <f t="shared" si="55"/>
        <v>0</v>
      </c>
      <c r="U55" s="63"/>
      <c r="V55" s="63"/>
      <c r="W55" s="63"/>
      <c r="X55" s="64">
        <f t="shared" si="56"/>
        <v>0</v>
      </c>
      <c r="Y55" s="65">
        <f t="shared" si="57"/>
        <v>0</v>
      </c>
      <c r="Z55" s="63"/>
      <c r="AA55" s="63"/>
      <c r="AB55" s="63"/>
      <c r="AC55" s="52">
        <f t="shared" si="58"/>
        <v>0</v>
      </c>
      <c r="AD55" s="66">
        <f t="shared" si="59"/>
        <v>0</v>
      </c>
      <c r="AE55" s="63"/>
      <c r="AF55" s="63"/>
      <c r="AG55" s="63"/>
      <c r="AH55" s="64">
        <f t="shared" si="60"/>
        <v>0</v>
      </c>
      <c r="AI55" s="65">
        <f t="shared" si="61"/>
        <v>0</v>
      </c>
      <c r="AJ55" s="63"/>
      <c r="AK55" s="63"/>
      <c r="AL55" s="63"/>
      <c r="AM55" s="52">
        <f t="shared" si="62"/>
        <v>0</v>
      </c>
      <c r="AN55" s="66">
        <f t="shared" si="63"/>
        <v>0</v>
      </c>
      <c r="AO55" s="63"/>
      <c r="AP55" s="63"/>
      <c r="AQ55" s="63"/>
      <c r="AR55" s="64">
        <f t="shared" si="64"/>
        <v>0</v>
      </c>
      <c r="AS55" s="65">
        <f t="shared" si="65"/>
        <v>0</v>
      </c>
      <c r="AT55" s="63"/>
      <c r="AU55" s="63"/>
      <c r="AV55" s="63"/>
      <c r="AW55" s="52">
        <f t="shared" si="66"/>
        <v>0</v>
      </c>
      <c r="AX55" s="66">
        <f t="shared" si="67"/>
        <v>0</v>
      </c>
      <c r="AY55" s="63"/>
      <c r="AZ55" s="63"/>
      <c r="BA55" s="63"/>
      <c r="BB55" s="64">
        <f t="shared" si="72"/>
        <v>0</v>
      </c>
      <c r="BC55" s="65">
        <f t="shared" si="68"/>
        <v>0</v>
      </c>
      <c r="BD55" s="63">
        <v>75251.490000000005</v>
      </c>
      <c r="BE55" s="63"/>
      <c r="BF55" s="63">
        <f>150502.98</f>
        <v>150502.98000000001</v>
      </c>
      <c r="BG55" s="52">
        <f t="shared" si="73"/>
        <v>225754.47000000003</v>
      </c>
      <c r="BH55" s="66">
        <f t="shared" si="74"/>
        <v>0</v>
      </c>
      <c r="BI55" s="63"/>
      <c r="BJ55" s="63"/>
      <c r="BK55" s="63"/>
      <c r="BL55" s="64">
        <f t="shared" si="69"/>
        <v>0</v>
      </c>
      <c r="BM55" s="62"/>
      <c r="BN55" s="63"/>
      <c r="BO55" s="66">
        <f t="shared" si="75"/>
        <v>225754.47000000003</v>
      </c>
      <c r="BP55" s="67">
        <f t="shared" si="76"/>
        <v>0</v>
      </c>
      <c r="BQ55" s="68"/>
      <c r="BR55" s="63"/>
      <c r="BS55" s="202">
        <f t="shared" si="77"/>
        <v>0</v>
      </c>
      <c r="BT55" s="59">
        <f t="shared" si="78"/>
        <v>0</v>
      </c>
      <c r="BU55" s="461" t="s">
        <v>637</v>
      </c>
      <c r="BV55" s="625">
        <v>75251.490000000005</v>
      </c>
      <c r="BW55" s="59">
        <f t="shared" si="71"/>
        <v>-150502.98000000004</v>
      </c>
      <c r="BX55" s="341"/>
      <c r="CB55" s="221">
        <v>1508</v>
      </c>
      <c r="CC55" s="263" t="b">
        <v>0</v>
      </c>
    </row>
    <row r="56" spans="1:81" s="58" customFormat="1" ht="17.25" customHeight="1" thickBot="1" x14ac:dyDescent="0.25">
      <c r="A56">
        <v>24</v>
      </c>
      <c r="B56"/>
      <c r="C56" s="135" t="s">
        <v>3482</v>
      </c>
      <c r="D56" s="194">
        <v>1508</v>
      </c>
      <c r="E56" s="135"/>
      <c r="F56" s="63"/>
      <c r="G56" s="63"/>
      <c r="H56" s="63"/>
      <c r="I56" s="52">
        <f t="shared" si="51"/>
        <v>0</v>
      </c>
      <c r="J56" s="63"/>
      <c r="K56" s="63"/>
      <c r="L56" s="63"/>
      <c r="M56" s="63"/>
      <c r="N56" s="64">
        <f t="shared" si="52"/>
        <v>0</v>
      </c>
      <c r="O56" s="65">
        <f t="shared" si="53"/>
        <v>0</v>
      </c>
      <c r="P56" s="278"/>
      <c r="Q56" s="63"/>
      <c r="R56" s="63"/>
      <c r="S56" s="52">
        <f t="shared" si="54"/>
        <v>0</v>
      </c>
      <c r="T56" s="66">
        <f t="shared" si="55"/>
        <v>0</v>
      </c>
      <c r="U56" s="63"/>
      <c r="V56" s="63"/>
      <c r="W56" s="63"/>
      <c r="X56" s="64">
        <f t="shared" si="56"/>
        <v>0</v>
      </c>
      <c r="Y56" s="65">
        <f t="shared" si="57"/>
        <v>0</v>
      </c>
      <c r="Z56" s="63"/>
      <c r="AA56" s="63"/>
      <c r="AB56" s="63"/>
      <c r="AC56" s="52">
        <f t="shared" si="58"/>
        <v>0</v>
      </c>
      <c r="AD56" s="66">
        <f t="shared" si="59"/>
        <v>0</v>
      </c>
      <c r="AE56" s="63"/>
      <c r="AF56" s="63"/>
      <c r="AG56" s="63"/>
      <c r="AH56" s="64">
        <f t="shared" si="60"/>
        <v>0</v>
      </c>
      <c r="AI56" s="65">
        <f t="shared" si="61"/>
        <v>0</v>
      </c>
      <c r="AJ56" s="63"/>
      <c r="AK56" s="63"/>
      <c r="AL56" s="63"/>
      <c r="AM56" s="52">
        <f t="shared" si="62"/>
        <v>0</v>
      </c>
      <c r="AN56" s="66">
        <f t="shared" si="63"/>
        <v>0</v>
      </c>
      <c r="AO56" s="63"/>
      <c r="AP56" s="63"/>
      <c r="AQ56" s="63"/>
      <c r="AR56" s="64">
        <f t="shared" si="64"/>
        <v>0</v>
      </c>
      <c r="AS56" s="65">
        <f t="shared" si="65"/>
        <v>0</v>
      </c>
      <c r="AT56" s="63"/>
      <c r="AU56" s="63"/>
      <c r="AV56" s="63"/>
      <c r="AW56" s="52">
        <f t="shared" si="66"/>
        <v>0</v>
      </c>
      <c r="AX56" s="66">
        <f t="shared" si="67"/>
        <v>0</v>
      </c>
      <c r="AY56" s="63"/>
      <c r="AZ56" s="63"/>
      <c r="BA56" s="63"/>
      <c r="BB56" s="64">
        <f t="shared" si="72"/>
        <v>0</v>
      </c>
      <c r="BC56" s="65">
        <f t="shared" si="68"/>
        <v>0</v>
      </c>
      <c r="BD56" s="63">
        <v>-75251.490000000005</v>
      </c>
      <c r="BE56" s="63"/>
      <c r="BF56" s="63">
        <f>-BF55</f>
        <v>-150502.98000000001</v>
      </c>
      <c r="BG56" s="52">
        <f t="shared" si="73"/>
        <v>-225754.47000000003</v>
      </c>
      <c r="BH56" s="66">
        <f t="shared" si="74"/>
        <v>0</v>
      </c>
      <c r="BI56" s="63"/>
      <c r="BJ56" s="63"/>
      <c r="BK56" s="63"/>
      <c r="BL56" s="64">
        <f t="shared" si="69"/>
        <v>0</v>
      </c>
      <c r="BM56" s="62"/>
      <c r="BN56" s="63"/>
      <c r="BO56" s="66">
        <f t="shared" si="75"/>
        <v>-225754.47000000003</v>
      </c>
      <c r="BP56" s="67">
        <f t="shared" si="76"/>
        <v>0</v>
      </c>
      <c r="BQ56" s="68"/>
      <c r="BR56" s="63"/>
      <c r="BS56" s="202">
        <f t="shared" si="77"/>
        <v>0</v>
      </c>
      <c r="BT56" s="59">
        <f t="shared" si="78"/>
        <v>0</v>
      </c>
      <c r="BU56" s="461" t="s">
        <v>637</v>
      </c>
      <c r="BV56" s="625">
        <v>-75251.490000000005</v>
      </c>
      <c r="BW56" s="59">
        <f t="shared" si="71"/>
        <v>150502.98000000004</v>
      </c>
      <c r="BX56" s="341"/>
      <c r="CB56" s="221">
        <v>1508</v>
      </c>
      <c r="CC56" s="263" t="b">
        <v>0</v>
      </c>
    </row>
    <row r="57" spans="1:81" s="58" customFormat="1" ht="15.75" thickBot="1" x14ac:dyDescent="0.25">
      <c r="A57">
        <v>25</v>
      </c>
      <c r="B57"/>
      <c r="C57" s="135" t="s">
        <v>3483</v>
      </c>
      <c r="D57" s="194">
        <v>1508</v>
      </c>
      <c r="E57" s="135"/>
      <c r="F57" s="63"/>
      <c r="G57" s="63"/>
      <c r="H57" s="63"/>
      <c r="I57" s="52">
        <f t="shared" si="51"/>
        <v>0</v>
      </c>
      <c r="J57" s="63"/>
      <c r="K57" s="63"/>
      <c r="L57" s="63"/>
      <c r="M57" s="63"/>
      <c r="N57" s="64">
        <f t="shared" si="52"/>
        <v>0</v>
      </c>
      <c r="O57" s="65">
        <f t="shared" si="53"/>
        <v>0</v>
      </c>
      <c r="P57" s="278"/>
      <c r="Q57" s="63"/>
      <c r="R57" s="63"/>
      <c r="S57" s="52">
        <f t="shared" si="54"/>
        <v>0</v>
      </c>
      <c r="T57" s="66">
        <f t="shared" si="55"/>
        <v>0</v>
      </c>
      <c r="U57" s="63"/>
      <c r="V57" s="63"/>
      <c r="W57" s="63"/>
      <c r="X57" s="64">
        <f t="shared" si="56"/>
        <v>0</v>
      </c>
      <c r="Y57" s="65">
        <f t="shared" si="57"/>
        <v>0</v>
      </c>
      <c r="Z57" s="63"/>
      <c r="AA57" s="63"/>
      <c r="AB57" s="63"/>
      <c r="AC57" s="52">
        <f t="shared" si="58"/>
        <v>0</v>
      </c>
      <c r="AD57" s="66">
        <f t="shared" si="59"/>
        <v>0</v>
      </c>
      <c r="AE57" s="63"/>
      <c r="AF57" s="63"/>
      <c r="AG57" s="63"/>
      <c r="AH57" s="64">
        <f t="shared" si="60"/>
        <v>0</v>
      </c>
      <c r="AI57" s="65">
        <f t="shared" si="61"/>
        <v>0</v>
      </c>
      <c r="AJ57" s="63"/>
      <c r="AK57" s="63"/>
      <c r="AL57" s="63"/>
      <c r="AM57" s="52">
        <f t="shared" si="62"/>
        <v>0</v>
      </c>
      <c r="AN57" s="66">
        <f t="shared" si="63"/>
        <v>0</v>
      </c>
      <c r="AO57" s="63"/>
      <c r="AP57" s="63"/>
      <c r="AQ57" s="63"/>
      <c r="AR57" s="64">
        <f t="shared" si="64"/>
        <v>0</v>
      </c>
      <c r="AS57" s="65">
        <f t="shared" si="65"/>
        <v>0</v>
      </c>
      <c r="AT57" s="63">
        <v>-40074</v>
      </c>
      <c r="AU57" s="63"/>
      <c r="AV57" s="63"/>
      <c r="AW57" s="52">
        <f t="shared" si="66"/>
        <v>-40074</v>
      </c>
      <c r="AX57" s="66">
        <f t="shared" si="67"/>
        <v>0</v>
      </c>
      <c r="AY57" s="63"/>
      <c r="AZ57" s="63"/>
      <c r="BA57" s="63"/>
      <c r="BB57" s="64">
        <f t="shared" si="72"/>
        <v>0</v>
      </c>
      <c r="BC57" s="65">
        <f t="shared" si="68"/>
        <v>-40074</v>
      </c>
      <c r="BD57" s="63">
        <v>-229746.02999999997</v>
      </c>
      <c r="BE57" s="63"/>
      <c r="BF57" s="63">
        <v>-315037.177282502</v>
      </c>
      <c r="BG57" s="52">
        <f t="shared" si="73"/>
        <v>-584857.20728250197</v>
      </c>
      <c r="BH57" s="66">
        <f t="shared" si="74"/>
        <v>0</v>
      </c>
      <c r="BI57" s="63">
        <v>1389</v>
      </c>
      <c r="BJ57" s="63"/>
      <c r="BK57" s="63"/>
      <c r="BL57" s="64">
        <f t="shared" si="69"/>
        <v>1389</v>
      </c>
      <c r="BM57" s="62"/>
      <c r="BN57" s="63"/>
      <c r="BO57" s="66">
        <f t="shared" si="75"/>
        <v>-584857.20728250197</v>
      </c>
      <c r="BP57" s="67">
        <f t="shared" si="76"/>
        <v>1389</v>
      </c>
      <c r="BQ57" s="68"/>
      <c r="BR57" s="63"/>
      <c r="BS57" s="202">
        <f t="shared" si="77"/>
        <v>1389</v>
      </c>
      <c r="BT57" s="59">
        <f t="shared" si="78"/>
        <v>-583468.20728250197</v>
      </c>
      <c r="BU57" s="461" t="s">
        <v>3037</v>
      </c>
      <c r="BV57" s="625">
        <v>-269820.12999999995</v>
      </c>
      <c r="BW57" s="59">
        <f t="shared" si="71"/>
        <v>313648.07728250202</v>
      </c>
      <c r="BX57" s="341"/>
      <c r="CB57" s="221">
        <v>1508</v>
      </c>
      <c r="CC57" s="263" t="b">
        <v>0</v>
      </c>
    </row>
    <row r="58" spans="1:81" s="58" customFormat="1" ht="15.75" thickBot="1" x14ac:dyDescent="0.25">
      <c r="A58">
        <v>26</v>
      </c>
      <c r="B58"/>
      <c r="C58" s="135" t="s">
        <v>3484</v>
      </c>
      <c r="D58" s="194">
        <v>1508</v>
      </c>
      <c r="E58" s="135"/>
      <c r="F58" s="63"/>
      <c r="G58" s="63"/>
      <c r="H58" s="63"/>
      <c r="I58" s="52">
        <f t="shared" si="51"/>
        <v>0</v>
      </c>
      <c r="J58" s="63"/>
      <c r="K58" s="63"/>
      <c r="L58" s="63"/>
      <c r="M58" s="63"/>
      <c r="N58" s="64">
        <f t="shared" si="52"/>
        <v>0</v>
      </c>
      <c r="O58" s="65">
        <f t="shared" si="53"/>
        <v>0</v>
      </c>
      <c r="P58" s="278"/>
      <c r="Q58" s="63"/>
      <c r="R58" s="63"/>
      <c r="S58" s="52">
        <f t="shared" si="54"/>
        <v>0</v>
      </c>
      <c r="T58" s="66">
        <f t="shared" si="55"/>
        <v>0</v>
      </c>
      <c r="U58" s="63"/>
      <c r="V58" s="63"/>
      <c r="W58" s="63"/>
      <c r="X58" s="64">
        <f t="shared" si="56"/>
        <v>0</v>
      </c>
      <c r="Y58" s="65">
        <f t="shared" si="57"/>
        <v>0</v>
      </c>
      <c r="Z58" s="63"/>
      <c r="AA58" s="63"/>
      <c r="AB58" s="63"/>
      <c r="AC58" s="52">
        <f t="shared" si="58"/>
        <v>0</v>
      </c>
      <c r="AD58" s="66">
        <f t="shared" si="59"/>
        <v>0</v>
      </c>
      <c r="AE58" s="63"/>
      <c r="AF58" s="63"/>
      <c r="AG58" s="63"/>
      <c r="AH58" s="64">
        <f t="shared" si="60"/>
        <v>0</v>
      </c>
      <c r="AI58" s="65">
        <f t="shared" si="61"/>
        <v>0</v>
      </c>
      <c r="AJ58" s="63"/>
      <c r="AK58" s="63"/>
      <c r="AL58" s="63"/>
      <c r="AM58" s="52">
        <f t="shared" si="62"/>
        <v>0</v>
      </c>
      <c r="AN58" s="66">
        <f t="shared" si="63"/>
        <v>0</v>
      </c>
      <c r="AO58" s="63"/>
      <c r="AP58" s="63"/>
      <c r="AQ58" s="63"/>
      <c r="AR58" s="64">
        <f t="shared" si="64"/>
        <v>0</v>
      </c>
      <c r="AS58" s="65">
        <f t="shared" si="65"/>
        <v>0</v>
      </c>
      <c r="AT58" s="63">
        <v>-115142</v>
      </c>
      <c r="AU58" s="63"/>
      <c r="AV58" s="63"/>
      <c r="AW58" s="52">
        <f t="shared" si="66"/>
        <v>-115142</v>
      </c>
      <c r="AX58" s="66">
        <f t="shared" si="67"/>
        <v>0</v>
      </c>
      <c r="AY58" s="63"/>
      <c r="AZ58" s="63"/>
      <c r="BA58" s="63"/>
      <c r="BB58" s="64">
        <f t="shared" si="72"/>
        <v>0</v>
      </c>
      <c r="BC58" s="65">
        <f t="shared" si="68"/>
        <v>-115142</v>
      </c>
      <c r="BD58" s="63"/>
      <c r="BE58" s="63"/>
      <c r="BF58" s="63"/>
      <c r="BG58" s="52">
        <f t="shared" si="73"/>
        <v>-115142</v>
      </c>
      <c r="BH58" s="66">
        <f t="shared" si="74"/>
        <v>0</v>
      </c>
      <c r="BI58" s="63"/>
      <c r="BJ58" s="63"/>
      <c r="BK58" s="63"/>
      <c r="BL58" s="64">
        <f t="shared" si="69"/>
        <v>0</v>
      </c>
      <c r="BM58" s="62"/>
      <c r="BN58" s="63"/>
      <c r="BO58" s="66">
        <f t="shared" si="75"/>
        <v>-115142</v>
      </c>
      <c r="BP58" s="67">
        <f t="shared" si="76"/>
        <v>0</v>
      </c>
      <c r="BQ58" s="68"/>
      <c r="BR58" s="63"/>
      <c r="BS58" s="202">
        <f t="shared" si="77"/>
        <v>0</v>
      </c>
      <c r="BT58" s="59">
        <f t="shared" si="78"/>
        <v>-115142</v>
      </c>
      <c r="BU58" s="461" t="s">
        <v>3037</v>
      </c>
      <c r="BV58" s="625">
        <v>-115142.49</v>
      </c>
      <c r="BW58" s="59">
        <f t="shared" si="71"/>
        <v>-0.49000000000523869</v>
      </c>
      <c r="BX58" s="341"/>
      <c r="CB58" s="221">
        <v>1508</v>
      </c>
      <c r="CC58" s="263" t="b">
        <v>0</v>
      </c>
    </row>
    <row r="59" spans="1:81" s="58" customFormat="1" ht="15.75" thickBot="1" x14ac:dyDescent="0.25">
      <c r="A59">
        <v>27</v>
      </c>
      <c r="B59"/>
      <c r="C59" s="135" t="s">
        <v>3485</v>
      </c>
      <c r="D59" s="194">
        <v>1509</v>
      </c>
      <c r="E59" s="135"/>
      <c r="F59" s="63"/>
      <c r="G59" s="63"/>
      <c r="H59" s="63"/>
      <c r="I59" s="52">
        <f t="shared" si="51"/>
        <v>0</v>
      </c>
      <c r="J59" s="63"/>
      <c r="K59" s="63"/>
      <c r="L59" s="63"/>
      <c r="M59" s="63"/>
      <c r="N59" s="64">
        <f t="shared" si="52"/>
        <v>0</v>
      </c>
      <c r="O59" s="65">
        <f t="shared" si="53"/>
        <v>0</v>
      </c>
      <c r="P59" s="278"/>
      <c r="Q59" s="63"/>
      <c r="R59" s="63"/>
      <c r="S59" s="52">
        <f t="shared" si="54"/>
        <v>0</v>
      </c>
      <c r="T59" s="66">
        <f t="shared" si="55"/>
        <v>0</v>
      </c>
      <c r="U59" s="63"/>
      <c r="V59" s="63"/>
      <c r="W59" s="63"/>
      <c r="X59" s="64">
        <f t="shared" si="56"/>
        <v>0</v>
      </c>
      <c r="Y59" s="65">
        <f t="shared" si="57"/>
        <v>0</v>
      </c>
      <c r="Z59" s="63"/>
      <c r="AA59" s="63"/>
      <c r="AB59" s="63"/>
      <c r="AC59" s="52">
        <f t="shared" si="58"/>
        <v>0</v>
      </c>
      <c r="AD59" s="66">
        <f t="shared" si="59"/>
        <v>0</v>
      </c>
      <c r="AE59" s="63"/>
      <c r="AF59" s="63"/>
      <c r="AG59" s="63"/>
      <c r="AH59" s="64">
        <f t="shared" si="60"/>
        <v>0</v>
      </c>
      <c r="AI59" s="65">
        <f t="shared" si="61"/>
        <v>0</v>
      </c>
      <c r="AJ59" s="63"/>
      <c r="AK59" s="63"/>
      <c r="AL59" s="63"/>
      <c r="AM59" s="52">
        <f t="shared" si="62"/>
        <v>0</v>
      </c>
      <c r="AN59" s="66">
        <f t="shared" si="63"/>
        <v>0</v>
      </c>
      <c r="AO59" s="63"/>
      <c r="AP59" s="63"/>
      <c r="AQ59" s="63"/>
      <c r="AR59" s="64">
        <f t="shared" si="64"/>
        <v>0</v>
      </c>
      <c r="AS59" s="65">
        <f t="shared" si="65"/>
        <v>0</v>
      </c>
      <c r="AT59" s="63">
        <v>115142</v>
      </c>
      <c r="AU59" s="63"/>
      <c r="AV59" s="63"/>
      <c r="AW59" s="52">
        <f t="shared" si="66"/>
        <v>115142</v>
      </c>
      <c r="AX59" s="66">
        <f t="shared" si="67"/>
        <v>0</v>
      </c>
      <c r="AY59" s="63"/>
      <c r="AZ59" s="63"/>
      <c r="BA59" s="63"/>
      <c r="BB59" s="64">
        <f t="shared" si="72"/>
        <v>0</v>
      </c>
      <c r="BC59" s="65">
        <f t="shared" si="68"/>
        <v>115142</v>
      </c>
      <c r="BD59" s="63"/>
      <c r="BE59" s="63"/>
      <c r="BF59" s="63"/>
      <c r="BG59" s="52">
        <f t="shared" si="73"/>
        <v>115142</v>
      </c>
      <c r="BH59" s="66">
        <f t="shared" si="74"/>
        <v>0</v>
      </c>
      <c r="BI59" s="63"/>
      <c r="BJ59" s="63"/>
      <c r="BK59" s="63"/>
      <c r="BL59" s="64">
        <f t="shared" si="69"/>
        <v>0</v>
      </c>
      <c r="BM59" s="62"/>
      <c r="BN59" s="63"/>
      <c r="BO59" s="66">
        <f t="shared" si="75"/>
        <v>115142</v>
      </c>
      <c r="BP59" s="67">
        <f t="shared" si="76"/>
        <v>0</v>
      </c>
      <c r="BQ59" s="68">
        <f t="shared" ref="BQ59:BQ60" si="79">(BO59*3/12*0.57%)+(BO59*3/12*1.02%)+(BO59*3/12*2.2%)+(BO59*3/12*3.87%)</f>
        <v>2204.9692999999997</v>
      </c>
      <c r="BR59" s="63">
        <f t="shared" ref="BR59:BR60" si="80">BO59*(3.87%)*4/12</f>
        <v>1485.3317999999999</v>
      </c>
      <c r="BS59" s="202">
        <f t="shared" si="77"/>
        <v>3690.3010999999997</v>
      </c>
      <c r="BT59" s="59">
        <f t="shared" si="78"/>
        <v>118832.3011</v>
      </c>
      <c r="BU59" s="461" t="s">
        <v>3037</v>
      </c>
      <c r="BV59" s="625">
        <v>115142.49</v>
      </c>
      <c r="BW59" s="59">
        <f t="shared" si="71"/>
        <v>0.49000000000523869</v>
      </c>
      <c r="BX59" s="341"/>
      <c r="CB59" s="221">
        <v>1508</v>
      </c>
      <c r="CC59" s="263" t="b">
        <v>0</v>
      </c>
    </row>
    <row r="60" spans="1:81" s="58" customFormat="1" ht="15.75" thickBot="1" x14ac:dyDescent="0.25">
      <c r="A60">
        <v>28</v>
      </c>
      <c r="B60"/>
      <c r="C60" s="135" t="s">
        <v>3486</v>
      </c>
      <c r="D60" s="194">
        <v>1509</v>
      </c>
      <c r="E60" s="135"/>
      <c r="F60" s="63"/>
      <c r="G60" s="63"/>
      <c r="H60" s="63"/>
      <c r="I60" s="52">
        <f t="shared" si="51"/>
        <v>0</v>
      </c>
      <c r="J60" s="63"/>
      <c r="K60" s="63"/>
      <c r="L60" s="63"/>
      <c r="M60" s="63"/>
      <c r="N60" s="64">
        <f t="shared" si="52"/>
        <v>0</v>
      </c>
      <c r="O60" s="65">
        <f t="shared" si="53"/>
        <v>0</v>
      </c>
      <c r="P60" s="278"/>
      <c r="Q60" s="63"/>
      <c r="R60" s="63"/>
      <c r="S60" s="52">
        <f t="shared" si="54"/>
        <v>0</v>
      </c>
      <c r="T60" s="66">
        <f t="shared" si="55"/>
        <v>0</v>
      </c>
      <c r="U60" s="63"/>
      <c r="V60" s="63"/>
      <c r="W60" s="63"/>
      <c r="X60" s="64">
        <f t="shared" si="56"/>
        <v>0</v>
      </c>
      <c r="Y60" s="65">
        <f t="shared" si="57"/>
        <v>0</v>
      </c>
      <c r="Z60" s="63"/>
      <c r="AA60" s="63"/>
      <c r="AB60" s="63"/>
      <c r="AC60" s="52">
        <f t="shared" si="58"/>
        <v>0</v>
      </c>
      <c r="AD60" s="66">
        <f t="shared" si="59"/>
        <v>0</v>
      </c>
      <c r="AE60" s="63"/>
      <c r="AF60" s="63"/>
      <c r="AG60" s="63"/>
      <c r="AH60" s="64">
        <f t="shared" si="60"/>
        <v>0</v>
      </c>
      <c r="AI60" s="65">
        <f t="shared" si="61"/>
        <v>0</v>
      </c>
      <c r="AJ60" s="63"/>
      <c r="AK60" s="63"/>
      <c r="AL60" s="63"/>
      <c r="AM60" s="52">
        <f t="shared" si="62"/>
        <v>0</v>
      </c>
      <c r="AN60" s="66">
        <f t="shared" si="63"/>
        <v>0</v>
      </c>
      <c r="AO60" s="63"/>
      <c r="AP60" s="63"/>
      <c r="AQ60" s="63"/>
      <c r="AR60" s="64">
        <f t="shared" si="64"/>
        <v>0</v>
      </c>
      <c r="AS60" s="65">
        <f t="shared" si="65"/>
        <v>0</v>
      </c>
      <c r="AT60" s="63">
        <v>-8781</v>
      </c>
      <c r="AU60" s="63"/>
      <c r="AV60" s="63"/>
      <c r="AW60" s="52">
        <f t="shared" si="66"/>
        <v>-8781</v>
      </c>
      <c r="AX60" s="66">
        <f t="shared" si="67"/>
        <v>0</v>
      </c>
      <c r="AY60" s="63"/>
      <c r="AZ60" s="63"/>
      <c r="BA60" s="63"/>
      <c r="BB60" s="64">
        <f t="shared" si="72"/>
        <v>0</v>
      </c>
      <c r="BC60" s="65">
        <v>-8780.6200000000008</v>
      </c>
      <c r="BD60" s="63">
        <v>-50373.97</v>
      </c>
      <c r="BE60" s="63"/>
      <c r="BF60" s="63">
        <v>-42556.7</v>
      </c>
      <c r="BG60" s="52">
        <f t="shared" si="73"/>
        <v>-101711.29000000001</v>
      </c>
      <c r="BH60" s="66">
        <f t="shared" si="74"/>
        <v>0</v>
      </c>
      <c r="BI60" s="63"/>
      <c r="BJ60" s="63"/>
      <c r="BK60" s="63"/>
      <c r="BL60" s="64">
        <f t="shared" si="69"/>
        <v>0</v>
      </c>
      <c r="BM60" s="62"/>
      <c r="BN60" s="63"/>
      <c r="BO60" s="66">
        <f t="shared" si="75"/>
        <v>-101711.29000000001</v>
      </c>
      <c r="BP60" s="67">
        <f t="shared" si="76"/>
        <v>0</v>
      </c>
      <c r="BQ60" s="68">
        <f t="shared" si="79"/>
        <v>-1947.7712035</v>
      </c>
      <c r="BR60" s="63">
        <f t="shared" si="80"/>
        <v>-1312.0756410000001</v>
      </c>
      <c r="BS60" s="202">
        <f t="shared" si="77"/>
        <v>-3259.8468444999999</v>
      </c>
      <c r="BT60" s="59">
        <f t="shared" si="78"/>
        <v>-104971.13684450001</v>
      </c>
      <c r="BU60" s="461" t="s">
        <v>3037</v>
      </c>
      <c r="BV60" s="625">
        <v>-59154.58</v>
      </c>
      <c r="BW60" s="59">
        <f t="shared" si="71"/>
        <v>42556.710000000006</v>
      </c>
      <c r="BX60" s="341"/>
      <c r="CB60" s="221">
        <v>1508</v>
      </c>
      <c r="CC60" s="263" t="b">
        <v>0</v>
      </c>
    </row>
    <row r="61" spans="1:81" s="58" customFormat="1" ht="15.75" thickBot="1" x14ac:dyDescent="0.25">
      <c r="A61">
        <v>29</v>
      </c>
      <c r="B61"/>
      <c r="C61" s="135" t="s">
        <v>3487</v>
      </c>
      <c r="D61" s="194">
        <v>1508</v>
      </c>
      <c r="E61" s="135"/>
      <c r="F61" s="63"/>
      <c r="G61" s="63"/>
      <c r="H61" s="63"/>
      <c r="I61" s="52">
        <f t="shared" si="51"/>
        <v>0</v>
      </c>
      <c r="J61" s="63"/>
      <c r="K61" s="63"/>
      <c r="L61" s="63"/>
      <c r="M61" s="63"/>
      <c r="N61" s="64">
        <f t="shared" si="52"/>
        <v>0</v>
      </c>
      <c r="O61" s="65">
        <f t="shared" si="53"/>
        <v>0</v>
      </c>
      <c r="P61" s="278"/>
      <c r="Q61" s="63"/>
      <c r="R61" s="63"/>
      <c r="S61" s="52">
        <f t="shared" si="54"/>
        <v>0</v>
      </c>
      <c r="T61" s="66">
        <f t="shared" si="55"/>
        <v>0</v>
      </c>
      <c r="U61" s="63"/>
      <c r="V61" s="63"/>
      <c r="W61" s="63"/>
      <c r="X61" s="64">
        <f t="shared" si="56"/>
        <v>0</v>
      </c>
      <c r="Y61" s="65">
        <f t="shared" si="57"/>
        <v>0</v>
      </c>
      <c r="Z61" s="63"/>
      <c r="AA61" s="63"/>
      <c r="AB61" s="63"/>
      <c r="AC61" s="52">
        <f t="shared" si="58"/>
        <v>0</v>
      </c>
      <c r="AD61" s="66">
        <f t="shared" si="59"/>
        <v>0</v>
      </c>
      <c r="AE61" s="63"/>
      <c r="AF61" s="63"/>
      <c r="AG61" s="63"/>
      <c r="AH61" s="64">
        <f t="shared" si="60"/>
        <v>0</v>
      </c>
      <c r="AI61" s="65">
        <f t="shared" si="61"/>
        <v>0</v>
      </c>
      <c r="AJ61" s="63"/>
      <c r="AK61" s="63"/>
      <c r="AL61" s="63"/>
      <c r="AM61" s="52">
        <f t="shared" si="62"/>
        <v>0</v>
      </c>
      <c r="AN61" s="66">
        <f t="shared" si="63"/>
        <v>0</v>
      </c>
      <c r="AO61" s="63"/>
      <c r="AP61" s="63"/>
      <c r="AQ61" s="63"/>
      <c r="AR61" s="64">
        <f t="shared" si="64"/>
        <v>0</v>
      </c>
      <c r="AS61" s="65">
        <f t="shared" si="65"/>
        <v>0</v>
      </c>
      <c r="AT61" s="63"/>
      <c r="AU61" s="63"/>
      <c r="AV61" s="63"/>
      <c r="AW61" s="52">
        <f t="shared" si="66"/>
        <v>0</v>
      </c>
      <c r="AX61" s="66">
        <f t="shared" si="67"/>
        <v>0</v>
      </c>
      <c r="AY61" s="63"/>
      <c r="AZ61" s="63"/>
      <c r="BA61" s="63"/>
      <c r="BB61" s="64">
        <f t="shared" si="72"/>
        <v>0</v>
      </c>
      <c r="BC61" s="65">
        <f t="shared" si="68"/>
        <v>0</v>
      </c>
      <c r="BD61" s="63"/>
      <c r="BE61" s="63"/>
      <c r="BF61" s="63">
        <v>21357909</v>
      </c>
      <c r="BG61" s="52">
        <f t="shared" si="73"/>
        <v>21357909</v>
      </c>
      <c r="BH61" s="66">
        <f t="shared" si="74"/>
        <v>0</v>
      </c>
      <c r="BI61" s="63"/>
      <c r="BJ61" s="63"/>
      <c r="BK61" s="63"/>
      <c r="BL61" s="64">
        <f t="shared" si="69"/>
        <v>0</v>
      </c>
      <c r="BM61" s="62"/>
      <c r="BN61" s="63"/>
      <c r="BO61" s="66">
        <f t="shared" si="75"/>
        <v>21357909</v>
      </c>
      <c r="BP61" s="67">
        <f t="shared" si="76"/>
        <v>0</v>
      </c>
      <c r="BQ61" s="68"/>
      <c r="BR61" s="63"/>
      <c r="BS61" s="202">
        <f t="shared" si="77"/>
        <v>0</v>
      </c>
      <c r="BT61" s="59">
        <f t="shared" si="78"/>
        <v>0</v>
      </c>
      <c r="BU61" s="461" t="s">
        <v>637</v>
      </c>
      <c r="BV61" s="625"/>
      <c r="BW61" s="59">
        <f t="shared" si="71"/>
        <v>-21357909</v>
      </c>
      <c r="BX61" s="341"/>
      <c r="CB61" s="221">
        <v>1508</v>
      </c>
      <c r="CC61" s="263" t="b">
        <v>0</v>
      </c>
    </row>
    <row r="62" spans="1:81" s="58" customFormat="1" ht="15.75" thickBot="1" x14ac:dyDescent="0.25">
      <c r="A62">
        <v>30</v>
      </c>
      <c r="B62"/>
      <c r="C62" s="135" t="s">
        <v>3488</v>
      </c>
      <c r="D62" s="194">
        <v>1508</v>
      </c>
      <c r="E62" s="135"/>
      <c r="F62" s="63"/>
      <c r="G62" s="63"/>
      <c r="H62" s="63"/>
      <c r="I62" s="52">
        <f t="shared" si="51"/>
        <v>0</v>
      </c>
      <c r="J62" s="63"/>
      <c r="K62" s="63"/>
      <c r="L62" s="63"/>
      <c r="M62" s="63"/>
      <c r="N62" s="64">
        <f t="shared" si="52"/>
        <v>0</v>
      </c>
      <c r="O62" s="65">
        <f t="shared" si="53"/>
        <v>0</v>
      </c>
      <c r="P62" s="278"/>
      <c r="Q62" s="63"/>
      <c r="R62" s="63"/>
      <c r="S62" s="52">
        <f t="shared" si="54"/>
        <v>0</v>
      </c>
      <c r="T62" s="66">
        <f t="shared" si="55"/>
        <v>0</v>
      </c>
      <c r="U62" s="63"/>
      <c r="V62" s="63"/>
      <c r="W62" s="63"/>
      <c r="X62" s="64">
        <f t="shared" si="56"/>
        <v>0</v>
      </c>
      <c r="Y62" s="65">
        <f t="shared" si="57"/>
        <v>0</v>
      </c>
      <c r="Z62" s="63"/>
      <c r="AA62" s="63"/>
      <c r="AB62" s="63"/>
      <c r="AC62" s="52">
        <f t="shared" si="58"/>
        <v>0</v>
      </c>
      <c r="AD62" s="66">
        <f t="shared" si="59"/>
        <v>0</v>
      </c>
      <c r="AE62" s="63"/>
      <c r="AF62" s="63"/>
      <c r="AG62" s="63"/>
      <c r="AH62" s="64">
        <f t="shared" si="60"/>
        <v>0</v>
      </c>
      <c r="AI62" s="65">
        <f t="shared" si="61"/>
        <v>0</v>
      </c>
      <c r="AJ62" s="63"/>
      <c r="AK62" s="63"/>
      <c r="AL62" s="63"/>
      <c r="AM62" s="52">
        <f t="shared" si="62"/>
        <v>0</v>
      </c>
      <c r="AN62" s="66">
        <f t="shared" si="63"/>
        <v>0</v>
      </c>
      <c r="AO62" s="63"/>
      <c r="AP62" s="63"/>
      <c r="AQ62" s="63"/>
      <c r="AR62" s="64">
        <f t="shared" si="64"/>
        <v>0</v>
      </c>
      <c r="AS62" s="65">
        <f t="shared" si="65"/>
        <v>0</v>
      </c>
      <c r="AT62" s="63"/>
      <c r="AU62" s="63"/>
      <c r="AV62" s="63"/>
      <c r="AW62" s="52">
        <f t="shared" si="66"/>
        <v>0</v>
      </c>
      <c r="AX62" s="66">
        <f t="shared" si="67"/>
        <v>0</v>
      </c>
      <c r="AY62" s="63"/>
      <c r="AZ62" s="63"/>
      <c r="BA62" s="63"/>
      <c r="BB62" s="64">
        <f t="shared" si="72"/>
        <v>0</v>
      </c>
      <c r="BC62" s="65">
        <f t="shared" si="68"/>
        <v>0</v>
      </c>
      <c r="BD62" s="63"/>
      <c r="BE62" s="63"/>
      <c r="BF62" s="63">
        <v>500407</v>
      </c>
      <c r="BG62" s="52">
        <f t="shared" si="73"/>
        <v>500407</v>
      </c>
      <c r="BH62" s="66">
        <f t="shared" si="74"/>
        <v>0</v>
      </c>
      <c r="BI62" s="63"/>
      <c r="BJ62" s="63"/>
      <c r="BK62" s="63"/>
      <c r="BL62" s="64">
        <f t="shared" si="69"/>
        <v>0</v>
      </c>
      <c r="BM62" s="62"/>
      <c r="BN62" s="63"/>
      <c r="BO62" s="66">
        <f t="shared" si="75"/>
        <v>500407</v>
      </c>
      <c r="BP62" s="67">
        <f t="shared" si="76"/>
        <v>0</v>
      </c>
      <c r="BQ62" s="68"/>
      <c r="BR62" s="63"/>
      <c r="BS62" s="202">
        <f t="shared" si="77"/>
        <v>0</v>
      </c>
      <c r="BT62" s="59">
        <f t="shared" si="78"/>
        <v>0</v>
      </c>
      <c r="BU62" s="461" t="s">
        <v>637</v>
      </c>
      <c r="BV62" s="625"/>
      <c r="BW62" s="59">
        <f t="shared" si="71"/>
        <v>-500407</v>
      </c>
      <c r="BX62" s="341"/>
      <c r="CB62" s="221">
        <v>1508</v>
      </c>
      <c r="CC62" s="263" t="b">
        <v>0</v>
      </c>
    </row>
    <row r="63" spans="1:81" s="58" customFormat="1" ht="15.75" thickBot="1" x14ac:dyDescent="0.25">
      <c r="A63">
        <v>31</v>
      </c>
      <c r="B63"/>
      <c r="C63" s="135" t="s">
        <v>3489</v>
      </c>
      <c r="D63" s="194">
        <v>1508</v>
      </c>
      <c r="E63" s="135"/>
      <c r="F63" s="63"/>
      <c r="G63" s="63"/>
      <c r="H63" s="63"/>
      <c r="I63" s="52">
        <f t="shared" si="51"/>
        <v>0</v>
      </c>
      <c r="J63" s="63"/>
      <c r="K63" s="63"/>
      <c r="L63" s="63"/>
      <c r="M63" s="63"/>
      <c r="N63" s="64">
        <f t="shared" si="52"/>
        <v>0</v>
      </c>
      <c r="O63" s="65">
        <f t="shared" si="53"/>
        <v>0</v>
      </c>
      <c r="P63" s="278"/>
      <c r="Q63" s="63"/>
      <c r="R63" s="63"/>
      <c r="S63" s="52">
        <f t="shared" si="54"/>
        <v>0</v>
      </c>
      <c r="T63" s="66">
        <f t="shared" si="55"/>
        <v>0</v>
      </c>
      <c r="U63" s="63"/>
      <c r="V63" s="63"/>
      <c r="W63" s="63"/>
      <c r="X63" s="64">
        <f t="shared" si="56"/>
        <v>0</v>
      </c>
      <c r="Y63" s="65">
        <f t="shared" si="57"/>
        <v>0</v>
      </c>
      <c r="Z63" s="63"/>
      <c r="AA63" s="63"/>
      <c r="AB63" s="63"/>
      <c r="AC63" s="52">
        <f t="shared" si="58"/>
        <v>0</v>
      </c>
      <c r="AD63" s="66">
        <f t="shared" si="59"/>
        <v>0</v>
      </c>
      <c r="AE63" s="63"/>
      <c r="AF63" s="63"/>
      <c r="AG63" s="63"/>
      <c r="AH63" s="64">
        <f t="shared" si="60"/>
        <v>0</v>
      </c>
      <c r="AI63" s="65">
        <f t="shared" si="61"/>
        <v>0</v>
      </c>
      <c r="AJ63" s="63"/>
      <c r="AK63" s="63"/>
      <c r="AL63" s="63"/>
      <c r="AM63" s="52">
        <f t="shared" si="62"/>
        <v>0</v>
      </c>
      <c r="AN63" s="66">
        <f t="shared" si="63"/>
        <v>0</v>
      </c>
      <c r="AO63" s="63"/>
      <c r="AP63" s="63"/>
      <c r="AQ63" s="63"/>
      <c r="AR63" s="64">
        <f t="shared" si="64"/>
        <v>0</v>
      </c>
      <c r="AS63" s="65">
        <f t="shared" si="65"/>
        <v>0</v>
      </c>
      <c r="AT63" s="63"/>
      <c r="AU63" s="63"/>
      <c r="AV63" s="63"/>
      <c r="AW63" s="52">
        <f t="shared" si="66"/>
        <v>0</v>
      </c>
      <c r="AX63" s="66">
        <f t="shared" si="67"/>
        <v>0</v>
      </c>
      <c r="AY63" s="63"/>
      <c r="AZ63" s="63"/>
      <c r="BA63" s="63"/>
      <c r="BB63" s="64">
        <f t="shared" si="72"/>
        <v>0</v>
      </c>
      <c r="BC63" s="65">
        <f t="shared" si="68"/>
        <v>0</v>
      </c>
      <c r="BD63" s="63"/>
      <c r="BE63" s="63"/>
      <c r="BF63" s="63">
        <v>-500407</v>
      </c>
      <c r="BG63" s="52">
        <f t="shared" si="73"/>
        <v>-500407</v>
      </c>
      <c r="BH63" s="66">
        <f t="shared" si="74"/>
        <v>0</v>
      </c>
      <c r="BI63" s="63"/>
      <c r="BJ63" s="63"/>
      <c r="BK63" s="63"/>
      <c r="BL63" s="64">
        <f t="shared" si="69"/>
        <v>0</v>
      </c>
      <c r="BM63" s="62"/>
      <c r="BN63" s="63"/>
      <c r="BO63" s="66">
        <f t="shared" si="75"/>
        <v>-500407</v>
      </c>
      <c r="BP63" s="67">
        <f t="shared" si="76"/>
        <v>0</v>
      </c>
      <c r="BQ63" s="68"/>
      <c r="BR63" s="63"/>
      <c r="BS63" s="202">
        <f t="shared" si="77"/>
        <v>0</v>
      </c>
      <c r="BT63" s="59">
        <f t="shared" si="78"/>
        <v>0</v>
      </c>
      <c r="BU63" s="461" t="s">
        <v>637</v>
      </c>
      <c r="BV63" s="625"/>
      <c r="BW63" s="59">
        <f t="shared" si="71"/>
        <v>500407</v>
      </c>
      <c r="BX63" s="341"/>
      <c r="CB63" s="221">
        <v>1508</v>
      </c>
      <c r="CC63" s="263" t="b">
        <v>0</v>
      </c>
    </row>
    <row r="64" spans="1:81" s="58" customFormat="1" ht="15.75" thickBot="1" x14ac:dyDescent="0.25">
      <c r="A64">
        <v>32</v>
      </c>
      <c r="B64"/>
      <c r="C64" s="135" t="s">
        <v>3490</v>
      </c>
      <c r="D64" s="194">
        <v>1508</v>
      </c>
      <c r="E64" s="135"/>
      <c r="F64" s="63"/>
      <c r="G64" s="63"/>
      <c r="H64" s="63"/>
      <c r="I64" s="52">
        <f t="shared" si="51"/>
        <v>0</v>
      </c>
      <c r="J64" s="63"/>
      <c r="K64" s="63"/>
      <c r="L64" s="63"/>
      <c r="M64" s="63"/>
      <c r="N64" s="64">
        <f t="shared" si="52"/>
        <v>0</v>
      </c>
      <c r="O64" s="65">
        <f t="shared" si="53"/>
        <v>0</v>
      </c>
      <c r="P64" s="278"/>
      <c r="Q64" s="63"/>
      <c r="R64" s="63"/>
      <c r="S64" s="52">
        <f t="shared" si="54"/>
        <v>0</v>
      </c>
      <c r="T64" s="66">
        <f t="shared" si="55"/>
        <v>0</v>
      </c>
      <c r="U64" s="63"/>
      <c r="V64" s="63"/>
      <c r="W64" s="63"/>
      <c r="X64" s="64">
        <f t="shared" si="56"/>
        <v>0</v>
      </c>
      <c r="Y64" s="65">
        <f t="shared" si="57"/>
        <v>0</v>
      </c>
      <c r="Z64" s="63"/>
      <c r="AA64" s="63"/>
      <c r="AB64" s="63"/>
      <c r="AC64" s="52">
        <f t="shared" si="58"/>
        <v>0</v>
      </c>
      <c r="AD64" s="66">
        <f t="shared" si="59"/>
        <v>0</v>
      </c>
      <c r="AE64" s="63"/>
      <c r="AF64" s="63"/>
      <c r="AG64" s="63"/>
      <c r="AH64" s="64">
        <f t="shared" si="60"/>
        <v>0</v>
      </c>
      <c r="AI64" s="65">
        <f t="shared" si="61"/>
        <v>0</v>
      </c>
      <c r="AJ64" s="63"/>
      <c r="AK64" s="63"/>
      <c r="AL64" s="63"/>
      <c r="AM64" s="52">
        <f t="shared" si="62"/>
        <v>0</v>
      </c>
      <c r="AN64" s="66">
        <f t="shared" si="63"/>
        <v>0</v>
      </c>
      <c r="AO64" s="63"/>
      <c r="AP64" s="63"/>
      <c r="AQ64" s="63"/>
      <c r="AR64" s="64">
        <f t="shared" si="64"/>
        <v>0</v>
      </c>
      <c r="AS64" s="65">
        <f t="shared" si="65"/>
        <v>0</v>
      </c>
      <c r="AT64" s="63"/>
      <c r="AU64" s="63"/>
      <c r="AV64" s="63"/>
      <c r="AW64" s="52">
        <f t="shared" si="66"/>
        <v>0</v>
      </c>
      <c r="AX64" s="66">
        <f t="shared" si="67"/>
        <v>0</v>
      </c>
      <c r="AY64" s="63"/>
      <c r="AZ64" s="63"/>
      <c r="BA64" s="63"/>
      <c r="BB64" s="64">
        <f t="shared" si="72"/>
        <v>0</v>
      </c>
      <c r="BC64" s="65">
        <f t="shared" si="68"/>
        <v>0</v>
      </c>
      <c r="BD64" s="63"/>
      <c r="BE64" s="63"/>
      <c r="BF64" s="63">
        <v>-852614</v>
      </c>
      <c r="BG64" s="52">
        <f t="shared" si="73"/>
        <v>-852614</v>
      </c>
      <c r="BH64" s="66">
        <f t="shared" si="74"/>
        <v>0</v>
      </c>
      <c r="BI64" s="63"/>
      <c r="BJ64" s="63"/>
      <c r="BK64" s="63"/>
      <c r="BL64" s="64">
        <f t="shared" si="69"/>
        <v>0</v>
      </c>
      <c r="BM64" s="62"/>
      <c r="BN64" s="63"/>
      <c r="BO64" s="66">
        <f t="shared" si="75"/>
        <v>-852614</v>
      </c>
      <c r="BP64" s="67">
        <f t="shared" si="76"/>
        <v>0</v>
      </c>
      <c r="BQ64" s="68"/>
      <c r="BR64" s="63"/>
      <c r="BS64" s="202">
        <f t="shared" si="77"/>
        <v>0</v>
      </c>
      <c r="BT64" s="59">
        <f t="shared" si="78"/>
        <v>-852614</v>
      </c>
      <c r="BU64" s="461" t="s">
        <v>3037</v>
      </c>
      <c r="BV64" s="625"/>
      <c r="BW64" s="59">
        <f t="shared" si="71"/>
        <v>852614</v>
      </c>
      <c r="BX64" s="341"/>
      <c r="CB64" s="221">
        <v>1508</v>
      </c>
      <c r="CC64" s="263" t="b">
        <v>0</v>
      </c>
    </row>
    <row r="65" spans="1:81" s="58" customFormat="1" ht="15.75" thickBot="1" x14ac:dyDescent="0.25">
      <c r="A65">
        <v>33</v>
      </c>
      <c r="B65"/>
      <c r="C65" s="135" t="s">
        <v>3491</v>
      </c>
      <c r="D65" s="194">
        <v>1509</v>
      </c>
      <c r="E65" s="135"/>
      <c r="F65" s="63"/>
      <c r="G65" s="63"/>
      <c r="H65" s="63"/>
      <c r="I65" s="52">
        <f t="shared" si="51"/>
        <v>0</v>
      </c>
      <c r="J65" s="63"/>
      <c r="K65" s="63"/>
      <c r="L65" s="63"/>
      <c r="M65" s="63"/>
      <c r="N65" s="64">
        <f t="shared" si="52"/>
        <v>0</v>
      </c>
      <c r="O65" s="65">
        <f t="shared" si="53"/>
        <v>0</v>
      </c>
      <c r="P65" s="278"/>
      <c r="Q65" s="63"/>
      <c r="R65" s="63"/>
      <c r="S65" s="52">
        <f t="shared" si="54"/>
        <v>0</v>
      </c>
      <c r="T65" s="66">
        <f t="shared" si="55"/>
        <v>0</v>
      </c>
      <c r="U65" s="63"/>
      <c r="V65" s="63"/>
      <c r="W65" s="63"/>
      <c r="X65" s="64">
        <f t="shared" si="56"/>
        <v>0</v>
      </c>
      <c r="Y65" s="65">
        <f t="shared" si="57"/>
        <v>0</v>
      </c>
      <c r="Z65" s="63"/>
      <c r="AA65" s="63"/>
      <c r="AB65" s="63"/>
      <c r="AC65" s="52">
        <f t="shared" si="58"/>
        <v>0</v>
      </c>
      <c r="AD65" s="66">
        <f t="shared" si="59"/>
        <v>0</v>
      </c>
      <c r="AE65" s="63"/>
      <c r="AF65" s="63"/>
      <c r="AG65" s="63"/>
      <c r="AH65" s="64">
        <f t="shared" si="60"/>
        <v>0</v>
      </c>
      <c r="AI65" s="65">
        <f t="shared" si="61"/>
        <v>0</v>
      </c>
      <c r="AJ65" s="63"/>
      <c r="AK65" s="63"/>
      <c r="AL65" s="63"/>
      <c r="AM65" s="52">
        <f t="shared" si="62"/>
        <v>0</v>
      </c>
      <c r="AN65" s="66">
        <f t="shared" si="63"/>
        <v>0</v>
      </c>
      <c r="AO65" s="63"/>
      <c r="AP65" s="63"/>
      <c r="AQ65" s="63"/>
      <c r="AR65" s="64">
        <f t="shared" si="64"/>
        <v>0</v>
      </c>
      <c r="AS65" s="65">
        <f t="shared" si="65"/>
        <v>0</v>
      </c>
      <c r="AT65" s="63">
        <v>192359</v>
      </c>
      <c r="AU65" s="63"/>
      <c r="AV65" s="63"/>
      <c r="AW65" s="52">
        <f t="shared" si="66"/>
        <v>192359</v>
      </c>
      <c r="AX65" s="66">
        <f t="shared" si="67"/>
        <v>0</v>
      </c>
      <c r="AY65" s="63"/>
      <c r="AZ65" s="63"/>
      <c r="BA65" s="63"/>
      <c r="BB65" s="64">
        <f t="shared" si="72"/>
        <v>0</v>
      </c>
      <c r="BC65" s="65">
        <f t="shared" si="68"/>
        <v>192359</v>
      </c>
      <c r="BD65" s="63"/>
      <c r="BE65" s="63"/>
      <c r="BF65" s="63"/>
      <c r="BG65" s="52">
        <f t="shared" si="73"/>
        <v>192359</v>
      </c>
      <c r="BH65" s="66">
        <f t="shared" si="74"/>
        <v>0</v>
      </c>
      <c r="BI65" s="63"/>
      <c r="BJ65" s="63"/>
      <c r="BK65" s="63"/>
      <c r="BL65" s="64">
        <f t="shared" si="69"/>
        <v>0</v>
      </c>
      <c r="BM65" s="62"/>
      <c r="BN65" s="63"/>
      <c r="BO65" s="66">
        <f t="shared" si="75"/>
        <v>192359</v>
      </c>
      <c r="BP65" s="67">
        <f t="shared" si="76"/>
        <v>0</v>
      </c>
      <c r="BQ65" s="68">
        <f t="shared" ref="BQ65:BQ66" si="81">(BO65*3/12*0.57%)+(BO65*3/12*1.02%)+(BO65*3/12*2.2%)+(BO65*3/12*3.87%)</f>
        <v>3683.6748499999999</v>
      </c>
      <c r="BR65" s="63">
        <f t="shared" ref="BR65:BR66" si="82">BO65*(3.87%)*4/12</f>
        <v>2481.4310999999998</v>
      </c>
      <c r="BS65" s="202">
        <f t="shared" si="77"/>
        <v>6165.1059499999992</v>
      </c>
      <c r="BT65" s="59">
        <f t="shared" si="78"/>
        <v>198524.10595</v>
      </c>
      <c r="BU65" s="461" t="s">
        <v>3037</v>
      </c>
      <c r="BV65" s="625">
        <v>192358.57</v>
      </c>
      <c r="BW65" s="59">
        <f t="shared" si="71"/>
        <v>-0.42999999999301508</v>
      </c>
      <c r="BX65" s="341"/>
      <c r="CB65" s="221">
        <v>1508</v>
      </c>
      <c r="CC65" s="263" t="b">
        <v>0</v>
      </c>
    </row>
    <row r="66" spans="1:81" s="58" customFormat="1" ht="15.75" thickBot="1" x14ac:dyDescent="0.25">
      <c r="A66">
        <v>34</v>
      </c>
      <c r="B66"/>
      <c r="C66" s="135" t="s">
        <v>3492</v>
      </c>
      <c r="D66" s="194">
        <v>1509</v>
      </c>
      <c r="E66" s="135"/>
      <c r="F66" s="63"/>
      <c r="G66" s="63"/>
      <c r="H66" s="63"/>
      <c r="I66" s="52">
        <f t="shared" si="51"/>
        <v>0</v>
      </c>
      <c r="J66" s="63"/>
      <c r="K66" s="63"/>
      <c r="L66" s="63"/>
      <c r="M66" s="63"/>
      <c r="N66" s="64">
        <f t="shared" si="52"/>
        <v>0</v>
      </c>
      <c r="O66" s="65">
        <f t="shared" si="53"/>
        <v>0</v>
      </c>
      <c r="P66" s="278"/>
      <c r="Q66" s="63"/>
      <c r="R66" s="63"/>
      <c r="S66" s="52">
        <f t="shared" si="54"/>
        <v>0</v>
      </c>
      <c r="T66" s="66">
        <f t="shared" si="55"/>
        <v>0</v>
      </c>
      <c r="U66" s="63"/>
      <c r="V66" s="63"/>
      <c r="W66" s="63"/>
      <c r="X66" s="64">
        <f t="shared" si="56"/>
        <v>0</v>
      </c>
      <c r="Y66" s="65">
        <f t="shared" si="57"/>
        <v>0</v>
      </c>
      <c r="Z66" s="63"/>
      <c r="AA66" s="63"/>
      <c r="AB66" s="63"/>
      <c r="AC66" s="52">
        <f t="shared" si="58"/>
        <v>0</v>
      </c>
      <c r="AD66" s="66">
        <f t="shared" si="59"/>
        <v>0</v>
      </c>
      <c r="AE66" s="63"/>
      <c r="AF66" s="63"/>
      <c r="AG66" s="63"/>
      <c r="AH66" s="64">
        <f t="shared" si="60"/>
        <v>0</v>
      </c>
      <c r="AI66" s="65">
        <f t="shared" si="61"/>
        <v>0</v>
      </c>
      <c r="AJ66" s="63"/>
      <c r="AK66" s="63"/>
      <c r="AL66" s="63"/>
      <c r="AM66" s="52">
        <f t="shared" si="62"/>
        <v>0</v>
      </c>
      <c r="AN66" s="66">
        <f t="shared" si="63"/>
        <v>0</v>
      </c>
      <c r="AO66" s="63"/>
      <c r="AP66" s="63"/>
      <c r="AQ66" s="63"/>
      <c r="AR66" s="64">
        <f t="shared" si="64"/>
        <v>0</v>
      </c>
      <c r="AS66" s="65">
        <f t="shared" si="65"/>
        <v>0</v>
      </c>
      <c r="AT66" s="63">
        <v>-10254</v>
      </c>
      <c r="AU66" s="63"/>
      <c r="AV66" s="63"/>
      <c r="AW66" s="52">
        <f t="shared" si="66"/>
        <v>-10254</v>
      </c>
      <c r="AX66" s="66">
        <f t="shared" si="67"/>
        <v>0</v>
      </c>
      <c r="AY66" s="63"/>
      <c r="AZ66" s="63"/>
      <c r="BA66" s="63"/>
      <c r="BB66" s="64">
        <f t="shared" si="72"/>
        <v>0</v>
      </c>
      <c r="BC66" s="65">
        <f t="shared" si="68"/>
        <v>-10254</v>
      </c>
      <c r="BD66" s="63">
        <v>-91449.32</v>
      </c>
      <c r="BE66" s="63"/>
      <c r="BF66" s="63">
        <v>-92524.96</v>
      </c>
      <c r="BG66" s="52">
        <f t="shared" si="73"/>
        <v>-194228.28000000003</v>
      </c>
      <c r="BH66" s="66">
        <f t="shared" si="74"/>
        <v>0</v>
      </c>
      <c r="BI66" s="63"/>
      <c r="BJ66" s="63"/>
      <c r="BK66" s="63"/>
      <c r="BL66" s="64">
        <f t="shared" si="69"/>
        <v>0</v>
      </c>
      <c r="BM66" s="62"/>
      <c r="BN66" s="63"/>
      <c r="BO66" s="66">
        <f t="shared" si="75"/>
        <v>-194228.28000000003</v>
      </c>
      <c r="BP66" s="67">
        <f t="shared" si="76"/>
        <v>0</v>
      </c>
      <c r="BQ66" s="68">
        <f t="shared" si="81"/>
        <v>-3719.4715620000006</v>
      </c>
      <c r="BR66" s="63">
        <f t="shared" si="82"/>
        <v>-2505.5448120000005</v>
      </c>
      <c r="BS66" s="202">
        <f t="shared" si="77"/>
        <v>-6225.0163740000007</v>
      </c>
      <c r="BT66" s="59">
        <f t="shared" si="78"/>
        <v>-200453.29637400003</v>
      </c>
      <c r="BU66" s="461" t="s">
        <v>3037</v>
      </c>
      <c r="BV66" s="625">
        <v>-101702.9</v>
      </c>
      <c r="BW66" s="59">
        <f t="shared" si="71"/>
        <v>92525.380000000034</v>
      </c>
      <c r="BX66" s="341"/>
      <c r="CB66" s="221">
        <v>1508</v>
      </c>
      <c r="CC66" s="263" t="b">
        <v>0</v>
      </c>
    </row>
    <row r="67" spans="1:81" s="58" customFormat="1" ht="15.75" thickBot="1" x14ac:dyDescent="0.25">
      <c r="A67">
        <v>35</v>
      </c>
      <c r="B67"/>
      <c r="C67" s="135" t="s">
        <v>3502</v>
      </c>
      <c r="D67" s="194">
        <v>1508</v>
      </c>
      <c r="E67" s="135"/>
      <c r="F67" s="63"/>
      <c r="G67" s="63"/>
      <c r="H67" s="63"/>
      <c r="I67" s="52">
        <f t="shared" si="51"/>
        <v>0</v>
      </c>
      <c r="J67" s="63"/>
      <c r="K67" s="63"/>
      <c r="L67" s="63"/>
      <c r="M67" s="63"/>
      <c r="N67" s="64">
        <f t="shared" si="52"/>
        <v>0</v>
      </c>
      <c r="O67" s="65">
        <v>0</v>
      </c>
      <c r="P67" s="278"/>
      <c r="Q67" s="63"/>
      <c r="R67" s="63"/>
      <c r="S67" s="52">
        <f t="shared" si="54"/>
        <v>0</v>
      </c>
      <c r="T67" s="66">
        <v>0</v>
      </c>
      <c r="U67" s="63"/>
      <c r="V67" s="63"/>
      <c r="W67" s="63"/>
      <c r="X67" s="64">
        <f t="shared" si="56"/>
        <v>0</v>
      </c>
      <c r="Y67" s="65">
        <f t="shared" si="57"/>
        <v>0</v>
      </c>
      <c r="Z67" s="63"/>
      <c r="AA67" s="63"/>
      <c r="AB67" s="63"/>
      <c r="AC67" s="52">
        <f t="shared" si="58"/>
        <v>0</v>
      </c>
      <c r="AD67" s="66">
        <f t="shared" si="59"/>
        <v>0</v>
      </c>
      <c r="AE67" s="63"/>
      <c r="AF67" s="63"/>
      <c r="AG67" s="63"/>
      <c r="AH67" s="64">
        <f t="shared" si="60"/>
        <v>0</v>
      </c>
      <c r="AI67" s="65">
        <f t="shared" si="61"/>
        <v>0</v>
      </c>
      <c r="AJ67" s="63"/>
      <c r="AK67" s="63"/>
      <c r="AL67" s="63"/>
      <c r="AM67" s="52">
        <f t="shared" si="62"/>
        <v>0</v>
      </c>
      <c r="AN67" s="66">
        <f t="shared" si="63"/>
        <v>0</v>
      </c>
      <c r="AO67" s="63"/>
      <c r="AP67" s="63"/>
      <c r="AQ67" s="63"/>
      <c r="AR67" s="64">
        <f t="shared" si="64"/>
        <v>0</v>
      </c>
      <c r="AS67" s="65">
        <f t="shared" si="65"/>
        <v>0</v>
      </c>
      <c r="AT67" s="63"/>
      <c r="AU67" s="63"/>
      <c r="AV67" s="63"/>
      <c r="AW67" s="52">
        <f t="shared" si="66"/>
        <v>0</v>
      </c>
      <c r="AX67" s="66">
        <f t="shared" si="67"/>
        <v>0</v>
      </c>
      <c r="AY67" s="63"/>
      <c r="AZ67" s="63"/>
      <c r="BA67" s="63"/>
      <c r="BB67" s="64">
        <f t="shared" si="72"/>
        <v>0</v>
      </c>
      <c r="BC67" s="65">
        <f t="shared" si="68"/>
        <v>0</v>
      </c>
      <c r="BD67" s="63">
        <f>150387+356943</f>
        <v>507330</v>
      </c>
      <c r="BE67" s="63"/>
      <c r="BF67" s="63"/>
      <c r="BG67" s="52">
        <f t="shared" si="73"/>
        <v>507330</v>
      </c>
      <c r="BH67" s="66">
        <f t="shared" si="74"/>
        <v>0</v>
      </c>
      <c r="BI67" s="63"/>
      <c r="BJ67" s="63"/>
      <c r="BK67" s="63"/>
      <c r="BL67" s="64">
        <f t="shared" si="69"/>
        <v>0</v>
      </c>
      <c r="BM67" s="62"/>
      <c r="BN67" s="63"/>
      <c r="BO67" s="66">
        <f t="shared" si="75"/>
        <v>507330</v>
      </c>
      <c r="BP67" s="67">
        <f t="shared" si="76"/>
        <v>0</v>
      </c>
      <c r="BQ67" s="68"/>
      <c r="BR67" s="63"/>
      <c r="BS67" s="202">
        <f t="shared" si="77"/>
        <v>0</v>
      </c>
      <c r="BT67" s="59">
        <f t="shared" si="78"/>
        <v>507330</v>
      </c>
      <c r="BU67" s="461" t="s">
        <v>3037</v>
      </c>
      <c r="BV67" s="625"/>
      <c r="BW67" s="59">
        <f t="shared" si="71"/>
        <v>-507330</v>
      </c>
      <c r="BX67" s="341"/>
      <c r="CB67" s="221">
        <v>1508</v>
      </c>
      <c r="CC67" s="263" t="b">
        <v>0</v>
      </c>
    </row>
    <row r="68" spans="1:81" s="58" customFormat="1" ht="15.75" thickBot="1" x14ac:dyDescent="0.25">
      <c r="A68">
        <v>36</v>
      </c>
      <c r="B68"/>
      <c r="C68" s="135" t="s">
        <v>3503</v>
      </c>
      <c r="D68" s="194">
        <v>1508</v>
      </c>
      <c r="E68" s="135"/>
      <c r="F68" s="63"/>
      <c r="G68" s="63"/>
      <c r="H68" s="63"/>
      <c r="I68" s="52">
        <f t="shared" si="51"/>
        <v>0</v>
      </c>
      <c r="J68" s="63"/>
      <c r="K68" s="63"/>
      <c r="L68" s="63"/>
      <c r="M68" s="63"/>
      <c r="N68" s="64">
        <f t="shared" si="52"/>
        <v>0</v>
      </c>
      <c r="O68" s="65">
        <f t="shared" si="53"/>
        <v>0</v>
      </c>
      <c r="P68" s="278"/>
      <c r="Q68" s="63"/>
      <c r="R68" s="63"/>
      <c r="S68" s="52">
        <f t="shared" si="54"/>
        <v>0</v>
      </c>
      <c r="T68" s="66">
        <f t="shared" si="55"/>
        <v>0</v>
      </c>
      <c r="U68" s="63"/>
      <c r="V68" s="63"/>
      <c r="W68" s="63"/>
      <c r="X68" s="64">
        <f t="shared" si="56"/>
        <v>0</v>
      </c>
      <c r="Y68" s="65">
        <f t="shared" si="57"/>
        <v>0</v>
      </c>
      <c r="Z68" s="63"/>
      <c r="AA68" s="63"/>
      <c r="AB68" s="63"/>
      <c r="AC68" s="52">
        <f t="shared" si="58"/>
        <v>0</v>
      </c>
      <c r="AD68" s="66">
        <f t="shared" si="59"/>
        <v>0</v>
      </c>
      <c r="AE68" s="63"/>
      <c r="AF68" s="63"/>
      <c r="AG68" s="63"/>
      <c r="AH68" s="64">
        <f t="shared" si="60"/>
        <v>0</v>
      </c>
      <c r="AI68" s="65">
        <f t="shared" si="61"/>
        <v>0</v>
      </c>
      <c r="AJ68" s="63"/>
      <c r="AK68" s="63"/>
      <c r="AL68" s="63"/>
      <c r="AM68" s="52">
        <f t="shared" si="62"/>
        <v>0</v>
      </c>
      <c r="AN68" s="66">
        <f t="shared" si="63"/>
        <v>0</v>
      </c>
      <c r="AO68" s="63"/>
      <c r="AP68" s="63"/>
      <c r="AQ68" s="63"/>
      <c r="AR68" s="64">
        <f t="shared" si="64"/>
        <v>0</v>
      </c>
      <c r="AS68" s="65">
        <f t="shared" si="65"/>
        <v>0</v>
      </c>
      <c r="AT68" s="63"/>
      <c r="AU68" s="63"/>
      <c r="AV68" s="63"/>
      <c r="AW68" s="52">
        <f t="shared" si="66"/>
        <v>0</v>
      </c>
      <c r="AX68" s="66">
        <f t="shared" si="67"/>
        <v>0</v>
      </c>
      <c r="AY68" s="63"/>
      <c r="AZ68" s="63"/>
      <c r="BA68" s="63"/>
      <c r="BB68" s="64">
        <f t="shared" si="72"/>
        <v>0</v>
      </c>
      <c r="BC68" s="65">
        <f t="shared" si="68"/>
        <v>0</v>
      </c>
      <c r="BD68" s="63">
        <v>367126</v>
      </c>
      <c r="BE68" s="63"/>
      <c r="BF68" s="63"/>
      <c r="BG68" s="52">
        <f t="shared" si="73"/>
        <v>367126</v>
      </c>
      <c r="BH68" s="66">
        <f t="shared" si="74"/>
        <v>0</v>
      </c>
      <c r="BI68" s="63"/>
      <c r="BJ68" s="63"/>
      <c r="BK68" s="63"/>
      <c r="BL68" s="64">
        <f t="shared" si="69"/>
        <v>0</v>
      </c>
      <c r="BM68" s="62"/>
      <c r="BN68" s="63"/>
      <c r="BO68" s="66">
        <f t="shared" si="75"/>
        <v>367126</v>
      </c>
      <c r="BP68" s="67">
        <f t="shared" si="76"/>
        <v>0</v>
      </c>
      <c r="BQ68" s="68"/>
      <c r="BR68" s="63"/>
      <c r="BS68" s="202">
        <f t="shared" si="77"/>
        <v>0</v>
      </c>
      <c r="BT68" s="59">
        <f t="shared" si="78"/>
        <v>367126</v>
      </c>
      <c r="BU68" s="461" t="s">
        <v>3037</v>
      </c>
      <c r="BV68" s="625"/>
      <c r="BW68" s="59">
        <f t="shared" si="71"/>
        <v>-367126</v>
      </c>
      <c r="BX68" s="341"/>
      <c r="CB68" s="221">
        <v>1508</v>
      </c>
      <c r="CC68" s="263" t="b">
        <v>0</v>
      </c>
    </row>
    <row r="69" spans="1:81" s="58" customFormat="1" ht="15.75" thickBot="1" x14ac:dyDescent="0.25">
      <c r="A69">
        <v>37</v>
      </c>
      <c r="B69"/>
      <c r="C69" s="135"/>
      <c r="D69" s="194"/>
      <c r="E69" s="135"/>
      <c r="F69" s="63"/>
      <c r="G69" s="63"/>
      <c r="H69" s="63"/>
      <c r="I69" s="52">
        <f t="shared" si="51"/>
        <v>0</v>
      </c>
      <c r="J69" s="63"/>
      <c r="K69" s="63"/>
      <c r="L69" s="63"/>
      <c r="M69" s="63"/>
      <c r="N69" s="64">
        <f t="shared" si="52"/>
        <v>0</v>
      </c>
      <c r="O69" s="65">
        <f t="shared" si="53"/>
        <v>0</v>
      </c>
      <c r="P69" s="278"/>
      <c r="Q69" s="63"/>
      <c r="R69" s="63"/>
      <c r="S69" s="52">
        <f t="shared" si="54"/>
        <v>0</v>
      </c>
      <c r="T69" s="66">
        <f t="shared" si="55"/>
        <v>0</v>
      </c>
      <c r="U69" s="63"/>
      <c r="V69" s="63"/>
      <c r="W69" s="63"/>
      <c r="X69" s="64">
        <f t="shared" si="56"/>
        <v>0</v>
      </c>
      <c r="Y69" s="65">
        <f t="shared" si="57"/>
        <v>0</v>
      </c>
      <c r="Z69" s="63"/>
      <c r="AA69" s="63"/>
      <c r="AB69" s="63"/>
      <c r="AC69" s="52">
        <f t="shared" si="58"/>
        <v>0</v>
      </c>
      <c r="AD69" s="66">
        <f t="shared" si="59"/>
        <v>0</v>
      </c>
      <c r="AE69" s="63"/>
      <c r="AF69" s="63"/>
      <c r="AG69" s="63"/>
      <c r="AH69" s="64">
        <f t="shared" si="60"/>
        <v>0</v>
      </c>
      <c r="AI69" s="65">
        <f t="shared" si="61"/>
        <v>0</v>
      </c>
      <c r="AJ69" s="63"/>
      <c r="AK69" s="63"/>
      <c r="AL69" s="63"/>
      <c r="AM69" s="52">
        <f t="shared" si="62"/>
        <v>0</v>
      </c>
      <c r="AN69" s="66">
        <f t="shared" si="63"/>
        <v>0</v>
      </c>
      <c r="AO69" s="63"/>
      <c r="AP69" s="63"/>
      <c r="AQ69" s="63"/>
      <c r="AR69" s="64">
        <f t="shared" si="64"/>
        <v>0</v>
      </c>
      <c r="AS69" s="65">
        <f t="shared" si="65"/>
        <v>0</v>
      </c>
      <c r="AT69" s="63"/>
      <c r="AU69" s="63"/>
      <c r="AV69" s="63"/>
      <c r="AW69" s="52">
        <f t="shared" si="66"/>
        <v>0</v>
      </c>
      <c r="AX69" s="66">
        <f t="shared" si="67"/>
        <v>0</v>
      </c>
      <c r="AY69" s="63"/>
      <c r="AZ69" s="63"/>
      <c r="BA69" s="63"/>
      <c r="BB69" s="64">
        <f t="shared" si="72"/>
        <v>0</v>
      </c>
      <c r="BC69" s="65">
        <f t="shared" si="68"/>
        <v>0</v>
      </c>
      <c r="BD69" s="63"/>
      <c r="BE69" s="63"/>
      <c r="BF69" s="63"/>
      <c r="BG69" s="52">
        <f t="shared" si="73"/>
        <v>0</v>
      </c>
      <c r="BH69" s="66">
        <f t="shared" si="74"/>
        <v>0</v>
      </c>
      <c r="BI69" s="63"/>
      <c r="BJ69" s="63"/>
      <c r="BK69" s="63"/>
      <c r="BL69" s="64">
        <f t="shared" si="69"/>
        <v>0</v>
      </c>
      <c r="BM69" s="62"/>
      <c r="BN69" s="63"/>
      <c r="BO69" s="66">
        <f t="shared" si="75"/>
        <v>0</v>
      </c>
      <c r="BP69" s="67">
        <f t="shared" si="76"/>
        <v>0</v>
      </c>
      <c r="BQ69" s="68"/>
      <c r="BR69" s="63"/>
      <c r="BS69" s="202">
        <f t="shared" si="77"/>
        <v>0</v>
      </c>
      <c r="BT69" s="59">
        <f t="shared" si="78"/>
        <v>0</v>
      </c>
      <c r="BU69" s="461"/>
      <c r="BV69" s="625"/>
      <c r="BW69" s="59">
        <f t="shared" si="71"/>
        <v>0</v>
      </c>
      <c r="BX69" s="341"/>
      <c r="CB69" s="221">
        <v>1508</v>
      </c>
      <c r="CC69" s="263" t="b">
        <v>0</v>
      </c>
    </row>
    <row r="70" spans="1:81" s="58" customFormat="1" ht="15.75" thickBot="1" x14ac:dyDescent="0.25">
      <c r="A70">
        <v>38</v>
      </c>
      <c r="B70"/>
      <c r="C70" s="135"/>
      <c r="D70" s="194"/>
      <c r="E70" s="135"/>
      <c r="F70" s="63"/>
      <c r="G70" s="63"/>
      <c r="H70" s="63"/>
      <c r="I70" s="52">
        <f t="shared" si="51"/>
        <v>0</v>
      </c>
      <c r="J70" s="63"/>
      <c r="K70" s="63"/>
      <c r="L70" s="63"/>
      <c r="M70" s="63"/>
      <c r="N70" s="64">
        <f t="shared" si="52"/>
        <v>0</v>
      </c>
      <c r="O70" s="65">
        <f t="shared" si="53"/>
        <v>0</v>
      </c>
      <c r="P70" s="278"/>
      <c r="Q70" s="63"/>
      <c r="R70" s="63"/>
      <c r="S70" s="52">
        <f t="shared" si="54"/>
        <v>0</v>
      </c>
      <c r="T70" s="66">
        <f t="shared" si="55"/>
        <v>0</v>
      </c>
      <c r="U70" s="63"/>
      <c r="V70" s="63"/>
      <c r="W70" s="63"/>
      <c r="X70" s="64">
        <f t="shared" si="56"/>
        <v>0</v>
      </c>
      <c r="Y70" s="65">
        <f t="shared" si="57"/>
        <v>0</v>
      </c>
      <c r="Z70" s="63"/>
      <c r="AA70" s="63"/>
      <c r="AB70" s="63"/>
      <c r="AC70" s="52">
        <f t="shared" si="58"/>
        <v>0</v>
      </c>
      <c r="AD70" s="66">
        <f t="shared" si="59"/>
        <v>0</v>
      </c>
      <c r="AE70" s="63"/>
      <c r="AF70" s="63"/>
      <c r="AG70" s="63"/>
      <c r="AH70" s="64">
        <f t="shared" si="60"/>
        <v>0</v>
      </c>
      <c r="AI70" s="65">
        <f t="shared" si="61"/>
        <v>0</v>
      </c>
      <c r="AJ70" s="63"/>
      <c r="AK70" s="63"/>
      <c r="AL70" s="63"/>
      <c r="AM70" s="52">
        <f t="shared" si="62"/>
        <v>0</v>
      </c>
      <c r="AN70" s="66">
        <f t="shared" si="63"/>
        <v>0</v>
      </c>
      <c r="AO70" s="63"/>
      <c r="AP70" s="63"/>
      <c r="AQ70" s="63"/>
      <c r="AR70" s="64">
        <f t="shared" si="64"/>
        <v>0</v>
      </c>
      <c r="AS70" s="65">
        <f t="shared" si="65"/>
        <v>0</v>
      </c>
      <c r="AT70" s="63"/>
      <c r="AU70" s="63"/>
      <c r="AV70" s="63"/>
      <c r="AW70" s="52">
        <f t="shared" si="66"/>
        <v>0</v>
      </c>
      <c r="AX70" s="66">
        <f t="shared" si="67"/>
        <v>0</v>
      </c>
      <c r="AY70" s="63"/>
      <c r="AZ70" s="63"/>
      <c r="BA70" s="63"/>
      <c r="BB70" s="64">
        <f t="shared" si="72"/>
        <v>0</v>
      </c>
      <c r="BC70" s="65">
        <f t="shared" si="68"/>
        <v>0</v>
      </c>
      <c r="BD70" s="63"/>
      <c r="BE70" s="63"/>
      <c r="BF70" s="63"/>
      <c r="BG70" s="52">
        <f t="shared" si="73"/>
        <v>0</v>
      </c>
      <c r="BH70" s="66">
        <f t="shared" si="74"/>
        <v>0</v>
      </c>
      <c r="BI70" s="63"/>
      <c r="BJ70" s="63"/>
      <c r="BK70" s="63"/>
      <c r="BL70" s="64">
        <f t="shared" si="69"/>
        <v>0</v>
      </c>
      <c r="BM70" s="62"/>
      <c r="BN70" s="63"/>
      <c r="BO70" s="66">
        <f t="shared" si="75"/>
        <v>0</v>
      </c>
      <c r="BP70" s="67">
        <f t="shared" si="76"/>
        <v>0</v>
      </c>
      <c r="BQ70" s="68"/>
      <c r="BR70" s="63"/>
      <c r="BS70" s="202">
        <f t="shared" si="77"/>
        <v>0</v>
      </c>
      <c r="BT70" s="59">
        <f t="shared" si="78"/>
        <v>0</v>
      </c>
      <c r="BU70" s="461"/>
      <c r="BV70" s="625"/>
      <c r="BW70" s="59">
        <f t="shared" si="71"/>
        <v>0</v>
      </c>
      <c r="BX70" s="341"/>
      <c r="CB70" s="221">
        <v>1508</v>
      </c>
      <c r="CC70" s="263" t="b">
        <v>0</v>
      </c>
    </row>
    <row r="71" spans="1:81" s="58" customFormat="1" ht="17.25" thickBot="1" x14ac:dyDescent="0.25">
      <c r="A71">
        <v>39</v>
      </c>
      <c r="B71"/>
      <c r="C71" s="193" t="s">
        <v>2927</v>
      </c>
      <c r="D71" s="194">
        <v>1518</v>
      </c>
      <c r="E71" s="154"/>
      <c r="F71" s="155"/>
      <c r="G71" s="63"/>
      <c r="H71" s="63"/>
      <c r="I71" s="52">
        <f t="shared" si="51"/>
        <v>0</v>
      </c>
      <c r="J71" s="167"/>
      <c r="K71" s="168"/>
      <c r="L71" s="63"/>
      <c r="M71" s="63"/>
      <c r="N71" s="64">
        <f t="shared" si="52"/>
        <v>0</v>
      </c>
      <c r="O71" s="65">
        <v>-139578</v>
      </c>
      <c r="P71" s="63">
        <v>16449.168792854405</v>
      </c>
      <c r="Q71" s="63"/>
      <c r="R71" s="63"/>
      <c r="S71" s="52">
        <f t="shared" si="54"/>
        <v>-123128.83120714559</v>
      </c>
      <c r="T71" s="66">
        <v>-5038</v>
      </c>
      <c r="U71" s="184">
        <v>4784</v>
      </c>
      <c r="V71" s="63"/>
      <c r="W71" s="63"/>
      <c r="X71" s="64">
        <f t="shared" si="56"/>
        <v>-254</v>
      </c>
      <c r="Y71" s="65">
        <f t="shared" si="57"/>
        <v>-123128.83120714559</v>
      </c>
      <c r="Z71" s="63">
        <v>7920</v>
      </c>
      <c r="AA71" s="63">
        <v>-139578</v>
      </c>
      <c r="AB71" s="63"/>
      <c r="AC71" s="52">
        <f t="shared" si="58"/>
        <v>24369.168792854412</v>
      </c>
      <c r="AD71" s="66">
        <f t="shared" si="59"/>
        <v>-254</v>
      </c>
      <c r="AE71" s="63">
        <v>-4940</v>
      </c>
      <c r="AF71" s="63">
        <v>-7411</v>
      </c>
      <c r="AG71" s="63"/>
      <c r="AH71" s="64">
        <f t="shared" si="60"/>
        <v>2217</v>
      </c>
      <c r="AI71" s="65">
        <f t="shared" si="61"/>
        <v>24369.168792854412</v>
      </c>
      <c r="AJ71" s="63">
        <v>-5428</v>
      </c>
      <c r="AK71" s="63"/>
      <c r="AL71" s="63"/>
      <c r="AM71" s="52">
        <f t="shared" si="62"/>
        <v>18941.168792854412</v>
      </c>
      <c r="AN71" s="66">
        <f t="shared" si="63"/>
        <v>2217</v>
      </c>
      <c r="AO71" s="63">
        <v>737</v>
      </c>
      <c r="AP71" s="63"/>
      <c r="AQ71" s="63"/>
      <c r="AR71" s="64">
        <f t="shared" si="64"/>
        <v>2954</v>
      </c>
      <c r="AS71" s="65">
        <f t="shared" si="65"/>
        <v>18941.168792854412</v>
      </c>
      <c r="AT71" s="63">
        <v>-14936</v>
      </c>
      <c r="AU71" s="63"/>
      <c r="AV71" s="63"/>
      <c r="AW71" s="52">
        <f t="shared" si="66"/>
        <v>4005.1687928544125</v>
      </c>
      <c r="AX71" s="66">
        <f t="shared" si="67"/>
        <v>2954</v>
      </c>
      <c r="AY71" s="63">
        <v>-2954</v>
      </c>
      <c r="AZ71" s="63"/>
      <c r="BA71" s="63"/>
      <c r="BB71" s="64">
        <f t="shared" si="72"/>
        <v>0</v>
      </c>
      <c r="BC71" s="65">
        <f t="shared" si="68"/>
        <v>4005.1687928544125</v>
      </c>
      <c r="BD71" s="63">
        <v>-9278</v>
      </c>
      <c r="BE71" s="63"/>
      <c r="BF71" s="63">
        <v>-12107</v>
      </c>
      <c r="BG71" s="52">
        <f t="shared" ref="BG71:BG78" si="83">BC71+BD71-BE71+SUM(BF71:BF71)</f>
        <v>-17379.831207145588</v>
      </c>
      <c r="BH71" s="66">
        <f t="shared" ref="BH71:BH78" si="84">BB71</f>
        <v>0</v>
      </c>
      <c r="BI71" s="63">
        <v>-915</v>
      </c>
      <c r="BJ71" s="63"/>
      <c r="BK71" s="63"/>
      <c r="BL71" s="64">
        <f t="shared" si="69"/>
        <v>-915</v>
      </c>
      <c r="BM71" s="62"/>
      <c r="BN71" s="63"/>
      <c r="BO71" s="66">
        <f t="shared" ref="BO71:BO78" si="85">BG71-BM71</f>
        <v>-17379.831207145588</v>
      </c>
      <c r="BP71" s="67">
        <f t="shared" ref="BP71:BP78" si="86">BL71-BN71</f>
        <v>-915</v>
      </c>
      <c r="BQ71" s="68">
        <f t="shared" ref="BQ71" si="87">(BO71*3/12*0.57%)+(BO71*3/12*1.02%)+(BO71*3/12*2.2%)+(BO71*3/12*3.87%)</f>
        <v>-332.82376761683804</v>
      </c>
      <c r="BR71" s="63">
        <f t="shared" ref="BR71" si="88">BO71*(3.87%)*4/12</f>
        <v>-224.19982257217808</v>
      </c>
      <c r="BS71" s="202">
        <f t="shared" ref="BS71:BS78" si="89">BP71+BQ71+BR71</f>
        <v>-1472.0235901890162</v>
      </c>
      <c r="BT71" s="59">
        <f>SUM(BO71:BR71)</f>
        <v>-18851.854797334603</v>
      </c>
      <c r="BU71" s="345"/>
      <c r="BV71" s="625">
        <v>-6187.7</v>
      </c>
      <c r="BW71" s="59">
        <f t="shared" si="71"/>
        <v>12107.131207145587</v>
      </c>
      <c r="BX71" s="341" t="str">
        <f t="shared" ref="BX71:BX78" si="90">IF(ABS(BW71)&gt;1,"Please provide an explanation of the variance in the tab 3 - Appendix A","")</f>
        <v>Please provide an explanation of the variance in the tab 3 - Appendix A</v>
      </c>
      <c r="CC71" s="263"/>
    </row>
    <row r="72" spans="1:81" s="58" customFormat="1" ht="17.25" thickBot="1" x14ac:dyDescent="0.25">
      <c r="A72">
        <v>40</v>
      </c>
      <c r="B72"/>
      <c r="C72" s="193" t="s">
        <v>3052</v>
      </c>
      <c r="D72" s="194">
        <v>1522</v>
      </c>
      <c r="E72" s="500"/>
      <c r="F72" s="500"/>
      <c r="G72" s="500"/>
      <c r="H72" s="500"/>
      <c r="I72" s="52">
        <f t="shared" si="51"/>
        <v>0</v>
      </c>
      <c r="J72" s="500"/>
      <c r="K72" s="500"/>
      <c r="L72" s="500"/>
      <c r="M72" s="500"/>
      <c r="N72" s="64">
        <f t="shared" si="52"/>
        <v>0</v>
      </c>
      <c r="O72" s="65">
        <v>0</v>
      </c>
      <c r="P72" s="500"/>
      <c r="Q72" s="500"/>
      <c r="R72" s="500"/>
      <c r="S72" s="52">
        <f t="shared" si="54"/>
        <v>0</v>
      </c>
      <c r="T72" s="66">
        <f t="shared" si="55"/>
        <v>0</v>
      </c>
      <c r="U72" s="500"/>
      <c r="V72" s="500"/>
      <c r="W72" s="500"/>
      <c r="X72" s="64">
        <f t="shared" si="56"/>
        <v>0</v>
      </c>
      <c r="Y72" s="65">
        <f t="shared" si="57"/>
        <v>0</v>
      </c>
      <c r="Z72" s="63"/>
      <c r="AA72" s="63"/>
      <c r="AB72" s="63"/>
      <c r="AC72" s="52">
        <f t="shared" si="58"/>
        <v>0</v>
      </c>
      <c r="AD72" s="66">
        <f t="shared" si="59"/>
        <v>0</v>
      </c>
      <c r="AE72" s="63"/>
      <c r="AF72" s="63"/>
      <c r="AG72" s="63"/>
      <c r="AH72" s="64">
        <f t="shared" si="60"/>
        <v>0</v>
      </c>
      <c r="AI72" s="65">
        <f t="shared" si="61"/>
        <v>0</v>
      </c>
      <c r="AJ72" s="63"/>
      <c r="AK72" s="63"/>
      <c r="AL72" s="63"/>
      <c r="AM72" s="52">
        <f t="shared" si="62"/>
        <v>0</v>
      </c>
      <c r="AN72" s="66">
        <f t="shared" si="63"/>
        <v>0</v>
      </c>
      <c r="AO72" s="63"/>
      <c r="AP72" s="63"/>
      <c r="AQ72" s="63"/>
      <c r="AR72" s="64">
        <f t="shared" si="64"/>
        <v>0</v>
      </c>
      <c r="AS72" s="65">
        <f t="shared" si="65"/>
        <v>0</v>
      </c>
      <c r="AT72" s="63"/>
      <c r="AU72" s="63"/>
      <c r="AV72" s="63"/>
      <c r="AW72" s="52">
        <f t="shared" si="66"/>
        <v>0</v>
      </c>
      <c r="AX72" s="66">
        <f t="shared" si="67"/>
        <v>0</v>
      </c>
      <c r="AY72" s="319"/>
      <c r="AZ72" s="319"/>
      <c r="BA72" s="319"/>
      <c r="BB72" s="64">
        <f t="shared" si="72"/>
        <v>0</v>
      </c>
      <c r="BC72" s="65">
        <f t="shared" si="68"/>
        <v>0</v>
      </c>
      <c r="BD72" s="63"/>
      <c r="BE72" s="63"/>
      <c r="BF72" s="63"/>
      <c r="BG72" s="52">
        <f t="shared" si="83"/>
        <v>0</v>
      </c>
      <c r="BH72" s="66">
        <f t="shared" si="84"/>
        <v>0</v>
      </c>
      <c r="BI72" s="63"/>
      <c r="BJ72" s="136"/>
      <c r="BK72" s="136"/>
      <c r="BL72" s="64">
        <f t="shared" si="69"/>
        <v>0</v>
      </c>
      <c r="BM72" s="62"/>
      <c r="BN72" s="63"/>
      <c r="BO72" s="66">
        <f t="shared" si="85"/>
        <v>0</v>
      </c>
      <c r="BP72" s="67">
        <f t="shared" si="86"/>
        <v>0</v>
      </c>
      <c r="BQ72" s="68"/>
      <c r="BR72" s="63"/>
      <c r="BS72" s="202">
        <f t="shared" si="89"/>
        <v>0</v>
      </c>
      <c r="BT72" s="663">
        <f xml:space="preserve"> SUM(BO72:BR72)</f>
        <v>0</v>
      </c>
      <c r="BU72" s="345"/>
      <c r="BV72" s="625"/>
      <c r="BW72" s="59">
        <f t="shared" si="71"/>
        <v>0</v>
      </c>
      <c r="BX72" s="341" t="str">
        <f t="shared" si="90"/>
        <v/>
      </c>
      <c r="CB72">
        <v>1525</v>
      </c>
      <c r="CC72" s="263" t="b">
        <v>0</v>
      </c>
    </row>
    <row r="73" spans="1:81" s="58" customFormat="1" ht="15.75" thickBot="1" x14ac:dyDescent="0.25">
      <c r="A73">
        <v>41</v>
      </c>
      <c r="B73"/>
      <c r="C73" s="193" t="s">
        <v>9</v>
      </c>
      <c r="D73" s="462">
        <v>1525</v>
      </c>
      <c r="E73" s="135"/>
      <c r="F73" s="63"/>
      <c r="G73" s="63"/>
      <c r="H73" s="63"/>
      <c r="I73" s="52">
        <f>E73+F73-G73+H73</f>
        <v>0</v>
      </c>
      <c r="J73" s="169"/>
      <c r="K73" s="63"/>
      <c r="L73" s="63"/>
      <c r="M73" s="63"/>
      <c r="N73" s="64">
        <f>J73+K73-L73+M73</f>
        <v>0</v>
      </c>
      <c r="O73" s="65">
        <v>0</v>
      </c>
      <c r="P73" s="278"/>
      <c r="Q73" s="63"/>
      <c r="R73" s="63"/>
      <c r="S73" s="52">
        <f t="shared" si="54"/>
        <v>0</v>
      </c>
      <c r="T73" s="66">
        <f>N73</f>
        <v>0</v>
      </c>
      <c r="U73" s="63"/>
      <c r="V73" s="63"/>
      <c r="W73" s="63"/>
      <c r="X73" s="64">
        <f>T73+U73-V73+W73</f>
        <v>0</v>
      </c>
      <c r="Y73" s="65">
        <f>S73</f>
        <v>0</v>
      </c>
      <c r="Z73" s="63"/>
      <c r="AA73" s="63"/>
      <c r="AB73" s="63"/>
      <c r="AC73" s="52">
        <f t="shared" si="58"/>
        <v>0</v>
      </c>
      <c r="AD73" s="66">
        <f>X73</f>
        <v>0</v>
      </c>
      <c r="AE73" s="63"/>
      <c r="AF73" s="63"/>
      <c r="AG73" s="63"/>
      <c r="AH73" s="64">
        <f>AD73+AE73-AF73+AG73</f>
        <v>0</v>
      </c>
      <c r="AI73" s="65">
        <f>AC73</f>
        <v>0</v>
      </c>
      <c r="AJ73" s="63"/>
      <c r="AK73" s="63"/>
      <c r="AL73" s="63"/>
      <c r="AM73" s="52">
        <f>AI73+AJ73-AK73+SUM(AL73:AL73)</f>
        <v>0</v>
      </c>
      <c r="AN73" s="66">
        <f>AH73</f>
        <v>0</v>
      </c>
      <c r="AO73" s="63"/>
      <c r="AP73" s="63"/>
      <c r="AQ73" s="63"/>
      <c r="AR73" s="64">
        <f t="shared" ref="AR73:AR78" si="91">AN73+AO73-AP73+AQ73</f>
        <v>0</v>
      </c>
      <c r="AS73" s="65">
        <f>AM73</f>
        <v>0</v>
      </c>
      <c r="AT73" s="63"/>
      <c r="AU73" s="63"/>
      <c r="AV73" s="63"/>
      <c r="AW73" s="52">
        <f t="shared" si="66"/>
        <v>0</v>
      </c>
      <c r="AX73" s="66">
        <f>AR73</f>
        <v>0</v>
      </c>
      <c r="AY73" s="63"/>
      <c r="AZ73" s="63"/>
      <c r="BA73" s="63"/>
      <c r="BB73" s="64">
        <f t="shared" ref="BB73:BB78" si="92">AX73+AY73-AZ73+BA73</f>
        <v>0</v>
      </c>
      <c r="BC73" s="65">
        <f>AW73</f>
        <v>0</v>
      </c>
      <c r="BD73" s="63"/>
      <c r="BE73" s="63"/>
      <c r="BF73" s="63"/>
      <c r="BG73" s="52">
        <f t="shared" si="83"/>
        <v>0</v>
      </c>
      <c r="BH73" s="66">
        <f t="shared" si="84"/>
        <v>0</v>
      </c>
      <c r="BI73" s="63"/>
      <c r="BJ73" s="72"/>
      <c r="BK73" s="136"/>
      <c r="BL73" s="64">
        <f t="shared" ref="BL73:BL78" si="93">BH73+BI73-BJ73+BK73</f>
        <v>0</v>
      </c>
      <c r="BM73" s="62"/>
      <c r="BN73" s="63"/>
      <c r="BO73" s="66">
        <f t="shared" si="85"/>
        <v>0</v>
      </c>
      <c r="BP73" s="67">
        <f t="shared" si="86"/>
        <v>0</v>
      </c>
      <c r="BQ73" s="68"/>
      <c r="BR73" s="63"/>
      <c r="BS73" s="202">
        <f t="shared" si="89"/>
        <v>0</v>
      </c>
      <c r="BT73" s="59">
        <f>IF(BU73="Yes", SUM(BO73:BR73), 0)</f>
        <v>0</v>
      </c>
      <c r="BU73" s="624"/>
      <c r="BV73" s="625"/>
      <c r="BW73" s="59">
        <f>BV73-SUM(BG73,BL73)</f>
        <v>0</v>
      </c>
      <c r="BX73" s="341" t="str">
        <f t="shared" si="90"/>
        <v/>
      </c>
      <c r="CC73" s="263"/>
    </row>
    <row r="74" spans="1:81" s="58" customFormat="1" ht="17.25" thickBot="1" x14ac:dyDescent="0.25">
      <c r="A74">
        <v>42</v>
      </c>
      <c r="B74"/>
      <c r="C74" s="193" t="s">
        <v>2928</v>
      </c>
      <c r="D74" s="462">
        <v>1548</v>
      </c>
      <c r="E74" s="134"/>
      <c r="F74" s="136"/>
      <c r="G74" s="136"/>
      <c r="H74" s="136"/>
      <c r="I74" s="52">
        <f>E74+F74-G74+H74</f>
        <v>0</v>
      </c>
      <c r="J74" s="169"/>
      <c r="K74" s="136"/>
      <c r="L74" s="136"/>
      <c r="M74" s="136"/>
      <c r="N74" s="64">
        <f>J74+K74-L74+M74</f>
        <v>0</v>
      </c>
      <c r="O74" s="65">
        <v>78206</v>
      </c>
      <c r="P74" s="63">
        <v>10970.01</v>
      </c>
      <c r="Q74" s="63"/>
      <c r="R74" s="63"/>
      <c r="S74" s="52">
        <f t="shared" si="54"/>
        <v>89176.01</v>
      </c>
      <c r="T74" s="660">
        <v>2900</v>
      </c>
      <c r="U74" s="63">
        <v>-4246</v>
      </c>
      <c r="V74" s="63"/>
      <c r="W74" s="63"/>
      <c r="X74" s="64">
        <f>T74+U74-V74+W74</f>
        <v>-1346</v>
      </c>
      <c r="Y74" s="65">
        <f t="shared" si="57"/>
        <v>89176.01</v>
      </c>
      <c r="Z74" s="63">
        <v>10272</v>
      </c>
      <c r="AA74" s="63">
        <v>78206</v>
      </c>
      <c r="AB74" s="63"/>
      <c r="AC74" s="52">
        <f t="shared" si="58"/>
        <v>21242.009999999995</v>
      </c>
      <c r="AD74" s="66">
        <f t="shared" si="59"/>
        <v>-1346</v>
      </c>
      <c r="AE74" s="63">
        <v>6610</v>
      </c>
      <c r="AF74" s="63">
        <v>4230</v>
      </c>
      <c r="AG74" s="63"/>
      <c r="AH74" s="64">
        <f t="shared" si="60"/>
        <v>1034</v>
      </c>
      <c r="AI74" s="65">
        <f t="shared" si="61"/>
        <v>21242.009999999995</v>
      </c>
      <c r="AJ74" s="63">
        <v>8915</v>
      </c>
      <c r="AK74" s="63"/>
      <c r="AL74" s="63"/>
      <c r="AM74" s="52">
        <f t="shared" si="62"/>
        <v>30157.009999999995</v>
      </c>
      <c r="AN74" s="66">
        <f t="shared" si="63"/>
        <v>1034</v>
      </c>
      <c r="AO74" s="63">
        <v>-575</v>
      </c>
      <c r="AP74" s="63"/>
      <c r="AQ74" s="63"/>
      <c r="AR74" s="64">
        <f t="shared" si="91"/>
        <v>459</v>
      </c>
      <c r="AS74" s="65">
        <f t="shared" si="65"/>
        <v>30157.009999999995</v>
      </c>
      <c r="AT74" s="63">
        <v>11063</v>
      </c>
      <c r="AU74" s="63"/>
      <c r="AV74" s="63"/>
      <c r="AW74" s="52">
        <f t="shared" si="66"/>
        <v>41220.009999999995</v>
      </c>
      <c r="AX74" s="66">
        <f t="shared" si="67"/>
        <v>459</v>
      </c>
      <c r="AY74" s="63">
        <v>-459</v>
      </c>
      <c r="AZ74" s="63"/>
      <c r="BA74" s="63"/>
      <c r="BB74" s="64">
        <f t="shared" si="92"/>
        <v>0</v>
      </c>
      <c r="BC74" s="65">
        <f t="shared" si="68"/>
        <v>41220.009999999995</v>
      </c>
      <c r="BD74" s="63">
        <v>9802.0399999999991</v>
      </c>
      <c r="BE74" s="63"/>
      <c r="BF74" s="63">
        <v>10433</v>
      </c>
      <c r="BG74" s="52">
        <f t="shared" si="83"/>
        <v>61455.049999999996</v>
      </c>
      <c r="BH74" s="66">
        <f t="shared" si="84"/>
        <v>0</v>
      </c>
      <c r="BI74" s="63">
        <v>2373</v>
      </c>
      <c r="BJ74" s="63"/>
      <c r="BK74" s="63"/>
      <c r="BL74" s="64">
        <f t="shared" si="93"/>
        <v>2373</v>
      </c>
      <c r="BM74" s="62"/>
      <c r="BN74" s="63"/>
      <c r="BO74" s="66">
        <f t="shared" si="85"/>
        <v>61455.049999999996</v>
      </c>
      <c r="BP74" s="67">
        <f t="shared" si="86"/>
        <v>2373</v>
      </c>
      <c r="BQ74" s="68">
        <f t="shared" ref="BQ74" si="94">(BO74*3/12*0.57%)+(BO74*3/12*1.02%)+(BO74*3/12*2.2%)+(BO74*3/12*3.87%)</f>
        <v>1176.8642074999998</v>
      </c>
      <c r="BR74" s="63">
        <f t="shared" ref="BR74" si="95">BO74*(3.87%)*4/12</f>
        <v>792.77014499999996</v>
      </c>
      <c r="BS74" s="202">
        <f t="shared" si="89"/>
        <v>4342.6343524999993</v>
      </c>
      <c r="BT74" s="59">
        <f>SUM(BO74:BR74)</f>
        <v>65797.6843525</v>
      </c>
      <c r="BU74" s="626"/>
      <c r="BV74" s="625">
        <v>53395.279999999984</v>
      </c>
      <c r="BW74" s="59">
        <f t="shared" si="71"/>
        <v>-10432.770000000011</v>
      </c>
      <c r="BX74" s="341" t="str">
        <f t="shared" si="90"/>
        <v>Please provide an explanation of the variance in the tab 3 - Appendix A</v>
      </c>
      <c r="CC74" s="263"/>
    </row>
    <row r="75" spans="1:81" s="58" customFormat="1" ht="15" thickBot="1" x14ac:dyDescent="0.25">
      <c r="A75">
        <v>43</v>
      </c>
      <c r="B75"/>
      <c r="C75" s="193" t="s">
        <v>10</v>
      </c>
      <c r="D75" s="194">
        <v>1572</v>
      </c>
      <c r="E75" s="135"/>
      <c r="F75" s="63"/>
      <c r="G75" s="63"/>
      <c r="H75" s="63"/>
      <c r="I75" s="52">
        <f t="shared" si="51"/>
        <v>0</v>
      </c>
      <c r="J75" s="136"/>
      <c r="K75" s="63"/>
      <c r="L75" s="63"/>
      <c r="M75" s="63"/>
      <c r="N75" s="64">
        <f t="shared" si="52"/>
        <v>0</v>
      </c>
      <c r="O75" s="65">
        <f>I75</f>
        <v>0</v>
      </c>
      <c r="P75" s="63"/>
      <c r="Q75" s="63"/>
      <c r="R75" s="63"/>
      <c r="S75" s="52">
        <f t="shared" si="54"/>
        <v>0</v>
      </c>
      <c r="T75" s="66">
        <f t="shared" si="55"/>
        <v>0</v>
      </c>
      <c r="U75" s="63"/>
      <c r="V75" s="63"/>
      <c r="W75" s="63"/>
      <c r="X75" s="64">
        <f t="shared" si="56"/>
        <v>0</v>
      </c>
      <c r="Y75" s="65">
        <f t="shared" si="57"/>
        <v>0</v>
      </c>
      <c r="Z75" s="63"/>
      <c r="AA75" s="63"/>
      <c r="AB75" s="63"/>
      <c r="AC75" s="52">
        <f t="shared" si="58"/>
        <v>0</v>
      </c>
      <c r="AD75" s="66">
        <f t="shared" si="59"/>
        <v>0</v>
      </c>
      <c r="AE75" s="63"/>
      <c r="AF75" s="63"/>
      <c r="AG75" s="63"/>
      <c r="AH75" s="64">
        <f t="shared" si="60"/>
        <v>0</v>
      </c>
      <c r="AI75" s="65">
        <f>AC75</f>
        <v>0</v>
      </c>
      <c r="AJ75" s="63"/>
      <c r="AK75" s="63"/>
      <c r="AL75" s="63"/>
      <c r="AM75" s="52">
        <f t="shared" si="62"/>
        <v>0</v>
      </c>
      <c r="AN75" s="66">
        <f t="shared" si="63"/>
        <v>0</v>
      </c>
      <c r="AO75" s="63"/>
      <c r="AP75" s="63"/>
      <c r="AQ75" s="63"/>
      <c r="AR75" s="64">
        <f t="shared" si="91"/>
        <v>0</v>
      </c>
      <c r="AS75" s="65">
        <f>AM75</f>
        <v>0</v>
      </c>
      <c r="AT75" s="63"/>
      <c r="AU75" s="63"/>
      <c r="AV75" s="63"/>
      <c r="AW75" s="52">
        <f t="shared" si="66"/>
        <v>0</v>
      </c>
      <c r="AX75" s="66">
        <f t="shared" si="67"/>
        <v>0</v>
      </c>
      <c r="AY75" s="63"/>
      <c r="AZ75" s="63"/>
      <c r="BA75" s="63"/>
      <c r="BB75" s="64">
        <f t="shared" si="92"/>
        <v>0</v>
      </c>
      <c r="BC75" s="65">
        <f>AW75</f>
        <v>0</v>
      </c>
      <c r="BD75" s="63"/>
      <c r="BE75" s="63"/>
      <c r="BF75" s="63"/>
      <c r="BG75" s="52">
        <f t="shared" si="83"/>
        <v>0</v>
      </c>
      <c r="BH75" s="66">
        <f t="shared" si="84"/>
        <v>0</v>
      </c>
      <c r="BI75" s="63"/>
      <c r="BJ75" s="63"/>
      <c r="BK75" s="63"/>
      <c r="BL75" s="64">
        <f t="shared" si="93"/>
        <v>0</v>
      </c>
      <c r="BM75" s="62"/>
      <c r="BN75" s="63"/>
      <c r="BO75" s="66">
        <f t="shared" si="85"/>
        <v>0</v>
      </c>
      <c r="BP75" s="67">
        <f t="shared" si="86"/>
        <v>0</v>
      </c>
      <c r="BQ75" s="68"/>
      <c r="BR75" s="63"/>
      <c r="BS75" s="202">
        <f t="shared" si="89"/>
        <v>0</v>
      </c>
      <c r="BT75" s="59">
        <f>SUM(BO75:BR75)</f>
        <v>0</v>
      </c>
      <c r="BU75" s="626"/>
      <c r="BV75" s="625"/>
      <c r="BW75" s="59">
        <f t="shared" si="71"/>
        <v>0</v>
      </c>
      <c r="BX75" s="341" t="str">
        <f t="shared" si="90"/>
        <v/>
      </c>
      <c r="CC75" s="263"/>
    </row>
    <row r="76" spans="1:81" s="58" customFormat="1" ht="15" thickBot="1" x14ac:dyDescent="0.25">
      <c r="A76">
        <v>44</v>
      </c>
      <c r="B76"/>
      <c r="C76" s="193" t="s">
        <v>6</v>
      </c>
      <c r="D76" s="194">
        <v>1574</v>
      </c>
      <c r="E76" s="135"/>
      <c r="F76" s="63"/>
      <c r="G76" s="63"/>
      <c r="H76" s="63"/>
      <c r="I76" s="52">
        <f t="shared" si="51"/>
        <v>0</v>
      </c>
      <c r="J76" s="136"/>
      <c r="K76" s="63"/>
      <c r="L76" s="63"/>
      <c r="M76" s="63"/>
      <c r="N76" s="64">
        <f t="shared" si="52"/>
        <v>0</v>
      </c>
      <c r="O76" s="65">
        <f>I76</f>
        <v>0</v>
      </c>
      <c r="P76" s="63"/>
      <c r="Q76" s="63"/>
      <c r="R76" s="63"/>
      <c r="S76" s="52">
        <f t="shared" si="54"/>
        <v>0</v>
      </c>
      <c r="T76" s="66">
        <f t="shared" si="55"/>
        <v>0</v>
      </c>
      <c r="U76" s="63"/>
      <c r="V76" s="63"/>
      <c r="W76" s="63"/>
      <c r="X76" s="64">
        <f t="shared" si="56"/>
        <v>0</v>
      </c>
      <c r="Y76" s="65">
        <f t="shared" si="57"/>
        <v>0</v>
      </c>
      <c r="Z76" s="63"/>
      <c r="AA76" s="63"/>
      <c r="AB76" s="63"/>
      <c r="AC76" s="52">
        <f t="shared" si="58"/>
        <v>0</v>
      </c>
      <c r="AD76" s="66">
        <f t="shared" si="59"/>
        <v>0</v>
      </c>
      <c r="AE76" s="63"/>
      <c r="AF76" s="63"/>
      <c r="AG76" s="63"/>
      <c r="AH76" s="64">
        <f t="shared" si="60"/>
        <v>0</v>
      </c>
      <c r="AI76" s="65">
        <f>AC76</f>
        <v>0</v>
      </c>
      <c r="AJ76" s="63"/>
      <c r="AK76" s="63"/>
      <c r="AL76" s="63"/>
      <c r="AM76" s="52">
        <f t="shared" si="62"/>
        <v>0</v>
      </c>
      <c r="AN76" s="66">
        <f t="shared" si="63"/>
        <v>0</v>
      </c>
      <c r="AO76" s="63"/>
      <c r="AP76" s="63"/>
      <c r="AQ76" s="63"/>
      <c r="AR76" s="64">
        <f t="shared" si="91"/>
        <v>0</v>
      </c>
      <c r="AS76" s="65">
        <f>AM76</f>
        <v>0</v>
      </c>
      <c r="AT76" s="63"/>
      <c r="AU76" s="63"/>
      <c r="AV76" s="63"/>
      <c r="AW76" s="52">
        <f t="shared" si="66"/>
        <v>0</v>
      </c>
      <c r="AX76" s="66">
        <f t="shared" si="67"/>
        <v>0</v>
      </c>
      <c r="AY76" s="63"/>
      <c r="AZ76" s="63"/>
      <c r="BA76" s="63"/>
      <c r="BB76" s="64">
        <f t="shared" si="92"/>
        <v>0</v>
      </c>
      <c r="BC76" s="65">
        <f>AW76</f>
        <v>0</v>
      </c>
      <c r="BD76" s="63"/>
      <c r="BE76" s="63"/>
      <c r="BF76" s="63"/>
      <c r="BG76" s="52">
        <f t="shared" si="83"/>
        <v>0</v>
      </c>
      <c r="BH76" s="66">
        <f t="shared" si="84"/>
        <v>0</v>
      </c>
      <c r="BI76" s="63"/>
      <c r="BJ76" s="63"/>
      <c r="BK76" s="63"/>
      <c r="BL76" s="64">
        <f t="shared" si="93"/>
        <v>0</v>
      </c>
      <c r="BM76" s="62"/>
      <c r="BN76" s="63"/>
      <c r="BO76" s="66">
        <f t="shared" si="85"/>
        <v>0</v>
      </c>
      <c r="BP76" s="67">
        <f t="shared" si="86"/>
        <v>0</v>
      </c>
      <c r="BQ76" s="68"/>
      <c r="BR76" s="63"/>
      <c r="BS76" s="202">
        <f t="shared" si="89"/>
        <v>0</v>
      </c>
      <c r="BT76" s="59">
        <f>SUM(BO76:BR76)</f>
        <v>0</v>
      </c>
      <c r="BU76" s="626"/>
      <c r="BV76" s="625"/>
      <c r="BW76" s="59">
        <f t="shared" si="71"/>
        <v>0</v>
      </c>
      <c r="BX76" s="341" t="str">
        <f t="shared" si="90"/>
        <v/>
      </c>
      <c r="CC76" s="263"/>
    </row>
    <row r="77" spans="1:81" s="58" customFormat="1" ht="15" thickBot="1" x14ac:dyDescent="0.25">
      <c r="A77">
        <v>45</v>
      </c>
      <c r="B77"/>
      <c r="C77" s="193" t="s">
        <v>24</v>
      </c>
      <c r="D77" s="194">
        <v>1582</v>
      </c>
      <c r="E77" s="156"/>
      <c r="F77" s="157"/>
      <c r="G77" s="63"/>
      <c r="H77" s="63"/>
      <c r="I77" s="52">
        <f t="shared" si="51"/>
        <v>0</v>
      </c>
      <c r="J77" s="170"/>
      <c r="K77" s="63"/>
      <c r="L77" s="63"/>
      <c r="M77" s="63"/>
      <c r="N77" s="64">
        <f t="shared" si="52"/>
        <v>0</v>
      </c>
      <c r="O77" s="65">
        <f>I77</f>
        <v>0</v>
      </c>
      <c r="P77" s="63"/>
      <c r="Q77" s="63"/>
      <c r="R77" s="63"/>
      <c r="S77" s="52">
        <f t="shared" si="54"/>
        <v>0</v>
      </c>
      <c r="T77" s="66">
        <f t="shared" si="55"/>
        <v>0</v>
      </c>
      <c r="U77" s="185"/>
      <c r="V77" s="63"/>
      <c r="W77" s="63"/>
      <c r="X77" s="64">
        <f t="shared" si="56"/>
        <v>0</v>
      </c>
      <c r="Y77" s="65">
        <f t="shared" si="57"/>
        <v>0</v>
      </c>
      <c r="Z77" s="63"/>
      <c r="AA77" s="63"/>
      <c r="AB77" s="63"/>
      <c r="AC77" s="52">
        <f t="shared" si="58"/>
        <v>0</v>
      </c>
      <c r="AD77" s="66">
        <f t="shared" si="59"/>
        <v>0</v>
      </c>
      <c r="AE77" s="63"/>
      <c r="AF77" s="63"/>
      <c r="AG77" s="63"/>
      <c r="AH77" s="64">
        <f t="shared" si="60"/>
        <v>0</v>
      </c>
      <c r="AI77" s="65">
        <f>AC77</f>
        <v>0</v>
      </c>
      <c r="AJ77" s="63"/>
      <c r="AK77" s="63"/>
      <c r="AL77" s="63"/>
      <c r="AM77" s="52">
        <f t="shared" si="62"/>
        <v>0</v>
      </c>
      <c r="AN77" s="66">
        <f t="shared" si="63"/>
        <v>0</v>
      </c>
      <c r="AO77" s="63"/>
      <c r="AP77" s="63"/>
      <c r="AQ77" s="63"/>
      <c r="AR77" s="64">
        <f t="shared" si="91"/>
        <v>0</v>
      </c>
      <c r="AS77" s="65">
        <f>AM77</f>
        <v>0</v>
      </c>
      <c r="AT77" s="63"/>
      <c r="AU77" s="63"/>
      <c r="AV77" s="63"/>
      <c r="AW77" s="52">
        <f t="shared" si="66"/>
        <v>0</v>
      </c>
      <c r="AX77" s="66">
        <f t="shared" si="67"/>
        <v>0</v>
      </c>
      <c r="AY77" s="63"/>
      <c r="AZ77" s="63"/>
      <c r="BA77" s="63"/>
      <c r="BB77" s="64">
        <f t="shared" si="92"/>
        <v>0</v>
      </c>
      <c r="BC77" s="65">
        <f>AW77</f>
        <v>0</v>
      </c>
      <c r="BD77" s="63"/>
      <c r="BE77" s="63"/>
      <c r="BF77" s="63"/>
      <c r="BG77" s="52">
        <f t="shared" si="83"/>
        <v>0</v>
      </c>
      <c r="BH77" s="66">
        <f t="shared" si="84"/>
        <v>0</v>
      </c>
      <c r="BI77" s="63"/>
      <c r="BJ77" s="63"/>
      <c r="BK77" s="63"/>
      <c r="BL77" s="64">
        <f t="shared" si="93"/>
        <v>0</v>
      </c>
      <c r="BM77" s="62"/>
      <c r="BN77" s="63"/>
      <c r="BO77" s="66">
        <f t="shared" si="85"/>
        <v>0</v>
      </c>
      <c r="BP77" s="67">
        <f t="shared" si="86"/>
        <v>0</v>
      </c>
      <c r="BQ77" s="68"/>
      <c r="BR77" s="63"/>
      <c r="BS77" s="202">
        <f t="shared" si="89"/>
        <v>0</v>
      </c>
      <c r="BT77" s="59">
        <f>SUM(BO77:BR77)</f>
        <v>0</v>
      </c>
      <c r="BU77" s="626"/>
      <c r="BV77" s="625"/>
      <c r="BW77" s="59">
        <f t="shared" si="71"/>
        <v>0</v>
      </c>
      <c r="BX77" s="341" t="str">
        <f t="shared" si="90"/>
        <v/>
      </c>
      <c r="CC77" s="263"/>
    </row>
    <row r="78" spans="1:81" s="58" customFormat="1" ht="15.75" thickBot="1" x14ac:dyDescent="0.25">
      <c r="A78">
        <v>46</v>
      </c>
      <c r="B78"/>
      <c r="C78" s="193" t="s">
        <v>7</v>
      </c>
      <c r="D78" s="194">
        <v>2425</v>
      </c>
      <c r="E78" s="135"/>
      <c r="F78" s="63"/>
      <c r="G78" s="63"/>
      <c r="H78" s="63"/>
      <c r="I78" s="52">
        <f t="shared" si="51"/>
        <v>0</v>
      </c>
      <c r="J78" s="136"/>
      <c r="K78" s="63"/>
      <c r="L78" s="63"/>
      <c r="M78" s="63"/>
      <c r="N78" s="64">
        <f t="shared" si="52"/>
        <v>0</v>
      </c>
      <c r="O78" s="65">
        <f>I78</f>
        <v>0</v>
      </c>
      <c r="P78" s="63"/>
      <c r="Q78" s="63"/>
      <c r="R78" s="63"/>
      <c r="S78" s="52">
        <f t="shared" si="54"/>
        <v>0</v>
      </c>
      <c r="T78" s="66">
        <f t="shared" si="55"/>
        <v>0</v>
      </c>
      <c r="U78" s="63"/>
      <c r="V78" s="63"/>
      <c r="W78" s="63"/>
      <c r="X78" s="64">
        <f t="shared" si="56"/>
        <v>0</v>
      </c>
      <c r="Y78" s="65">
        <f t="shared" si="57"/>
        <v>0</v>
      </c>
      <c r="Z78" s="63"/>
      <c r="AA78" s="63"/>
      <c r="AB78" s="63"/>
      <c r="AC78" s="52">
        <f t="shared" si="58"/>
        <v>0</v>
      </c>
      <c r="AD78" s="66">
        <f t="shared" si="59"/>
        <v>0</v>
      </c>
      <c r="AE78" s="63"/>
      <c r="AF78" s="63"/>
      <c r="AG78" s="63"/>
      <c r="AH78" s="64">
        <f t="shared" si="60"/>
        <v>0</v>
      </c>
      <c r="AI78" s="65">
        <f>AC78</f>
        <v>0</v>
      </c>
      <c r="AJ78" s="63"/>
      <c r="AK78" s="63"/>
      <c r="AL78" s="63"/>
      <c r="AM78" s="52">
        <f t="shared" si="62"/>
        <v>0</v>
      </c>
      <c r="AN78" s="66">
        <f t="shared" si="63"/>
        <v>0</v>
      </c>
      <c r="AO78" s="63"/>
      <c r="AP78" s="63"/>
      <c r="AQ78" s="63"/>
      <c r="AR78" s="64">
        <f t="shared" si="91"/>
        <v>0</v>
      </c>
      <c r="AS78" s="65">
        <f>AM78</f>
        <v>0</v>
      </c>
      <c r="AT78" s="63"/>
      <c r="AU78" s="63"/>
      <c r="AV78" s="63"/>
      <c r="AW78" s="52">
        <f t="shared" si="66"/>
        <v>0</v>
      </c>
      <c r="AX78" s="66">
        <f t="shared" si="67"/>
        <v>0</v>
      </c>
      <c r="AY78" s="63"/>
      <c r="AZ78" s="63"/>
      <c r="BA78" s="63"/>
      <c r="BB78" s="64">
        <f t="shared" si="92"/>
        <v>0</v>
      </c>
      <c r="BC78" s="65">
        <f>AW78</f>
        <v>0</v>
      </c>
      <c r="BD78" s="63"/>
      <c r="BE78" s="63"/>
      <c r="BF78" s="63"/>
      <c r="BG78" s="52">
        <f t="shared" si="83"/>
        <v>0</v>
      </c>
      <c r="BH78" s="66">
        <f t="shared" si="84"/>
        <v>0</v>
      </c>
      <c r="BI78" s="63"/>
      <c r="BJ78" s="63"/>
      <c r="BK78" s="63"/>
      <c r="BL78" s="64">
        <f t="shared" si="93"/>
        <v>0</v>
      </c>
      <c r="BM78" s="62"/>
      <c r="BN78" s="63"/>
      <c r="BO78" s="66">
        <f t="shared" si="85"/>
        <v>0</v>
      </c>
      <c r="BP78" s="67">
        <f t="shared" si="86"/>
        <v>0</v>
      </c>
      <c r="BQ78" s="68"/>
      <c r="BR78" s="63"/>
      <c r="BS78" s="202">
        <f t="shared" si="89"/>
        <v>0</v>
      </c>
      <c r="BT78" s="59">
        <f>IF(BU78="Yes", SUM(BO78:BR78), 0)</f>
        <v>0</v>
      </c>
      <c r="BU78" s="624"/>
      <c r="BV78" s="625"/>
      <c r="BW78" s="59">
        <f t="shared" si="71"/>
        <v>0</v>
      </c>
      <c r="BX78" s="341" t="str">
        <f t="shared" si="90"/>
        <v/>
      </c>
      <c r="CB78">
        <v>2425</v>
      </c>
      <c r="CC78" s="263" t="b">
        <v>0</v>
      </c>
    </row>
    <row r="79" spans="1:81" s="58" customFormat="1" ht="14.25" x14ac:dyDescent="0.2">
      <c r="A79"/>
      <c r="B79"/>
      <c r="C79" s="193"/>
      <c r="D79" s="10"/>
      <c r="E79" s="77"/>
      <c r="F79" s="52"/>
      <c r="G79" s="52"/>
      <c r="H79" s="52"/>
      <c r="I79" s="52"/>
      <c r="J79" s="52"/>
      <c r="K79" s="52"/>
      <c r="L79" s="52"/>
      <c r="M79" s="52"/>
      <c r="N79" s="64"/>
      <c r="O79" s="51"/>
      <c r="P79" s="52"/>
      <c r="Q79" s="52"/>
      <c r="R79" s="52"/>
      <c r="S79" s="52"/>
      <c r="T79" s="52"/>
      <c r="U79" s="52"/>
      <c r="V79" s="52"/>
      <c r="W79" s="52"/>
      <c r="X79" s="64"/>
      <c r="Y79" s="51"/>
      <c r="Z79" s="52"/>
      <c r="AA79" s="52"/>
      <c r="AB79" s="52"/>
      <c r="AC79" s="52"/>
      <c r="AD79" s="52"/>
      <c r="AE79" s="52"/>
      <c r="AF79" s="52"/>
      <c r="AG79" s="52"/>
      <c r="AH79" s="64"/>
      <c r="AI79" s="51"/>
      <c r="AJ79" s="52"/>
      <c r="AK79" s="52"/>
      <c r="AL79" s="52"/>
      <c r="AM79" s="52"/>
      <c r="AN79" s="52"/>
      <c r="AO79" s="52"/>
      <c r="AP79" s="52"/>
      <c r="AQ79" s="52"/>
      <c r="AR79" s="64"/>
      <c r="AS79" s="51"/>
      <c r="AT79" s="52"/>
      <c r="AU79" s="52"/>
      <c r="AV79" s="52"/>
      <c r="AW79" s="52"/>
      <c r="AX79" s="52"/>
      <c r="AY79" s="52"/>
      <c r="AZ79" s="52"/>
      <c r="BA79" s="52"/>
      <c r="BB79" s="64"/>
      <c r="BC79" s="51"/>
      <c r="BD79" s="52"/>
      <c r="BE79" s="52"/>
      <c r="BF79" s="52"/>
      <c r="BG79" s="52"/>
      <c r="BH79" s="52"/>
      <c r="BI79" s="52"/>
      <c r="BJ79" s="52"/>
      <c r="BK79" s="52"/>
      <c r="BL79" s="64"/>
      <c r="BM79" s="51"/>
      <c r="BN79" s="52"/>
      <c r="BO79" s="52"/>
      <c r="BP79" s="64"/>
      <c r="BT79" s="59"/>
      <c r="BU79" s="626"/>
      <c r="BV79" s="60"/>
      <c r="BW79" s="59"/>
      <c r="BX79" s="341" t="str">
        <f t="shared" ref="BX79:BX87" si="96">IF(ABS(BW79)&gt;1,"Please provide an explanation of the variance in the Manager's Summary","")</f>
        <v/>
      </c>
      <c r="CC79" s="263"/>
    </row>
    <row r="80" spans="1:81" s="52" customFormat="1" ht="15" hidden="1" x14ac:dyDescent="0.25">
      <c r="A80" s="3"/>
      <c r="B80" s="3"/>
      <c r="C80" s="207" t="s">
        <v>14</v>
      </c>
      <c r="D80" s="10"/>
      <c r="E80" s="52">
        <f t="shared" ref="E80:AK80" si="97">SUM(E48:E78)</f>
        <v>0</v>
      </c>
      <c r="F80" s="52">
        <f t="shared" si="97"/>
        <v>0</v>
      </c>
      <c r="G80" s="52">
        <f t="shared" si="97"/>
        <v>0</v>
      </c>
      <c r="H80" s="52">
        <f t="shared" si="97"/>
        <v>0</v>
      </c>
      <c r="I80" s="52">
        <f t="shared" si="97"/>
        <v>0</v>
      </c>
      <c r="J80" s="52">
        <f t="shared" si="97"/>
        <v>0</v>
      </c>
      <c r="K80" s="52">
        <f t="shared" si="97"/>
        <v>0</v>
      </c>
      <c r="L80" s="52">
        <f t="shared" si="97"/>
        <v>0</v>
      </c>
      <c r="M80" s="52">
        <f t="shared" si="97"/>
        <v>0</v>
      </c>
      <c r="N80" s="64">
        <f t="shared" si="97"/>
        <v>0</v>
      </c>
      <c r="O80" s="51">
        <f t="shared" si="97"/>
        <v>-61372</v>
      </c>
      <c r="P80" s="52">
        <f t="shared" si="97"/>
        <v>27419.178792854407</v>
      </c>
      <c r="Q80" s="52">
        <f t="shared" si="97"/>
        <v>0</v>
      </c>
      <c r="R80" s="52">
        <f t="shared" si="97"/>
        <v>0</v>
      </c>
      <c r="S80" s="52">
        <f t="shared" si="97"/>
        <v>-33952.821207145593</v>
      </c>
      <c r="T80" s="52">
        <f t="shared" si="97"/>
        <v>-2138</v>
      </c>
      <c r="U80" s="52">
        <f t="shared" si="97"/>
        <v>538</v>
      </c>
      <c r="V80" s="52">
        <f t="shared" si="97"/>
        <v>0</v>
      </c>
      <c r="W80" s="52">
        <f t="shared" si="97"/>
        <v>0</v>
      </c>
      <c r="X80" s="64">
        <f t="shared" si="97"/>
        <v>-1600</v>
      </c>
      <c r="Y80" s="51">
        <f t="shared" si="97"/>
        <v>-33952.821207145593</v>
      </c>
      <c r="Z80" s="52">
        <f t="shared" si="97"/>
        <v>-7375</v>
      </c>
      <c r="AA80" s="52">
        <f t="shared" si="97"/>
        <v>-61372</v>
      </c>
      <c r="AB80" s="52">
        <f t="shared" si="97"/>
        <v>0</v>
      </c>
      <c r="AC80" s="52">
        <f t="shared" si="97"/>
        <v>20044.178792854407</v>
      </c>
      <c r="AD80" s="52">
        <f t="shared" si="97"/>
        <v>-1600</v>
      </c>
      <c r="AE80" s="52">
        <f t="shared" si="97"/>
        <v>1578</v>
      </c>
      <c r="AF80" s="52">
        <f t="shared" si="97"/>
        <v>-3181</v>
      </c>
      <c r="AG80" s="52">
        <f t="shared" si="97"/>
        <v>0</v>
      </c>
      <c r="AH80" s="64">
        <f t="shared" si="97"/>
        <v>3159</v>
      </c>
      <c r="AI80" s="51">
        <f t="shared" si="97"/>
        <v>20044.178792854407</v>
      </c>
      <c r="AJ80" s="52">
        <f t="shared" si="97"/>
        <v>3487</v>
      </c>
      <c r="AK80" s="52">
        <f t="shared" si="97"/>
        <v>0</v>
      </c>
      <c r="AL80" s="52">
        <f t="shared" ref="AL80:BT80" si="98">SUM(AL48:AL78)</f>
        <v>0</v>
      </c>
      <c r="AM80" s="52">
        <f t="shared" si="98"/>
        <v>23531.178792854407</v>
      </c>
      <c r="AN80" s="52">
        <f t="shared" si="98"/>
        <v>3159</v>
      </c>
      <c r="AO80" s="52">
        <f t="shared" si="98"/>
        <v>-413</v>
      </c>
      <c r="AP80" s="52">
        <f t="shared" si="98"/>
        <v>0</v>
      </c>
      <c r="AQ80" s="52">
        <f t="shared" si="98"/>
        <v>0</v>
      </c>
      <c r="AR80" s="64">
        <f t="shared" si="98"/>
        <v>2746</v>
      </c>
      <c r="AS80" s="51">
        <f t="shared" si="98"/>
        <v>23531.178792854407</v>
      </c>
      <c r="AT80" s="52">
        <f t="shared" si="98"/>
        <v>129377</v>
      </c>
      <c r="AU80" s="52">
        <f t="shared" si="98"/>
        <v>0</v>
      </c>
      <c r="AV80" s="52">
        <f t="shared" si="98"/>
        <v>0</v>
      </c>
      <c r="AW80" s="52">
        <f t="shared" si="98"/>
        <v>152908.17879285442</v>
      </c>
      <c r="AX80" s="52">
        <f t="shared" si="98"/>
        <v>2746</v>
      </c>
      <c r="AY80" s="52">
        <f t="shared" si="98"/>
        <v>-3765</v>
      </c>
      <c r="AZ80" s="52">
        <f t="shared" si="98"/>
        <v>0</v>
      </c>
      <c r="BA80" s="52">
        <f t="shared" si="98"/>
        <v>0</v>
      </c>
      <c r="BB80" s="64">
        <f t="shared" si="98"/>
        <v>-1019</v>
      </c>
      <c r="BC80" s="51">
        <f t="shared" si="98"/>
        <v>152908.55879285443</v>
      </c>
      <c r="BD80" s="52">
        <f t="shared" si="98"/>
        <v>6523530.3099999996</v>
      </c>
      <c r="BE80" s="52">
        <f t="shared" si="98"/>
        <v>0</v>
      </c>
      <c r="BF80" s="52">
        <f t="shared" si="98"/>
        <v>20147378.452717498</v>
      </c>
      <c r="BG80" s="52">
        <f t="shared" si="98"/>
        <v>26823817.321510352</v>
      </c>
      <c r="BH80" s="52">
        <f t="shared" si="98"/>
        <v>-1019</v>
      </c>
      <c r="BI80" s="52">
        <f t="shared" si="98"/>
        <v>2701</v>
      </c>
      <c r="BJ80" s="52">
        <f t="shared" si="98"/>
        <v>0</v>
      </c>
      <c r="BK80" s="52">
        <f t="shared" si="98"/>
        <v>0</v>
      </c>
      <c r="BL80" s="64">
        <f t="shared" si="98"/>
        <v>1682</v>
      </c>
      <c r="BM80" s="51">
        <f t="shared" si="98"/>
        <v>0</v>
      </c>
      <c r="BN80" s="52">
        <f t="shared" si="98"/>
        <v>0</v>
      </c>
      <c r="BO80" s="52">
        <f t="shared" si="98"/>
        <v>26823817.321510352</v>
      </c>
      <c r="BP80" s="64">
        <f t="shared" si="98"/>
        <v>1682</v>
      </c>
      <c r="BQ80" s="52">
        <f t="shared" si="98"/>
        <v>2373.5647278831602</v>
      </c>
      <c r="BR80" s="52">
        <f t="shared" si="98"/>
        <v>1598.9026104278209</v>
      </c>
      <c r="BS80" s="52">
        <f t="shared" si="98"/>
        <v>5654.4673383109812</v>
      </c>
      <c r="BT80" s="59">
        <f t="shared" si="98"/>
        <v>-548556.80115133675</v>
      </c>
      <c r="BU80" s="626"/>
      <c r="BV80" s="69"/>
      <c r="BW80" s="64">
        <f>BV80-SUM(BG80,BL80)</f>
        <v>-26825499.321510352</v>
      </c>
      <c r="BX80" s="341"/>
      <c r="CC80" s="201"/>
    </row>
    <row r="81" spans="1:81" s="58" customFormat="1" ht="15" thickBot="1" x14ac:dyDescent="0.25">
      <c r="A81"/>
      <c r="B81"/>
      <c r="C81" s="193"/>
      <c r="D81" s="10"/>
      <c r="E81" s="77"/>
      <c r="F81" s="52"/>
      <c r="G81" s="52"/>
      <c r="H81" s="52"/>
      <c r="I81" s="52"/>
      <c r="J81" s="52"/>
      <c r="K81" s="52"/>
      <c r="L81" s="52"/>
      <c r="M81" s="52"/>
      <c r="N81" s="64"/>
      <c r="O81" s="51"/>
      <c r="P81" s="52"/>
      <c r="Q81" s="52"/>
      <c r="R81" s="52"/>
      <c r="S81" s="52"/>
      <c r="T81" s="52"/>
      <c r="U81" s="52"/>
      <c r="V81" s="52"/>
      <c r="W81" s="52"/>
      <c r="X81" s="64"/>
      <c r="Y81" s="51"/>
      <c r="Z81" s="52"/>
      <c r="AA81" s="52"/>
      <c r="AB81" s="52"/>
      <c r="AC81" s="52"/>
      <c r="AD81" s="52"/>
      <c r="AE81" s="52"/>
      <c r="AF81" s="52"/>
      <c r="AG81" s="52"/>
      <c r="AH81" s="64"/>
      <c r="AI81" s="51"/>
      <c r="AJ81" s="52"/>
      <c r="AK81" s="52"/>
      <c r="AL81" s="52"/>
      <c r="AM81" s="52"/>
      <c r="AN81" s="52"/>
      <c r="AO81" s="52"/>
      <c r="AP81" s="52"/>
      <c r="AQ81" s="52"/>
      <c r="AR81" s="64"/>
      <c r="AS81" s="51"/>
      <c r="AT81" s="52"/>
      <c r="AU81" s="52"/>
      <c r="AV81" s="52"/>
      <c r="AW81" s="52"/>
      <c r="AX81" s="52"/>
      <c r="AY81" s="52"/>
      <c r="AZ81" s="52"/>
      <c r="BA81" s="52"/>
      <c r="BB81" s="64"/>
      <c r="BC81" s="51"/>
      <c r="BD81" s="52"/>
      <c r="BE81" s="52"/>
      <c r="BF81" s="52"/>
      <c r="BG81" s="52"/>
      <c r="BH81" s="52"/>
      <c r="BI81" s="52"/>
      <c r="BJ81" s="52"/>
      <c r="BK81" s="52"/>
      <c r="BL81" s="64"/>
      <c r="BM81" s="51"/>
      <c r="BN81" s="52"/>
      <c r="BO81" s="52"/>
      <c r="BP81" s="64"/>
      <c r="BT81" s="59"/>
      <c r="BU81" s="626"/>
      <c r="BV81" s="60"/>
      <c r="BW81" s="59"/>
      <c r="BX81" s="341" t="str">
        <f t="shared" si="96"/>
        <v/>
      </c>
      <c r="CC81" s="263"/>
    </row>
    <row r="82" spans="1:81" s="58" customFormat="1" ht="29.25" thickBot="1" x14ac:dyDescent="0.25">
      <c r="A82">
        <v>47</v>
      </c>
      <c r="B82"/>
      <c r="C82" s="213" t="s">
        <v>31</v>
      </c>
      <c r="D82" s="214">
        <v>1592</v>
      </c>
      <c r="E82" s="158"/>
      <c r="F82" s="63"/>
      <c r="G82" s="63"/>
      <c r="H82" s="63"/>
      <c r="I82" s="52">
        <f>E82+F82-G82+H82</f>
        <v>0</v>
      </c>
      <c r="J82" s="164"/>
      <c r="K82" s="165"/>
      <c r="L82" s="63"/>
      <c r="M82" s="63"/>
      <c r="N82" s="64">
        <f>J82+K82-L82+M82</f>
        <v>0</v>
      </c>
      <c r="O82" s="65">
        <f>I82</f>
        <v>0</v>
      </c>
      <c r="P82" s="63"/>
      <c r="Q82" s="63"/>
      <c r="R82" s="63"/>
      <c r="S82" s="52">
        <f>O82+P82-Q82+R82</f>
        <v>0</v>
      </c>
      <c r="T82" s="66">
        <f>N82</f>
        <v>0</v>
      </c>
      <c r="U82" s="182"/>
      <c r="V82" s="63"/>
      <c r="W82" s="63"/>
      <c r="X82" s="64">
        <f>T82+U82-V82+W82</f>
        <v>0</v>
      </c>
      <c r="Y82" s="65">
        <f>S82</f>
        <v>0</v>
      </c>
      <c r="Z82" s="63"/>
      <c r="AA82" s="63"/>
      <c r="AB82" s="63"/>
      <c r="AC82" s="52">
        <f>Y82+Z82-AA82+AB82</f>
        <v>0</v>
      </c>
      <c r="AD82" s="66">
        <f>X82</f>
        <v>0</v>
      </c>
      <c r="AE82" s="63"/>
      <c r="AF82" s="63"/>
      <c r="AG82" s="63"/>
      <c r="AH82" s="64">
        <f>AD82+AE82-AF82+AG82</f>
        <v>0</v>
      </c>
      <c r="AI82" s="65">
        <f>AC82</f>
        <v>0</v>
      </c>
      <c r="AJ82" s="63"/>
      <c r="AK82" s="63"/>
      <c r="AL82" s="63"/>
      <c r="AM82" s="52">
        <f>AI82+AJ82-AK82+SUM(AL82:AL82)</f>
        <v>0</v>
      </c>
      <c r="AN82" s="66">
        <f>AH82</f>
        <v>0</v>
      </c>
      <c r="AO82" s="63"/>
      <c r="AP82" s="63"/>
      <c r="AQ82" s="63"/>
      <c r="AR82" s="64">
        <f>AN82+AO82-AP82+AQ82</f>
        <v>0</v>
      </c>
      <c r="AS82" s="65">
        <f>AM82</f>
        <v>0</v>
      </c>
      <c r="AT82" s="63"/>
      <c r="AU82" s="63"/>
      <c r="AV82" s="63"/>
      <c r="AW82" s="52">
        <f>AS82+AT82-AU82+AV82</f>
        <v>0</v>
      </c>
      <c r="AX82" s="66">
        <f>AR82</f>
        <v>0</v>
      </c>
      <c r="AY82" s="63"/>
      <c r="AZ82" s="63"/>
      <c r="BA82" s="63"/>
      <c r="BB82" s="64">
        <f>AX82+AY82-AZ82+BA82</f>
        <v>0</v>
      </c>
      <c r="BC82" s="65">
        <f>AW82</f>
        <v>0</v>
      </c>
      <c r="BD82" s="63"/>
      <c r="BE82" s="63"/>
      <c r="BF82" s="63"/>
      <c r="BG82" s="52">
        <f>BC82+BD82-BE82+SUM(BF82:BF82)</f>
        <v>0</v>
      </c>
      <c r="BH82" s="66">
        <f>BB82</f>
        <v>0</v>
      </c>
      <c r="BI82" s="63"/>
      <c r="BJ82" s="63"/>
      <c r="BK82" s="63"/>
      <c r="BL82" s="64">
        <f>BH82+BI82-BJ82+BK82</f>
        <v>0</v>
      </c>
      <c r="BM82" s="62"/>
      <c r="BN82" s="63"/>
      <c r="BO82" s="66">
        <f>BG82-BM82</f>
        <v>0</v>
      </c>
      <c r="BP82" s="67">
        <f>BL82-BN82</f>
        <v>0</v>
      </c>
      <c r="BQ82" s="68"/>
      <c r="BR82" s="63"/>
      <c r="BS82" s="202">
        <f>BP82+BQ82+BR82</f>
        <v>0</v>
      </c>
      <c r="BT82" s="59">
        <f>SUM(BO82:BR82)</f>
        <v>0</v>
      </c>
      <c r="BU82" s="345"/>
      <c r="BV82" s="625"/>
      <c r="BW82" s="59">
        <f>BV82-SUM(BG82,BL82)</f>
        <v>0</v>
      </c>
      <c r="BX82" s="341" t="str">
        <f>IF(ABS(BW82)&gt;1,"Please provide an explanation of the variance in the tab 3 - Appendix A","")</f>
        <v/>
      </c>
      <c r="CC82" s="263"/>
    </row>
    <row r="83" spans="1:81" s="58" customFormat="1" ht="17.25" thickBot="1" x14ac:dyDescent="0.25">
      <c r="A83">
        <v>48</v>
      </c>
      <c r="B83"/>
      <c r="C83" s="213" t="s">
        <v>3472</v>
      </c>
      <c r="D83" s="214">
        <v>1592</v>
      </c>
      <c r="E83" s="500"/>
      <c r="F83" s="500"/>
      <c r="G83" s="500"/>
      <c r="H83" s="500"/>
      <c r="I83" s="52">
        <f>E83+F83-G83+H83</f>
        <v>0</v>
      </c>
      <c r="J83" s="500"/>
      <c r="K83" s="500"/>
      <c r="L83" s="500"/>
      <c r="M83" s="500"/>
      <c r="N83" s="64">
        <f>J83+K83-L83+M83</f>
        <v>0</v>
      </c>
      <c r="O83" s="65">
        <f>I83</f>
        <v>0</v>
      </c>
      <c r="P83" s="500"/>
      <c r="Q83" s="500"/>
      <c r="R83" s="500"/>
      <c r="S83" s="52">
        <f>O83+P83-Q83+R83</f>
        <v>0</v>
      </c>
      <c r="T83" s="66">
        <f>N83</f>
        <v>0</v>
      </c>
      <c r="U83" s="500"/>
      <c r="V83" s="500"/>
      <c r="W83" s="500"/>
      <c r="X83" s="64">
        <f>T83+U83-V83+W83</f>
        <v>0</v>
      </c>
      <c r="Y83" s="65">
        <f>S83</f>
        <v>0</v>
      </c>
      <c r="Z83" s="63"/>
      <c r="AA83" s="63"/>
      <c r="AB83" s="63"/>
      <c r="AC83" s="52">
        <f>Y83+Z83-AA83+AB83</f>
        <v>0</v>
      </c>
      <c r="AD83" s="66">
        <f>X83</f>
        <v>0</v>
      </c>
      <c r="AE83" s="63"/>
      <c r="AF83" s="63"/>
      <c r="AG83" s="63"/>
      <c r="AH83" s="64">
        <f>AD83+AE83-AF83+AG83</f>
        <v>0</v>
      </c>
      <c r="AI83" s="65">
        <f>AC83</f>
        <v>0</v>
      </c>
      <c r="AJ83" s="63"/>
      <c r="AK83" s="63"/>
      <c r="AL83" s="63"/>
      <c r="AM83" s="52">
        <f>AI83+AJ83-AK83+SUM(AL83:AL83)</f>
        <v>0</v>
      </c>
      <c r="AN83" s="66">
        <f>AH83</f>
        <v>0</v>
      </c>
      <c r="AO83" s="63"/>
      <c r="AP83" s="63"/>
      <c r="AQ83" s="63"/>
      <c r="AR83" s="64">
        <f>AN83+AO83-AP83+AQ83</f>
        <v>0</v>
      </c>
      <c r="AS83" s="65">
        <f>AM83</f>
        <v>0</v>
      </c>
      <c r="AT83" s="63"/>
      <c r="AU83" s="63"/>
      <c r="AV83" s="63"/>
      <c r="AW83" s="52">
        <f>AS83+AT83-AU83+AV83</f>
        <v>0</v>
      </c>
      <c r="AX83" s="66">
        <f>AR83</f>
        <v>0</v>
      </c>
      <c r="AY83" s="63"/>
      <c r="AZ83" s="63"/>
      <c r="BA83" s="63"/>
      <c r="BB83" s="64">
        <f>AX83+AY83-AZ83+BA83</f>
        <v>0</v>
      </c>
      <c r="BC83" s="65">
        <f>AW83</f>
        <v>0</v>
      </c>
      <c r="BD83" s="63"/>
      <c r="BE83" s="63"/>
      <c r="BF83" s="63"/>
      <c r="BG83" s="52">
        <f>BC83+BD83-BE83+SUM(BF83:BF83)</f>
        <v>0</v>
      </c>
      <c r="BH83" s="66">
        <f>BB83</f>
        <v>0</v>
      </c>
      <c r="BI83" s="63"/>
      <c r="BJ83" s="63"/>
      <c r="BK83" s="63"/>
      <c r="BL83" s="64">
        <f>BH83+BI83-BJ83+BK83</f>
        <v>0</v>
      </c>
      <c r="BM83" s="62"/>
      <c r="BN83" s="63"/>
      <c r="BO83" s="66">
        <f>BG83-BM83</f>
        <v>0</v>
      </c>
      <c r="BP83" s="67">
        <f>BL83-BN83</f>
        <v>0</v>
      </c>
      <c r="BQ83" s="68">
        <f t="shared" ref="BQ83" si="99">(BO83*3/12*0.57%)+(BO83*3/12*1.02%)+(BO83*3/12*2.2%)+(BO83*3/12*3.87%)</f>
        <v>0</v>
      </c>
      <c r="BR83" s="63">
        <f t="shared" ref="BR83" si="100">BO83*(3.87%)*4/12</f>
        <v>0</v>
      </c>
      <c r="BS83" s="202">
        <f>BP83+BQ83+BR83</f>
        <v>0</v>
      </c>
      <c r="BT83" s="59">
        <f>SUM(BO83:BR83)</f>
        <v>0</v>
      </c>
      <c r="BU83" s="345"/>
      <c r="BV83" s="625">
        <v>-410974.27</v>
      </c>
      <c r="BW83" s="59">
        <f>BV83-SUM(BG83,BL83)</f>
        <v>-410974.27</v>
      </c>
      <c r="BX83" s="341"/>
      <c r="CC83" s="263"/>
    </row>
    <row r="84" spans="1:81" s="58" customFormat="1" ht="15" thickBot="1" x14ac:dyDescent="0.25">
      <c r="A84"/>
      <c r="B84"/>
      <c r="C84" s="193"/>
      <c r="D84" s="10"/>
      <c r="E84" s="77"/>
      <c r="F84" s="52"/>
      <c r="G84" s="52"/>
      <c r="H84" s="52"/>
      <c r="I84" s="52"/>
      <c r="J84" s="52"/>
      <c r="K84" s="52"/>
      <c r="L84" s="52"/>
      <c r="M84" s="52"/>
      <c r="N84" s="52"/>
      <c r="O84" s="51"/>
      <c r="P84" s="52"/>
      <c r="Q84" s="52"/>
      <c r="R84" s="52"/>
      <c r="S84" s="52"/>
      <c r="T84" s="52"/>
      <c r="U84" s="52"/>
      <c r="V84" s="52"/>
      <c r="W84" s="52"/>
      <c r="X84" s="52"/>
      <c r="Y84" s="51"/>
      <c r="Z84" s="52"/>
      <c r="AA84" s="52"/>
      <c r="AB84" s="52"/>
      <c r="AC84" s="52"/>
      <c r="AD84" s="52"/>
      <c r="AE84" s="52"/>
      <c r="AF84" s="52"/>
      <c r="AG84" s="52"/>
      <c r="AH84" s="52"/>
      <c r="AI84" s="51"/>
      <c r="AJ84" s="52"/>
      <c r="AK84" s="52"/>
      <c r="AL84" s="52"/>
      <c r="AM84" s="52"/>
      <c r="AN84" s="52"/>
      <c r="AO84" s="52"/>
      <c r="AP84" s="52"/>
      <c r="AQ84" s="52"/>
      <c r="AR84" s="52"/>
      <c r="AS84" s="51"/>
      <c r="AT84" s="52"/>
      <c r="AU84" s="52"/>
      <c r="AV84" s="52"/>
      <c r="AW84" s="52"/>
      <c r="AX84" s="52"/>
      <c r="AY84" s="52"/>
      <c r="AZ84" s="52"/>
      <c r="BA84" s="52"/>
      <c r="BB84" s="52"/>
      <c r="BC84" s="51"/>
      <c r="BD84" s="52"/>
      <c r="BE84" s="52"/>
      <c r="BF84" s="52"/>
      <c r="BG84" s="52"/>
      <c r="BH84" s="52"/>
      <c r="BI84" s="52"/>
      <c r="BJ84" s="52"/>
      <c r="BK84" s="52"/>
      <c r="BL84" s="52"/>
      <c r="BM84" s="51"/>
      <c r="BN84" s="52"/>
      <c r="BO84" s="52"/>
      <c r="BP84" s="52"/>
      <c r="BQ84" s="51"/>
      <c r="BR84" s="52"/>
      <c r="BS84" s="52"/>
      <c r="BT84" s="59"/>
      <c r="BU84" s="345"/>
      <c r="BV84" s="554"/>
      <c r="BW84" s="69"/>
      <c r="BX84" s="341"/>
      <c r="CC84" s="263"/>
    </row>
    <row r="85" spans="1:81" s="52" customFormat="1" ht="15.75" hidden="1" thickBot="1" x14ac:dyDescent="0.3">
      <c r="A85" s="3"/>
      <c r="B85" s="3"/>
      <c r="C85" s="207" t="s">
        <v>178</v>
      </c>
      <c r="D85" s="10"/>
      <c r="E85" s="77">
        <f t="shared" ref="E85:AJ85" si="101">SUM(E82:E83,E80, E43)</f>
        <v>0</v>
      </c>
      <c r="F85" s="52">
        <f t="shared" si="101"/>
        <v>0</v>
      </c>
      <c r="G85" s="52">
        <f t="shared" si="101"/>
        <v>0</v>
      </c>
      <c r="H85" s="52">
        <f t="shared" si="101"/>
        <v>0</v>
      </c>
      <c r="I85" s="52">
        <f t="shared" si="101"/>
        <v>0</v>
      </c>
      <c r="J85" s="52">
        <f t="shared" si="101"/>
        <v>0</v>
      </c>
      <c r="K85" s="52">
        <f t="shared" si="101"/>
        <v>0</v>
      </c>
      <c r="L85" s="52">
        <f t="shared" si="101"/>
        <v>0</v>
      </c>
      <c r="M85" s="52">
        <f t="shared" si="101"/>
        <v>0</v>
      </c>
      <c r="N85" s="52">
        <f t="shared" si="101"/>
        <v>0</v>
      </c>
      <c r="O85" s="65">
        <f t="shared" si="101"/>
        <v>-61372</v>
      </c>
      <c r="P85" s="52">
        <f t="shared" si="101"/>
        <v>27419.178792854407</v>
      </c>
      <c r="Q85" s="52">
        <f t="shared" si="101"/>
        <v>0</v>
      </c>
      <c r="R85" s="52">
        <f t="shared" si="101"/>
        <v>0</v>
      </c>
      <c r="S85" s="52">
        <f t="shared" si="101"/>
        <v>-33952.821207145593</v>
      </c>
      <c r="T85" s="52">
        <f t="shared" si="101"/>
        <v>-2138</v>
      </c>
      <c r="U85" s="52">
        <f t="shared" si="101"/>
        <v>538</v>
      </c>
      <c r="V85" s="52">
        <f t="shared" si="101"/>
        <v>0</v>
      </c>
      <c r="W85" s="52">
        <f t="shared" si="101"/>
        <v>0</v>
      </c>
      <c r="X85" s="52">
        <f t="shared" si="101"/>
        <v>-1600</v>
      </c>
      <c r="Y85" s="65">
        <f t="shared" si="101"/>
        <v>-33952.821207145593</v>
      </c>
      <c r="Z85" s="52">
        <f t="shared" si="101"/>
        <v>-7375</v>
      </c>
      <c r="AA85" s="52">
        <f t="shared" si="101"/>
        <v>-61372</v>
      </c>
      <c r="AB85" s="52">
        <f t="shared" si="101"/>
        <v>0</v>
      </c>
      <c r="AC85" s="52">
        <f t="shared" si="101"/>
        <v>20044.178792854407</v>
      </c>
      <c r="AD85" s="52">
        <f t="shared" si="101"/>
        <v>-1600</v>
      </c>
      <c r="AE85" s="52">
        <f t="shared" si="101"/>
        <v>1578</v>
      </c>
      <c r="AF85" s="52">
        <f t="shared" si="101"/>
        <v>-3181</v>
      </c>
      <c r="AG85" s="52">
        <f t="shared" si="101"/>
        <v>0</v>
      </c>
      <c r="AH85" s="52">
        <f t="shared" si="101"/>
        <v>3159</v>
      </c>
      <c r="AI85" s="65">
        <f t="shared" si="101"/>
        <v>20044.178792854407</v>
      </c>
      <c r="AJ85" s="52">
        <f t="shared" si="101"/>
        <v>3487</v>
      </c>
      <c r="AK85" s="52">
        <f t="shared" ref="AK85:BT85" si="102">SUM(AK82:AK83,AK80, AK43)</f>
        <v>0</v>
      </c>
      <c r="AL85" s="52">
        <f t="shared" si="102"/>
        <v>0</v>
      </c>
      <c r="AM85" s="52">
        <f t="shared" si="102"/>
        <v>23531.178792854407</v>
      </c>
      <c r="AN85" s="52">
        <f t="shared" si="102"/>
        <v>3159</v>
      </c>
      <c r="AO85" s="52">
        <f t="shared" si="102"/>
        <v>-413</v>
      </c>
      <c r="AP85" s="52">
        <f t="shared" si="102"/>
        <v>0</v>
      </c>
      <c r="AQ85" s="52">
        <f t="shared" si="102"/>
        <v>0</v>
      </c>
      <c r="AR85" s="52">
        <f t="shared" si="102"/>
        <v>2746</v>
      </c>
      <c r="AS85" s="65">
        <f t="shared" si="102"/>
        <v>23531.178792854407</v>
      </c>
      <c r="AT85" s="52">
        <f t="shared" si="102"/>
        <v>129377</v>
      </c>
      <c r="AU85" s="52">
        <f t="shared" si="102"/>
        <v>0</v>
      </c>
      <c r="AV85" s="52">
        <f t="shared" si="102"/>
        <v>0</v>
      </c>
      <c r="AW85" s="52">
        <f t="shared" si="102"/>
        <v>152908.17879285442</v>
      </c>
      <c r="AX85" s="52">
        <f t="shared" si="102"/>
        <v>2746</v>
      </c>
      <c r="AY85" s="52">
        <f t="shared" si="102"/>
        <v>-3765</v>
      </c>
      <c r="AZ85" s="52">
        <f t="shared" si="102"/>
        <v>0</v>
      </c>
      <c r="BA85" s="52">
        <f t="shared" si="102"/>
        <v>0</v>
      </c>
      <c r="BB85" s="52">
        <f t="shared" si="102"/>
        <v>-1019</v>
      </c>
      <c r="BC85" s="65">
        <f t="shared" si="102"/>
        <v>152908.55879285443</v>
      </c>
      <c r="BD85" s="52">
        <f t="shared" si="102"/>
        <v>6523530.3099999996</v>
      </c>
      <c r="BE85" s="52">
        <f t="shared" si="102"/>
        <v>0</v>
      </c>
      <c r="BF85" s="52">
        <f t="shared" si="102"/>
        <v>20147378.452717498</v>
      </c>
      <c r="BG85" s="52">
        <f t="shared" si="102"/>
        <v>26823817.321510352</v>
      </c>
      <c r="BH85" s="52">
        <f t="shared" si="102"/>
        <v>-1019</v>
      </c>
      <c r="BI85" s="52">
        <f t="shared" si="102"/>
        <v>2701</v>
      </c>
      <c r="BJ85" s="52">
        <f t="shared" si="102"/>
        <v>0</v>
      </c>
      <c r="BK85" s="52">
        <f t="shared" si="102"/>
        <v>0</v>
      </c>
      <c r="BL85" s="52">
        <f t="shared" si="102"/>
        <v>1682</v>
      </c>
      <c r="BM85" s="65">
        <f t="shared" si="102"/>
        <v>0</v>
      </c>
      <c r="BN85" s="52">
        <f t="shared" si="102"/>
        <v>0</v>
      </c>
      <c r="BO85" s="52">
        <f t="shared" si="102"/>
        <v>26823817.321510352</v>
      </c>
      <c r="BP85" s="52">
        <f t="shared" si="102"/>
        <v>1682</v>
      </c>
      <c r="BQ85" s="65">
        <f t="shared" si="102"/>
        <v>2373.5647278831602</v>
      </c>
      <c r="BR85" s="52">
        <f t="shared" si="102"/>
        <v>1598.9026104278209</v>
      </c>
      <c r="BS85" s="52">
        <f t="shared" si="102"/>
        <v>5654.4673383109812</v>
      </c>
      <c r="BT85" s="52">
        <f t="shared" si="102"/>
        <v>-548556.80115133675</v>
      </c>
      <c r="BU85" s="45"/>
      <c r="BV85" s="69"/>
      <c r="BW85" s="64">
        <f>BV85-SUM(BG85,BL85)</f>
        <v>-26825499.321510352</v>
      </c>
      <c r="BX85" s="341" t="str">
        <f t="shared" si="96"/>
        <v>Please provide an explanation of the variance in the Manager's Summary</v>
      </c>
      <c r="CC85" s="201"/>
    </row>
    <row r="86" spans="1:81" s="609" customFormat="1" ht="15" x14ac:dyDescent="0.25">
      <c r="A86" s="1"/>
      <c r="B86" s="1"/>
      <c r="C86" s="207" t="s">
        <v>3454</v>
      </c>
      <c r="D86" s="208"/>
      <c r="E86" s="605">
        <f>SUM(E48:E78)+E82+E83</f>
        <v>0</v>
      </c>
      <c r="F86" s="606">
        <f t="shared" ref="F86:BQ86" si="103">SUM(F48:F78)+F82+F83</f>
        <v>0</v>
      </c>
      <c r="G86" s="606">
        <f t="shared" si="103"/>
        <v>0</v>
      </c>
      <c r="H86" s="606">
        <f t="shared" si="103"/>
        <v>0</v>
      </c>
      <c r="I86" s="606">
        <f t="shared" si="103"/>
        <v>0</v>
      </c>
      <c r="J86" s="606">
        <f t="shared" si="103"/>
        <v>0</v>
      </c>
      <c r="K86" s="606">
        <f t="shared" si="103"/>
        <v>0</v>
      </c>
      <c r="L86" s="606">
        <f t="shared" si="103"/>
        <v>0</v>
      </c>
      <c r="M86" s="606">
        <f t="shared" si="103"/>
        <v>0</v>
      </c>
      <c r="N86" s="607">
        <f>SUM(N48:N78)+N82+N83</f>
        <v>0</v>
      </c>
      <c r="O86" s="608">
        <f>SUM(O48:O78)+O82+O83</f>
        <v>-61372</v>
      </c>
      <c r="P86" s="606">
        <f t="shared" si="103"/>
        <v>27419.178792854407</v>
      </c>
      <c r="Q86" s="606">
        <f t="shared" si="103"/>
        <v>0</v>
      </c>
      <c r="R86" s="606">
        <f t="shared" si="103"/>
        <v>0</v>
      </c>
      <c r="S86" s="606">
        <f t="shared" si="103"/>
        <v>-33952.821207145593</v>
      </c>
      <c r="T86" s="606">
        <f t="shared" si="103"/>
        <v>-2138</v>
      </c>
      <c r="U86" s="606">
        <f t="shared" si="103"/>
        <v>538</v>
      </c>
      <c r="V86" s="606">
        <f t="shared" si="103"/>
        <v>0</v>
      </c>
      <c r="W86" s="606">
        <f t="shared" si="103"/>
        <v>0</v>
      </c>
      <c r="X86" s="607">
        <f t="shared" si="103"/>
        <v>-1600</v>
      </c>
      <c r="Y86" s="608">
        <f t="shared" si="103"/>
        <v>-33952.821207145593</v>
      </c>
      <c r="Z86" s="606">
        <f t="shared" si="103"/>
        <v>-7375</v>
      </c>
      <c r="AA86" s="606">
        <f t="shared" si="103"/>
        <v>-61372</v>
      </c>
      <c r="AB86" s="606">
        <f t="shared" si="103"/>
        <v>0</v>
      </c>
      <c r="AC86" s="606">
        <f t="shared" si="103"/>
        <v>20044.178792854407</v>
      </c>
      <c r="AD86" s="606">
        <f t="shared" si="103"/>
        <v>-1600</v>
      </c>
      <c r="AE86" s="606">
        <f t="shared" si="103"/>
        <v>1578</v>
      </c>
      <c r="AF86" s="606">
        <f t="shared" si="103"/>
        <v>-3181</v>
      </c>
      <c r="AG86" s="606">
        <f t="shared" si="103"/>
        <v>0</v>
      </c>
      <c r="AH86" s="607">
        <f t="shared" si="103"/>
        <v>3159</v>
      </c>
      <c r="AI86" s="608">
        <f t="shared" si="103"/>
        <v>20044.178792854407</v>
      </c>
      <c r="AJ86" s="606">
        <f t="shared" si="103"/>
        <v>3487</v>
      </c>
      <c r="AK86" s="606">
        <f t="shared" si="103"/>
        <v>0</v>
      </c>
      <c r="AL86" s="606">
        <f t="shared" si="103"/>
        <v>0</v>
      </c>
      <c r="AM86" s="606">
        <f t="shared" si="103"/>
        <v>23531.178792854407</v>
      </c>
      <c r="AN86" s="606">
        <f t="shared" si="103"/>
        <v>3159</v>
      </c>
      <c r="AO86" s="606">
        <f t="shared" si="103"/>
        <v>-413</v>
      </c>
      <c r="AP86" s="606">
        <f t="shared" si="103"/>
        <v>0</v>
      </c>
      <c r="AQ86" s="606">
        <f t="shared" si="103"/>
        <v>0</v>
      </c>
      <c r="AR86" s="607">
        <f t="shared" si="103"/>
        <v>2746</v>
      </c>
      <c r="AS86" s="608">
        <f t="shared" si="103"/>
        <v>23531.178792854407</v>
      </c>
      <c r="AT86" s="606">
        <f t="shared" si="103"/>
        <v>129377</v>
      </c>
      <c r="AU86" s="606">
        <f t="shared" si="103"/>
        <v>0</v>
      </c>
      <c r="AV86" s="606">
        <f t="shared" si="103"/>
        <v>0</v>
      </c>
      <c r="AW86" s="606">
        <f t="shared" si="103"/>
        <v>152908.17879285442</v>
      </c>
      <c r="AX86" s="606">
        <f t="shared" si="103"/>
        <v>2746</v>
      </c>
      <c r="AY86" s="606">
        <f t="shared" si="103"/>
        <v>-3765</v>
      </c>
      <c r="AZ86" s="606">
        <f t="shared" si="103"/>
        <v>0</v>
      </c>
      <c r="BA86" s="606">
        <f t="shared" si="103"/>
        <v>0</v>
      </c>
      <c r="BB86" s="607">
        <f t="shared" si="103"/>
        <v>-1019</v>
      </c>
      <c r="BC86" s="608">
        <f t="shared" si="103"/>
        <v>152908.55879285443</v>
      </c>
      <c r="BD86" s="606">
        <f t="shared" si="103"/>
        <v>6523530.3099999996</v>
      </c>
      <c r="BE86" s="606">
        <f t="shared" si="103"/>
        <v>0</v>
      </c>
      <c r="BF86" s="606">
        <f t="shared" si="103"/>
        <v>20147378.452717498</v>
      </c>
      <c r="BG86" s="606">
        <f t="shared" si="103"/>
        <v>26823817.321510352</v>
      </c>
      <c r="BH86" s="606">
        <f t="shared" si="103"/>
        <v>-1019</v>
      </c>
      <c r="BI86" s="606">
        <f t="shared" si="103"/>
        <v>2701</v>
      </c>
      <c r="BJ86" s="606">
        <f t="shared" si="103"/>
        <v>0</v>
      </c>
      <c r="BK86" s="606">
        <f t="shared" si="103"/>
        <v>0</v>
      </c>
      <c r="BL86" s="607">
        <f t="shared" si="103"/>
        <v>1682</v>
      </c>
      <c r="BM86" s="608">
        <f t="shared" si="103"/>
        <v>0</v>
      </c>
      <c r="BN86" s="606">
        <f t="shared" si="103"/>
        <v>0</v>
      </c>
      <c r="BO86" s="606">
        <f t="shared" si="103"/>
        <v>26823817.321510352</v>
      </c>
      <c r="BP86" s="607">
        <f t="shared" si="103"/>
        <v>1682</v>
      </c>
      <c r="BQ86" s="609">
        <f t="shared" si="103"/>
        <v>2373.5647278831602</v>
      </c>
      <c r="BR86" s="609">
        <f>SUM(BR48:BR78)+BR82+BR83</f>
        <v>1598.9026104278209</v>
      </c>
      <c r="BS86" s="609">
        <f>SUM(BS48:BS78)+BS82+BS83</f>
        <v>5654.4673383109812</v>
      </c>
      <c r="BT86" s="612">
        <f>SUM(BT48:BT78)+BT82+BT83</f>
        <v>-548556.80115133675</v>
      </c>
      <c r="BU86" s="610"/>
      <c r="BV86" s="611"/>
      <c r="BW86" s="612"/>
      <c r="BX86" s="613" t="str">
        <f t="shared" si="96"/>
        <v/>
      </c>
      <c r="CC86" s="614"/>
    </row>
    <row r="87" spans="1:81" s="58" customFormat="1" ht="15" thickBot="1" x14ac:dyDescent="0.25">
      <c r="A87"/>
      <c r="B87"/>
      <c r="C87" s="193"/>
      <c r="D87" s="10"/>
      <c r="E87" s="77"/>
      <c r="F87" s="52"/>
      <c r="G87" s="52"/>
      <c r="H87" s="52"/>
      <c r="I87" s="52"/>
      <c r="J87" s="52"/>
      <c r="K87" s="52"/>
      <c r="L87" s="52"/>
      <c r="M87" s="52"/>
      <c r="N87" s="64"/>
      <c r="O87" s="51"/>
      <c r="P87" s="52"/>
      <c r="Q87" s="52"/>
      <c r="R87" s="52"/>
      <c r="S87" s="52"/>
      <c r="T87" s="52"/>
      <c r="U87" s="52"/>
      <c r="V87" s="52"/>
      <c r="W87" s="52"/>
      <c r="X87" s="64"/>
      <c r="Y87" s="51"/>
      <c r="Z87" s="52"/>
      <c r="AA87" s="52"/>
      <c r="AB87" s="52"/>
      <c r="AC87" s="52"/>
      <c r="AD87" s="52"/>
      <c r="AE87" s="52"/>
      <c r="AF87" s="52"/>
      <c r="AG87" s="52"/>
      <c r="AH87" s="64"/>
      <c r="AI87" s="51"/>
      <c r="AJ87" s="52"/>
      <c r="AK87" s="52"/>
      <c r="AL87" s="52"/>
      <c r="AM87" s="52"/>
      <c r="AN87" s="52"/>
      <c r="AO87" s="52"/>
      <c r="AP87" s="52"/>
      <c r="AQ87" s="52"/>
      <c r="AR87" s="64"/>
      <c r="AS87" s="51"/>
      <c r="AT87" s="52"/>
      <c r="AU87" s="52"/>
      <c r="AV87" s="52"/>
      <c r="AW87" s="52"/>
      <c r="AX87" s="52"/>
      <c r="AY87" s="52"/>
      <c r="AZ87" s="52"/>
      <c r="BA87" s="52"/>
      <c r="BB87" s="64"/>
      <c r="BC87" s="51"/>
      <c r="BD87" s="52"/>
      <c r="BE87" s="52"/>
      <c r="BF87" s="52"/>
      <c r="BG87" s="52"/>
      <c r="BH87" s="52"/>
      <c r="BI87" s="52"/>
      <c r="BJ87" s="52"/>
      <c r="BK87" s="52"/>
      <c r="BL87" s="64"/>
      <c r="BM87" s="51"/>
      <c r="BN87" s="52"/>
      <c r="BO87" s="52"/>
      <c r="BP87" s="64"/>
      <c r="BT87" s="59"/>
      <c r="BU87" s="345"/>
      <c r="BV87" s="60"/>
      <c r="BW87" s="59"/>
      <c r="BX87" s="341" t="str">
        <f t="shared" si="96"/>
        <v/>
      </c>
      <c r="CC87" s="263"/>
    </row>
    <row r="88" spans="1:81" s="58" customFormat="1" ht="18" thickBot="1" x14ac:dyDescent="0.25">
      <c r="A88">
        <v>49</v>
      </c>
      <c r="B88"/>
      <c r="C88" s="213" t="s">
        <v>2930</v>
      </c>
      <c r="D88" s="194">
        <v>1568</v>
      </c>
      <c r="E88" s="134"/>
      <c r="F88" s="136"/>
      <c r="G88" s="136"/>
      <c r="H88" s="136"/>
      <c r="I88" s="52">
        <f>E88+F88-G88+H88</f>
        <v>0</v>
      </c>
      <c r="J88" s="169"/>
      <c r="K88" s="136"/>
      <c r="L88" s="136"/>
      <c r="M88" s="136"/>
      <c r="N88" s="64">
        <f>J88+K88-L88+M88</f>
        <v>0</v>
      </c>
      <c r="O88" s="65">
        <v>-13391</v>
      </c>
      <c r="P88" s="73">
        <v>-96469.300000000017</v>
      </c>
      <c r="Q88" s="73"/>
      <c r="R88" s="73"/>
      <c r="S88" s="52">
        <f>O88+P88-Q88+R88</f>
        <v>-109860.30000000002</v>
      </c>
      <c r="T88" s="66">
        <v>2889</v>
      </c>
      <c r="U88" s="73">
        <v>1482</v>
      </c>
      <c r="V88" s="73"/>
      <c r="W88" s="73"/>
      <c r="X88" s="64">
        <f>T88+U88-V88+W88</f>
        <v>4371</v>
      </c>
      <c r="Y88" s="65">
        <f>S88</f>
        <v>-109860.30000000002</v>
      </c>
      <c r="Z88" s="73">
        <v>528978</v>
      </c>
      <c r="AA88" s="73"/>
      <c r="AB88" s="73"/>
      <c r="AC88" s="52">
        <f>Y88+Z88-AA88+AB88</f>
        <v>419117.69999999995</v>
      </c>
      <c r="AD88" s="52">
        <f>X88</f>
        <v>4371</v>
      </c>
      <c r="AE88" s="73">
        <v>3120</v>
      </c>
      <c r="AF88" s="73"/>
      <c r="AG88" s="63"/>
      <c r="AH88" s="64">
        <f>AD88+AE88-AF88+AG88</f>
        <v>7491</v>
      </c>
      <c r="AI88" s="65">
        <f>AC88</f>
        <v>419117.69999999995</v>
      </c>
      <c r="AJ88" s="63">
        <v>-130159</v>
      </c>
      <c r="AK88" s="73"/>
      <c r="AL88" s="73"/>
      <c r="AM88" s="52">
        <f>AI88+AJ88-AK88+SUM(AL88:AL88)</f>
        <v>288958.69999999995</v>
      </c>
      <c r="AN88" s="52">
        <f>AH88</f>
        <v>7491</v>
      </c>
      <c r="AO88" s="63">
        <v>11159</v>
      </c>
      <c r="AP88" s="73"/>
      <c r="AQ88" s="63"/>
      <c r="AR88" s="64">
        <f>AN88+AO88-AP88+AQ88</f>
        <v>18650</v>
      </c>
      <c r="AS88" s="65">
        <f>AM88</f>
        <v>288958.69999999995</v>
      </c>
      <c r="AT88" s="63">
        <v>-253897</v>
      </c>
      <c r="AU88" s="73"/>
      <c r="AV88" s="73"/>
      <c r="AW88" s="52">
        <f>AS88+AT88-AU88+AV88</f>
        <v>35061.699999999953</v>
      </c>
      <c r="AX88" s="52">
        <f>AR88</f>
        <v>18650</v>
      </c>
      <c r="AY88" s="63">
        <v>1439</v>
      </c>
      <c r="AZ88" s="73"/>
      <c r="BA88" s="63"/>
      <c r="BB88" s="64">
        <f>AX88+AY88-AZ88+BA88</f>
        <v>20089</v>
      </c>
      <c r="BC88" s="65">
        <f>AW88</f>
        <v>35061.699999999953</v>
      </c>
      <c r="BD88" s="63">
        <v>-41125.670000000042</v>
      </c>
      <c r="BE88" s="73"/>
      <c r="BF88" s="73">
        <f>194519-22841</f>
        <v>171678</v>
      </c>
      <c r="BG88" s="52">
        <f>BC88+BD88-BE88+SUM(BF88:BF88)</f>
        <v>165614.02999999991</v>
      </c>
      <c r="BH88" s="52">
        <f>BB88</f>
        <v>20089</v>
      </c>
      <c r="BI88" s="73">
        <v>237</v>
      </c>
      <c r="BJ88" s="73"/>
      <c r="BK88" s="73">
        <v>6941</v>
      </c>
      <c r="BL88" s="64">
        <f>BH88+BI88-BJ88+BK88</f>
        <v>27267</v>
      </c>
      <c r="BM88" s="73"/>
      <c r="BN88" s="73"/>
      <c r="BO88" s="66">
        <f>BG88-BM88</f>
        <v>165614.02999999991</v>
      </c>
      <c r="BP88" s="67">
        <f>BL88-BN88</f>
        <v>27267</v>
      </c>
      <c r="BQ88" s="68">
        <f t="shared" ref="BQ88" si="104">(BO88*3/12*0.57%)+(BO88*3/12*1.02%)+(BO88*3/12*2.2%)+(BO88*3/12*3.87%)</f>
        <v>3171.5086744999985</v>
      </c>
      <c r="BR88" s="63">
        <f t="shared" ref="BR88" si="105">BO88*(3.87%)*4/12</f>
        <v>2136.4209869999991</v>
      </c>
      <c r="BS88" s="202">
        <f>BP88+BQ88+BR88</f>
        <v>32574.929661499995</v>
      </c>
      <c r="BT88" s="59">
        <f>SUM(BO88:BR88)</f>
        <v>198188.95966149989</v>
      </c>
      <c r="BU88" s="345"/>
      <c r="BV88" s="625">
        <v>14263</v>
      </c>
      <c r="BW88" s="59">
        <f>BV88-SUM(BG88,BL88)</f>
        <v>-178618.02999999991</v>
      </c>
      <c r="BX88" s="341" t="str">
        <f>IF(ABS(BW88)&gt;1,"Please provide an explanation of the variance in the tab 3 - Appendix A","")</f>
        <v>Please provide an explanation of the variance in the tab 3 - Appendix A</v>
      </c>
      <c r="CC88" s="263"/>
    </row>
    <row r="89" spans="1:81" s="58" customFormat="1" ht="15" x14ac:dyDescent="0.25">
      <c r="A89"/>
      <c r="B89"/>
      <c r="C89" s="215"/>
      <c r="D89" s="216"/>
      <c r="E89" s="77"/>
      <c r="F89" s="52"/>
      <c r="G89" s="52"/>
      <c r="H89" s="52"/>
      <c r="I89" s="52"/>
      <c r="J89" s="52"/>
      <c r="K89" s="52"/>
      <c r="L89" s="52"/>
      <c r="M89" s="52"/>
      <c r="N89" s="52"/>
      <c r="O89" s="51"/>
      <c r="P89" s="52"/>
      <c r="Q89" s="52"/>
      <c r="R89" s="52"/>
      <c r="S89" s="52"/>
      <c r="T89" s="52"/>
      <c r="U89" s="52"/>
      <c r="V89" s="52"/>
      <c r="W89" s="52"/>
      <c r="X89" s="52"/>
      <c r="Y89" s="51"/>
      <c r="Z89" s="52"/>
      <c r="AA89" s="52"/>
      <c r="AB89" s="52"/>
      <c r="AC89" s="52"/>
      <c r="AD89" s="52"/>
      <c r="AE89" s="52"/>
      <c r="AF89" s="52"/>
      <c r="AG89" s="52"/>
      <c r="AH89" s="52"/>
      <c r="AI89" s="51"/>
      <c r="AJ89" s="52"/>
      <c r="AK89" s="52"/>
      <c r="AL89" s="52"/>
      <c r="AM89" s="52"/>
      <c r="AN89" s="52"/>
      <c r="AO89" s="52"/>
      <c r="AP89" s="52"/>
      <c r="AQ89" s="52"/>
      <c r="AR89" s="52"/>
      <c r="AS89" s="51"/>
      <c r="AT89" s="52"/>
      <c r="AU89" s="52"/>
      <c r="AV89" s="52"/>
      <c r="AW89" s="52"/>
      <c r="AX89" s="52"/>
      <c r="AY89" s="52"/>
      <c r="AZ89" s="52"/>
      <c r="BA89" s="52"/>
      <c r="BB89" s="52"/>
      <c r="BC89" s="51"/>
      <c r="BD89" s="52"/>
      <c r="BE89" s="52"/>
      <c r="BF89" s="52"/>
      <c r="BG89" s="52"/>
      <c r="BH89" s="52"/>
      <c r="BI89" s="52"/>
      <c r="BJ89" s="52"/>
      <c r="BK89" s="52"/>
      <c r="BL89" s="52"/>
      <c r="BM89" s="51"/>
      <c r="BN89" s="52"/>
      <c r="BO89" s="52"/>
      <c r="BP89" s="64"/>
      <c r="BT89" s="59"/>
      <c r="BU89" s="345"/>
      <c r="BV89" s="60"/>
      <c r="BW89" s="59"/>
      <c r="BX89" s="343"/>
      <c r="CC89" s="263"/>
    </row>
    <row r="90" spans="1:81" s="58" customFormat="1" ht="15" x14ac:dyDescent="0.25">
      <c r="A90"/>
      <c r="B90"/>
      <c r="C90" s="215"/>
      <c r="D90" s="216"/>
      <c r="E90" s="77"/>
      <c r="F90" s="52"/>
      <c r="G90" s="52"/>
      <c r="H90" s="52"/>
      <c r="I90" s="52"/>
      <c r="J90" s="52"/>
      <c r="K90" s="52"/>
      <c r="L90" s="52"/>
      <c r="M90" s="52"/>
      <c r="N90" s="52"/>
      <c r="O90" s="51"/>
      <c r="P90" s="52"/>
      <c r="Q90" s="52"/>
      <c r="R90" s="52"/>
      <c r="S90" s="52"/>
      <c r="T90" s="52"/>
      <c r="U90" s="52"/>
      <c r="V90" s="52"/>
      <c r="W90" s="52"/>
      <c r="X90" s="52"/>
      <c r="Y90" s="51"/>
      <c r="Z90" s="52"/>
      <c r="AA90" s="52"/>
      <c r="AB90" s="52"/>
      <c r="AC90" s="52"/>
      <c r="AD90" s="52"/>
      <c r="AE90" s="52"/>
      <c r="AF90" s="52"/>
      <c r="AG90" s="52"/>
      <c r="AH90" s="52"/>
      <c r="AI90" s="51"/>
      <c r="AJ90" s="52"/>
      <c r="AK90" s="52"/>
      <c r="AL90" s="52"/>
      <c r="AM90" s="52"/>
      <c r="AN90" s="52"/>
      <c r="AO90" s="52"/>
      <c r="AP90" s="52"/>
      <c r="AQ90" s="52"/>
      <c r="AR90" s="52"/>
      <c r="AS90" s="51"/>
      <c r="AT90" s="52"/>
      <c r="AU90" s="52"/>
      <c r="AV90" s="52"/>
      <c r="AW90" s="52"/>
      <c r="AX90" s="52"/>
      <c r="AY90" s="52"/>
      <c r="AZ90" s="52"/>
      <c r="BA90" s="52"/>
      <c r="BB90" s="52"/>
      <c r="BC90" s="51"/>
      <c r="BD90" s="52"/>
      <c r="BE90" s="52"/>
      <c r="BF90" s="52"/>
      <c r="BG90" s="52"/>
      <c r="BH90" s="52"/>
      <c r="BI90" s="52"/>
      <c r="BJ90" s="52"/>
      <c r="BK90" s="52"/>
      <c r="BL90" s="52"/>
      <c r="BM90" s="51"/>
      <c r="BN90" s="52"/>
      <c r="BO90" s="52"/>
      <c r="BP90" s="607"/>
      <c r="BT90" s="59"/>
      <c r="BU90" s="345"/>
      <c r="BV90" s="60"/>
      <c r="BW90" s="59"/>
      <c r="BX90" s="343"/>
      <c r="CC90" s="263"/>
    </row>
    <row r="91" spans="1:81" s="606" customFormat="1" ht="15" x14ac:dyDescent="0.25">
      <c r="A91" s="6"/>
      <c r="B91" s="6"/>
      <c r="C91" s="207" t="s">
        <v>74</v>
      </c>
      <c r="D91" s="208"/>
      <c r="E91" s="606">
        <f t="shared" ref="E91:AJ91" si="106">E86+E88</f>
        <v>0</v>
      </c>
      <c r="F91" s="606">
        <f t="shared" si="106"/>
        <v>0</v>
      </c>
      <c r="G91" s="606">
        <f t="shared" si="106"/>
        <v>0</v>
      </c>
      <c r="H91" s="606">
        <f t="shared" si="106"/>
        <v>0</v>
      </c>
      <c r="I91" s="606">
        <f t="shared" si="106"/>
        <v>0</v>
      </c>
      <c r="J91" s="606">
        <f t="shared" si="106"/>
        <v>0</v>
      </c>
      <c r="K91" s="606">
        <f t="shared" si="106"/>
        <v>0</v>
      </c>
      <c r="L91" s="606">
        <f t="shared" si="106"/>
        <v>0</v>
      </c>
      <c r="M91" s="606">
        <f t="shared" si="106"/>
        <v>0</v>
      </c>
      <c r="N91" s="607">
        <f t="shared" si="106"/>
        <v>0</v>
      </c>
      <c r="O91" s="606">
        <f t="shared" si="106"/>
        <v>-74763</v>
      </c>
      <c r="P91" s="606">
        <f t="shared" si="106"/>
        <v>-69050.12120714561</v>
      </c>
      <c r="Q91" s="606">
        <f t="shared" si="106"/>
        <v>0</v>
      </c>
      <c r="R91" s="606">
        <f t="shared" si="106"/>
        <v>0</v>
      </c>
      <c r="S91" s="606">
        <f t="shared" si="106"/>
        <v>-143813.12120714562</v>
      </c>
      <c r="T91" s="606">
        <f t="shared" si="106"/>
        <v>751</v>
      </c>
      <c r="U91" s="606">
        <f t="shared" si="106"/>
        <v>2020</v>
      </c>
      <c r="V91" s="606">
        <f t="shared" si="106"/>
        <v>0</v>
      </c>
      <c r="W91" s="606">
        <f t="shared" si="106"/>
        <v>0</v>
      </c>
      <c r="X91" s="607">
        <f t="shared" si="106"/>
        <v>2771</v>
      </c>
      <c r="Y91" s="606">
        <f t="shared" si="106"/>
        <v>-143813.12120714562</v>
      </c>
      <c r="Z91" s="606">
        <f t="shared" si="106"/>
        <v>521603</v>
      </c>
      <c r="AA91" s="606">
        <f t="shared" si="106"/>
        <v>-61372</v>
      </c>
      <c r="AB91" s="606">
        <f t="shared" si="106"/>
        <v>0</v>
      </c>
      <c r="AC91" s="606">
        <f t="shared" si="106"/>
        <v>439161.87879285438</v>
      </c>
      <c r="AD91" s="606">
        <f t="shared" si="106"/>
        <v>2771</v>
      </c>
      <c r="AE91" s="606">
        <f t="shared" si="106"/>
        <v>4698</v>
      </c>
      <c r="AF91" s="606">
        <f t="shared" si="106"/>
        <v>-3181</v>
      </c>
      <c r="AG91" s="606">
        <f t="shared" si="106"/>
        <v>0</v>
      </c>
      <c r="AH91" s="607">
        <f t="shared" si="106"/>
        <v>10650</v>
      </c>
      <c r="AI91" s="606">
        <f t="shared" si="106"/>
        <v>439161.87879285438</v>
      </c>
      <c r="AJ91" s="606">
        <f t="shared" si="106"/>
        <v>-126672</v>
      </c>
      <c r="AK91" s="606">
        <f t="shared" ref="AK91:BT91" si="107">AK86+AK88</f>
        <v>0</v>
      </c>
      <c r="AL91" s="606">
        <f t="shared" si="107"/>
        <v>0</v>
      </c>
      <c r="AM91" s="606">
        <f t="shared" si="107"/>
        <v>312489.87879285438</v>
      </c>
      <c r="AN91" s="606">
        <f t="shared" si="107"/>
        <v>10650</v>
      </c>
      <c r="AO91" s="606">
        <f t="shared" si="107"/>
        <v>10746</v>
      </c>
      <c r="AP91" s="606">
        <f t="shared" si="107"/>
        <v>0</v>
      </c>
      <c r="AQ91" s="606">
        <f t="shared" si="107"/>
        <v>0</v>
      </c>
      <c r="AR91" s="607">
        <f t="shared" si="107"/>
        <v>21396</v>
      </c>
      <c r="AS91" s="606">
        <f t="shared" si="107"/>
        <v>312489.87879285438</v>
      </c>
      <c r="AT91" s="606">
        <f t="shared" si="107"/>
        <v>-124520</v>
      </c>
      <c r="AU91" s="606">
        <f t="shared" si="107"/>
        <v>0</v>
      </c>
      <c r="AV91" s="606">
        <f t="shared" si="107"/>
        <v>0</v>
      </c>
      <c r="AW91" s="606">
        <f t="shared" si="107"/>
        <v>187969.87879285438</v>
      </c>
      <c r="AX91" s="606">
        <f t="shared" si="107"/>
        <v>21396</v>
      </c>
      <c r="AY91" s="606">
        <f t="shared" si="107"/>
        <v>-2326</v>
      </c>
      <c r="AZ91" s="606">
        <f t="shared" si="107"/>
        <v>0</v>
      </c>
      <c r="BA91" s="606">
        <f t="shared" si="107"/>
        <v>0</v>
      </c>
      <c r="BB91" s="607">
        <f t="shared" si="107"/>
        <v>19070</v>
      </c>
      <c r="BC91" s="606">
        <f t="shared" si="107"/>
        <v>187970.25879285438</v>
      </c>
      <c r="BD91" s="606">
        <f t="shared" si="107"/>
        <v>6482404.6399999997</v>
      </c>
      <c r="BE91" s="606">
        <f t="shared" si="107"/>
        <v>0</v>
      </c>
      <c r="BF91" s="606">
        <f t="shared" si="107"/>
        <v>20319056.452717498</v>
      </c>
      <c r="BG91" s="606">
        <f t="shared" si="107"/>
        <v>26989431.351510353</v>
      </c>
      <c r="BH91" s="606">
        <f t="shared" si="107"/>
        <v>19070</v>
      </c>
      <c r="BI91" s="606">
        <f t="shared" si="107"/>
        <v>2938</v>
      </c>
      <c r="BJ91" s="606">
        <f t="shared" si="107"/>
        <v>0</v>
      </c>
      <c r="BK91" s="606">
        <f t="shared" si="107"/>
        <v>6941</v>
      </c>
      <c r="BL91" s="607">
        <f t="shared" si="107"/>
        <v>28949</v>
      </c>
      <c r="BM91" s="606">
        <f t="shared" si="107"/>
        <v>0</v>
      </c>
      <c r="BN91" s="606">
        <f t="shared" si="107"/>
        <v>0</v>
      </c>
      <c r="BO91" s="606">
        <f t="shared" si="107"/>
        <v>26989431.351510353</v>
      </c>
      <c r="BP91" s="607">
        <f t="shared" si="107"/>
        <v>28949</v>
      </c>
      <c r="BQ91" s="606">
        <f t="shared" si="107"/>
        <v>5545.0734023831592</v>
      </c>
      <c r="BR91" s="606">
        <f t="shared" si="107"/>
        <v>3735.32359742782</v>
      </c>
      <c r="BS91" s="606">
        <f t="shared" si="107"/>
        <v>38229.396999810975</v>
      </c>
      <c r="BT91" s="607">
        <f t="shared" si="107"/>
        <v>-350367.84148983686</v>
      </c>
      <c r="BU91" s="641"/>
      <c r="BV91" s="640"/>
      <c r="BW91" s="607">
        <f>BV91-SUM(BG91,BL91)</f>
        <v>-27018380.351510353</v>
      </c>
      <c r="BX91" s="642"/>
      <c r="CC91" s="643"/>
    </row>
    <row r="92" spans="1:81" s="58" customFormat="1" ht="15" thickBot="1" x14ac:dyDescent="0.25">
      <c r="A92"/>
      <c r="B92"/>
      <c r="C92" s="193"/>
      <c r="D92" s="10"/>
      <c r="E92" s="77"/>
      <c r="F92" s="52"/>
      <c r="G92" s="52"/>
      <c r="H92" s="52"/>
      <c r="I92" s="52"/>
      <c r="J92" s="52"/>
      <c r="K92" s="52"/>
      <c r="L92" s="52"/>
      <c r="M92" s="52"/>
      <c r="N92" s="64"/>
      <c r="O92" s="51"/>
      <c r="P92" s="52"/>
      <c r="Q92" s="52"/>
      <c r="R92" s="52"/>
      <c r="S92" s="52"/>
      <c r="T92" s="52"/>
      <c r="U92" s="52"/>
      <c r="V92" s="52"/>
      <c r="W92" s="52"/>
      <c r="X92" s="64"/>
      <c r="Y92" s="51"/>
      <c r="Z92" s="52"/>
      <c r="AA92" s="52"/>
      <c r="AB92" s="52"/>
      <c r="AC92" s="52"/>
      <c r="AD92" s="52"/>
      <c r="AE92" s="52"/>
      <c r="AF92" s="52"/>
      <c r="AG92" s="52"/>
      <c r="AH92" s="64"/>
      <c r="AI92" s="51"/>
      <c r="AJ92" s="52"/>
      <c r="AK92" s="52"/>
      <c r="AL92" s="52"/>
      <c r="AM92" s="52"/>
      <c r="AN92" s="52"/>
      <c r="AO92" s="52"/>
      <c r="AP92" s="52"/>
      <c r="AQ92" s="52"/>
      <c r="AR92" s="64"/>
      <c r="AS92" s="51"/>
      <c r="AT92" s="52"/>
      <c r="AU92" s="52"/>
      <c r="AV92" s="52"/>
      <c r="AW92" s="52"/>
      <c r="AX92" s="52"/>
      <c r="AY92" s="52"/>
      <c r="AZ92" s="52"/>
      <c r="BA92" s="52"/>
      <c r="BB92" s="64"/>
      <c r="BC92" s="51"/>
      <c r="BD92" s="52"/>
      <c r="BE92" s="52"/>
      <c r="BF92" s="52"/>
      <c r="BG92" s="52"/>
      <c r="BH92" s="52"/>
      <c r="BI92" s="52"/>
      <c r="BJ92" s="52"/>
      <c r="BK92" s="52"/>
      <c r="BL92" s="64"/>
      <c r="BM92" s="51"/>
      <c r="BN92" s="52"/>
      <c r="BO92" s="52"/>
      <c r="BP92" s="64"/>
      <c r="BT92" s="59"/>
      <c r="BU92" s="345"/>
      <c r="BV92" s="60"/>
      <c r="BW92" s="59"/>
      <c r="BX92" s="343"/>
      <c r="CC92" s="263"/>
    </row>
    <row r="93" spans="1:81" s="58" customFormat="1" ht="17.25" thickBot="1" x14ac:dyDescent="0.25">
      <c r="A93"/>
      <c r="B93"/>
      <c r="C93" s="193" t="s">
        <v>3053</v>
      </c>
      <c r="D93" s="194">
        <v>1522</v>
      </c>
      <c r="E93" s="500"/>
      <c r="F93" s="500"/>
      <c r="G93" s="500"/>
      <c r="H93" s="500"/>
      <c r="I93" s="52">
        <f>E93+F93-G93+H93</f>
        <v>0</v>
      </c>
      <c r="J93" s="500"/>
      <c r="K93" s="500"/>
      <c r="L93" s="500"/>
      <c r="M93" s="500"/>
      <c r="N93" s="64">
        <f>J93+K93-L93+M93</f>
        <v>0</v>
      </c>
      <c r="O93" s="65">
        <f>I93</f>
        <v>0</v>
      </c>
      <c r="P93" s="500"/>
      <c r="Q93" s="500"/>
      <c r="R93" s="500"/>
      <c r="S93" s="52">
        <f>O93+P93-Q93+R93</f>
        <v>0</v>
      </c>
      <c r="T93" s="66">
        <f>N93</f>
        <v>0</v>
      </c>
      <c r="U93" s="500"/>
      <c r="V93" s="500"/>
      <c r="W93" s="500"/>
      <c r="X93" s="64">
        <f>T93+U93-V93+W93</f>
        <v>0</v>
      </c>
      <c r="Y93" s="65">
        <f>S93</f>
        <v>0</v>
      </c>
      <c r="Z93" s="63"/>
      <c r="AA93" s="63"/>
      <c r="AB93" s="63"/>
      <c r="AC93" s="52">
        <f>Y93+Z93-AA93+AB93</f>
        <v>0</v>
      </c>
      <c r="AD93" s="66">
        <f>X93</f>
        <v>0</v>
      </c>
      <c r="AE93" s="63"/>
      <c r="AF93" s="63"/>
      <c r="AG93" s="63"/>
      <c r="AH93" s="64">
        <f>AD93+AE93-AF93+AG93</f>
        <v>0</v>
      </c>
      <c r="AI93" s="65">
        <f>AC93</f>
        <v>0</v>
      </c>
      <c r="AJ93" s="63"/>
      <c r="AK93" s="63"/>
      <c r="AL93" s="63"/>
      <c r="AM93" s="52">
        <f>AI93+AJ93-AK93+SUM(AL93:AL93)</f>
        <v>0</v>
      </c>
      <c r="AN93" s="66">
        <f>AH93</f>
        <v>0</v>
      </c>
      <c r="AO93" s="63"/>
      <c r="AP93" s="63"/>
      <c r="AQ93" s="136"/>
      <c r="AR93" s="64">
        <f>AN93+AO93-AP93+AQ93</f>
        <v>0</v>
      </c>
      <c r="AS93" s="65">
        <f>AM93</f>
        <v>0</v>
      </c>
      <c r="AT93" s="63"/>
      <c r="AU93" s="63"/>
      <c r="AV93" s="63"/>
      <c r="AW93" s="52">
        <f>AS93+AT93-AU93+AV93</f>
        <v>0</v>
      </c>
      <c r="AX93" s="66">
        <f>AR93</f>
        <v>0</v>
      </c>
      <c r="AY93" s="63"/>
      <c r="AZ93" s="63"/>
      <c r="BA93" s="136"/>
      <c r="BB93" s="64">
        <f>AX93+AY93-AZ93+BA93</f>
        <v>0</v>
      </c>
      <c r="BC93" s="65">
        <v>0</v>
      </c>
      <c r="BD93" s="63"/>
      <c r="BE93" s="63"/>
      <c r="BF93" s="63"/>
      <c r="BG93" s="52">
        <f>BC93+BD93-BE93+SUM(BF93:BF93)</f>
        <v>0</v>
      </c>
      <c r="BH93" s="66">
        <f>BB93</f>
        <v>0</v>
      </c>
      <c r="BI93" s="63"/>
      <c r="BJ93" s="63"/>
      <c r="BK93" s="136"/>
      <c r="BL93" s="64">
        <f>BH93+BI93-BJ93+BK93</f>
        <v>0</v>
      </c>
      <c r="BM93" s="63"/>
      <c r="BN93" s="63"/>
      <c r="BO93" s="66">
        <f>BG93-BM93</f>
        <v>0</v>
      </c>
      <c r="BP93" s="67">
        <f>BL93-BN93</f>
        <v>0</v>
      </c>
      <c r="BQ93" s="68"/>
      <c r="BR93" s="63"/>
      <c r="BS93" s="202">
        <f>BP93+BQ93+BR93</f>
        <v>0</v>
      </c>
      <c r="BT93" s="59">
        <f>SUM(BO93:BR93)</f>
        <v>0</v>
      </c>
      <c r="BU93" s="345"/>
      <c r="BV93" s="625"/>
      <c r="BW93" s="59">
        <f>BV93-SUM(BG93,BL93)</f>
        <v>0</v>
      </c>
      <c r="BX93" s="341"/>
      <c r="CC93" s="263"/>
    </row>
    <row r="94" spans="1:81" s="58" customFormat="1" ht="17.25" thickBot="1" x14ac:dyDescent="0.25">
      <c r="A94"/>
      <c r="B94"/>
      <c r="C94" s="193" t="s">
        <v>3054</v>
      </c>
      <c r="D94" s="194">
        <v>1522</v>
      </c>
      <c r="E94" s="500"/>
      <c r="F94" s="500"/>
      <c r="G94" s="500"/>
      <c r="H94" s="500"/>
      <c r="I94" s="52">
        <f>E94+F94-G94+H94</f>
        <v>0</v>
      </c>
      <c r="J94" s="500"/>
      <c r="K94" s="500"/>
      <c r="L94" s="500"/>
      <c r="M94" s="500"/>
      <c r="N94" s="64">
        <f>J94+K94-L94+M94</f>
        <v>0</v>
      </c>
      <c r="O94" s="65">
        <f>I94</f>
        <v>0</v>
      </c>
      <c r="P94" s="500"/>
      <c r="Q94" s="500"/>
      <c r="R94" s="500"/>
      <c r="S94" s="52">
        <f>O94+P94-Q94+R94</f>
        <v>0</v>
      </c>
      <c r="T94" s="66">
        <f>N94</f>
        <v>0</v>
      </c>
      <c r="U94" s="500"/>
      <c r="V94" s="500"/>
      <c r="W94" s="500"/>
      <c r="X94" s="64">
        <f>T94+U94-V94+W94</f>
        <v>0</v>
      </c>
      <c r="Y94" s="65">
        <f>S94</f>
        <v>0</v>
      </c>
      <c r="Z94" s="63"/>
      <c r="AA94" s="63"/>
      <c r="AB94" s="63"/>
      <c r="AC94" s="52">
        <f>Y94+Z94-AA94+AB94</f>
        <v>0</v>
      </c>
      <c r="AD94" s="66">
        <f>X94</f>
        <v>0</v>
      </c>
      <c r="AE94" s="63"/>
      <c r="AF94" s="63"/>
      <c r="AG94" s="63"/>
      <c r="AH94" s="64">
        <f>AD94+AE94-AF94+AG94</f>
        <v>0</v>
      </c>
      <c r="AI94" s="65">
        <f>AC94</f>
        <v>0</v>
      </c>
      <c r="AJ94" s="63"/>
      <c r="AK94" s="63"/>
      <c r="AL94" s="63"/>
      <c r="AM94" s="52">
        <f>AI94+AJ94-AK94+SUM(AL94:AL94)</f>
        <v>0</v>
      </c>
      <c r="AN94" s="66">
        <f>AH94</f>
        <v>0</v>
      </c>
      <c r="AO94" s="63"/>
      <c r="AP94" s="63"/>
      <c r="AQ94" s="136"/>
      <c r="AR94" s="64">
        <f>AN94+AO94-AP94+AQ94</f>
        <v>0</v>
      </c>
      <c r="AS94" s="65">
        <f>AM94</f>
        <v>0</v>
      </c>
      <c r="AT94" s="63"/>
      <c r="AU94" s="63"/>
      <c r="AV94" s="63"/>
      <c r="AW94" s="52">
        <f>AS94+AT94-AU94+AV94</f>
        <v>0</v>
      </c>
      <c r="AX94" s="66">
        <f>AR94</f>
        <v>0</v>
      </c>
      <c r="AY94" s="63"/>
      <c r="AZ94" s="63"/>
      <c r="BA94" s="136"/>
      <c r="BB94" s="64">
        <f>AX94+AY94-AZ94+BA94</f>
        <v>0</v>
      </c>
      <c r="BC94" s="65">
        <v>0</v>
      </c>
      <c r="BD94" s="63"/>
      <c r="BE94" s="63"/>
      <c r="BF94" s="63"/>
      <c r="BG94" s="52">
        <f>BC94+BD94-BE94+SUM(BF94:BF94)</f>
        <v>0</v>
      </c>
      <c r="BH94" s="66">
        <f>BB94</f>
        <v>0</v>
      </c>
      <c r="BI94" s="63"/>
      <c r="BJ94" s="63"/>
      <c r="BK94" s="136"/>
      <c r="BL94" s="64">
        <f>BH94+BI94-BJ94+BK94</f>
        <v>0</v>
      </c>
      <c r="BM94" s="63"/>
      <c r="BN94" s="63"/>
      <c r="BO94" s="66">
        <f>BG94-BM94</f>
        <v>0</v>
      </c>
      <c r="BP94" s="67">
        <f>BL94-BN94</f>
        <v>0</v>
      </c>
      <c r="BQ94" s="68"/>
      <c r="BR94" s="63"/>
      <c r="BS94" s="202">
        <f>BP94+BQ94+BR94</f>
        <v>0</v>
      </c>
      <c r="BT94" s="59">
        <f>SUM(BO94:BR94)</f>
        <v>0</v>
      </c>
      <c r="BU94" s="345"/>
      <c r="BV94" s="625"/>
      <c r="BW94" s="59">
        <f>BV94-SUM(BG94,BL94)</f>
        <v>0</v>
      </c>
      <c r="BX94" s="341"/>
      <c r="CC94" s="263"/>
    </row>
    <row r="95" spans="1:81" s="58" customFormat="1" ht="15" thickBot="1" x14ac:dyDescent="0.25">
      <c r="A95">
        <v>50</v>
      </c>
      <c r="B95"/>
      <c r="C95" s="193" t="s">
        <v>25</v>
      </c>
      <c r="D95" s="194">
        <v>1531</v>
      </c>
      <c r="E95" s="161"/>
      <c r="F95" s="136"/>
      <c r="G95" s="136"/>
      <c r="H95" s="136"/>
      <c r="I95" s="52">
        <f t="shared" ref="I95:I104" si="108">E95+F95-G95+H95</f>
        <v>0</v>
      </c>
      <c r="J95" s="136"/>
      <c r="K95" s="136"/>
      <c r="L95" s="136"/>
      <c r="M95" s="136"/>
      <c r="N95" s="64">
        <f t="shared" ref="N95:N104" si="109">J95+K95-L95+M95</f>
        <v>0</v>
      </c>
      <c r="O95" s="65">
        <f t="shared" ref="O95:O104" si="110">I95</f>
        <v>0</v>
      </c>
      <c r="P95" s="63"/>
      <c r="Q95" s="63"/>
      <c r="R95" s="63"/>
      <c r="S95" s="52">
        <f t="shared" ref="S95:S105" si="111">O95+P95-Q95+R95</f>
        <v>0</v>
      </c>
      <c r="T95" s="66">
        <f t="shared" ref="T95:T104" si="112">N95</f>
        <v>0</v>
      </c>
      <c r="U95" s="63"/>
      <c r="V95" s="63"/>
      <c r="W95" s="63"/>
      <c r="X95" s="64">
        <f t="shared" ref="X95:X105" si="113">T95+U95-V95+W95</f>
        <v>0</v>
      </c>
      <c r="Y95" s="65">
        <f t="shared" ref="Y95:Y105" si="114">S95</f>
        <v>0</v>
      </c>
      <c r="Z95" s="63"/>
      <c r="AA95" s="63"/>
      <c r="AB95" s="63"/>
      <c r="AC95" s="52">
        <f t="shared" ref="AC95:AC104" si="115">Y95+Z95-AA95+AB95</f>
        <v>0</v>
      </c>
      <c r="AD95" s="66">
        <f t="shared" ref="AD95:AD104" si="116">X95</f>
        <v>0</v>
      </c>
      <c r="AE95" s="63"/>
      <c r="AF95" s="63"/>
      <c r="AG95" s="136"/>
      <c r="AH95" s="64">
        <f t="shared" ref="AH95:AH105" si="117">AD95+AE95-AF95+AG95</f>
        <v>0</v>
      </c>
      <c r="AI95" s="65">
        <f t="shared" ref="AI95:AI108" si="118">AC95</f>
        <v>0</v>
      </c>
      <c r="AJ95" s="63"/>
      <c r="AK95" s="63"/>
      <c r="AL95" s="63"/>
      <c r="AM95" s="52">
        <f t="shared" ref="AM95:AM104" si="119">AI95+AJ95-AK95+SUM(AL95:AL95)</f>
        <v>0</v>
      </c>
      <c r="AN95" s="66">
        <f t="shared" ref="AN95:AN105" si="120">AH95</f>
        <v>0</v>
      </c>
      <c r="AO95" s="63"/>
      <c r="AP95" s="63"/>
      <c r="AQ95" s="136"/>
      <c r="AR95" s="64">
        <f t="shared" ref="AR95:AR105" si="121">AN95+AO95-AP95+AQ95</f>
        <v>0</v>
      </c>
      <c r="AS95" s="65">
        <f t="shared" ref="AS95:AS104" si="122">AM95</f>
        <v>0</v>
      </c>
      <c r="AT95" s="63"/>
      <c r="AU95" s="63"/>
      <c r="AV95" s="63"/>
      <c r="AW95" s="52">
        <f t="shared" ref="AW95:AW108" si="123">AS95+AT95-AU95+AV95</f>
        <v>0</v>
      </c>
      <c r="AX95" s="66">
        <f t="shared" ref="AX95:AX104" si="124">AR95</f>
        <v>0</v>
      </c>
      <c r="AY95" s="63"/>
      <c r="AZ95" s="63"/>
      <c r="BA95" s="136"/>
      <c r="BB95" s="64">
        <f t="shared" ref="BB95:BB104" si="125">AX95+AY95-AZ95+BA95</f>
        <v>0</v>
      </c>
      <c r="BC95" s="65">
        <f t="shared" ref="BC95:BC105" si="126">AW95</f>
        <v>0</v>
      </c>
      <c r="BD95" s="63"/>
      <c r="BE95" s="63"/>
      <c r="BF95" s="63"/>
      <c r="BG95" s="52">
        <f t="shared" ref="BG95:BG105" si="127">BC95+BD95-BE95+SUM(BF95:BF95)</f>
        <v>0</v>
      </c>
      <c r="BH95" s="66">
        <f t="shared" ref="BH95:BH105" si="128">BB95</f>
        <v>0</v>
      </c>
      <c r="BI95" s="63"/>
      <c r="BJ95" s="63"/>
      <c r="BK95" s="136"/>
      <c r="BL95" s="64">
        <f t="shared" ref="BL95:BL105" si="129">BH95+BI95-BJ95+BK95</f>
        <v>0</v>
      </c>
      <c r="BM95" s="63"/>
      <c r="BN95" s="63"/>
      <c r="BO95" s="66">
        <f t="shared" ref="BO95:BO105" si="130">BG95-BM95</f>
        <v>0</v>
      </c>
      <c r="BP95" s="67">
        <f t="shared" ref="BP95:BP105" si="131">BL95-BN95</f>
        <v>0</v>
      </c>
      <c r="BQ95" s="68"/>
      <c r="BR95" s="63"/>
      <c r="BS95" s="202">
        <f t="shared" ref="BS95:BS105" si="132">BP95+BQ95+BR95</f>
        <v>0</v>
      </c>
      <c r="BT95" s="59">
        <f t="shared" ref="BT95:BT100" si="133">SUM(BO95:BR95)</f>
        <v>0</v>
      </c>
      <c r="BU95" s="345"/>
      <c r="BV95" s="625"/>
      <c r="BW95" s="59">
        <f>BV95-SUM(BG95,BL95)</f>
        <v>0</v>
      </c>
      <c r="BX95" s="341" t="str">
        <f t="shared" ref="BX95:BX100" si="134">IF(ABS(BW95)&gt;1,"Please provide an explanation of the variance in the tab 3 - Appendix A","")</f>
        <v/>
      </c>
      <c r="CC95" s="263"/>
    </row>
    <row r="96" spans="1:81" s="58" customFormat="1" ht="15.75" thickBot="1" x14ac:dyDescent="0.25">
      <c r="A96">
        <v>51</v>
      </c>
      <c r="B96"/>
      <c r="C96" s="193" t="s">
        <v>26</v>
      </c>
      <c r="D96" s="194">
        <v>1532</v>
      </c>
      <c r="E96" s="161"/>
      <c r="F96" s="136"/>
      <c r="G96" s="136"/>
      <c r="H96" s="136"/>
      <c r="I96" s="52">
        <f t="shared" si="108"/>
        <v>0</v>
      </c>
      <c r="J96" s="136"/>
      <c r="K96" s="136"/>
      <c r="L96" s="136"/>
      <c r="M96" s="136"/>
      <c r="N96" s="64">
        <f t="shared" si="109"/>
        <v>0</v>
      </c>
      <c r="O96" s="65">
        <f t="shared" si="110"/>
        <v>0</v>
      </c>
      <c r="P96" s="178"/>
      <c r="Q96" s="63"/>
      <c r="R96" s="63"/>
      <c r="S96" s="52">
        <f t="shared" si="111"/>
        <v>0</v>
      </c>
      <c r="T96" s="66">
        <f t="shared" si="112"/>
        <v>0</v>
      </c>
      <c r="U96" s="180"/>
      <c r="V96" s="63"/>
      <c r="W96" s="63"/>
      <c r="X96" s="64">
        <f t="shared" si="113"/>
        <v>0</v>
      </c>
      <c r="Y96" s="65">
        <f t="shared" si="114"/>
        <v>0</v>
      </c>
      <c r="Z96" s="63"/>
      <c r="AA96" s="63"/>
      <c r="AB96" s="63"/>
      <c r="AC96" s="52">
        <f t="shared" si="115"/>
        <v>0</v>
      </c>
      <c r="AD96" s="66">
        <f t="shared" si="116"/>
        <v>0</v>
      </c>
      <c r="AE96" s="63"/>
      <c r="AF96" s="63"/>
      <c r="AG96" s="136"/>
      <c r="AH96" s="64">
        <f t="shared" si="117"/>
        <v>0</v>
      </c>
      <c r="AI96" s="65">
        <f t="shared" si="118"/>
        <v>0</v>
      </c>
      <c r="AJ96" s="63"/>
      <c r="AK96" s="63"/>
      <c r="AL96" s="63"/>
      <c r="AM96" s="52">
        <f t="shared" si="119"/>
        <v>0</v>
      </c>
      <c r="AN96" s="66">
        <f t="shared" si="120"/>
        <v>0</v>
      </c>
      <c r="AO96" s="63"/>
      <c r="AP96" s="63"/>
      <c r="AQ96" s="136"/>
      <c r="AR96" s="64">
        <f t="shared" si="121"/>
        <v>0</v>
      </c>
      <c r="AS96" s="65">
        <f t="shared" si="122"/>
        <v>0</v>
      </c>
      <c r="AT96" s="63"/>
      <c r="AU96" s="63"/>
      <c r="AV96" s="63"/>
      <c r="AW96" s="52">
        <f t="shared" si="123"/>
        <v>0</v>
      </c>
      <c r="AX96" s="66">
        <f t="shared" si="124"/>
        <v>0</v>
      </c>
      <c r="AY96" s="63"/>
      <c r="AZ96" s="63"/>
      <c r="BA96" s="136"/>
      <c r="BB96" s="64">
        <f t="shared" si="125"/>
        <v>0</v>
      </c>
      <c r="BC96" s="65">
        <f t="shared" si="126"/>
        <v>0</v>
      </c>
      <c r="BD96" s="63"/>
      <c r="BE96" s="63"/>
      <c r="BF96" s="63"/>
      <c r="BG96" s="52">
        <f t="shared" si="127"/>
        <v>0</v>
      </c>
      <c r="BH96" s="66">
        <f t="shared" si="128"/>
        <v>0</v>
      </c>
      <c r="BI96" s="63"/>
      <c r="BJ96" s="63"/>
      <c r="BK96" s="136"/>
      <c r="BL96" s="64">
        <f t="shared" si="129"/>
        <v>0</v>
      </c>
      <c r="BM96" s="63"/>
      <c r="BN96" s="63"/>
      <c r="BO96" s="66">
        <f t="shared" si="130"/>
        <v>0</v>
      </c>
      <c r="BP96" s="67">
        <f t="shared" si="131"/>
        <v>0</v>
      </c>
      <c r="BQ96" s="68"/>
      <c r="BR96" s="63"/>
      <c r="BS96" s="202">
        <f t="shared" si="132"/>
        <v>0</v>
      </c>
      <c r="BT96" s="59">
        <f>IF(BU96="Yes", SUM(BO96:BR96), 0)</f>
        <v>0</v>
      </c>
      <c r="BU96" s="461"/>
      <c r="BV96" s="625"/>
      <c r="BW96" s="59">
        <f t="shared" ref="BW96:BW105" si="135">BV96-SUM(BG96,BL96)</f>
        <v>0</v>
      </c>
      <c r="BX96" s="341" t="str">
        <f t="shared" si="134"/>
        <v/>
      </c>
      <c r="CC96" s="263"/>
    </row>
    <row r="97" spans="1:81" s="58" customFormat="1" ht="15" thickBot="1" x14ac:dyDescent="0.25">
      <c r="A97">
        <v>52</v>
      </c>
      <c r="B97"/>
      <c r="C97" s="193" t="s">
        <v>17</v>
      </c>
      <c r="D97" s="194">
        <v>1533</v>
      </c>
      <c r="E97" s="161"/>
      <c r="F97" s="136"/>
      <c r="G97" s="136"/>
      <c r="H97" s="136"/>
      <c r="I97" s="52">
        <f t="shared" si="108"/>
        <v>0</v>
      </c>
      <c r="J97" s="136"/>
      <c r="K97" s="136"/>
      <c r="L97" s="136"/>
      <c r="M97" s="136"/>
      <c r="N97" s="64">
        <f t="shared" si="109"/>
        <v>0</v>
      </c>
      <c r="O97" s="65">
        <f t="shared" si="110"/>
        <v>0</v>
      </c>
      <c r="P97" s="63"/>
      <c r="Q97" s="63"/>
      <c r="R97" s="63"/>
      <c r="S97" s="52">
        <f t="shared" si="111"/>
        <v>0</v>
      </c>
      <c r="T97" s="66">
        <f t="shared" si="112"/>
        <v>0</v>
      </c>
      <c r="U97" s="63"/>
      <c r="V97" s="63"/>
      <c r="W97" s="63"/>
      <c r="X97" s="64">
        <f t="shared" si="113"/>
        <v>0</v>
      </c>
      <c r="Y97" s="65">
        <f t="shared" si="114"/>
        <v>0</v>
      </c>
      <c r="Z97" s="63"/>
      <c r="AA97" s="63"/>
      <c r="AB97" s="63"/>
      <c r="AC97" s="52">
        <f t="shared" si="115"/>
        <v>0</v>
      </c>
      <c r="AD97" s="66">
        <f t="shared" si="116"/>
        <v>0</v>
      </c>
      <c r="AE97" s="63"/>
      <c r="AF97" s="63"/>
      <c r="AG97" s="136"/>
      <c r="AH97" s="64">
        <f t="shared" si="117"/>
        <v>0</v>
      </c>
      <c r="AI97" s="65">
        <f t="shared" si="118"/>
        <v>0</v>
      </c>
      <c r="AJ97" s="63"/>
      <c r="AK97" s="63"/>
      <c r="AL97" s="63"/>
      <c r="AM97" s="52">
        <f t="shared" si="119"/>
        <v>0</v>
      </c>
      <c r="AN97" s="66">
        <f t="shared" si="120"/>
        <v>0</v>
      </c>
      <c r="AO97" s="63"/>
      <c r="AP97" s="63"/>
      <c r="AQ97" s="136"/>
      <c r="AR97" s="64">
        <f t="shared" si="121"/>
        <v>0</v>
      </c>
      <c r="AS97" s="65">
        <f t="shared" si="122"/>
        <v>0</v>
      </c>
      <c r="AT97" s="63"/>
      <c r="AU97" s="63"/>
      <c r="AV97" s="63"/>
      <c r="AW97" s="52">
        <f t="shared" si="123"/>
        <v>0</v>
      </c>
      <c r="AX97" s="66">
        <f t="shared" si="124"/>
        <v>0</v>
      </c>
      <c r="AY97" s="63"/>
      <c r="AZ97" s="63"/>
      <c r="BA97" s="136"/>
      <c r="BB97" s="64">
        <f t="shared" si="125"/>
        <v>0</v>
      </c>
      <c r="BC97" s="65">
        <f t="shared" si="126"/>
        <v>0</v>
      </c>
      <c r="BD97" s="63"/>
      <c r="BE97" s="63"/>
      <c r="BF97" s="63"/>
      <c r="BG97" s="52">
        <f t="shared" si="127"/>
        <v>0</v>
      </c>
      <c r="BH97" s="66">
        <f t="shared" si="128"/>
        <v>0</v>
      </c>
      <c r="BI97" s="63"/>
      <c r="BJ97" s="63"/>
      <c r="BK97" s="136"/>
      <c r="BL97" s="64">
        <f t="shared" si="129"/>
        <v>0</v>
      </c>
      <c r="BM97" s="63"/>
      <c r="BN97" s="63"/>
      <c r="BO97" s="66">
        <f t="shared" si="130"/>
        <v>0</v>
      </c>
      <c r="BP97" s="67">
        <f t="shared" si="131"/>
        <v>0</v>
      </c>
      <c r="BQ97" s="68"/>
      <c r="BR97" s="63"/>
      <c r="BS97" s="202">
        <f t="shared" si="132"/>
        <v>0</v>
      </c>
      <c r="BT97" s="59">
        <f t="shared" si="133"/>
        <v>0</v>
      </c>
      <c r="BU97" s="345"/>
      <c r="BV97" s="625"/>
      <c r="BW97" s="59">
        <f t="shared" si="135"/>
        <v>0</v>
      </c>
      <c r="BX97" s="341" t="str">
        <f t="shared" si="134"/>
        <v/>
      </c>
      <c r="CC97" s="263"/>
    </row>
    <row r="98" spans="1:81" s="58" customFormat="1" ht="15" thickBot="1" x14ac:dyDescent="0.25">
      <c r="A98">
        <v>53</v>
      </c>
      <c r="B98"/>
      <c r="C98" s="193" t="s">
        <v>12</v>
      </c>
      <c r="D98" s="194">
        <v>1534</v>
      </c>
      <c r="E98" s="161"/>
      <c r="F98" s="136"/>
      <c r="G98" s="136"/>
      <c r="H98" s="136"/>
      <c r="I98" s="52">
        <f t="shared" si="108"/>
        <v>0</v>
      </c>
      <c r="J98" s="136"/>
      <c r="K98" s="136"/>
      <c r="L98" s="136"/>
      <c r="M98" s="136"/>
      <c r="N98" s="64">
        <f t="shared" si="109"/>
        <v>0</v>
      </c>
      <c r="O98" s="65">
        <f t="shared" si="110"/>
        <v>0</v>
      </c>
      <c r="P98" s="63"/>
      <c r="Q98" s="63"/>
      <c r="R98" s="63"/>
      <c r="S98" s="52">
        <f t="shared" si="111"/>
        <v>0</v>
      </c>
      <c r="T98" s="66">
        <f t="shared" si="112"/>
        <v>0</v>
      </c>
      <c r="U98" s="63"/>
      <c r="V98" s="63"/>
      <c r="W98" s="63"/>
      <c r="X98" s="64">
        <f t="shared" si="113"/>
        <v>0</v>
      </c>
      <c r="Y98" s="65">
        <f t="shared" si="114"/>
        <v>0</v>
      </c>
      <c r="Z98" s="63"/>
      <c r="AA98" s="63"/>
      <c r="AB98" s="63"/>
      <c r="AC98" s="52">
        <f t="shared" si="115"/>
        <v>0</v>
      </c>
      <c r="AD98" s="66">
        <f t="shared" si="116"/>
        <v>0</v>
      </c>
      <c r="AE98" s="63"/>
      <c r="AF98" s="63"/>
      <c r="AG98" s="136"/>
      <c r="AH98" s="64">
        <f t="shared" si="117"/>
        <v>0</v>
      </c>
      <c r="AI98" s="65">
        <f t="shared" si="118"/>
        <v>0</v>
      </c>
      <c r="AJ98" s="63"/>
      <c r="AK98" s="63"/>
      <c r="AL98" s="63"/>
      <c r="AM98" s="52">
        <f t="shared" si="119"/>
        <v>0</v>
      </c>
      <c r="AN98" s="66">
        <f t="shared" si="120"/>
        <v>0</v>
      </c>
      <c r="AO98" s="63"/>
      <c r="AP98" s="63"/>
      <c r="AQ98" s="136"/>
      <c r="AR98" s="64">
        <f t="shared" si="121"/>
        <v>0</v>
      </c>
      <c r="AS98" s="65">
        <f t="shared" si="122"/>
        <v>0</v>
      </c>
      <c r="AT98" s="63"/>
      <c r="AU98" s="63"/>
      <c r="AV98" s="63"/>
      <c r="AW98" s="52">
        <f t="shared" si="123"/>
        <v>0</v>
      </c>
      <c r="AX98" s="66">
        <f t="shared" si="124"/>
        <v>0</v>
      </c>
      <c r="AY98" s="63"/>
      <c r="AZ98" s="63"/>
      <c r="BA98" s="136"/>
      <c r="BB98" s="64">
        <f t="shared" si="125"/>
        <v>0</v>
      </c>
      <c r="BC98" s="65">
        <f t="shared" si="126"/>
        <v>0</v>
      </c>
      <c r="BD98" s="63"/>
      <c r="BE98" s="63"/>
      <c r="BF98" s="63"/>
      <c r="BG98" s="52">
        <f t="shared" si="127"/>
        <v>0</v>
      </c>
      <c r="BH98" s="66">
        <f t="shared" si="128"/>
        <v>0</v>
      </c>
      <c r="BI98" s="63"/>
      <c r="BJ98" s="63"/>
      <c r="BK98" s="136"/>
      <c r="BL98" s="64">
        <f t="shared" si="129"/>
        <v>0</v>
      </c>
      <c r="BM98" s="63"/>
      <c r="BN98" s="63"/>
      <c r="BO98" s="66">
        <f t="shared" si="130"/>
        <v>0</v>
      </c>
      <c r="BP98" s="67">
        <f t="shared" si="131"/>
        <v>0</v>
      </c>
      <c r="BQ98" s="68"/>
      <c r="BR98" s="63"/>
      <c r="BS98" s="202">
        <f t="shared" si="132"/>
        <v>0</v>
      </c>
      <c r="BT98" s="59">
        <f t="shared" si="133"/>
        <v>0</v>
      </c>
      <c r="BU98" s="345"/>
      <c r="BV98" s="625"/>
      <c r="BW98" s="59">
        <f t="shared" si="135"/>
        <v>0</v>
      </c>
      <c r="BX98" s="341" t="str">
        <f t="shared" si="134"/>
        <v/>
      </c>
      <c r="CC98" s="263"/>
    </row>
    <row r="99" spans="1:81" s="58" customFormat="1" ht="15" thickBot="1" x14ac:dyDescent="0.25">
      <c r="A99">
        <v>54</v>
      </c>
      <c r="B99"/>
      <c r="C99" s="193" t="s">
        <v>13</v>
      </c>
      <c r="D99" s="194">
        <v>1535</v>
      </c>
      <c r="E99" s="161"/>
      <c r="F99" s="136"/>
      <c r="G99" s="136"/>
      <c r="H99" s="136"/>
      <c r="I99" s="52">
        <f t="shared" si="108"/>
        <v>0</v>
      </c>
      <c r="J99" s="136"/>
      <c r="K99" s="136"/>
      <c r="L99" s="136"/>
      <c r="M99" s="136"/>
      <c r="N99" s="64">
        <f t="shared" si="109"/>
        <v>0</v>
      </c>
      <c r="O99" s="65">
        <f t="shared" si="110"/>
        <v>0</v>
      </c>
      <c r="P99" s="179"/>
      <c r="Q99" s="63"/>
      <c r="R99" s="63"/>
      <c r="S99" s="52">
        <f t="shared" si="111"/>
        <v>0</v>
      </c>
      <c r="T99" s="66">
        <f t="shared" si="112"/>
        <v>0</v>
      </c>
      <c r="U99" s="181"/>
      <c r="V99" s="63"/>
      <c r="W99" s="63"/>
      <c r="X99" s="64">
        <f t="shared" si="113"/>
        <v>0</v>
      </c>
      <c r="Y99" s="65">
        <f t="shared" si="114"/>
        <v>0</v>
      </c>
      <c r="Z99" s="63"/>
      <c r="AA99" s="63"/>
      <c r="AB99" s="63"/>
      <c r="AC99" s="52">
        <f t="shared" si="115"/>
        <v>0</v>
      </c>
      <c r="AD99" s="66">
        <f t="shared" si="116"/>
        <v>0</v>
      </c>
      <c r="AE99" s="63"/>
      <c r="AF99" s="63"/>
      <c r="AG99" s="136"/>
      <c r="AH99" s="64">
        <f t="shared" si="117"/>
        <v>0</v>
      </c>
      <c r="AI99" s="65">
        <f t="shared" si="118"/>
        <v>0</v>
      </c>
      <c r="AJ99" s="63"/>
      <c r="AK99" s="63"/>
      <c r="AL99" s="63"/>
      <c r="AM99" s="52">
        <f t="shared" si="119"/>
        <v>0</v>
      </c>
      <c r="AN99" s="66">
        <f t="shared" si="120"/>
        <v>0</v>
      </c>
      <c r="AO99" s="63"/>
      <c r="AP99" s="63"/>
      <c r="AQ99" s="136"/>
      <c r="AR99" s="64">
        <f t="shared" si="121"/>
        <v>0</v>
      </c>
      <c r="AS99" s="65">
        <f t="shared" si="122"/>
        <v>0</v>
      </c>
      <c r="AT99" s="63"/>
      <c r="AU99" s="63"/>
      <c r="AV99" s="63"/>
      <c r="AW99" s="52">
        <f t="shared" si="123"/>
        <v>0</v>
      </c>
      <c r="AX99" s="66">
        <f t="shared" si="124"/>
        <v>0</v>
      </c>
      <c r="AY99" s="63"/>
      <c r="AZ99" s="63"/>
      <c r="BA99" s="136"/>
      <c r="BB99" s="64">
        <f t="shared" si="125"/>
        <v>0</v>
      </c>
      <c r="BC99" s="65">
        <f t="shared" si="126"/>
        <v>0</v>
      </c>
      <c r="BD99" s="63"/>
      <c r="BE99" s="63"/>
      <c r="BF99" s="63"/>
      <c r="BG99" s="52">
        <f t="shared" si="127"/>
        <v>0</v>
      </c>
      <c r="BH99" s="66">
        <f t="shared" si="128"/>
        <v>0</v>
      </c>
      <c r="BI99" s="63"/>
      <c r="BJ99" s="63"/>
      <c r="BK99" s="136"/>
      <c r="BL99" s="64">
        <f t="shared" si="129"/>
        <v>0</v>
      </c>
      <c r="BM99" s="63"/>
      <c r="BN99" s="63"/>
      <c r="BO99" s="66">
        <f t="shared" si="130"/>
        <v>0</v>
      </c>
      <c r="BP99" s="67">
        <f t="shared" si="131"/>
        <v>0</v>
      </c>
      <c r="BQ99" s="68"/>
      <c r="BR99" s="63"/>
      <c r="BS99" s="202">
        <f t="shared" si="132"/>
        <v>0</v>
      </c>
      <c r="BT99" s="59">
        <f t="shared" si="133"/>
        <v>0</v>
      </c>
      <c r="BU99" s="345"/>
      <c r="BV99" s="625"/>
      <c r="BW99" s="59">
        <f t="shared" si="135"/>
        <v>0</v>
      </c>
      <c r="BX99" s="341" t="str">
        <f t="shared" si="134"/>
        <v/>
      </c>
      <c r="CC99" s="263"/>
    </row>
    <row r="100" spans="1:81" s="58" customFormat="1" ht="15" thickBot="1" x14ac:dyDescent="0.25">
      <c r="A100">
        <v>55</v>
      </c>
      <c r="B100"/>
      <c r="C100" s="193" t="s">
        <v>15</v>
      </c>
      <c r="D100" s="194">
        <v>1536</v>
      </c>
      <c r="E100" s="161"/>
      <c r="F100" s="136"/>
      <c r="G100" s="136"/>
      <c r="H100" s="136"/>
      <c r="I100" s="52">
        <f t="shared" si="108"/>
        <v>0</v>
      </c>
      <c r="J100" s="136"/>
      <c r="K100" s="136"/>
      <c r="L100" s="136"/>
      <c r="M100" s="136"/>
      <c r="N100" s="64">
        <f t="shared" si="109"/>
        <v>0</v>
      </c>
      <c r="O100" s="65">
        <f t="shared" si="110"/>
        <v>0</v>
      </c>
      <c r="P100" s="63"/>
      <c r="Q100" s="63"/>
      <c r="R100" s="63"/>
      <c r="S100" s="52">
        <f t="shared" si="111"/>
        <v>0</v>
      </c>
      <c r="T100" s="66">
        <f t="shared" si="112"/>
        <v>0</v>
      </c>
      <c r="U100" s="63"/>
      <c r="V100" s="63"/>
      <c r="W100" s="63"/>
      <c r="X100" s="64">
        <f t="shared" si="113"/>
        <v>0</v>
      </c>
      <c r="Y100" s="65">
        <f t="shared" si="114"/>
        <v>0</v>
      </c>
      <c r="Z100" s="63"/>
      <c r="AA100" s="63"/>
      <c r="AB100" s="63"/>
      <c r="AC100" s="52">
        <f t="shared" si="115"/>
        <v>0</v>
      </c>
      <c r="AD100" s="66">
        <f t="shared" si="116"/>
        <v>0</v>
      </c>
      <c r="AE100" s="63"/>
      <c r="AF100" s="63"/>
      <c r="AG100" s="136"/>
      <c r="AH100" s="64">
        <f t="shared" si="117"/>
        <v>0</v>
      </c>
      <c r="AI100" s="65">
        <f t="shared" si="118"/>
        <v>0</v>
      </c>
      <c r="AJ100" s="63"/>
      <c r="AK100" s="63"/>
      <c r="AL100" s="63"/>
      <c r="AM100" s="52">
        <f t="shared" si="119"/>
        <v>0</v>
      </c>
      <c r="AN100" s="66">
        <f t="shared" si="120"/>
        <v>0</v>
      </c>
      <c r="AO100" s="63"/>
      <c r="AP100" s="63"/>
      <c r="AQ100" s="136"/>
      <c r="AR100" s="64">
        <f t="shared" si="121"/>
        <v>0</v>
      </c>
      <c r="AS100" s="65">
        <f t="shared" si="122"/>
        <v>0</v>
      </c>
      <c r="AT100" s="63"/>
      <c r="AU100" s="63"/>
      <c r="AV100" s="63"/>
      <c r="AW100" s="52">
        <f t="shared" si="123"/>
        <v>0</v>
      </c>
      <c r="AX100" s="66">
        <f t="shared" si="124"/>
        <v>0</v>
      </c>
      <c r="AY100" s="63"/>
      <c r="AZ100" s="63"/>
      <c r="BA100" s="136"/>
      <c r="BB100" s="64">
        <f t="shared" si="125"/>
        <v>0</v>
      </c>
      <c r="BC100" s="65">
        <f t="shared" si="126"/>
        <v>0</v>
      </c>
      <c r="BD100" s="63"/>
      <c r="BE100" s="63"/>
      <c r="BF100" s="63"/>
      <c r="BG100" s="52">
        <f t="shared" si="127"/>
        <v>0</v>
      </c>
      <c r="BH100" s="66">
        <f t="shared" si="128"/>
        <v>0</v>
      </c>
      <c r="BI100" s="63"/>
      <c r="BJ100" s="63"/>
      <c r="BK100" s="136"/>
      <c r="BL100" s="64">
        <f t="shared" si="129"/>
        <v>0</v>
      </c>
      <c r="BM100" s="63"/>
      <c r="BN100" s="63"/>
      <c r="BO100" s="66">
        <f t="shared" si="130"/>
        <v>0</v>
      </c>
      <c r="BP100" s="67">
        <f t="shared" si="131"/>
        <v>0</v>
      </c>
      <c r="BQ100" s="68"/>
      <c r="BR100" s="63"/>
      <c r="BS100" s="202">
        <f t="shared" si="132"/>
        <v>0</v>
      </c>
      <c r="BT100" s="59">
        <f t="shared" si="133"/>
        <v>0</v>
      </c>
      <c r="BU100" s="345"/>
      <c r="BV100" s="625"/>
      <c r="BW100" s="59">
        <f t="shared" si="135"/>
        <v>0</v>
      </c>
      <c r="BX100" s="341" t="str">
        <f t="shared" si="134"/>
        <v/>
      </c>
      <c r="CC100" s="263"/>
    </row>
    <row r="101" spans="1:81" s="58" customFormat="1" ht="17.25" hidden="1" thickBot="1" x14ac:dyDescent="0.25">
      <c r="A101">
        <v>56</v>
      </c>
      <c r="B101"/>
      <c r="C101" s="193" t="s">
        <v>396</v>
      </c>
      <c r="D101" s="194">
        <v>1555</v>
      </c>
      <c r="E101" s="134"/>
      <c r="F101" s="136"/>
      <c r="G101" s="136"/>
      <c r="H101" s="136"/>
      <c r="I101" s="52">
        <f t="shared" si="108"/>
        <v>0</v>
      </c>
      <c r="J101" s="136"/>
      <c r="K101" s="63"/>
      <c r="L101" s="63"/>
      <c r="M101" s="63"/>
      <c r="N101" s="64">
        <f t="shared" si="109"/>
        <v>0</v>
      </c>
      <c r="O101" s="65">
        <f t="shared" si="110"/>
        <v>0</v>
      </c>
      <c r="P101" s="63"/>
      <c r="Q101" s="63"/>
      <c r="R101" s="63"/>
      <c r="S101" s="52">
        <f t="shared" si="111"/>
        <v>0</v>
      </c>
      <c r="T101" s="66">
        <f t="shared" si="112"/>
        <v>0</v>
      </c>
      <c r="U101" s="63"/>
      <c r="V101" s="72"/>
      <c r="W101" s="72"/>
      <c r="X101" s="64">
        <f t="shared" si="113"/>
        <v>0</v>
      </c>
      <c r="Y101" s="65">
        <f t="shared" si="114"/>
        <v>0</v>
      </c>
      <c r="Z101" s="63"/>
      <c r="AA101" s="63"/>
      <c r="AB101" s="63"/>
      <c r="AC101" s="52">
        <f t="shared" si="115"/>
        <v>0</v>
      </c>
      <c r="AD101" s="66">
        <f t="shared" si="116"/>
        <v>0</v>
      </c>
      <c r="AE101" s="63"/>
      <c r="AF101" s="72"/>
      <c r="AG101" s="72"/>
      <c r="AH101" s="64">
        <f t="shared" si="117"/>
        <v>0</v>
      </c>
      <c r="AI101" s="65">
        <f t="shared" si="118"/>
        <v>0</v>
      </c>
      <c r="AJ101" s="63"/>
      <c r="AK101" s="63"/>
      <c r="AL101" s="63"/>
      <c r="AM101" s="52">
        <f t="shared" si="119"/>
        <v>0</v>
      </c>
      <c r="AN101" s="66">
        <f t="shared" si="120"/>
        <v>0</v>
      </c>
      <c r="AO101" s="63"/>
      <c r="AP101" s="72"/>
      <c r="AQ101" s="72"/>
      <c r="AR101" s="64">
        <f t="shared" si="121"/>
        <v>0</v>
      </c>
      <c r="AS101" s="65">
        <f t="shared" si="122"/>
        <v>0</v>
      </c>
      <c r="AT101" s="63"/>
      <c r="AU101" s="63"/>
      <c r="AV101" s="63"/>
      <c r="AW101" s="52">
        <f t="shared" si="123"/>
        <v>0</v>
      </c>
      <c r="AX101" s="66">
        <f t="shared" si="124"/>
        <v>0</v>
      </c>
      <c r="AY101" s="63"/>
      <c r="AZ101" s="72"/>
      <c r="BA101" s="72"/>
      <c r="BB101" s="64">
        <f t="shared" si="125"/>
        <v>0</v>
      </c>
      <c r="BC101" s="65">
        <f t="shared" si="126"/>
        <v>0</v>
      </c>
      <c r="BD101" s="63"/>
      <c r="BE101" s="63"/>
      <c r="BF101" s="63"/>
      <c r="BG101" s="52">
        <f t="shared" si="127"/>
        <v>0</v>
      </c>
      <c r="BH101" s="66">
        <f t="shared" si="128"/>
        <v>0</v>
      </c>
      <c r="BI101" s="63"/>
      <c r="BJ101" s="72"/>
      <c r="BK101" s="72"/>
      <c r="BL101" s="64">
        <f t="shared" si="129"/>
        <v>0</v>
      </c>
      <c r="BM101" s="62"/>
      <c r="BN101" s="63"/>
      <c r="BO101" s="66">
        <f t="shared" si="130"/>
        <v>0</v>
      </c>
      <c r="BP101" s="67">
        <f t="shared" si="131"/>
        <v>0</v>
      </c>
      <c r="BQ101" s="68"/>
      <c r="BR101" s="63"/>
      <c r="BS101" s="202">
        <f t="shared" si="132"/>
        <v>0</v>
      </c>
      <c r="BT101" s="59">
        <f>SUM(BO101:BR101)</f>
        <v>0</v>
      </c>
      <c r="BU101" s="345"/>
      <c r="BV101" s="625"/>
      <c r="BW101" s="59">
        <f t="shared" si="135"/>
        <v>0</v>
      </c>
      <c r="BX101" s="343"/>
      <c r="CC101" s="263"/>
    </row>
    <row r="102" spans="1:81" s="58" customFormat="1" ht="17.25" hidden="1" thickBot="1" x14ac:dyDescent="0.25">
      <c r="A102">
        <v>57</v>
      </c>
      <c r="B102"/>
      <c r="C102" s="193" t="s">
        <v>397</v>
      </c>
      <c r="D102" s="194">
        <v>1555</v>
      </c>
      <c r="E102" s="160"/>
      <c r="F102" s="159"/>
      <c r="G102" s="136"/>
      <c r="H102" s="136"/>
      <c r="I102" s="52">
        <f t="shared" si="108"/>
        <v>0</v>
      </c>
      <c r="J102" s="136"/>
      <c r="K102" s="63"/>
      <c r="L102" s="63"/>
      <c r="M102" s="63"/>
      <c r="N102" s="64">
        <f t="shared" si="109"/>
        <v>0</v>
      </c>
      <c r="O102" s="65">
        <f t="shared" si="110"/>
        <v>0</v>
      </c>
      <c r="P102" s="63"/>
      <c r="Q102" s="63"/>
      <c r="R102" s="63"/>
      <c r="S102" s="52">
        <f t="shared" si="111"/>
        <v>0</v>
      </c>
      <c r="T102" s="66">
        <f t="shared" si="112"/>
        <v>0</v>
      </c>
      <c r="U102" s="63"/>
      <c r="V102" s="72"/>
      <c r="W102" s="72"/>
      <c r="X102" s="64">
        <f t="shared" si="113"/>
        <v>0</v>
      </c>
      <c r="Y102" s="65">
        <f t="shared" si="114"/>
        <v>0</v>
      </c>
      <c r="Z102" s="63"/>
      <c r="AA102" s="63"/>
      <c r="AB102" s="63"/>
      <c r="AC102" s="52">
        <f t="shared" si="115"/>
        <v>0</v>
      </c>
      <c r="AD102" s="66">
        <f t="shared" si="116"/>
        <v>0</v>
      </c>
      <c r="AE102" s="63"/>
      <c r="AF102" s="72"/>
      <c r="AG102" s="72"/>
      <c r="AH102" s="64">
        <f t="shared" si="117"/>
        <v>0</v>
      </c>
      <c r="AI102" s="65">
        <f t="shared" si="118"/>
        <v>0</v>
      </c>
      <c r="AJ102" s="63"/>
      <c r="AK102" s="63"/>
      <c r="AL102" s="63"/>
      <c r="AM102" s="52">
        <f t="shared" si="119"/>
        <v>0</v>
      </c>
      <c r="AN102" s="66">
        <f t="shared" si="120"/>
        <v>0</v>
      </c>
      <c r="AO102" s="63"/>
      <c r="AP102" s="72"/>
      <c r="AQ102" s="72"/>
      <c r="AR102" s="64">
        <f t="shared" si="121"/>
        <v>0</v>
      </c>
      <c r="AS102" s="65">
        <f t="shared" si="122"/>
        <v>0</v>
      </c>
      <c r="AT102" s="63"/>
      <c r="AU102" s="63"/>
      <c r="AV102" s="63"/>
      <c r="AW102" s="52">
        <f t="shared" si="123"/>
        <v>0</v>
      </c>
      <c r="AX102" s="66">
        <f t="shared" si="124"/>
        <v>0</v>
      </c>
      <c r="AY102" s="63"/>
      <c r="AZ102" s="72"/>
      <c r="BA102" s="72"/>
      <c r="BB102" s="64">
        <f t="shared" si="125"/>
        <v>0</v>
      </c>
      <c r="BC102" s="65">
        <f t="shared" si="126"/>
        <v>0</v>
      </c>
      <c r="BD102" s="63"/>
      <c r="BE102" s="63"/>
      <c r="BF102" s="63"/>
      <c r="BG102" s="52">
        <f t="shared" si="127"/>
        <v>0</v>
      </c>
      <c r="BH102" s="66">
        <f t="shared" si="128"/>
        <v>0</v>
      </c>
      <c r="BI102" s="63"/>
      <c r="BJ102" s="72"/>
      <c r="BK102" s="72"/>
      <c r="BL102" s="64">
        <f t="shared" si="129"/>
        <v>0</v>
      </c>
      <c r="BM102" s="62"/>
      <c r="BN102" s="63"/>
      <c r="BO102" s="66">
        <f t="shared" si="130"/>
        <v>0</v>
      </c>
      <c r="BP102" s="67">
        <f t="shared" si="131"/>
        <v>0</v>
      </c>
      <c r="BQ102" s="68"/>
      <c r="BR102" s="63"/>
      <c r="BS102" s="202">
        <f t="shared" si="132"/>
        <v>0</v>
      </c>
      <c r="BT102" s="59">
        <f>SUM(BO102:BR102)</f>
        <v>0</v>
      </c>
      <c r="BU102" s="345"/>
      <c r="BV102" s="625"/>
      <c r="BW102" s="59">
        <f t="shared" si="135"/>
        <v>0</v>
      </c>
      <c r="BX102" s="343"/>
      <c r="CC102" s="263"/>
    </row>
    <row r="103" spans="1:81" s="58" customFormat="1" ht="15.75" thickBot="1" x14ac:dyDescent="0.25">
      <c r="A103">
        <v>58</v>
      </c>
      <c r="B103"/>
      <c r="C103" s="193" t="s">
        <v>453</v>
      </c>
      <c r="D103" s="194">
        <v>1555</v>
      </c>
      <c r="E103" s="160"/>
      <c r="F103" s="159"/>
      <c r="G103" s="136"/>
      <c r="H103" s="136"/>
      <c r="I103" s="52">
        <f t="shared" si="108"/>
        <v>0</v>
      </c>
      <c r="J103" s="136"/>
      <c r="K103" s="63"/>
      <c r="L103" s="63"/>
      <c r="M103" s="63"/>
      <c r="N103" s="64">
        <f t="shared" si="109"/>
        <v>0</v>
      </c>
      <c r="O103" s="65">
        <f t="shared" si="110"/>
        <v>0</v>
      </c>
      <c r="P103" s="63"/>
      <c r="Q103" s="63"/>
      <c r="R103" s="63"/>
      <c r="S103" s="52">
        <f t="shared" si="111"/>
        <v>0</v>
      </c>
      <c r="T103" s="66">
        <f t="shared" si="112"/>
        <v>0</v>
      </c>
      <c r="U103" s="63"/>
      <c r="V103" s="63"/>
      <c r="W103" s="63"/>
      <c r="X103" s="64">
        <f t="shared" si="113"/>
        <v>0</v>
      </c>
      <c r="Y103" s="65">
        <f t="shared" si="114"/>
        <v>0</v>
      </c>
      <c r="Z103" s="63"/>
      <c r="AA103" s="63"/>
      <c r="AB103" s="63"/>
      <c r="AC103" s="52">
        <f t="shared" si="115"/>
        <v>0</v>
      </c>
      <c r="AD103" s="66">
        <f t="shared" si="116"/>
        <v>0</v>
      </c>
      <c r="AE103" s="63"/>
      <c r="AF103" s="63"/>
      <c r="AG103" s="63"/>
      <c r="AH103" s="64">
        <f t="shared" si="117"/>
        <v>0</v>
      </c>
      <c r="AI103" s="65">
        <f t="shared" si="118"/>
        <v>0</v>
      </c>
      <c r="AJ103" s="63"/>
      <c r="AK103" s="63"/>
      <c r="AL103" s="63"/>
      <c r="AM103" s="52">
        <f t="shared" si="119"/>
        <v>0</v>
      </c>
      <c r="AN103" s="66">
        <f t="shared" si="120"/>
        <v>0</v>
      </c>
      <c r="AO103" s="63"/>
      <c r="AP103" s="63"/>
      <c r="AQ103" s="63"/>
      <c r="AR103" s="64">
        <f t="shared" si="121"/>
        <v>0</v>
      </c>
      <c r="AS103" s="65">
        <f t="shared" si="122"/>
        <v>0</v>
      </c>
      <c r="AT103" s="63"/>
      <c r="AU103" s="63"/>
      <c r="AV103" s="63"/>
      <c r="AW103" s="52">
        <f t="shared" si="123"/>
        <v>0</v>
      </c>
      <c r="AX103" s="66">
        <f t="shared" si="124"/>
        <v>0</v>
      </c>
      <c r="AY103" s="63"/>
      <c r="AZ103" s="63"/>
      <c r="BA103" s="63"/>
      <c r="BB103" s="64">
        <f t="shared" si="125"/>
        <v>0</v>
      </c>
      <c r="BC103" s="65">
        <f t="shared" si="126"/>
        <v>0</v>
      </c>
      <c r="BD103" s="63"/>
      <c r="BE103" s="63"/>
      <c r="BF103" s="63"/>
      <c r="BG103" s="52">
        <f t="shared" si="127"/>
        <v>0</v>
      </c>
      <c r="BH103" s="66">
        <f t="shared" si="128"/>
        <v>0</v>
      </c>
      <c r="BI103" s="63"/>
      <c r="BJ103" s="63"/>
      <c r="BK103" s="63"/>
      <c r="BL103" s="64">
        <f t="shared" si="129"/>
        <v>0</v>
      </c>
      <c r="BM103" s="62"/>
      <c r="BN103" s="63"/>
      <c r="BO103" s="66">
        <f t="shared" si="130"/>
        <v>0</v>
      </c>
      <c r="BP103" s="67">
        <f t="shared" si="131"/>
        <v>0</v>
      </c>
      <c r="BQ103" s="68"/>
      <c r="BR103" s="63"/>
      <c r="BS103" s="202">
        <f t="shared" si="132"/>
        <v>0</v>
      </c>
      <c r="BT103" s="59">
        <f>IF(BU103="Yes", SUM(BO103:BR103), 0)</f>
        <v>0</v>
      </c>
      <c r="BU103" s="461" t="s">
        <v>637</v>
      </c>
      <c r="BV103" s="625"/>
      <c r="BW103" s="59">
        <f t="shared" si="135"/>
        <v>0</v>
      </c>
      <c r="BX103" s="341" t="str">
        <f>IF(ABS(BW103)&gt;1,"Please provide an explanation of the variance in the tab 3 - Appendix A","")</f>
        <v/>
      </c>
      <c r="CC103" s="263"/>
    </row>
    <row r="104" spans="1:81" s="58" customFormat="1" ht="17.25" hidden="1" thickBot="1" x14ac:dyDescent="0.25">
      <c r="A104">
        <v>59</v>
      </c>
      <c r="B104"/>
      <c r="C104" s="193" t="s">
        <v>398</v>
      </c>
      <c r="D104" s="194">
        <v>1556</v>
      </c>
      <c r="E104" s="160"/>
      <c r="F104" s="159"/>
      <c r="G104" s="136"/>
      <c r="H104" s="136"/>
      <c r="I104" s="52">
        <f t="shared" si="108"/>
        <v>0</v>
      </c>
      <c r="J104" s="162"/>
      <c r="K104" s="163"/>
      <c r="L104" s="136"/>
      <c r="M104" s="136"/>
      <c r="N104" s="64">
        <f t="shared" si="109"/>
        <v>0</v>
      </c>
      <c r="O104" s="74">
        <f t="shared" si="110"/>
        <v>0</v>
      </c>
      <c r="P104" s="63"/>
      <c r="Q104" s="63"/>
      <c r="R104" s="63"/>
      <c r="S104" s="52">
        <f t="shared" si="111"/>
        <v>0</v>
      </c>
      <c r="T104" s="75">
        <f t="shared" si="112"/>
        <v>0</v>
      </c>
      <c r="U104" s="63"/>
      <c r="V104" s="63"/>
      <c r="W104" s="63"/>
      <c r="X104" s="64">
        <f t="shared" si="113"/>
        <v>0</v>
      </c>
      <c r="Y104" s="74">
        <f t="shared" si="114"/>
        <v>0</v>
      </c>
      <c r="Z104" s="63"/>
      <c r="AA104" s="63"/>
      <c r="AB104" s="63"/>
      <c r="AC104" s="52">
        <f t="shared" si="115"/>
        <v>0</v>
      </c>
      <c r="AD104" s="75">
        <f t="shared" si="116"/>
        <v>0</v>
      </c>
      <c r="AE104" s="63"/>
      <c r="AF104" s="63"/>
      <c r="AG104" s="63"/>
      <c r="AH104" s="64">
        <f t="shared" si="117"/>
        <v>0</v>
      </c>
      <c r="AI104" s="74">
        <f t="shared" si="118"/>
        <v>0</v>
      </c>
      <c r="AJ104" s="63"/>
      <c r="AK104" s="63"/>
      <c r="AL104" s="63"/>
      <c r="AM104" s="52">
        <f t="shared" si="119"/>
        <v>0</v>
      </c>
      <c r="AN104" s="75">
        <f t="shared" si="120"/>
        <v>0</v>
      </c>
      <c r="AO104" s="63"/>
      <c r="AP104" s="63"/>
      <c r="AQ104" s="63"/>
      <c r="AR104" s="64">
        <f t="shared" si="121"/>
        <v>0</v>
      </c>
      <c r="AS104" s="74">
        <f t="shared" si="122"/>
        <v>0</v>
      </c>
      <c r="AT104" s="63"/>
      <c r="AU104" s="63"/>
      <c r="AV104" s="63"/>
      <c r="AW104" s="52">
        <f t="shared" si="123"/>
        <v>0</v>
      </c>
      <c r="AX104" s="75">
        <f t="shared" si="124"/>
        <v>0</v>
      </c>
      <c r="AY104" s="63"/>
      <c r="AZ104" s="63"/>
      <c r="BA104" s="63"/>
      <c r="BB104" s="64">
        <f t="shared" si="125"/>
        <v>0</v>
      </c>
      <c r="BC104" s="74">
        <f t="shared" si="126"/>
        <v>0</v>
      </c>
      <c r="BD104" s="63"/>
      <c r="BE104" s="63"/>
      <c r="BF104" s="63"/>
      <c r="BG104" s="52">
        <f t="shared" si="127"/>
        <v>0</v>
      </c>
      <c r="BH104" s="75">
        <f t="shared" si="128"/>
        <v>0</v>
      </c>
      <c r="BI104" s="63"/>
      <c r="BJ104" s="63"/>
      <c r="BK104" s="63"/>
      <c r="BL104" s="64">
        <f t="shared" si="129"/>
        <v>0</v>
      </c>
      <c r="BM104" s="62"/>
      <c r="BN104" s="63"/>
      <c r="BO104" s="66">
        <f t="shared" si="130"/>
        <v>0</v>
      </c>
      <c r="BP104" s="67">
        <f t="shared" si="131"/>
        <v>0</v>
      </c>
      <c r="BQ104" s="68"/>
      <c r="BR104" s="63"/>
      <c r="BS104" s="202">
        <f t="shared" si="132"/>
        <v>0</v>
      </c>
      <c r="BT104" s="59">
        <f>SUM(BO104:BR104)</f>
        <v>0</v>
      </c>
      <c r="BU104" s="345"/>
      <c r="BV104" s="625"/>
      <c r="BW104" s="59">
        <f t="shared" si="135"/>
        <v>0</v>
      </c>
      <c r="BX104" s="343"/>
      <c r="CC104" s="263"/>
    </row>
    <row r="105" spans="1:81" s="58" customFormat="1" ht="17.25" thickBot="1" x14ac:dyDescent="0.25">
      <c r="A105">
        <v>60</v>
      </c>
      <c r="B105"/>
      <c r="C105" s="193" t="s">
        <v>2956</v>
      </c>
      <c r="D105" s="194">
        <v>1557</v>
      </c>
      <c r="E105" s="197"/>
      <c r="F105" s="500"/>
      <c r="G105" s="500"/>
      <c r="H105" s="500"/>
      <c r="I105" s="52"/>
      <c r="J105" s="320"/>
      <c r="K105" s="500"/>
      <c r="L105" s="500"/>
      <c r="M105" s="500"/>
      <c r="N105" s="64"/>
      <c r="O105" s="65"/>
      <c r="P105" s="501"/>
      <c r="Q105" s="501"/>
      <c r="R105" s="501"/>
      <c r="S105" s="52">
        <f t="shared" si="111"/>
        <v>0</v>
      </c>
      <c r="T105" s="66"/>
      <c r="U105" s="63"/>
      <c r="V105" s="63"/>
      <c r="W105" s="63"/>
      <c r="X105" s="64">
        <f t="shared" si="113"/>
        <v>0</v>
      </c>
      <c r="Y105" s="65">
        <f t="shared" si="114"/>
        <v>0</v>
      </c>
      <c r="Z105" s="63"/>
      <c r="AA105" s="63"/>
      <c r="AB105" s="63"/>
      <c r="AC105" s="52">
        <f>Y105+Z105-AA105+AB105</f>
        <v>0</v>
      </c>
      <c r="AD105" s="66">
        <f>X105</f>
        <v>0</v>
      </c>
      <c r="AE105" s="63"/>
      <c r="AF105" s="63"/>
      <c r="AG105" s="63"/>
      <c r="AH105" s="64">
        <f t="shared" si="117"/>
        <v>0</v>
      </c>
      <c r="AI105" s="74">
        <f t="shared" si="118"/>
        <v>0</v>
      </c>
      <c r="AJ105" s="63"/>
      <c r="AK105" s="63"/>
      <c r="AL105" s="63"/>
      <c r="AM105" s="52">
        <f>AI105+AJ105-AK105+SUM(AL105:AL105)</f>
        <v>0</v>
      </c>
      <c r="AN105" s="75">
        <f t="shared" si="120"/>
        <v>0</v>
      </c>
      <c r="AO105" s="63"/>
      <c r="AP105" s="63"/>
      <c r="AQ105" s="63"/>
      <c r="AR105" s="64">
        <f t="shared" si="121"/>
        <v>0</v>
      </c>
      <c r="AS105" s="65">
        <f>AM105</f>
        <v>0</v>
      </c>
      <c r="AT105" s="63"/>
      <c r="AU105" s="63"/>
      <c r="AV105" s="63"/>
      <c r="AW105" s="52">
        <f>AS105+AT105-AU105+AV105</f>
        <v>0</v>
      </c>
      <c r="AX105" s="66">
        <f>AR105</f>
        <v>0</v>
      </c>
      <c r="AY105" s="63"/>
      <c r="AZ105" s="63"/>
      <c r="BA105" s="63"/>
      <c r="BB105" s="64">
        <f>AX105+AY105-AZ105+BA105</f>
        <v>0</v>
      </c>
      <c r="BC105" s="65">
        <f t="shared" si="126"/>
        <v>0</v>
      </c>
      <c r="BD105" s="63"/>
      <c r="BE105" s="63"/>
      <c r="BF105" s="63"/>
      <c r="BG105" s="52">
        <f t="shared" si="127"/>
        <v>0</v>
      </c>
      <c r="BH105" s="66">
        <f t="shared" si="128"/>
        <v>0</v>
      </c>
      <c r="BI105" s="63"/>
      <c r="BJ105" s="63"/>
      <c r="BK105" s="63"/>
      <c r="BL105" s="64">
        <f t="shared" si="129"/>
        <v>0</v>
      </c>
      <c r="BM105" s="62"/>
      <c r="BN105" s="63"/>
      <c r="BO105" s="66">
        <f t="shared" si="130"/>
        <v>0</v>
      </c>
      <c r="BP105" s="67">
        <f t="shared" si="131"/>
        <v>0</v>
      </c>
      <c r="BQ105" s="68"/>
      <c r="BR105" s="63"/>
      <c r="BS105" s="202">
        <f t="shared" si="132"/>
        <v>0</v>
      </c>
      <c r="BT105" s="59">
        <f>SUM(BO105:BR105)</f>
        <v>0</v>
      </c>
      <c r="BU105" s="345"/>
      <c r="BV105" s="625"/>
      <c r="BW105" s="59">
        <f t="shared" si="135"/>
        <v>0</v>
      </c>
      <c r="BX105" s="341" t="str">
        <f>IF(ABS(BW105)&gt;1,"Please provide an explanation of the variance in the tab 3 - Appendix A","")</f>
        <v/>
      </c>
      <c r="CC105" s="263"/>
    </row>
    <row r="106" spans="1:81" s="58" customFormat="1" ht="15" thickBot="1" x14ac:dyDescent="0.25">
      <c r="A106"/>
      <c r="B106"/>
      <c r="C106" s="193"/>
      <c r="D106" s="194"/>
      <c r="E106" s="77"/>
      <c r="F106" s="52"/>
      <c r="G106" s="52"/>
      <c r="H106" s="52"/>
      <c r="I106" s="52"/>
      <c r="J106" s="52"/>
      <c r="K106" s="52"/>
      <c r="L106" s="52"/>
      <c r="M106" s="52"/>
      <c r="N106" s="52"/>
      <c r="O106" s="51"/>
      <c r="P106" s="52"/>
      <c r="Q106" s="52"/>
      <c r="R106" s="52"/>
      <c r="S106" s="52"/>
      <c r="T106" s="52"/>
      <c r="U106" s="52"/>
      <c r="V106" s="52"/>
      <c r="W106" s="52"/>
      <c r="X106" s="52"/>
      <c r="Y106" s="51"/>
      <c r="Z106" s="52"/>
      <c r="AA106" s="52"/>
      <c r="AB106" s="52"/>
      <c r="AC106" s="52"/>
      <c r="AD106" s="52"/>
      <c r="AE106" s="52"/>
      <c r="AF106" s="52"/>
      <c r="AG106" s="52"/>
      <c r="AH106" s="52"/>
      <c r="AI106" s="51"/>
      <c r="AJ106" s="52"/>
      <c r="AK106" s="52"/>
      <c r="AL106" s="52"/>
      <c r="AM106" s="52"/>
      <c r="AN106" s="52"/>
      <c r="AO106" s="52"/>
      <c r="AP106" s="52"/>
      <c r="AQ106" s="52"/>
      <c r="AR106" s="52"/>
      <c r="AS106" s="51"/>
      <c r="AT106" s="52"/>
      <c r="AU106" s="52"/>
      <c r="AV106" s="52"/>
      <c r="AW106" s="52"/>
      <c r="AX106" s="52"/>
      <c r="AY106" s="52"/>
      <c r="AZ106" s="52"/>
      <c r="BA106" s="52"/>
      <c r="BB106" s="52"/>
      <c r="BC106" s="51"/>
      <c r="BD106" s="52"/>
      <c r="BE106" s="52"/>
      <c r="BF106" s="52"/>
      <c r="BG106" s="52"/>
      <c r="BH106" s="52"/>
      <c r="BI106" s="52"/>
      <c r="BJ106" s="52"/>
      <c r="BK106" s="52"/>
      <c r="BL106" s="52"/>
      <c r="BM106" s="51"/>
      <c r="BN106" s="52"/>
      <c r="BO106" s="52"/>
      <c r="BP106" s="52"/>
      <c r="BQ106" s="51"/>
      <c r="BR106" s="52"/>
      <c r="BS106" s="52"/>
      <c r="BT106" s="59"/>
      <c r="BU106" s="345"/>
      <c r="BV106" s="554"/>
      <c r="BW106" s="69"/>
      <c r="BX106" s="343"/>
      <c r="CC106" s="263"/>
    </row>
    <row r="107" spans="1:81" s="58" customFormat="1" ht="15.75" thickBot="1" x14ac:dyDescent="0.25">
      <c r="A107">
        <v>61</v>
      </c>
      <c r="B107"/>
      <c r="C107" s="213" t="s">
        <v>124</v>
      </c>
      <c r="D107" s="214">
        <v>1575</v>
      </c>
      <c r="E107" s="161"/>
      <c r="F107" s="136"/>
      <c r="G107" s="136"/>
      <c r="H107" s="136"/>
      <c r="I107" s="52">
        <f>E107+F107-G107+H107</f>
        <v>0</v>
      </c>
      <c r="J107" s="142"/>
      <c r="K107" s="70"/>
      <c r="L107" s="70"/>
      <c r="M107" s="70"/>
      <c r="N107" s="64"/>
      <c r="O107" s="265">
        <f>I107</f>
        <v>0</v>
      </c>
      <c r="P107" s="179"/>
      <c r="Q107" s="63"/>
      <c r="R107" s="63"/>
      <c r="S107" s="52">
        <f>O107+P107-Q107+R107</f>
        <v>0</v>
      </c>
      <c r="T107" s="142"/>
      <c r="U107" s="70"/>
      <c r="V107" s="70"/>
      <c r="W107" s="70"/>
      <c r="X107" s="64"/>
      <c r="Y107" s="267">
        <f>S107</f>
        <v>0</v>
      </c>
      <c r="Z107" s="179"/>
      <c r="AA107" s="63"/>
      <c r="AB107" s="63"/>
      <c r="AC107" s="52">
        <f>Y107+Z107-AA107+AB107</f>
        <v>0</v>
      </c>
      <c r="AD107" s="142"/>
      <c r="AE107" s="70"/>
      <c r="AF107" s="70"/>
      <c r="AG107" s="70"/>
      <c r="AH107" s="64"/>
      <c r="AI107" s="65">
        <f>AC107</f>
        <v>0</v>
      </c>
      <c r="AJ107" s="179"/>
      <c r="AK107" s="63"/>
      <c r="AL107" s="63"/>
      <c r="AM107" s="52">
        <f>AI107+AJ107-AK107+SUM(AL107:AL107)</f>
        <v>0</v>
      </c>
      <c r="AN107" s="142"/>
      <c r="AO107" s="70"/>
      <c r="AP107" s="70"/>
      <c r="AQ107" s="70"/>
      <c r="AR107" s="64"/>
      <c r="AS107" s="143">
        <f>AM107</f>
        <v>0</v>
      </c>
      <c r="AT107" s="179"/>
      <c r="AU107" s="63"/>
      <c r="AV107" s="63"/>
      <c r="AW107" s="52">
        <f t="shared" si="123"/>
        <v>0</v>
      </c>
      <c r="AX107" s="142"/>
      <c r="AY107" s="70"/>
      <c r="AZ107" s="70"/>
      <c r="BA107" s="70"/>
      <c r="BB107" s="64"/>
      <c r="BC107" s="143">
        <f>AW107</f>
        <v>0</v>
      </c>
      <c r="BD107" s="63"/>
      <c r="BE107" s="63"/>
      <c r="BF107" s="63"/>
      <c r="BG107" s="52">
        <f>BC107+BD107-BE107+SUM(BF107:BF107)</f>
        <v>0</v>
      </c>
      <c r="BH107" s="142"/>
      <c r="BI107" s="70"/>
      <c r="BJ107" s="70"/>
      <c r="BK107" s="70"/>
      <c r="BL107" s="64"/>
      <c r="BM107" s="62"/>
      <c r="BN107" s="70"/>
      <c r="BO107" s="66">
        <f>BG107-BM107</f>
        <v>0</v>
      </c>
      <c r="BP107" s="67"/>
      <c r="BQ107" s="70"/>
      <c r="BR107" s="70"/>
      <c r="BS107" s="70"/>
      <c r="BT107" s="59">
        <f>IF(BU107="Yes", SUM(BO107:BR107), 0)</f>
        <v>0</v>
      </c>
      <c r="BU107" s="461" t="s">
        <v>637</v>
      </c>
      <c r="BV107" s="625"/>
      <c r="BW107" s="59">
        <f>BV107-SUM(BG107,BL107)</f>
        <v>0</v>
      </c>
      <c r="BX107" s="341" t="str">
        <f>IF(ABS(BW107)&gt;1,"Please provide an explanation of the variance in the tab 3 - Appendix A","")</f>
        <v/>
      </c>
      <c r="CB107">
        <v>1575</v>
      </c>
      <c r="CC107" s="263" t="b">
        <v>0</v>
      </c>
    </row>
    <row r="108" spans="1:81" s="58" customFormat="1" ht="15.75" thickBot="1" x14ac:dyDescent="0.25">
      <c r="A108">
        <v>62</v>
      </c>
      <c r="B108"/>
      <c r="C108" s="213" t="s">
        <v>125</v>
      </c>
      <c r="D108" s="214">
        <v>1576</v>
      </c>
      <c r="E108" s="161"/>
      <c r="F108" s="136"/>
      <c r="G108" s="136"/>
      <c r="H108" s="136"/>
      <c r="I108" s="52">
        <f>E108+F108-G108+H108</f>
        <v>0</v>
      </c>
      <c r="J108" s="66"/>
      <c r="K108" s="70"/>
      <c r="L108" s="70"/>
      <c r="M108" s="70"/>
      <c r="N108" s="64"/>
      <c r="O108" s="265">
        <f>I108</f>
        <v>0</v>
      </c>
      <c r="P108" s="179"/>
      <c r="Q108" s="63"/>
      <c r="R108" s="63"/>
      <c r="S108" s="52">
        <f>O108+P108-Q108+R108</f>
        <v>0</v>
      </c>
      <c r="T108" s="66"/>
      <c r="U108" s="70"/>
      <c r="V108" s="70"/>
      <c r="W108" s="70"/>
      <c r="X108" s="64"/>
      <c r="Y108" s="266">
        <f>S108</f>
        <v>0</v>
      </c>
      <c r="Z108" s="179"/>
      <c r="AA108" s="63"/>
      <c r="AB108" s="63"/>
      <c r="AC108" s="52">
        <f>Y108+Z108-AA108+AB108</f>
        <v>0</v>
      </c>
      <c r="AD108" s="66"/>
      <c r="AE108" s="70"/>
      <c r="AF108" s="70"/>
      <c r="AG108" s="70"/>
      <c r="AH108" s="64"/>
      <c r="AI108" s="74">
        <f t="shared" si="118"/>
        <v>0</v>
      </c>
      <c r="AJ108" s="179"/>
      <c r="AK108" s="63"/>
      <c r="AL108" s="63"/>
      <c r="AM108" s="52">
        <f>AI108+AJ108-AK108+SUM(AL108:AL108)</f>
        <v>0</v>
      </c>
      <c r="AN108" s="66"/>
      <c r="AO108" s="70"/>
      <c r="AP108" s="70"/>
      <c r="AQ108" s="70"/>
      <c r="AR108" s="64"/>
      <c r="AS108" s="65">
        <f>AM108</f>
        <v>0</v>
      </c>
      <c r="AT108" s="179"/>
      <c r="AU108" s="63"/>
      <c r="AV108" s="63"/>
      <c r="AW108" s="52">
        <f t="shared" si="123"/>
        <v>0</v>
      </c>
      <c r="AX108" s="66"/>
      <c r="AY108" s="70"/>
      <c r="AZ108" s="70"/>
      <c r="BA108" s="70"/>
      <c r="BB108" s="64"/>
      <c r="BC108" s="65">
        <f>AW108</f>
        <v>0</v>
      </c>
      <c r="BD108" s="136"/>
      <c r="BE108" s="136"/>
      <c r="BF108" s="136"/>
      <c r="BG108" s="52">
        <f>BC108+BD108-BE108+SUM(BF108:BF108)</f>
        <v>0</v>
      </c>
      <c r="BH108" s="66"/>
      <c r="BI108" s="70"/>
      <c r="BJ108" s="70"/>
      <c r="BK108" s="70"/>
      <c r="BL108" s="64"/>
      <c r="BM108" s="71"/>
      <c r="BN108" s="70"/>
      <c r="BO108" s="66">
        <f>BG108-BM108</f>
        <v>0</v>
      </c>
      <c r="BP108" s="67"/>
      <c r="BQ108" s="70"/>
      <c r="BR108" s="70"/>
      <c r="BS108" s="70"/>
      <c r="BT108" s="59">
        <f>IF(BU108="Yes", SUM(BO108:BR108), 0)</f>
        <v>0</v>
      </c>
      <c r="BU108" s="461" t="s">
        <v>637</v>
      </c>
      <c r="BV108" s="625"/>
      <c r="BW108" s="59">
        <f>BV108-SUM(BG108,BL108)</f>
        <v>0</v>
      </c>
      <c r="BX108" s="341" t="str">
        <f>IF(ABS(BW108)&gt;1,"Please provide an explanation of the variance in the tab 3 - Appendix A","")</f>
        <v/>
      </c>
      <c r="CB108">
        <v>1576</v>
      </c>
      <c r="CC108" s="263" t="b">
        <v>0</v>
      </c>
    </row>
    <row r="109" spans="1:81" s="58" customFormat="1" ht="15" thickBot="1" x14ac:dyDescent="0.25">
      <c r="A109"/>
      <c r="B109"/>
      <c r="C109" s="213"/>
      <c r="D109" s="590"/>
      <c r="E109" s="77"/>
      <c r="F109" s="52"/>
      <c r="G109" s="52"/>
      <c r="H109" s="52"/>
      <c r="I109" s="52"/>
      <c r="J109" s="52"/>
      <c r="K109" s="52"/>
      <c r="L109" s="52"/>
      <c r="M109" s="52"/>
      <c r="N109" s="52"/>
      <c r="O109" s="51"/>
      <c r="P109" s="52"/>
      <c r="Q109" s="52"/>
      <c r="R109" s="52"/>
      <c r="S109" s="52"/>
      <c r="T109" s="52"/>
      <c r="U109" s="52"/>
      <c r="V109" s="52"/>
      <c r="W109" s="52"/>
      <c r="X109" s="52"/>
      <c r="Y109" s="51"/>
      <c r="Z109" s="52"/>
      <c r="AA109" s="52"/>
      <c r="AB109" s="52"/>
      <c r="AC109" s="52"/>
      <c r="AD109" s="52"/>
      <c r="AE109" s="52"/>
      <c r="AF109" s="52"/>
      <c r="AG109" s="52"/>
      <c r="AH109" s="52"/>
      <c r="AI109" s="51"/>
      <c r="AJ109" s="52"/>
      <c r="AK109" s="52"/>
      <c r="AL109" s="52"/>
      <c r="AM109" s="52"/>
      <c r="AN109" s="52"/>
      <c r="AO109" s="52"/>
      <c r="AP109" s="52"/>
      <c r="AQ109" s="52"/>
      <c r="AR109" s="52"/>
      <c r="AS109" s="51"/>
      <c r="AT109" s="52"/>
      <c r="AU109" s="52"/>
      <c r="AV109" s="52"/>
      <c r="AW109" s="52"/>
      <c r="AX109" s="52"/>
      <c r="AY109" s="52"/>
      <c r="AZ109" s="52"/>
      <c r="BA109" s="52"/>
      <c r="BB109" s="52"/>
      <c r="BC109" s="51"/>
      <c r="BD109" s="52"/>
      <c r="BE109" s="52"/>
      <c r="BF109" s="52"/>
      <c r="BG109" s="52"/>
      <c r="BH109" s="52"/>
      <c r="BI109" s="52"/>
      <c r="BJ109" s="52"/>
      <c r="BK109" s="52"/>
      <c r="BL109" s="52"/>
      <c r="BM109" s="51"/>
      <c r="BN109" s="52"/>
      <c r="BO109" s="52"/>
      <c r="BP109" s="52"/>
      <c r="BQ109" s="51"/>
      <c r="BR109" s="52"/>
      <c r="BS109" s="52"/>
      <c r="BT109" s="59"/>
      <c r="BU109" s="345"/>
      <c r="BV109" s="554"/>
      <c r="BW109" s="69"/>
      <c r="BX109" s="341"/>
      <c r="CB109"/>
      <c r="CC109" s="263"/>
    </row>
    <row r="110" spans="1:81" s="58" customFormat="1" ht="17.25" thickBot="1" x14ac:dyDescent="0.25">
      <c r="A110">
        <v>63</v>
      </c>
      <c r="B110"/>
      <c r="C110" s="217" t="s">
        <v>3464</v>
      </c>
      <c r="D110" s="218">
        <v>1509</v>
      </c>
      <c r="E110" s="647"/>
      <c r="F110" s="648"/>
      <c r="G110" s="649"/>
      <c r="H110" s="649"/>
      <c r="I110" s="593">
        <f>E110+F110-G110+H110</f>
        <v>0</v>
      </c>
      <c r="J110" s="649"/>
      <c r="K110" s="649"/>
      <c r="L110" s="649"/>
      <c r="M110" s="649"/>
      <c r="N110" s="594">
        <f>J110+K110-L110+M110</f>
        <v>0</v>
      </c>
      <c r="O110" s="595">
        <f>I110</f>
        <v>0</v>
      </c>
      <c r="P110" s="649"/>
      <c r="Q110" s="649"/>
      <c r="R110" s="649"/>
      <c r="S110" s="593">
        <f>O110+P110-Q110+R110</f>
        <v>0</v>
      </c>
      <c r="T110" s="596">
        <f>N110</f>
        <v>0</v>
      </c>
      <c r="U110" s="649"/>
      <c r="V110" s="649"/>
      <c r="W110" s="649"/>
      <c r="X110" s="594">
        <f>T110+U110-V110+W110</f>
        <v>0</v>
      </c>
      <c r="Y110" s="595">
        <f>S110</f>
        <v>0</v>
      </c>
      <c r="Z110" s="649"/>
      <c r="AA110" s="649"/>
      <c r="AB110" s="649"/>
      <c r="AC110" s="593">
        <f>Y110+Z110-AA110+AB110</f>
        <v>0</v>
      </c>
      <c r="AD110" s="596">
        <f>X110</f>
        <v>0</v>
      </c>
      <c r="AE110" s="649"/>
      <c r="AF110" s="649"/>
      <c r="AG110" s="649"/>
      <c r="AH110" s="594">
        <f>AD110+AE110-AF110+AG110</f>
        <v>0</v>
      </c>
      <c r="AI110" s="595">
        <f>AC110</f>
        <v>0</v>
      </c>
      <c r="AJ110" s="649"/>
      <c r="AK110" s="649"/>
      <c r="AL110" s="649"/>
      <c r="AM110" s="593">
        <f>AI110+AJ110-AK110+SUM(AL110:AL110)</f>
        <v>0</v>
      </c>
      <c r="AN110" s="596">
        <f>AH110</f>
        <v>0</v>
      </c>
      <c r="AO110" s="649"/>
      <c r="AP110" s="649"/>
      <c r="AQ110" s="649"/>
      <c r="AR110" s="594">
        <f>AN110+AO110-AP110+AQ110</f>
        <v>0</v>
      </c>
      <c r="AS110" s="595">
        <f>AM110</f>
        <v>0</v>
      </c>
      <c r="AT110" s="592">
        <v>1144181.1599999999</v>
      </c>
      <c r="AU110" s="592"/>
      <c r="AV110" s="592"/>
      <c r="AW110" s="593">
        <f>AS110+AT110-AU110+AV110</f>
        <v>1144181.1599999999</v>
      </c>
      <c r="AX110" s="596">
        <f>AR110</f>
        <v>0</v>
      </c>
      <c r="AY110" s="592">
        <v>5885</v>
      </c>
      <c r="AZ110" s="592"/>
      <c r="BA110" s="592"/>
      <c r="BB110" s="594">
        <f>AX110+AY110-AZ110+BA110</f>
        <v>5885</v>
      </c>
      <c r="BC110" s="595">
        <f>AW110</f>
        <v>1144181.1599999999</v>
      </c>
      <c r="BD110" s="592">
        <v>-761152</v>
      </c>
      <c r="BE110" s="592"/>
      <c r="BF110" s="592">
        <f>-50238.51-26654</f>
        <v>-76892.510000000009</v>
      </c>
      <c r="BG110" s="593">
        <f>BC110+BD110-BE110+SUM(BF110:BF110)</f>
        <v>306136.64999999991</v>
      </c>
      <c r="BH110" s="596">
        <f>BB110</f>
        <v>5885</v>
      </c>
      <c r="BI110" s="592">
        <v>4308</v>
      </c>
      <c r="BJ110" s="592"/>
      <c r="BK110" s="592"/>
      <c r="BL110" s="594">
        <f>BH110+BI110-BJ110+BK110</f>
        <v>10193</v>
      </c>
      <c r="BM110" s="597"/>
      <c r="BN110" s="592"/>
      <c r="BO110" s="596">
        <f>BG110-BM110</f>
        <v>306136.64999999991</v>
      </c>
      <c r="BP110" s="598">
        <f>BL110-BN110</f>
        <v>10193</v>
      </c>
      <c r="BQ110" s="597">
        <f t="shared" ref="BQ110" si="136">(BO110*3/12*0.57%)+(BO110*3/12*1.02%)+(BO110*3/12*2.2%)+(BO110*3/12*3.87%)</f>
        <v>5862.5168474999982</v>
      </c>
      <c r="BR110" s="592">
        <f t="shared" ref="BR110" si="137">BO110*(3.87%)*4/12</f>
        <v>3949.1627849999986</v>
      </c>
      <c r="BS110" s="599">
        <f>BP110+BQ110+BR110</f>
        <v>20004.679632499996</v>
      </c>
      <c r="BT110" s="601">
        <f>IF(BU110="Yes", SUM(BO110:BR110), 0)</f>
        <v>326141.3296324999</v>
      </c>
      <c r="BU110" s="600" t="s">
        <v>3037</v>
      </c>
      <c r="BV110" s="651">
        <v>393221.86</v>
      </c>
      <c r="BW110" s="601">
        <f>BV110-SUM(BG110,BL110)</f>
        <v>76892.210000000079</v>
      </c>
      <c r="BX110" s="343"/>
      <c r="CC110" s="263"/>
    </row>
    <row r="111" spans="1:81" x14ac:dyDescent="0.2">
      <c r="BV111" s="652"/>
    </row>
    <row r="112" spans="1:81" x14ac:dyDescent="0.2">
      <c r="BT112" s="58">
        <f>BT110+BT91</f>
        <v>-24226.511857336969</v>
      </c>
      <c r="BU112" s="58"/>
      <c r="BV112" s="58">
        <f>SUM(BV47:BV110)</f>
        <v>5798786.8799999999</v>
      </c>
    </row>
    <row r="113" spans="1:68" ht="30.75" customHeight="1" x14ac:dyDescent="0.2">
      <c r="B113" s="274"/>
      <c r="C113" s="760" t="s">
        <v>160</v>
      </c>
      <c r="D113" s="760"/>
      <c r="E113" s="760"/>
      <c r="F113" s="760"/>
      <c r="G113" s="273"/>
      <c r="H113" s="273"/>
      <c r="I113" s="273"/>
    </row>
    <row r="114" spans="1:68" ht="29.25" customHeight="1" x14ac:dyDescent="0.2">
      <c r="A114" s="80"/>
      <c r="B114" s="275"/>
      <c r="C114" s="740"/>
      <c r="D114" s="740"/>
      <c r="E114" s="494"/>
      <c r="F114" s="494"/>
      <c r="G114" s="494"/>
      <c r="H114" s="494"/>
      <c r="I114" s="276"/>
      <c r="L114" s="45"/>
      <c r="M114" s="45"/>
      <c r="V114" s="45"/>
      <c r="W114" s="45"/>
      <c r="AF114" s="45"/>
      <c r="AG114" s="45"/>
      <c r="AP114" s="45"/>
      <c r="AQ114" s="45"/>
      <c r="AZ114" s="45"/>
      <c r="BA114" s="45"/>
      <c r="BJ114" s="45"/>
      <c r="BK114" s="45"/>
      <c r="BM114" s="45"/>
      <c r="BN114" s="45"/>
      <c r="BO114" s="45"/>
      <c r="BP114" s="45"/>
    </row>
    <row r="115" spans="1:68" ht="34.5" customHeight="1" x14ac:dyDescent="0.2">
      <c r="A115" s="80"/>
      <c r="B115" s="275">
        <v>1</v>
      </c>
      <c r="C115" s="740" t="s">
        <v>2913</v>
      </c>
      <c r="D115" s="740"/>
      <c r="E115" s="276"/>
      <c r="F115" s="276"/>
      <c r="G115" s="276"/>
      <c r="H115" s="276"/>
      <c r="I115" s="276"/>
      <c r="L115" s="45"/>
      <c r="M115" s="45"/>
      <c r="V115" s="45"/>
      <c r="W115" s="45"/>
      <c r="AF115" s="45"/>
      <c r="AG115" s="45"/>
      <c r="AP115" s="45"/>
      <c r="AQ115" s="45"/>
      <c r="AZ115" s="45"/>
      <c r="BA115" s="45"/>
      <c r="BJ115" s="45"/>
      <c r="BK115" s="45"/>
      <c r="BM115" s="45"/>
      <c r="BN115" s="45"/>
      <c r="BO115" s="45"/>
      <c r="BP115" s="45"/>
    </row>
    <row r="116" spans="1:68" ht="76.900000000000006" customHeight="1" x14ac:dyDescent="0.2">
      <c r="A116" s="80"/>
      <c r="B116" s="275">
        <v>2</v>
      </c>
      <c r="C116" s="740" t="s">
        <v>3438</v>
      </c>
      <c r="D116" s="740"/>
      <c r="E116" s="277"/>
      <c r="F116" s="276"/>
      <c r="G116" s="276"/>
      <c r="H116" s="276"/>
      <c r="I116" s="276"/>
      <c r="L116" s="45"/>
      <c r="M116" s="45"/>
      <c r="V116" s="45"/>
      <c r="W116" s="45"/>
      <c r="AF116" s="45"/>
      <c r="AG116" s="45"/>
      <c r="AP116" s="45"/>
      <c r="AQ116" s="45"/>
      <c r="AZ116" s="45"/>
      <c r="BA116" s="45"/>
      <c r="BJ116" s="45"/>
      <c r="BK116" s="45"/>
      <c r="BM116" s="45"/>
      <c r="BN116" s="45"/>
      <c r="BO116" s="45"/>
      <c r="BP116" s="45"/>
    </row>
    <row r="117" spans="1:68" ht="52.9" customHeight="1" x14ac:dyDescent="0.2">
      <c r="A117" s="80"/>
      <c r="B117" s="275">
        <v>3</v>
      </c>
      <c r="C117" s="740" t="s">
        <v>2922</v>
      </c>
      <c r="D117" s="740"/>
      <c r="E117" s="494"/>
      <c r="F117" s="494"/>
      <c r="G117" s="494"/>
      <c r="H117" s="494"/>
      <c r="I117" s="494"/>
      <c r="L117" s="45"/>
      <c r="M117" s="45"/>
      <c r="V117" s="45"/>
      <c r="W117" s="45"/>
      <c r="AF117" s="45"/>
      <c r="AG117" s="45"/>
      <c r="AP117" s="45"/>
      <c r="AQ117" s="45"/>
      <c r="AZ117" s="45"/>
      <c r="BA117" s="45"/>
      <c r="BJ117" s="45"/>
      <c r="BK117" s="45"/>
      <c r="BM117" s="45"/>
      <c r="BN117" s="45"/>
      <c r="BO117" s="45"/>
      <c r="BP117" s="45"/>
    </row>
    <row r="118" spans="1:68" ht="46.15" customHeight="1" x14ac:dyDescent="0.2">
      <c r="A118" s="80"/>
      <c r="B118" s="275">
        <v>4</v>
      </c>
      <c r="C118" s="740" t="s">
        <v>2923</v>
      </c>
      <c r="D118" s="740"/>
      <c r="E118" s="494"/>
      <c r="F118" s="494"/>
      <c r="G118" s="494"/>
      <c r="H118" s="494"/>
      <c r="I118" s="494"/>
    </row>
    <row r="119" spans="1:68" ht="52.9" customHeight="1" x14ac:dyDescent="0.2">
      <c r="A119" s="80"/>
      <c r="B119" s="275">
        <v>5</v>
      </c>
      <c r="C119" s="740" t="s">
        <v>2924</v>
      </c>
      <c r="D119" s="740"/>
      <c r="E119" s="494"/>
      <c r="F119" s="494"/>
      <c r="G119" s="494"/>
      <c r="H119" s="494"/>
      <c r="I119" s="494"/>
    </row>
    <row r="120" spans="1:68" ht="46.15" customHeight="1" x14ac:dyDescent="0.2">
      <c r="A120" s="80"/>
      <c r="B120" s="275">
        <v>6</v>
      </c>
      <c r="C120" s="740" t="s">
        <v>2925</v>
      </c>
      <c r="D120" s="740"/>
      <c r="E120" s="494"/>
      <c r="F120" s="494"/>
      <c r="G120" s="494"/>
      <c r="H120" s="494"/>
      <c r="I120" s="494"/>
    </row>
    <row r="121" spans="1:68" ht="60.75" customHeight="1" x14ac:dyDescent="0.2">
      <c r="A121" s="80"/>
      <c r="B121" s="275">
        <v>7</v>
      </c>
      <c r="C121" s="740" t="s">
        <v>3051</v>
      </c>
      <c r="D121" s="740"/>
      <c r="E121" s="494"/>
      <c r="F121" s="494"/>
      <c r="G121" s="494"/>
      <c r="H121" s="494"/>
      <c r="I121" s="494"/>
    </row>
    <row r="122" spans="1:68" ht="52.5" customHeight="1" x14ac:dyDescent="0.2">
      <c r="A122" s="80"/>
      <c r="B122" s="275">
        <v>8</v>
      </c>
      <c r="C122" s="740" t="s">
        <v>3063</v>
      </c>
      <c r="D122" s="740"/>
      <c r="E122" s="494"/>
      <c r="F122" s="494"/>
      <c r="G122" s="494"/>
      <c r="H122" s="494"/>
      <c r="I122" s="494"/>
    </row>
    <row r="123" spans="1:68" ht="89.25" customHeight="1" x14ac:dyDescent="0.2">
      <c r="B123" s="275">
        <v>9</v>
      </c>
      <c r="C123" s="740" t="s">
        <v>3456</v>
      </c>
      <c r="D123" s="740"/>
      <c r="E123" s="494"/>
      <c r="F123" s="494"/>
      <c r="G123" s="494"/>
      <c r="H123" s="494"/>
      <c r="I123" s="494"/>
    </row>
    <row r="124" spans="1:68" ht="80.25" customHeight="1" x14ac:dyDescent="0.2">
      <c r="B124" s="275">
        <v>10</v>
      </c>
      <c r="C124" s="740" t="s">
        <v>3458</v>
      </c>
      <c r="D124" s="740"/>
      <c r="E124" s="494"/>
      <c r="F124" s="494"/>
      <c r="G124" s="494"/>
      <c r="H124" s="494"/>
      <c r="I124" s="494"/>
    </row>
    <row r="125" spans="1:68" ht="58.9" customHeight="1" x14ac:dyDescent="0.2">
      <c r="B125" s="275">
        <v>11</v>
      </c>
      <c r="C125" s="740" t="s">
        <v>3465</v>
      </c>
      <c r="D125" s="740"/>
      <c r="E125" s="494"/>
      <c r="F125" s="494"/>
      <c r="G125" s="494"/>
      <c r="H125" s="494"/>
      <c r="I125" s="494"/>
    </row>
    <row r="126" spans="1:68" ht="47.25" customHeight="1" x14ac:dyDescent="0.2">
      <c r="B126" s="275">
        <v>12</v>
      </c>
      <c r="C126" s="740" t="s">
        <v>3473</v>
      </c>
      <c r="D126" s="740"/>
      <c r="E126" s="494"/>
      <c r="F126" s="494"/>
      <c r="G126" s="494"/>
      <c r="H126" s="494"/>
      <c r="I126" s="494"/>
    </row>
    <row r="127" spans="1:68" ht="31.9" customHeight="1" x14ac:dyDescent="0.2">
      <c r="B127" s="275"/>
      <c r="C127" s="740"/>
      <c r="D127" s="740"/>
      <c r="E127" s="494"/>
      <c r="F127" s="494"/>
      <c r="G127" s="494"/>
      <c r="H127" s="494"/>
      <c r="I127" s="494"/>
    </row>
    <row r="128" spans="1:68" ht="15" customHeight="1" x14ac:dyDescent="0.2">
      <c r="B128" s="275"/>
      <c r="C128" s="740"/>
      <c r="D128" s="740"/>
      <c r="E128" s="494"/>
      <c r="F128" s="494"/>
      <c r="G128" s="494"/>
      <c r="H128" s="494"/>
      <c r="I128" s="494"/>
    </row>
    <row r="129" spans="2:9" ht="67.900000000000006" customHeight="1" x14ac:dyDescent="0.2">
      <c r="B129" s="275"/>
      <c r="C129" s="495"/>
      <c r="D129" s="495"/>
      <c r="E129" s="495"/>
      <c r="F129" s="495"/>
      <c r="G129" s="495"/>
      <c r="H129" s="495"/>
      <c r="I129" s="495"/>
    </row>
    <row r="130" spans="2:9" x14ac:dyDescent="0.2">
      <c r="C130" s="37"/>
    </row>
  </sheetData>
  <mergeCells count="98">
    <mergeCell ref="C124:D124"/>
    <mergeCell ref="C125:D125"/>
    <mergeCell ref="C126:D126"/>
    <mergeCell ref="C127:D127"/>
    <mergeCell ref="C128:D128"/>
    <mergeCell ref="C119:D119"/>
    <mergeCell ref="C120:D120"/>
    <mergeCell ref="C121:D121"/>
    <mergeCell ref="C122:D122"/>
    <mergeCell ref="C123:D123"/>
    <mergeCell ref="C114:D114"/>
    <mergeCell ref="C115:D115"/>
    <mergeCell ref="C116:D116"/>
    <mergeCell ref="C117:D117"/>
    <mergeCell ref="C118:D118"/>
    <mergeCell ref="BY21:CH22"/>
    <mergeCell ref="N20:N22"/>
    <mergeCell ref="P20:P22"/>
    <mergeCell ref="V20:V22"/>
    <mergeCell ref="O20:O22"/>
    <mergeCell ref="BN20:BN22"/>
    <mergeCell ref="BL20:BL22"/>
    <mergeCell ref="BW20:BW22"/>
    <mergeCell ref="AO20:AO22"/>
    <mergeCell ref="AK20:AK22"/>
    <mergeCell ref="AP20:AP22"/>
    <mergeCell ref="AQ20:AQ22"/>
    <mergeCell ref="AM20:AM22"/>
    <mergeCell ref="AN20:AN22"/>
    <mergeCell ref="W20:W22"/>
    <mergeCell ref="AF20:AF22"/>
    <mergeCell ref="C20:C22"/>
    <mergeCell ref="D20:D22"/>
    <mergeCell ref="R20:R22"/>
    <mergeCell ref="S20:S22"/>
    <mergeCell ref="T20:T22"/>
    <mergeCell ref="K20:K22"/>
    <mergeCell ref="C113:F113"/>
    <mergeCell ref="E19:N19"/>
    <mergeCell ref="E20:E22"/>
    <mergeCell ref="AZ20:AZ22"/>
    <mergeCell ref="AY20:AY22"/>
    <mergeCell ref="M20:M22"/>
    <mergeCell ref="I20:I22"/>
    <mergeCell ref="L20:L22"/>
    <mergeCell ref="J20:J22"/>
    <mergeCell ref="G20:G22"/>
    <mergeCell ref="H20:H22"/>
    <mergeCell ref="F20:F22"/>
    <mergeCell ref="AI19:AR19"/>
    <mergeCell ref="AI20:AI22"/>
    <mergeCell ref="AJ20:AJ22"/>
    <mergeCell ref="O19:X19"/>
    <mergeCell ref="BM19:BP19"/>
    <mergeCell ref="BO20:BO22"/>
    <mergeCell ref="BP20:BP22"/>
    <mergeCell ref="BM20:BM22"/>
    <mergeCell ref="BC19:BL19"/>
    <mergeCell ref="BH20:BH22"/>
    <mergeCell ref="BI20:BI22"/>
    <mergeCell ref="BJ20:BJ22"/>
    <mergeCell ref="BK20:BK22"/>
    <mergeCell ref="BD20:BD22"/>
    <mergeCell ref="BE20:BE22"/>
    <mergeCell ref="BF20:BF22"/>
    <mergeCell ref="BG20:BG22"/>
    <mergeCell ref="BC20:BC22"/>
    <mergeCell ref="BQ19:BT19"/>
    <mergeCell ref="BT20:BT22"/>
    <mergeCell ref="BR20:BR22"/>
    <mergeCell ref="BQ20:BQ22"/>
    <mergeCell ref="BV20:BV22"/>
    <mergeCell ref="BS20:BS22"/>
    <mergeCell ref="BU20:BU22"/>
    <mergeCell ref="AS19:BB19"/>
    <mergeCell ref="AS20:AS22"/>
    <mergeCell ref="AT20:AT22"/>
    <mergeCell ref="BA20:BA22"/>
    <mergeCell ref="BB20:BB22"/>
    <mergeCell ref="AU20:AU22"/>
    <mergeCell ref="AV20:AV22"/>
    <mergeCell ref="AW20:AW22"/>
    <mergeCell ref="AX20:AX22"/>
    <mergeCell ref="AR20:AR22"/>
    <mergeCell ref="AL20:AL22"/>
    <mergeCell ref="Z20:Z22"/>
    <mergeCell ref="AD20:AD22"/>
    <mergeCell ref="AA20:AA22"/>
    <mergeCell ref="AB20:AB22"/>
    <mergeCell ref="AC20:AC22"/>
    <mergeCell ref="Y19:AH19"/>
    <mergeCell ref="AH20:AH22"/>
    <mergeCell ref="Q20:Q22"/>
    <mergeCell ref="Y20:Y22"/>
    <mergeCell ref="U20:U22"/>
    <mergeCell ref="AE20:AE22"/>
    <mergeCell ref="X20:X22"/>
    <mergeCell ref="AG20:AG22"/>
  </mergeCells>
  <phoneticPr fontId="27" type="noConversion"/>
  <conditionalFormatting sqref="F25:H25 K25:M25">
    <cfRule type="expression" dxfId="126" priority="229">
      <formula>$E$19&lt;2013</formula>
    </cfRule>
  </conditionalFormatting>
  <conditionalFormatting sqref="P25:R25 U25:W25">
    <cfRule type="expression" dxfId="125" priority="228">
      <formula>$O$19&lt;2013</formula>
    </cfRule>
  </conditionalFormatting>
  <conditionalFormatting sqref="Z25:AB25 AE25:AG25">
    <cfRule type="expression" dxfId="124" priority="227">
      <formula>$Y$19&lt;2013</formula>
    </cfRule>
  </conditionalFormatting>
  <conditionalFormatting sqref="AJ25:AL25 AO25:AQ25">
    <cfRule type="expression" dxfId="123" priority="226">
      <formula>$AI$19&lt;2013</formula>
    </cfRule>
  </conditionalFormatting>
  <conditionalFormatting sqref="AT25:AV25 AY25:BA25">
    <cfRule type="expression" dxfId="122" priority="225">
      <formula>$AS$19&lt;2013</formula>
    </cfRule>
  </conditionalFormatting>
  <conditionalFormatting sqref="BD25:BF25 BI25:BK25">
    <cfRule type="expression" dxfId="121" priority="224">
      <formula>$BC$19&lt;2013</formula>
    </cfRule>
  </conditionalFormatting>
  <conditionalFormatting sqref="F27:H28 K27:M28">
    <cfRule type="expression" dxfId="120" priority="223">
      <formula>$E$19&lt;2015</formula>
    </cfRule>
  </conditionalFormatting>
  <conditionalFormatting sqref="P27:R28 U27:W28">
    <cfRule type="expression" dxfId="119" priority="222">
      <formula>$O$19&lt;2015</formula>
    </cfRule>
  </conditionalFormatting>
  <conditionalFormatting sqref="Z27:AB28 AE27:AG28">
    <cfRule type="expression" dxfId="118" priority="221">
      <formula>$Y$19&lt;2015</formula>
    </cfRule>
  </conditionalFormatting>
  <conditionalFormatting sqref="AJ27:AL28 AO27:AQ28">
    <cfRule type="expression" dxfId="117" priority="220">
      <formula>$AI$19&lt;2015</formula>
    </cfRule>
  </conditionalFormatting>
  <conditionalFormatting sqref="AT27:AV28 AY27:BA28">
    <cfRule type="expression" dxfId="116" priority="219">
      <formula>$AS$19&lt;2015</formula>
    </cfRule>
  </conditionalFormatting>
  <conditionalFormatting sqref="BD27:BF28 BI27:BK28">
    <cfRule type="expression" dxfId="115" priority="218">
      <formula>$BC$19&lt;2015</formula>
    </cfRule>
  </conditionalFormatting>
  <conditionalFormatting sqref="F105:H105 K105:M105">
    <cfRule type="expression" dxfId="114" priority="217">
      <formula>$E$19&lt;2014</formula>
    </cfRule>
  </conditionalFormatting>
  <conditionalFormatting sqref="BD50:BF50 BI50:BK50">
    <cfRule type="expression" dxfId="113" priority="206">
      <formula>$BC$19&lt;2011</formula>
    </cfRule>
  </conditionalFormatting>
  <conditionalFormatting sqref="O107">
    <cfRule type="expression" dxfId="112" priority="204">
      <formula>$O$19&lt;2011</formula>
    </cfRule>
  </conditionalFormatting>
  <conditionalFormatting sqref="O107">
    <cfRule type="expression" dxfId="111" priority="202">
      <formula>$O$19=2011</formula>
    </cfRule>
  </conditionalFormatting>
  <conditionalFormatting sqref="BD107:BF107">
    <cfRule type="expression" dxfId="110" priority="197">
      <formula>$BC$19&lt;2011</formula>
    </cfRule>
  </conditionalFormatting>
  <conditionalFormatting sqref="Y108">
    <cfRule type="expression" dxfId="109" priority="193">
      <formula>$Y$19=2012</formula>
    </cfRule>
  </conditionalFormatting>
  <conditionalFormatting sqref="O108">
    <cfRule type="expression" dxfId="108" priority="192">
      <formula>$O$19&lt;2011</formula>
    </cfRule>
  </conditionalFormatting>
  <conditionalFormatting sqref="O108">
    <cfRule type="expression" dxfId="107" priority="191">
      <formula>$O$19=2011</formula>
    </cfRule>
  </conditionalFormatting>
  <conditionalFormatting sqref="E72:H72">
    <cfRule type="expression" dxfId="106" priority="190">
      <formula>$E$19&lt;2014</formula>
    </cfRule>
  </conditionalFormatting>
  <conditionalFormatting sqref="J72:M72">
    <cfRule type="expression" dxfId="105" priority="189">
      <formula>$E$19&lt;2014</formula>
    </cfRule>
  </conditionalFormatting>
  <conditionalFormatting sqref="P72">
    <cfRule type="expression" dxfId="104" priority="188">
      <formula>$E$19&lt;2014</formula>
    </cfRule>
  </conditionalFormatting>
  <conditionalFormatting sqref="Q72">
    <cfRule type="expression" dxfId="103" priority="187">
      <formula>$E$19&lt;2014</formula>
    </cfRule>
  </conditionalFormatting>
  <conditionalFormatting sqref="R72">
    <cfRule type="expression" dxfId="102" priority="186">
      <formula>$E$19&lt;2014</formula>
    </cfRule>
  </conditionalFormatting>
  <conditionalFormatting sqref="U72:W72">
    <cfRule type="expression" dxfId="101" priority="185">
      <formula>$E$19&lt;2014</formula>
    </cfRule>
  </conditionalFormatting>
  <conditionalFormatting sqref="AY72:BA72">
    <cfRule type="expression" dxfId="100" priority="177">
      <formula>$E$19&lt;2014</formula>
    </cfRule>
  </conditionalFormatting>
  <conditionalFormatting sqref="E94">
    <cfRule type="expression" dxfId="99" priority="163">
      <formula>$E$19&lt;2014</formula>
    </cfRule>
  </conditionalFormatting>
  <conditionalFormatting sqref="U93:W94">
    <cfRule type="expression" dxfId="98" priority="170">
      <formula>$E$19&lt;2014</formula>
    </cfRule>
  </conditionalFormatting>
  <conditionalFormatting sqref="P93:R94">
    <cfRule type="expression" dxfId="97" priority="169">
      <formula>$E$19&lt;2014</formula>
    </cfRule>
  </conditionalFormatting>
  <conditionalFormatting sqref="J93:L94">
    <cfRule type="expression" dxfId="96" priority="168">
      <formula>$E$19&lt;2014</formula>
    </cfRule>
  </conditionalFormatting>
  <conditionalFormatting sqref="M93">
    <cfRule type="expression" dxfId="95" priority="167">
      <formula>$E$19&lt;2014</formula>
    </cfRule>
  </conditionalFormatting>
  <conditionalFormatting sqref="M94">
    <cfRule type="expression" dxfId="94" priority="166">
      <formula>$E$19&lt;2014</formula>
    </cfRule>
  </conditionalFormatting>
  <conditionalFormatting sqref="E93">
    <cfRule type="expression" dxfId="93" priority="165">
      <formula>$E$19&lt;2014</formula>
    </cfRule>
  </conditionalFormatting>
  <conditionalFormatting sqref="F93:H94">
    <cfRule type="expression" dxfId="92" priority="164">
      <formula>$E$19&lt;2014</formula>
    </cfRule>
  </conditionalFormatting>
  <conditionalFormatting sqref="J49:M50">
    <cfRule type="expression" dxfId="91" priority="161">
      <formula>$E$19&lt;2014</formula>
    </cfRule>
  </conditionalFormatting>
  <conditionalFormatting sqref="P49:P50">
    <cfRule type="expression" dxfId="90" priority="160">
      <formula>$E$19&lt;2014</formula>
    </cfRule>
  </conditionalFormatting>
  <conditionalFormatting sqref="Q49:Q50">
    <cfRule type="expression" dxfId="89" priority="159">
      <formula>$E$19&lt;2014</formula>
    </cfRule>
  </conditionalFormatting>
  <conditionalFormatting sqref="R49:R50">
    <cfRule type="expression" dxfId="88" priority="158">
      <formula>$E$19&lt;2014</formula>
    </cfRule>
  </conditionalFormatting>
  <conditionalFormatting sqref="U49:W50">
    <cfRule type="expression" dxfId="87" priority="157">
      <formula>$E$19&lt;2014</formula>
    </cfRule>
  </conditionalFormatting>
  <conditionalFormatting sqref="Z50:AB50">
    <cfRule type="expression" dxfId="86" priority="156">
      <formula>$E$19&lt;2014</formula>
    </cfRule>
  </conditionalFormatting>
  <conditionalFormatting sqref="AE50:AG50">
    <cfRule type="expression" dxfId="85" priority="155">
      <formula>$E$19&lt;2014</formula>
    </cfRule>
  </conditionalFormatting>
  <conditionalFormatting sqref="AY49:BA50">
    <cfRule type="expression" dxfId="84" priority="149">
      <formula>$E$19&lt;2014</formula>
    </cfRule>
  </conditionalFormatting>
  <conditionalFormatting sqref="AT83:AV83">
    <cfRule type="expression" dxfId="83" priority="116">
      <formula>$E$19&lt;2014</formula>
    </cfRule>
  </conditionalFormatting>
  <conditionalFormatting sqref="AY83:BA83">
    <cfRule type="expression" dxfId="82" priority="115">
      <formula>$E$19&lt;2014</formula>
    </cfRule>
  </conditionalFormatting>
  <conditionalFormatting sqref="BD83:BF83">
    <cfRule type="expression" dxfId="81" priority="114">
      <formula>$E$19&lt;2014</formula>
    </cfRule>
  </conditionalFormatting>
  <conditionalFormatting sqref="BI83:BK83">
    <cfRule type="expression" dxfId="80" priority="113">
      <formula>$E$19&lt;2014</formula>
    </cfRule>
  </conditionalFormatting>
  <conditionalFormatting sqref="E49:H50">
    <cfRule type="expression" dxfId="79" priority="112">
      <formula>$E$19&lt;2014</formula>
    </cfRule>
  </conditionalFormatting>
  <conditionalFormatting sqref="E83:H83">
    <cfRule type="expression" dxfId="78" priority="108">
      <formula>$E$19&lt;2014</formula>
    </cfRule>
  </conditionalFormatting>
  <conditionalFormatting sqref="J83:M83">
    <cfRule type="expression" dxfId="77" priority="107">
      <formula>$E$19&lt;2014</formula>
    </cfRule>
  </conditionalFormatting>
  <conditionalFormatting sqref="P83">
    <cfRule type="expression" dxfId="76" priority="106">
      <formula>$E$19&lt;2014</formula>
    </cfRule>
  </conditionalFormatting>
  <conditionalFormatting sqref="Q83">
    <cfRule type="expression" dxfId="75" priority="105">
      <formula>$E$19&lt;2014</formula>
    </cfRule>
  </conditionalFormatting>
  <conditionalFormatting sqref="R83">
    <cfRule type="expression" dxfId="74" priority="104">
      <formula>$E$19&lt;2014</formula>
    </cfRule>
  </conditionalFormatting>
  <conditionalFormatting sqref="U83">
    <cfRule type="expression" dxfId="73" priority="103">
      <formula>$E$19&lt;2014</formula>
    </cfRule>
  </conditionalFormatting>
  <conditionalFormatting sqref="V83">
    <cfRule type="expression" dxfId="72" priority="102">
      <formula>$E$19&lt;2014</formula>
    </cfRule>
  </conditionalFormatting>
  <conditionalFormatting sqref="W83">
    <cfRule type="expression" dxfId="71" priority="101">
      <formula>$E$19&lt;2014</formula>
    </cfRule>
  </conditionalFormatting>
  <conditionalFormatting sqref="E51:H51">
    <cfRule type="expression" dxfId="70" priority="88">
      <formula>$E$19&lt;2014</formula>
    </cfRule>
  </conditionalFormatting>
  <conditionalFormatting sqref="J51:M51">
    <cfRule type="expression" dxfId="69" priority="87">
      <formula>$E$19&lt;2014</formula>
    </cfRule>
  </conditionalFormatting>
  <conditionalFormatting sqref="P51">
    <cfRule type="expression" dxfId="68" priority="86">
      <formula>$E$19&lt;2014</formula>
    </cfRule>
  </conditionalFormatting>
  <conditionalFormatting sqref="Q51">
    <cfRule type="expression" dxfId="67" priority="85">
      <formula>$E$19&lt;2014</formula>
    </cfRule>
  </conditionalFormatting>
  <conditionalFormatting sqref="R51">
    <cfRule type="expression" dxfId="66" priority="84">
      <formula>$E$19&lt;2014</formula>
    </cfRule>
  </conditionalFormatting>
  <conditionalFormatting sqref="U51:W51">
    <cfRule type="expression" dxfId="65" priority="83">
      <formula>$E$19&lt;2014</formula>
    </cfRule>
  </conditionalFormatting>
  <conditionalFormatting sqref="Z51:AB51">
    <cfRule type="expression" dxfId="64" priority="82">
      <formula>$E$19&lt;2014</formula>
    </cfRule>
  </conditionalFormatting>
  <conditionalFormatting sqref="AE51:AG51">
    <cfRule type="expression" dxfId="63" priority="81">
      <formula>$E$19&lt;2014</formula>
    </cfRule>
  </conditionalFormatting>
  <conditionalFormatting sqref="AJ51">
    <cfRule type="expression" dxfId="62" priority="80">
      <formula>$E$19&lt;2014</formula>
    </cfRule>
  </conditionalFormatting>
  <conditionalFormatting sqref="AK51">
    <cfRule type="expression" dxfId="61" priority="79">
      <formula>$E$19&lt;2014</formula>
    </cfRule>
  </conditionalFormatting>
  <conditionalFormatting sqref="AL51">
    <cfRule type="expression" dxfId="60" priority="78">
      <formula>$E$19&lt;2014</formula>
    </cfRule>
  </conditionalFormatting>
  <conditionalFormatting sqref="AO51:AQ51">
    <cfRule type="expression" dxfId="59" priority="77">
      <formula>$E$19&lt;2014</formula>
    </cfRule>
  </conditionalFormatting>
  <conditionalFormatting sqref="E52:H52">
    <cfRule type="expression" dxfId="58" priority="38">
      <formula>$E$19&lt;2014</formula>
    </cfRule>
  </conditionalFormatting>
  <conditionalFormatting sqref="J52:M52">
    <cfRule type="expression" dxfId="57" priority="37">
      <formula>$E$19&lt;2014</formula>
    </cfRule>
  </conditionalFormatting>
  <conditionalFormatting sqref="P52">
    <cfRule type="expression" dxfId="56" priority="36">
      <formula>$E$19&lt;2014</formula>
    </cfRule>
  </conditionalFormatting>
  <conditionalFormatting sqref="Q52">
    <cfRule type="expression" dxfId="55" priority="35">
      <formula>$E$19&lt;2014</formula>
    </cfRule>
  </conditionalFormatting>
  <conditionalFormatting sqref="R52">
    <cfRule type="expression" dxfId="54" priority="34">
      <formula>$E$19&lt;2014</formula>
    </cfRule>
  </conditionalFormatting>
  <conditionalFormatting sqref="U52:W52">
    <cfRule type="expression" dxfId="53" priority="33">
      <formula>$E$19&lt;2014</formula>
    </cfRule>
  </conditionalFormatting>
  <conditionalFormatting sqref="Z52:AB52">
    <cfRule type="expression" dxfId="52" priority="32">
      <formula>$E$19&lt;2014</formula>
    </cfRule>
  </conditionalFormatting>
  <conditionalFormatting sqref="AE52:AG52">
    <cfRule type="expression" dxfId="51" priority="31">
      <formula>$E$19&lt;2014</formula>
    </cfRule>
  </conditionalFormatting>
  <conditionalFormatting sqref="AJ52:AL52">
    <cfRule type="expression" dxfId="50" priority="30">
      <formula>$E$19&lt;2014</formula>
    </cfRule>
  </conditionalFormatting>
  <conditionalFormatting sqref="AO52:AQ52">
    <cfRule type="expression" dxfId="49" priority="29">
      <formula>$E$19&lt;2014</formula>
    </cfRule>
  </conditionalFormatting>
  <conditionalFormatting sqref="E53:H53">
    <cfRule type="expression" dxfId="48" priority="28">
      <formula>$E$19&lt;2014</formula>
    </cfRule>
  </conditionalFormatting>
  <conditionalFormatting sqref="J53:M53">
    <cfRule type="expression" dxfId="47" priority="27">
      <formula>$E$19&lt;2014</formula>
    </cfRule>
  </conditionalFormatting>
  <conditionalFormatting sqref="P53">
    <cfRule type="expression" dxfId="46" priority="26">
      <formula>$E$19&lt;2014</formula>
    </cfRule>
  </conditionalFormatting>
  <conditionalFormatting sqref="Q53">
    <cfRule type="expression" dxfId="45" priority="25">
      <formula>$E$19&lt;2014</formula>
    </cfRule>
  </conditionalFormatting>
  <conditionalFormatting sqref="R53">
    <cfRule type="expression" dxfId="44" priority="24">
      <formula>$E$19&lt;2014</formula>
    </cfRule>
  </conditionalFormatting>
  <conditionalFormatting sqref="U53">
    <cfRule type="expression" dxfId="43" priority="23">
      <formula>$E$19&lt;2014</formula>
    </cfRule>
  </conditionalFormatting>
  <conditionalFormatting sqref="V53">
    <cfRule type="expression" dxfId="42" priority="22">
      <formula>$E$19&lt;2014</formula>
    </cfRule>
  </conditionalFormatting>
  <conditionalFormatting sqref="W53">
    <cfRule type="expression" dxfId="41" priority="21">
      <formula>$E$19&lt;2014</formula>
    </cfRule>
  </conditionalFormatting>
  <conditionalFormatting sqref="Z53">
    <cfRule type="expression" dxfId="40" priority="20">
      <formula>$E$19&lt;2014</formula>
    </cfRule>
  </conditionalFormatting>
  <conditionalFormatting sqref="AA53">
    <cfRule type="expression" dxfId="39" priority="19">
      <formula>$E$19&lt;2014</formula>
    </cfRule>
  </conditionalFormatting>
  <conditionalFormatting sqref="AB53">
    <cfRule type="expression" dxfId="38" priority="18">
      <formula>$E$19&lt;2014</formula>
    </cfRule>
  </conditionalFormatting>
  <conditionalFormatting sqref="AE53">
    <cfRule type="expression" dxfId="37" priority="17">
      <formula>$E$19&lt;2014</formula>
    </cfRule>
  </conditionalFormatting>
  <conditionalFormatting sqref="AF53">
    <cfRule type="expression" dxfId="36" priority="16">
      <formula>$E$19&lt;2014</formula>
    </cfRule>
  </conditionalFormatting>
  <conditionalFormatting sqref="AG53">
    <cfRule type="expression" dxfId="35" priority="15">
      <formula>$E$19&lt;2014</formula>
    </cfRule>
  </conditionalFormatting>
  <conditionalFormatting sqref="AJ53">
    <cfRule type="expression" dxfId="34" priority="14">
      <formula>$E$19&lt;2014</formula>
    </cfRule>
  </conditionalFormatting>
  <conditionalFormatting sqref="AK53">
    <cfRule type="expression" dxfId="33" priority="13">
      <formula>$E$19&lt;2014</formula>
    </cfRule>
  </conditionalFormatting>
  <conditionalFormatting sqref="AL53">
    <cfRule type="expression" dxfId="32" priority="12">
      <formula>$E$19&lt;2014</formula>
    </cfRule>
  </conditionalFormatting>
  <conditionalFormatting sqref="AO53">
    <cfRule type="expression" dxfId="31" priority="11">
      <formula>$E$19&lt;2014</formula>
    </cfRule>
  </conditionalFormatting>
  <conditionalFormatting sqref="AP53">
    <cfRule type="expression" dxfId="30" priority="10">
      <formula>$E$19&lt;2014</formula>
    </cfRule>
  </conditionalFormatting>
  <conditionalFormatting sqref="AQ53">
    <cfRule type="expression" dxfId="29" priority="9">
      <formula>$E$19&lt;2014</formula>
    </cfRule>
  </conditionalFormatting>
  <conditionalFormatting sqref="AT52:AV52">
    <cfRule type="expression" dxfId="28" priority="8">
      <formula>$E$19&lt;2014</formula>
    </cfRule>
  </conditionalFormatting>
  <conditionalFormatting sqref="AT53">
    <cfRule type="expression" dxfId="27" priority="7">
      <formula>$E$19&lt;2014</formula>
    </cfRule>
  </conditionalFormatting>
  <conditionalFormatting sqref="AU53">
    <cfRule type="expression" dxfId="26" priority="6">
      <formula>$E$19&lt;2014</formula>
    </cfRule>
  </conditionalFormatting>
  <conditionalFormatting sqref="AV53">
    <cfRule type="expression" dxfId="25" priority="5">
      <formula>$E$19&lt;2014</formula>
    </cfRule>
  </conditionalFormatting>
  <conditionalFormatting sqref="AY52:BA52">
    <cfRule type="expression" dxfId="24" priority="4">
      <formula>$E$19&lt;2014</formula>
    </cfRule>
  </conditionalFormatting>
  <conditionalFormatting sqref="AY53">
    <cfRule type="expression" dxfId="23" priority="3">
      <formula>$E$19&lt;2014</formula>
    </cfRule>
  </conditionalFormatting>
  <conditionalFormatting sqref="AZ53">
    <cfRule type="expression" dxfId="22" priority="2">
      <formula>$E$19&lt;2014</formula>
    </cfRule>
  </conditionalFormatting>
  <conditionalFormatting sqref="BA53">
    <cfRule type="expression" dxfId="21" priority="1">
      <formula>$E$19&lt;2014</formula>
    </cfRule>
  </conditionalFormatting>
  <dataValidations count="2">
    <dataValidation type="list" errorTitle="Selection Needed" error="Please select an option from the drop-down list." prompt="Use the following format eg: January 1, 2013" sqref="BU110 BU103 BU78 BU73 BU96 BU107:BU108 BU54:BU70" xr:uid="{00000000-0002-0000-0500-000000000000}">
      <formula1>"Yes,No"</formula1>
    </dataValidation>
    <dataValidation errorTitle="Selection Needed" error="Please select an option from the drop-down list." prompt="Use the following format eg: January 1, 2013" sqref="BU51:BU53" xr:uid="{37684AF7-701F-47EB-85AF-0AB6B00F65D5}"/>
  </dataValidations>
  <pageMargins left="0.35433070866141736" right="0.39370078740157483" top="0.62992125984251968" bottom="0.98425196850393704" header="0.31496062992125984" footer="0.51181102362204722"/>
  <pageSetup paperSize="5" scale="22" fitToWidth="2" fitToHeight="3" orientation="landscape" r:id="rId1"/>
  <headerFooter alignWithMargins="0"/>
  <rowBreaks count="1" manualBreakCount="1">
    <brk id="86" max="16383" man="1"/>
  </rowBreaks>
  <colBreaks count="3" manualBreakCount="3">
    <brk id="4" max="1048575" man="1"/>
    <brk id="14" max="1048575" man="1"/>
    <brk id="24" max="1048575" man="1"/>
  </colBreaks>
  <ignoredErrors>
    <ignoredError sqref="BT71 BT96"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099" r:id="rId4" name="Check Box 51">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082" r:id="rId5" name="Drop Down 34">
              <controlPr defaultSize="0" autoLine="0" autoPict="0" macro="[0]!DropDown34_Change">
                <anchor>
                  <from>
                    <xdr:col>1</xdr:col>
                    <xdr:colOff>276225</xdr:colOff>
                    <xdr:row>59</xdr:row>
                    <xdr:rowOff>66675</xdr:rowOff>
                  </from>
                  <to>
                    <xdr:col>1</xdr:col>
                    <xdr:colOff>1028700</xdr:colOff>
                    <xdr:row>60</xdr:row>
                    <xdr:rowOff>133350</xdr:rowOff>
                  </to>
                </anchor>
              </controlPr>
            </control>
          </mc:Choice>
        </mc:AlternateContent>
        <mc:AlternateContent xmlns:mc="http://schemas.openxmlformats.org/markup-compatibility/2006">
          <mc:Choice Requires="x14">
            <control shapeId="2089" r:id="rId6" name="Check Box 41">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090" r:id="rId7" name="Check Box 42">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091" r:id="rId8" name="Check Box 43">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092" r:id="rId9" name="Check Box 44">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093" r:id="rId10" name="Check Box 45">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094" r:id="rId11" name="Check Box 46">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095" r:id="rId12" name="Check Box 47">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096" r:id="rId13" name="Check Box 48">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097" r:id="rId14" name="Check Box 49">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100" r:id="rId15" name="Check Box 52">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101" r:id="rId16" name="Check Box 53">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mc:AlternateContent xmlns:mc="http://schemas.openxmlformats.org/markup-compatibility/2006">
          <mc:Choice Requires="x14">
            <control shapeId="2098" r:id="rId17" name="Check Box 50">
              <controlPr defaultSize="0" autoFill="0" autoLine="0" autoPict="0">
                <anchor moveWithCells="1">
                  <from>
                    <xdr:col>71</xdr:col>
                    <xdr:colOff>85725</xdr:colOff>
                    <xdr:row>55</xdr:row>
                    <xdr:rowOff>0</xdr:rowOff>
                  </from>
                  <to>
                    <xdr:col>72</xdr:col>
                    <xdr:colOff>352425</xdr:colOff>
                    <xdr:row>56</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4:F92"/>
  <sheetViews>
    <sheetView showGridLines="0" zoomScale="80" zoomScaleNormal="80" workbookViewId="0">
      <selection activeCell="A29" sqref="A29:XFD29"/>
    </sheetView>
  </sheetViews>
  <sheetFormatPr defaultColWidth="9" defaultRowHeight="12.75" x14ac:dyDescent="0.2"/>
  <cols>
    <col min="1" max="1" width="0.28515625" customWidth="1"/>
    <col min="2" max="2" width="15" customWidth="1"/>
    <col min="3" max="3" width="86.28515625" customWidth="1"/>
    <col min="5" max="5" width="20" customWidth="1"/>
    <col min="6" max="6" width="102" customWidth="1"/>
  </cols>
  <sheetData>
    <row r="14" spans="1:5" x14ac:dyDescent="0.2">
      <c r="A14" s="90"/>
    </row>
    <row r="15" spans="1:5" x14ac:dyDescent="0.2">
      <c r="A15" s="90"/>
    </row>
    <row r="16" spans="1:5" ht="30" customHeight="1" x14ac:dyDescent="0.2">
      <c r="A16" s="90"/>
      <c r="B16" s="792" t="s">
        <v>185</v>
      </c>
      <c r="C16" s="792"/>
      <c r="D16" s="792"/>
      <c r="E16" s="792"/>
    </row>
    <row r="17" spans="1:6" x14ac:dyDescent="0.2">
      <c r="A17" s="90"/>
    </row>
    <row r="18" spans="1:6" ht="38.25" customHeight="1" thickBot="1" x14ac:dyDescent="0.25">
      <c r="A18" s="90"/>
    </row>
    <row r="19" spans="1:6" ht="29.25" thickBot="1" x14ac:dyDescent="0.5">
      <c r="A19" s="90"/>
      <c r="C19" s="13"/>
      <c r="D19" s="11"/>
      <c r="E19" s="12"/>
      <c r="F19" s="11"/>
    </row>
    <row r="20" spans="1:6" ht="14.25" customHeight="1" x14ac:dyDescent="0.2">
      <c r="A20" s="90"/>
      <c r="C20" s="789" t="s">
        <v>16</v>
      </c>
      <c r="D20" s="764" t="s">
        <v>0</v>
      </c>
      <c r="E20" s="745" t="str">
        <f>CONCATENATE("Variance                           RRR vs. ",'2b. Continuity Schedule'!BC19," Balance                        (Principal + Interest)")</f>
        <v>Variance                           RRR vs. 2021 Balance                        (Principal + Interest)</v>
      </c>
      <c r="F20" s="763" t="s">
        <v>20</v>
      </c>
    </row>
    <row r="21" spans="1:6" ht="24.75" customHeight="1" x14ac:dyDescent="0.2">
      <c r="A21" s="90"/>
      <c r="C21" s="790"/>
      <c r="D21" s="764"/>
      <c r="E21" s="746"/>
      <c r="F21" s="764"/>
    </row>
    <row r="22" spans="1:6" ht="37.15" customHeight="1" thickBot="1" x14ac:dyDescent="0.25">
      <c r="A22" s="90"/>
      <c r="B22" s="9"/>
      <c r="C22" s="791"/>
      <c r="D22" s="788"/>
      <c r="E22" s="747"/>
      <c r="F22" s="788"/>
    </row>
    <row r="23" spans="1:6" ht="33.75" customHeight="1" x14ac:dyDescent="0.2">
      <c r="A23" s="90"/>
      <c r="C23" s="248"/>
      <c r="D23" s="249"/>
      <c r="E23" s="250"/>
      <c r="F23" s="4"/>
    </row>
    <row r="24" spans="1:6" ht="30.75" hidden="1" customHeight="1" x14ac:dyDescent="0.2">
      <c r="A24" s="90">
        <v>1</v>
      </c>
      <c r="C24" s="251" t="str">
        <f>VLOOKUP(A24, '2a. Continuity Schedule'!$A$24:$BW$60,3,FALSE)</f>
        <v>LV Variance Account</v>
      </c>
      <c r="D24" s="252">
        <f>VLOOKUP(A24, '2a. Continuity Schedule'!$A$24:$BW$60,4,FALSE)</f>
        <v>1550</v>
      </c>
      <c r="E24" s="253">
        <f>IF(ISERROR(VLOOKUP($A24, '2a. Continuity Schedule'!$A$20:$BW$60, MATCH('3. Appendix A'!$E$20, '2a. Continuity Schedule'!$A$20:$BW$20,0),FALSE)), 0, VLOOKUP($A24, '2a. Continuity Schedule'!$A$20:$BW$60, MATCH('3. Appendix A'!$E$20, '2a. Continuity Schedule'!$A$20:$BW$20,0),FALSE))</f>
        <v>0</v>
      </c>
      <c r="F24" s="132"/>
    </row>
    <row r="25" spans="1:6" ht="30.75" hidden="1" customHeight="1" x14ac:dyDescent="0.2">
      <c r="A25" s="90">
        <v>2</v>
      </c>
      <c r="C25" s="251" t="str">
        <f>VLOOKUP(A25, '2a. Continuity Schedule'!$A$24:$BW$60,3,FALSE)</f>
        <v>Smart Metering Entity Charge Variance Account</v>
      </c>
      <c r="D25" s="252">
        <f>VLOOKUP(A25, '2a. Continuity Schedule'!$A$24:$BW$60,4,FALSE)</f>
        <v>1551</v>
      </c>
      <c r="E25" s="253">
        <f>IF(ISERROR(VLOOKUP($A25, '2a. Continuity Schedule'!$A$20:$BW$60, MATCH('3. Appendix A'!$E$20, '2a. Continuity Schedule'!$A$20:$BW$20,0),FALSE)), 0, VLOOKUP($A25, '2a. Continuity Schedule'!$A$20:$BW$60, MATCH('3. Appendix A'!$E$20, '2a. Continuity Schedule'!$A$20:$BW$20,0),FALSE))</f>
        <v>0</v>
      </c>
      <c r="F25" s="132"/>
    </row>
    <row r="26" spans="1:6" ht="30.75" customHeight="1" x14ac:dyDescent="0.2">
      <c r="A26" s="90">
        <v>3</v>
      </c>
      <c r="C26" s="251" t="str">
        <f>VLOOKUP(A26, '2a. Continuity Schedule'!$A$24:$BW$60,3,FALSE)</f>
        <v>RSVA - Wholesale Market Service Charge5</v>
      </c>
      <c r="D26" s="252">
        <f>VLOOKUP(A26, '2a. Continuity Schedule'!$A$24:$BW$60,4,FALSE)</f>
        <v>1580</v>
      </c>
      <c r="E26" s="253">
        <f>IF(ISERROR(VLOOKUP($A26, '2a. Continuity Schedule'!$A$20:$BW$60, MATCH('3. Appendix A'!$E$20, '2a. Continuity Schedule'!$A$20:$BW$20,0),FALSE)), 0, VLOOKUP($A26, '2a. Continuity Schedule'!$A$20:$BW$60, MATCH('3. Appendix A'!$E$20, '2a. Continuity Schedule'!$A$20:$BW$20,0),FALSE))</f>
        <v>-106817.63000000012</v>
      </c>
      <c r="F26" s="132" t="s">
        <v>3493</v>
      </c>
    </row>
    <row r="27" spans="1:6" ht="30.75" hidden="1" customHeight="1" x14ac:dyDescent="0.2">
      <c r="A27" s="90">
        <v>3.1</v>
      </c>
      <c r="C27" s="251" t="str">
        <f>VLOOKUP(A27, '2a. Continuity Schedule'!$A$24:$BW$60,3,FALSE)</f>
        <v>Variance WMS – Sub-account CBR Class A5</v>
      </c>
      <c r="D27" s="252">
        <f>VLOOKUP(A27, '2a. Continuity Schedule'!$A$24:$BW$60,4,FALSE)</f>
        <v>1580</v>
      </c>
      <c r="E27" s="253">
        <f>IF(ISERROR(VLOOKUP($A27, '2a. Continuity Schedule'!$A$20:$BW$60, MATCH('3. Appendix A'!$E$20, '2a. Continuity Schedule'!$A$20:$BW$20,0),FALSE)), 0, VLOOKUP($A27, '2a. Continuity Schedule'!$A$20:$BW$60, MATCH('3. Appendix A'!$E$20, '2a. Continuity Schedule'!$A$20:$BW$20,0),FALSE))</f>
        <v>0</v>
      </c>
      <c r="F27" s="132"/>
    </row>
    <row r="28" spans="1:6" ht="30.75" hidden="1" customHeight="1" x14ac:dyDescent="0.2">
      <c r="A28" s="90">
        <v>3.2</v>
      </c>
      <c r="C28" s="251" t="str">
        <f>VLOOKUP(A28, '2a. Continuity Schedule'!$A$24:$BW$60,3,FALSE)</f>
        <v>Variance WMS – Sub-account CBR Class B5</v>
      </c>
      <c r="D28" s="252">
        <f>VLOOKUP(A28, '2a. Continuity Schedule'!$A$24:$BW$60,4,FALSE)</f>
        <v>1580</v>
      </c>
      <c r="E28" s="253">
        <f>IF(ISERROR(VLOOKUP($A28, '2a. Continuity Schedule'!$A$20:$BW$60, MATCH('3. Appendix A'!$E$20, '2a. Continuity Schedule'!$A$20:$BW$20,0),FALSE)), 0, VLOOKUP($A28, '2a. Continuity Schedule'!$A$20:$BW$60, MATCH('3. Appendix A'!$E$20, '2a. Continuity Schedule'!$A$20:$BW$20,0),FALSE))</f>
        <v>-0.36999999999534339</v>
      </c>
      <c r="F28" s="132"/>
    </row>
    <row r="29" spans="1:6" ht="30.75" hidden="1" customHeight="1" x14ac:dyDescent="0.2">
      <c r="A29" s="90">
        <v>4</v>
      </c>
      <c r="C29" s="251" t="str">
        <f>VLOOKUP(A29, '2a. Continuity Schedule'!$A$24:$BW$60,3,FALSE)</f>
        <v>RSVA - Retail Transmission Network Charge</v>
      </c>
      <c r="D29" s="252">
        <f>VLOOKUP(A29, '2a. Continuity Schedule'!$A$24:$BW$60,4,FALSE)</f>
        <v>1584</v>
      </c>
      <c r="E29" s="253">
        <f>IF(ISERROR(VLOOKUP($A29, '2a. Continuity Schedule'!$A$20:$BW$60, MATCH('3. Appendix A'!$E$20, '2a. Continuity Schedule'!$A$20:$BW$20,0),FALSE)), 0, VLOOKUP($A29, '2a. Continuity Schedule'!$A$20:$BW$60, MATCH('3. Appendix A'!$E$20, '2a. Continuity Schedule'!$A$20:$BW$20,0),FALSE))</f>
        <v>0.26689500000793487</v>
      </c>
      <c r="F29" s="132"/>
    </row>
    <row r="30" spans="1:6" ht="30.75" hidden="1" customHeight="1" x14ac:dyDescent="0.2">
      <c r="A30" s="90">
        <v>5</v>
      </c>
      <c r="C30" s="251" t="str">
        <f>VLOOKUP(A30, '2a. Continuity Schedule'!$A$24:$BW$60,3,FALSE)</f>
        <v>RSVA - Retail Transmission Connection Charge</v>
      </c>
      <c r="D30" s="252">
        <f>VLOOKUP(A30, '2a. Continuity Schedule'!$A$24:$BW$60,4,FALSE)</f>
        <v>1586</v>
      </c>
      <c r="E30" s="253">
        <f>IF(ISERROR(VLOOKUP($A30, '2a. Continuity Schedule'!$A$20:$BW$60, MATCH('3. Appendix A'!$E$20, '2a. Continuity Schedule'!$A$20:$BW$20,0),FALSE)), 0, VLOOKUP($A30, '2a. Continuity Schedule'!$A$20:$BW$60, MATCH('3. Appendix A'!$E$20, '2a. Continuity Schedule'!$A$20:$BW$20,0),FALSE))</f>
        <v>0</v>
      </c>
      <c r="F30" s="132"/>
    </row>
    <row r="31" spans="1:6" ht="30.75" customHeight="1" x14ac:dyDescent="0.2">
      <c r="A31" s="90">
        <v>6</v>
      </c>
      <c r="C31" s="251" t="str">
        <f>VLOOKUP(A31, '2a. Continuity Schedule'!$A$24:$BW$60,3,FALSE)</f>
        <v>RSVA - Power (excluding Global Adjustment)4</v>
      </c>
      <c r="D31" s="252">
        <f>VLOOKUP(A31, '2a. Continuity Schedule'!$A$24:$BW$60,4,FALSE)</f>
        <v>1588</v>
      </c>
      <c r="E31" s="253">
        <f>IF(ISERROR(VLOOKUP($A31, '2a. Continuity Schedule'!$A$20:$BW$60, MATCH('3. Appendix A'!$E$20, '2a. Continuity Schedule'!$A$20:$BW$20,0),FALSE)), 0, VLOOKUP($A31, '2a. Continuity Schedule'!$A$20:$BW$60, MATCH('3. Appendix A'!$E$20, '2a. Continuity Schedule'!$A$20:$BW$20,0),FALSE))</f>
        <v>268526.7900512506</v>
      </c>
      <c r="F31" s="661" t="s">
        <v>3501</v>
      </c>
    </row>
    <row r="32" spans="1:6" ht="30.75" customHeight="1" x14ac:dyDescent="0.2">
      <c r="A32" s="90">
        <v>7</v>
      </c>
      <c r="C32" s="251" t="str">
        <f>VLOOKUP(A32, '2a. Continuity Schedule'!$A$24:$BW$60,3,FALSE)</f>
        <v>RSVA - Global Adjustment 4</v>
      </c>
      <c r="D32" s="252">
        <f>VLOOKUP(A32, '2a. Continuity Schedule'!$A$24:$BW$60,4,FALSE)</f>
        <v>1589</v>
      </c>
      <c r="E32" s="253">
        <f>IF(ISERROR(VLOOKUP($A32, '2a. Continuity Schedule'!$A$20:$BW$60, MATCH('3. Appendix A'!$E$20, '2a. Continuity Schedule'!$A$20:$BW$20,0),FALSE)), 0, VLOOKUP($A32, '2a. Continuity Schedule'!$A$20:$BW$60, MATCH('3. Appendix A'!$E$20, '2a. Continuity Schedule'!$A$20:$BW$20,0),FALSE))</f>
        <v>-268525.87896375055</v>
      </c>
      <c r="F32" s="132" t="s">
        <v>3501</v>
      </c>
    </row>
    <row r="33" spans="1:6" ht="30.75" hidden="1" customHeight="1" x14ac:dyDescent="0.2">
      <c r="A33" s="90">
        <v>8</v>
      </c>
      <c r="C33" s="251" t="str">
        <f>VLOOKUP(A33, '2a. Continuity Schedule'!$A$24:$BW$60,3,FALSE)</f>
        <v>Disposition and Recovery/Refund of Regulatory Balances (2009)7</v>
      </c>
      <c r="D33" s="252">
        <f>VLOOKUP(A33, '2a. Continuity Schedule'!$A$24:$BW$60,4,FALSE)</f>
        <v>1595</v>
      </c>
      <c r="E33" s="253">
        <f>IF(ISERROR(VLOOKUP($A33, '2a. Continuity Schedule'!$A$20:$BW$60, MATCH('3. Appendix A'!$E$20, '2a. Continuity Schedule'!$A$20:$BW$20,0),FALSE)), 0, VLOOKUP($A33, '2a. Continuity Schedule'!$A$20:$BW$60, MATCH('3. Appendix A'!$E$20, '2a. Continuity Schedule'!$A$20:$BW$20,0),FALSE))</f>
        <v>0</v>
      </c>
      <c r="F33" s="132"/>
    </row>
    <row r="34" spans="1:6" ht="30.75" hidden="1" customHeight="1" x14ac:dyDescent="0.2">
      <c r="A34" s="90">
        <v>9</v>
      </c>
      <c r="C34" s="251" t="str">
        <f>VLOOKUP(A34, '2a. Continuity Schedule'!$A$24:$BW$60,3,FALSE)</f>
        <v>Disposition and Recovery/Refund of Regulatory Balances (2016 and pre-2016)3</v>
      </c>
      <c r="D34" s="252">
        <f>VLOOKUP(A34, '2a. Continuity Schedule'!$A$24:$BW$60,4,FALSE)</f>
        <v>1595</v>
      </c>
      <c r="E34" s="253">
        <f>IF(ISERROR(VLOOKUP($A34, '2a. Continuity Schedule'!$A$20:$BW$60, MATCH('3. Appendix A'!$E$20, '2a. Continuity Schedule'!$A$20:$BW$20,0),FALSE)), 0, VLOOKUP($A34, '2a. Continuity Schedule'!$A$20:$BW$60, MATCH('3. Appendix A'!$E$20, '2a. Continuity Schedule'!$A$20:$BW$20,0),FALSE))</f>
        <v>0</v>
      </c>
      <c r="F34" s="132"/>
    </row>
    <row r="35" spans="1:6" ht="30.75" hidden="1" customHeight="1" x14ac:dyDescent="0.2">
      <c r="A35" s="90">
        <v>10</v>
      </c>
      <c r="C35" s="251" t="str">
        <f>VLOOKUP(A35, '2a. Continuity Schedule'!$A$24:$BW$60,3,FALSE)</f>
        <v>Disposition and Recovery/Refund of Regulatory Balances (2017)3</v>
      </c>
      <c r="D35" s="252">
        <f>VLOOKUP(A35, '2a. Continuity Schedule'!$A$24:$BW$60,4,FALSE)</f>
        <v>1595</v>
      </c>
      <c r="E35" s="253">
        <f>IF(ISERROR(VLOOKUP($A35, '2a. Continuity Schedule'!$A$20:$BW$60, MATCH('3. Appendix A'!$E$20, '2a. Continuity Schedule'!$A$20:$BW$20,0),FALSE)), 0, VLOOKUP($A35, '2a. Continuity Schedule'!$A$20:$BW$60, MATCH('3. Appendix A'!$E$20, '2a. Continuity Schedule'!$A$20:$BW$20,0),FALSE))</f>
        <v>0</v>
      </c>
      <c r="F35" s="132"/>
    </row>
    <row r="36" spans="1:6" ht="30.75" hidden="1" customHeight="1" x14ac:dyDescent="0.2">
      <c r="A36" s="90">
        <v>11</v>
      </c>
      <c r="C36" s="251" t="str">
        <f>VLOOKUP(A36, '2a. Continuity Schedule'!$A$24:$BW$60,3,FALSE)</f>
        <v>Disposition and Recovery/Refund of Regulatory Balances (2018)3</v>
      </c>
      <c r="D36" s="252">
        <f>VLOOKUP(A36, '2a. Continuity Schedule'!$A$24:$BW$60,4,FALSE)</f>
        <v>1595</v>
      </c>
      <c r="E36" s="253">
        <f>IF(ISERROR(VLOOKUP($A36, '2a. Continuity Schedule'!$A$20:$BW$60, MATCH('3. Appendix A'!$E$20, '2a. Continuity Schedule'!$A$20:$BW$20,0),FALSE)), 0, VLOOKUP($A36, '2a. Continuity Schedule'!$A$20:$BW$60, MATCH('3. Appendix A'!$E$20, '2a. Continuity Schedule'!$A$20:$BW$20,0),FALSE))</f>
        <v>0.23000000032334356</v>
      </c>
      <c r="F36" s="132"/>
    </row>
    <row r="37" spans="1:6" ht="30.75" hidden="1" customHeight="1" x14ac:dyDescent="0.2">
      <c r="A37" s="90">
        <v>12</v>
      </c>
      <c r="C37" s="251" t="str">
        <f>VLOOKUP(A37, '2a. Continuity Schedule'!$A$24:$BW$60,3,FALSE)</f>
        <v>Disposition and Recovery/Refund of Regulatory Balances (2019)3</v>
      </c>
      <c r="D37" s="252">
        <f>VLOOKUP(A37, '2a. Continuity Schedule'!$A$24:$BW$60,4,FALSE)</f>
        <v>1595</v>
      </c>
      <c r="E37" s="253">
        <f>IF(ISERROR(VLOOKUP($A37, '2a. Continuity Schedule'!$A$20:$BW$60, MATCH('3. Appendix A'!$E$20, '2a. Continuity Schedule'!$A$20:$BW$20,0),FALSE)), 0, VLOOKUP($A37, '2a. Continuity Schedule'!$A$20:$BW$60, MATCH('3. Appendix A'!$E$20, '2a. Continuity Schedule'!$A$20:$BW$20,0),FALSE))</f>
        <v>-2.0000000076834112E-2</v>
      </c>
      <c r="F37" s="132"/>
    </row>
    <row r="38" spans="1:6" ht="30.75" hidden="1" customHeight="1" x14ac:dyDescent="0.2">
      <c r="A38" s="90">
        <v>13</v>
      </c>
      <c r="C38" s="251" t="str">
        <f>VLOOKUP(A38, '2a. Continuity Schedule'!$A$24:$BW$60,3,FALSE)</f>
        <v>Disposition and Recovery/Refund of Regulatory Balances (2020)3</v>
      </c>
      <c r="D38" s="252">
        <f>VLOOKUP(A38, '2a. Continuity Schedule'!$A$24:$BW$60,4,FALSE)</f>
        <v>1595</v>
      </c>
      <c r="E38" s="253">
        <f>IF(ISERROR(VLOOKUP($A38, '2a. Continuity Schedule'!$A$20:$BW$60, MATCH('3. Appendix A'!$E$20, '2a. Continuity Schedule'!$A$20:$BW$20,0),FALSE)), 0, VLOOKUP($A38, '2a. Continuity Schedule'!$A$20:$BW$60, MATCH('3. Appendix A'!$E$20, '2a. Continuity Schedule'!$A$20:$BW$20,0),FALSE))</f>
        <v>0</v>
      </c>
      <c r="F38" s="132"/>
    </row>
    <row r="39" spans="1:6" ht="30.75" hidden="1" customHeight="1" x14ac:dyDescent="0.2">
      <c r="A39" s="90">
        <v>14</v>
      </c>
      <c r="C39" s="251" t="str">
        <f>VLOOKUP(A39, '2a. Continuity Schedule'!$A$24:$BW$60,3,FALSE)</f>
        <v>Disposition and Recovery/Refund of Regulatory Balances (2021)3</v>
      </c>
      <c r="D39" s="252">
        <f>VLOOKUP(A39, '2a. Continuity Schedule'!$A$24:$BW$60,4,FALSE)</f>
        <v>1595</v>
      </c>
      <c r="E39" s="253">
        <f>IF(ISERROR(VLOOKUP($A39, '2a. Continuity Schedule'!$A$20:$BW$60, MATCH('3. Appendix A'!$E$20, '2a. Continuity Schedule'!$A$20:$BW$20,0),FALSE)), 0, VLOOKUP($A39, '2a. Continuity Schedule'!$A$20:$BW$60, MATCH('3. Appendix A'!$E$20, '2a. Continuity Schedule'!$A$20:$BW$20,0),FALSE))</f>
        <v>0</v>
      </c>
      <c r="F39" s="132"/>
    </row>
    <row r="40" spans="1:6" ht="30.75" hidden="1" customHeight="1" x14ac:dyDescent="0.2">
      <c r="A40" s="90">
        <v>15</v>
      </c>
      <c r="C40" s="251" t="str">
        <f>VLOOKUP(A40, '2a. Continuity Schedule'!$A$24:$BW$60,3,FALSE)</f>
        <v>Disposition and Recovery/Refund of Regulatory Balances (2022)3</v>
      </c>
      <c r="D40" s="252">
        <f>VLOOKUP(A40, '2a. Continuity Schedule'!$A$24:$BW$60,4,FALSE)</f>
        <v>1595</v>
      </c>
      <c r="E40" s="253">
        <f>IF(ISERROR(VLOOKUP($A40, '2a. Continuity Schedule'!$A$20:$BW$60, MATCH('3. Appendix A'!$E$20, '2a. Continuity Schedule'!$A$20:$BW$20,0),FALSE)), 0, VLOOKUP($A40, '2a. Continuity Schedule'!$A$20:$BW$60, MATCH('3. Appendix A'!$E$20, '2a. Continuity Schedule'!$A$20:$BW$20,0),FALSE))</f>
        <v>0</v>
      </c>
      <c r="F40" s="132"/>
    </row>
    <row r="41" spans="1:6" ht="30.75" hidden="1" customHeight="1" thickBot="1" x14ac:dyDescent="0.25">
      <c r="C41" s="248" t="s">
        <v>22</v>
      </c>
      <c r="D41" s="254"/>
      <c r="E41" s="253"/>
      <c r="F41" s="88"/>
    </row>
    <row r="42" spans="1:6" ht="30.75" hidden="1" customHeight="1" x14ac:dyDescent="0.2">
      <c r="A42">
        <v>16</v>
      </c>
      <c r="C42" s="251" t="str">
        <f>VLOOKUP(A42, '2b. Continuity Schedule'!$A$24:$BW$110,3,FALSE)</f>
        <v>Deferred IFRS Transition Costs</v>
      </c>
      <c r="D42" s="252">
        <f>VLOOKUP(A42, '2b. Continuity Schedule'!$A$24:$BW$110,4,FALSE)</f>
        <v>1508</v>
      </c>
      <c r="E42" s="253">
        <f>IF(ISERROR(VLOOKUP($A42, '2b. Continuity Schedule'!$A$20:$BW$112, MATCH('3. Appendix A'!$E$20, '2b. Continuity Schedule'!$A$20:$BW$20,0),FALSE)), 0, VLOOKUP($A42, '2b. Continuity Schedule'!$A$20:$BW$112, MATCH('3. Appendix A'!$E$20, '2b. Continuity Schedule'!$A$20:$BW$20,0),FALSE))</f>
        <v>0</v>
      </c>
      <c r="F42" s="133"/>
    </row>
    <row r="43" spans="1:6" ht="30.75" customHeight="1" x14ac:dyDescent="0.2">
      <c r="A43">
        <v>17</v>
      </c>
      <c r="C43" s="251" t="str">
        <f>VLOOKUP(A43, '2b. Continuity Schedule'!$A$24:$BW$110,3,FALSE)</f>
        <v>Pole Attachment Revenue Variance5</v>
      </c>
      <c r="D43" s="252">
        <f>VLOOKUP(A43, '2b. Continuity Schedule'!$A$24:$BW$110,4,FALSE)</f>
        <v>1508</v>
      </c>
      <c r="E43" s="253">
        <f>IF(ISERROR(VLOOKUP($A43, '2b. Continuity Schedule'!$A$20:$BW$112, MATCH('3. Appendix A'!$E$20, '2b. Continuity Schedule'!$A$20:$BW$20,0),FALSE)), 0, VLOOKUP($A43, '2b. Continuity Schedule'!$A$20:$BW$112, MATCH('3. Appendix A'!$E$20, '2b. Continuity Schedule'!$A$20:$BW$20,0),FALSE))</f>
        <v>-93876.54</v>
      </c>
      <c r="F43" s="132" t="s">
        <v>3494</v>
      </c>
    </row>
    <row r="44" spans="1:6" ht="30.75" hidden="1" customHeight="1" x14ac:dyDescent="0.2">
      <c r="A44">
        <v>18</v>
      </c>
      <c r="C44" s="251" t="str">
        <f>VLOOKUP(A44, '2b. Continuity Schedule'!$A$24:$BW$110,3,FALSE)</f>
        <v>Retail Service Charge Incremental Revenue6</v>
      </c>
      <c r="D44" s="252">
        <f>VLOOKUP(A44, '2b. Continuity Schedule'!$A$24:$BW$110,4,FALSE)</f>
        <v>1508</v>
      </c>
      <c r="E44" s="253">
        <f>IF(ISERROR(VLOOKUP($A44, '2b. Continuity Schedule'!$A$20:$BW$112, MATCH('3. Appendix A'!$E$20, '2b. Continuity Schedule'!$A$20:$BW$20,0),FALSE)), 0, VLOOKUP($A44, '2b. Continuity Schedule'!$A$20:$BW$112, MATCH('3. Appendix A'!$E$20, '2b. Continuity Schedule'!$A$20:$BW$20,0),FALSE))</f>
        <v>0</v>
      </c>
      <c r="F44" s="132"/>
    </row>
    <row r="45" spans="1:6" ht="30.75" hidden="1" customHeight="1" x14ac:dyDescent="0.2">
      <c r="A45">
        <v>19</v>
      </c>
      <c r="C45" s="251" t="str">
        <f>VLOOKUP(A45, '2b. Continuity Schedule'!$A$24:$BW$110,3,FALSE)</f>
        <v>Customer Choice Initiative Costs7</v>
      </c>
      <c r="D45" s="252">
        <f>VLOOKUP(A45, '2b. Continuity Schedule'!$A$24:$BW$110,4,FALSE)</f>
        <v>1508</v>
      </c>
      <c r="E45" s="253">
        <f>IF(ISERROR(VLOOKUP($A45, '2b. Continuity Schedule'!$A$20:$BW$112, MATCH('3. Appendix A'!$E$20, '2b. Continuity Schedule'!$A$20:$BW$20,0),FALSE)), 0, VLOOKUP($A45, '2b. Continuity Schedule'!$A$20:$BW$112, MATCH('3. Appendix A'!$E$20, '2b. Continuity Schedule'!$A$20:$BW$20,0),FALSE))</f>
        <v>0</v>
      </c>
      <c r="F45" s="132"/>
    </row>
    <row r="46" spans="1:6" ht="30.75" hidden="1" customHeight="1" x14ac:dyDescent="0.2">
      <c r="A46">
        <v>20</v>
      </c>
      <c r="C46" s="251" t="str">
        <f>VLOOKUP(A46, '2b. Continuity Schedule'!$A$24:$BW$110,3,FALSE)</f>
        <v>Local Initiatives Program Costs9</v>
      </c>
      <c r="D46" s="252">
        <f>VLOOKUP(A46, '2b. Continuity Schedule'!$A$24:$BW$110,4,FALSE)</f>
        <v>1508</v>
      </c>
      <c r="E46" s="253">
        <f>IF(ISERROR(VLOOKUP($A46, '2b. Continuity Schedule'!$A$20:$BW$112, MATCH('3. Appendix A'!$E$20, '2b. Continuity Schedule'!$A$20:$BW$20,0),FALSE)), 0, VLOOKUP($A46, '2b. Continuity Schedule'!$A$20:$BW$112, MATCH('3. Appendix A'!$E$20, '2b. Continuity Schedule'!$A$20:$BW$20,0),FALSE))</f>
        <v>0</v>
      </c>
      <c r="F46" s="132"/>
    </row>
    <row r="47" spans="1:6" ht="30.75" hidden="1" customHeight="1" x14ac:dyDescent="0.2">
      <c r="A47">
        <v>21</v>
      </c>
      <c r="C47" s="251" t="str">
        <f>VLOOKUP(A47, '2b. Continuity Schedule'!$A$24:$BW$110,3,FALSE)</f>
        <v>Green Button Initiative Costs10</v>
      </c>
      <c r="D47" s="252">
        <f>VLOOKUP(A47, '2b. Continuity Schedule'!$A$24:$BW$110,4,FALSE)</f>
        <v>1508</v>
      </c>
      <c r="E47" s="253">
        <f>IF(ISERROR(VLOOKUP($A47, '2b. Continuity Schedule'!$A$20:$BW$112, MATCH('3. Appendix A'!$E$20, '2b. Continuity Schedule'!$A$20:$BW$20,0),FALSE)), 0, VLOOKUP($A47, '2b. Continuity Schedule'!$A$20:$BW$112, MATCH('3. Appendix A'!$E$20, '2b. Continuity Schedule'!$A$20:$BW$20,0),FALSE))</f>
        <v>0</v>
      </c>
      <c r="F47" s="132"/>
    </row>
    <row r="48" spans="1:6" ht="30.75" hidden="1" customHeight="1" x14ac:dyDescent="0.2">
      <c r="A48">
        <v>22</v>
      </c>
      <c r="C48" s="251" t="str">
        <f>VLOOKUP(A48, '2b. Continuity Schedule'!$A$24:$BW$110,3,FALSE)</f>
        <v>Other Regulatory Assets - Sub-Account - ICM Substation 16 Capital</v>
      </c>
      <c r="D48" s="252">
        <f>VLOOKUP(A48, '2b. Continuity Schedule'!$A$24:$BW$110,4,FALSE)</f>
        <v>1508</v>
      </c>
      <c r="E48" s="253">
        <f>IF(ISERROR(VLOOKUP($A48, '2b. Continuity Schedule'!$A$20:$BW$112, MATCH('3. Appendix A'!$E$20, '2b. Continuity Schedule'!$A$20:$BW$20,0),FALSE)), 0, VLOOKUP($A48, '2b. Continuity Schedule'!$A$20:$BW$112, MATCH('3. Appendix A'!$E$20, '2b. Continuity Schedule'!$A$20:$BW$20,0),FALSE))</f>
        <v>0.41000000014901161</v>
      </c>
      <c r="F48" s="132"/>
    </row>
    <row r="49" spans="1:6" ht="30.75" customHeight="1" x14ac:dyDescent="0.2">
      <c r="A49">
        <v>23</v>
      </c>
      <c r="C49" s="251" t="str">
        <f>VLOOKUP(A49, '2b. Continuity Schedule'!$A$24:$BW$110,3,FALSE)</f>
        <v>Other Regulatory Assets - Sub-Account - ICM Substation 16 Depreciation</v>
      </c>
      <c r="D49" s="252">
        <f>VLOOKUP(A49, '2b. Continuity Schedule'!$A$24:$BW$110,4,FALSE)</f>
        <v>1508</v>
      </c>
      <c r="E49" s="253">
        <f>IF(ISERROR(VLOOKUP($A49, '2b. Continuity Schedule'!$A$20:$BW$112, MATCH('3. Appendix A'!$E$20, '2b. Continuity Schedule'!$A$20:$BW$20,0),FALSE)), 0, VLOOKUP($A49, '2b. Continuity Schedule'!$A$20:$BW$112, MATCH('3. Appendix A'!$E$20, '2b. Continuity Schedule'!$A$20:$BW$20,0),FALSE))</f>
        <v>-150502.98000000004</v>
      </c>
      <c r="F49" s="132" t="s">
        <v>3494</v>
      </c>
    </row>
    <row r="50" spans="1:6" ht="30.75" customHeight="1" x14ac:dyDescent="0.2">
      <c r="A50">
        <v>24</v>
      </c>
      <c r="C50" s="251" t="str">
        <f>VLOOKUP(A50, '2b. Continuity Schedule'!$A$24:$BW$110,3,FALSE)</f>
        <v>Other Regulatory Assets - Sub-Account - ICM Substation 16 Accumulated Depreciation</v>
      </c>
      <c r="D50" s="252">
        <f>VLOOKUP(A50, '2b. Continuity Schedule'!$A$24:$BW$110,4,FALSE)</f>
        <v>1508</v>
      </c>
      <c r="E50" s="253">
        <f>IF(ISERROR(VLOOKUP($A50, '2b. Continuity Schedule'!$A$20:$BW$112, MATCH('3. Appendix A'!$E$20, '2b. Continuity Schedule'!$A$20:$BW$20,0),FALSE)), 0, VLOOKUP($A50, '2b. Continuity Schedule'!$A$20:$BW$112, MATCH('3. Appendix A'!$E$20, '2b. Continuity Schedule'!$A$20:$BW$20,0),FALSE))</f>
        <v>150502.98000000004</v>
      </c>
      <c r="F50" s="132" t="s">
        <v>3494</v>
      </c>
    </row>
    <row r="51" spans="1:6" ht="30.75" customHeight="1" x14ac:dyDescent="0.2">
      <c r="A51">
        <v>25</v>
      </c>
      <c r="C51" s="251" t="str">
        <f>VLOOKUP(A51, '2b. Continuity Schedule'!$A$24:$BW$110,3,FALSE)</f>
        <v>Other Regulatory Assets - Sub-Account - ICM Substation 16 Rate Riders</v>
      </c>
      <c r="D51" s="252">
        <f>VLOOKUP(A51, '2b. Continuity Schedule'!$A$24:$BW$110,4,FALSE)</f>
        <v>1508</v>
      </c>
      <c r="E51" s="253">
        <f>IF(ISERROR(VLOOKUP($A51, '2b. Continuity Schedule'!$A$20:$BW$112, MATCH('3. Appendix A'!$E$20, '2b. Continuity Schedule'!$A$20:$BW$20,0),FALSE)), 0, VLOOKUP($A51, '2b. Continuity Schedule'!$A$20:$BW$112, MATCH('3. Appendix A'!$E$20, '2b. Continuity Schedule'!$A$20:$BW$20,0),FALSE))</f>
        <v>313648.07728250202</v>
      </c>
      <c r="F51" s="132" t="s">
        <v>3494</v>
      </c>
    </row>
    <row r="52" spans="1:6" ht="30.75" hidden="1" customHeight="1" x14ac:dyDescent="0.2">
      <c r="A52">
        <v>26</v>
      </c>
      <c r="C52" s="251" t="str">
        <f>VLOOKUP(A52, '2b. Continuity Schedule'!$A$24:$BW$110,3,FALSE)</f>
        <v>Other Regulatory Assets - Sub-Account - ICM Substation 16 Delayed Rate Implementation</v>
      </c>
      <c r="D52" s="252">
        <f>VLOOKUP(A52, '2b. Continuity Schedule'!$A$24:$BW$110,4,FALSE)</f>
        <v>1508</v>
      </c>
      <c r="E52" s="253">
        <f>IF(ISERROR(VLOOKUP($A52, '2b. Continuity Schedule'!$A$20:$BW$112, MATCH('3. Appendix A'!$E$20, '2b. Continuity Schedule'!$A$20:$BW$20,0),FALSE)), 0, VLOOKUP($A52, '2b. Continuity Schedule'!$A$20:$BW$112, MATCH('3. Appendix A'!$E$20, '2b. Continuity Schedule'!$A$20:$BW$20,0),FALSE))</f>
        <v>-0.49000000000523869</v>
      </c>
      <c r="F52" s="132"/>
    </row>
    <row r="53" spans="1:6" ht="30.75" hidden="1" customHeight="1" x14ac:dyDescent="0.2">
      <c r="A53">
        <v>27</v>
      </c>
      <c r="C53" s="251" t="str">
        <f>VLOOKUP(A53, '2b. Continuity Schedule'!$A$24:$BW$110,3,FALSE)</f>
        <v>COVID-19 Foregone Revenue - ICM Substation Delayed Rate Implementation</v>
      </c>
      <c r="D53" s="252">
        <f>VLOOKUP(A53, '2b. Continuity Schedule'!$A$24:$BW$110,4,FALSE)</f>
        <v>1509</v>
      </c>
      <c r="E53" s="253">
        <f>IF(ISERROR(VLOOKUP($A53, '2b. Continuity Schedule'!$A$20:$BW$112, MATCH('3. Appendix A'!$E$20, '2b. Continuity Schedule'!$A$20:$BW$20,0),FALSE)), 0, VLOOKUP($A53, '2b. Continuity Schedule'!$A$20:$BW$112, MATCH('3. Appendix A'!$E$20, '2b. Continuity Schedule'!$A$20:$BW$20,0),FALSE))</f>
        <v>0.49000000000523869</v>
      </c>
      <c r="F53" s="132"/>
    </row>
    <row r="54" spans="1:6" ht="30.75" customHeight="1" x14ac:dyDescent="0.2">
      <c r="A54">
        <v>28</v>
      </c>
      <c r="C54" s="251" t="str">
        <f>VLOOKUP(A54, '2b. Continuity Schedule'!$A$24:$BW$110,3,FALSE)</f>
        <v>COVID-19 Foregone Revenue - ICM Substation 16 Rate Rider</v>
      </c>
      <c r="D54" s="252">
        <f>VLOOKUP(A54, '2b. Continuity Schedule'!$A$24:$BW$110,4,FALSE)</f>
        <v>1509</v>
      </c>
      <c r="E54" s="253">
        <f>IF(ISERROR(VLOOKUP($A54, '2b. Continuity Schedule'!$A$20:$BW$112, MATCH('3. Appendix A'!$E$20, '2b. Continuity Schedule'!$A$20:$BW$20,0),FALSE)), 0, VLOOKUP($A54, '2b. Continuity Schedule'!$A$20:$BW$112, MATCH('3. Appendix A'!$E$20, '2b. Continuity Schedule'!$A$20:$BW$20,0),FALSE))</f>
        <v>42556.710000000006</v>
      </c>
      <c r="F54" s="132" t="s">
        <v>3494</v>
      </c>
    </row>
    <row r="55" spans="1:6" ht="30.75" customHeight="1" x14ac:dyDescent="0.2">
      <c r="A55">
        <v>29</v>
      </c>
      <c r="C55" s="251" t="str">
        <f>VLOOKUP(A55, '2b. Continuity Schedule'!$A$24:$BW$110,3,FALSE)</f>
        <v>Other Regulatory Assets - Sub-Account - ICM Sault Smart Grid Capital</v>
      </c>
      <c r="D55" s="252">
        <f>VLOOKUP(A55, '2b. Continuity Schedule'!$A$24:$BW$110,4,FALSE)</f>
        <v>1508</v>
      </c>
      <c r="E55" s="253">
        <f>IF(ISERROR(VLOOKUP($A55, '2b. Continuity Schedule'!$A$20:$BW$112, MATCH('3. Appendix A'!$E$20, '2b. Continuity Schedule'!$A$20:$BW$20,0),FALSE)), 0, VLOOKUP($A55, '2b. Continuity Schedule'!$A$20:$BW$112, MATCH('3. Appendix A'!$E$20, '2b. Continuity Schedule'!$A$20:$BW$20,0),FALSE))</f>
        <v>-21357909</v>
      </c>
      <c r="F55" s="132" t="s">
        <v>3494</v>
      </c>
    </row>
    <row r="56" spans="1:6" ht="30.75" customHeight="1" x14ac:dyDescent="0.2">
      <c r="A56">
        <v>30</v>
      </c>
      <c r="C56" s="251" t="str">
        <f>VLOOKUP(A56, '2b. Continuity Schedule'!$A$24:$BW$110,3,FALSE)</f>
        <v>Other Regulatory Assets - Sub-Account - ICM Sault Smart Grid Depreciation</v>
      </c>
      <c r="D56" s="252">
        <f>VLOOKUP(A56, '2b. Continuity Schedule'!$A$24:$BW$110,4,FALSE)</f>
        <v>1508</v>
      </c>
      <c r="E56" s="253">
        <f>IF(ISERROR(VLOOKUP($A56, '2b. Continuity Schedule'!$A$20:$BW$112, MATCH('3. Appendix A'!$E$20, '2b. Continuity Schedule'!$A$20:$BW$20,0),FALSE)), 0, VLOOKUP($A56, '2b. Continuity Schedule'!$A$20:$BW$112, MATCH('3. Appendix A'!$E$20, '2b. Continuity Schedule'!$A$20:$BW$20,0),FALSE))</f>
        <v>-500407</v>
      </c>
      <c r="F56" s="132" t="s">
        <v>3494</v>
      </c>
    </row>
    <row r="57" spans="1:6" ht="30.75" customHeight="1" x14ac:dyDescent="0.2">
      <c r="A57">
        <v>31</v>
      </c>
      <c r="C57" s="251" t="str">
        <f>VLOOKUP(A57, '2b. Continuity Schedule'!$A$24:$BW$110,3,FALSE)</f>
        <v>Other Regulatory Assets - Sub-Account - ICM Sault Smart Grid Accumulated Depreciation</v>
      </c>
      <c r="D57" s="252">
        <f>VLOOKUP(A57, '2b. Continuity Schedule'!$A$24:$BW$110,4,FALSE)</f>
        <v>1508</v>
      </c>
      <c r="E57" s="253">
        <f>IF(ISERROR(VLOOKUP($A57, '2b. Continuity Schedule'!$A$20:$BW$112, MATCH('3. Appendix A'!$E$20, '2b. Continuity Schedule'!$A$20:$BW$20,0),FALSE)), 0, VLOOKUP($A57, '2b. Continuity Schedule'!$A$20:$BW$112, MATCH('3. Appendix A'!$E$20, '2b. Continuity Schedule'!$A$20:$BW$20,0),FALSE))</f>
        <v>500407</v>
      </c>
      <c r="F57" s="132" t="s">
        <v>3494</v>
      </c>
    </row>
    <row r="58" spans="1:6" ht="30.75" customHeight="1" x14ac:dyDescent="0.2">
      <c r="A58">
        <v>32</v>
      </c>
      <c r="C58" s="251" t="str">
        <f>VLOOKUP(A58, '2b. Continuity Schedule'!$A$24:$BW$110,3,FALSE)</f>
        <v>Other Regulatory Assets - Sub-Account - ICM Sault Smart Grid Rate Riders</v>
      </c>
      <c r="D58" s="252">
        <f>VLOOKUP(A58, '2b. Continuity Schedule'!$A$24:$BW$110,4,FALSE)</f>
        <v>1508</v>
      </c>
      <c r="E58" s="253">
        <f>IF(ISERROR(VLOOKUP($A58, '2b. Continuity Schedule'!$A$20:$BW$112, MATCH('3. Appendix A'!$E$20, '2b. Continuity Schedule'!$A$20:$BW$20,0),FALSE)), 0, VLOOKUP($A58, '2b. Continuity Schedule'!$A$20:$BW$112, MATCH('3. Appendix A'!$E$20, '2b. Continuity Schedule'!$A$20:$BW$20,0),FALSE))</f>
        <v>852614</v>
      </c>
      <c r="F58" s="132" t="s">
        <v>3494</v>
      </c>
    </row>
    <row r="59" spans="1:6" ht="30.75" hidden="1" customHeight="1" x14ac:dyDescent="0.2">
      <c r="A59">
        <v>33</v>
      </c>
      <c r="C59" s="251" t="str">
        <f>VLOOKUP(A59, '2b. Continuity Schedule'!$A$24:$BW$110,3,FALSE)</f>
        <v>COVID-19 Foregone Revenue - IRM May 1 2020 Delayed Rate Implementation</v>
      </c>
      <c r="D59" s="252">
        <f>VLOOKUP(A59, '2b. Continuity Schedule'!$A$24:$BW$110,4,FALSE)</f>
        <v>1509</v>
      </c>
      <c r="E59" s="253">
        <f>IF(ISERROR(VLOOKUP($A59, '2b. Continuity Schedule'!$A$20:$BW$112, MATCH('3. Appendix A'!$E$20, '2b. Continuity Schedule'!$A$20:$BW$20,0),FALSE)), 0, VLOOKUP($A59, '2b. Continuity Schedule'!$A$20:$BW$112, MATCH('3. Appendix A'!$E$20, '2b. Continuity Schedule'!$A$20:$BW$20,0),FALSE))</f>
        <v>-0.42999999999301508</v>
      </c>
      <c r="F59" s="132"/>
    </row>
    <row r="60" spans="1:6" ht="30.75" customHeight="1" x14ac:dyDescent="0.2">
      <c r="A60">
        <v>34</v>
      </c>
      <c r="C60" s="251" t="str">
        <f>VLOOKUP(A60, '2b. Continuity Schedule'!$A$24:$BW$110,3,FALSE)</f>
        <v>COVID-19 Foregone Revenue - IRM May 1 2020 Delayed Rate Implementation Rate Rider</v>
      </c>
      <c r="D60" s="252">
        <f>VLOOKUP(A60, '2b. Continuity Schedule'!$A$24:$BW$110,4,FALSE)</f>
        <v>1509</v>
      </c>
      <c r="E60" s="253">
        <f>IF(ISERROR(VLOOKUP($A60, '2b. Continuity Schedule'!$A$20:$BW$112, MATCH('3. Appendix A'!$E$20, '2b. Continuity Schedule'!$A$20:$BW$20,0),FALSE)), 0, VLOOKUP($A60, '2b. Continuity Schedule'!$A$20:$BW$112, MATCH('3. Appendix A'!$E$20, '2b. Continuity Schedule'!$A$20:$BW$20,0),FALSE))</f>
        <v>92525.380000000034</v>
      </c>
      <c r="F60" s="132" t="s">
        <v>3494</v>
      </c>
    </row>
    <row r="61" spans="1:6" ht="30.75" customHeight="1" x14ac:dyDescent="0.2">
      <c r="A61">
        <v>35</v>
      </c>
      <c r="C61" s="251" t="str">
        <f>VLOOKUP(A61, '2b. Continuity Schedule'!$A$24:$BW$110,3,FALSE)</f>
        <v>Other Regulatory Assets - Sub-Account - ICM Substation 16 Rate Riders Revenue Revised</v>
      </c>
      <c r="D61" s="252">
        <f>VLOOKUP(A61, '2b. Continuity Schedule'!$A$24:$BW$110,4,FALSE)</f>
        <v>1508</v>
      </c>
      <c r="E61" s="253">
        <f>IF(ISERROR(VLOOKUP($A61, '2b. Continuity Schedule'!$A$20:$BW$112, MATCH('3. Appendix A'!$E$20, '2b. Continuity Schedule'!$A$20:$BW$20,0),FALSE)), 0, VLOOKUP($A61, '2b. Continuity Schedule'!$A$20:$BW$112, MATCH('3. Appendix A'!$E$20, '2b. Continuity Schedule'!$A$20:$BW$20,0),FALSE))</f>
        <v>-507330</v>
      </c>
      <c r="F61" s="132" t="s">
        <v>3494</v>
      </c>
    </row>
    <row r="62" spans="1:6" ht="30.75" hidden="1" customHeight="1" x14ac:dyDescent="0.2">
      <c r="A62">
        <v>36</v>
      </c>
      <c r="C62" s="251" t="str">
        <f>VLOOKUP(A62, '2b. Continuity Schedule'!$A$24:$BW$110,3,FALSE)</f>
        <v>Other Regulatory Assets - Sub-Account - ICM SSG Rate Riders Revenue Revised</v>
      </c>
      <c r="D62" s="252">
        <f>VLOOKUP(A62, '2b. Continuity Schedule'!$A$24:$BW$110,4,FALSE)</f>
        <v>1508</v>
      </c>
      <c r="E62" s="253">
        <f>IF(ISERROR(VLOOKUP($A62, '2b. Continuity Schedule'!$A$20:$BW$112, MATCH('3. Appendix A'!$E$20, '2b. Continuity Schedule'!$A$20:$BW$20,0),FALSE)), 0, VLOOKUP($A62, '2b. Continuity Schedule'!$A$20:$BW$112, MATCH('3. Appendix A'!$E$20, '2b. Continuity Schedule'!$A$20:$BW$20,0),FALSE))</f>
        <v>-367126</v>
      </c>
      <c r="F62" s="132" t="s">
        <v>3494</v>
      </c>
    </row>
    <row r="63" spans="1:6" ht="30.75" hidden="1" customHeight="1" x14ac:dyDescent="0.2">
      <c r="A63">
        <v>37</v>
      </c>
      <c r="B63" s="4"/>
      <c r="C63" s="251">
        <f>VLOOKUP(A63, '2b. Continuity Schedule'!$A$24:$BW$110,3,FALSE)</f>
        <v>0</v>
      </c>
      <c r="D63" s="252">
        <f>VLOOKUP(A63, '2b. Continuity Schedule'!$A$24:$BW$110,4,FALSE)</f>
        <v>0</v>
      </c>
      <c r="E63" s="253">
        <f>IF(ISERROR(VLOOKUP($A63, '2b. Continuity Schedule'!$A$20:$BW$112, MATCH('3. Appendix A'!$E$20, '2b. Continuity Schedule'!$A$20:$BW$20,0),FALSE)), 0, VLOOKUP($A63, '2b. Continuity Schedule'!$A$20:$BW$112, MATCH('3. Appendix A'!$E$20, '2b. Continuity Schedule'!$A$20:$BW$20,0),FALSE))</f>
        <v>0</v>
      </c>
      <c r="F63" s="132"/>
    </row>
    <row r="64" spans="1:6" ht="30.75" hidden="1" customHeight="1" x14ac:dyDescent="0.2">
      <c r="A64">
        <v>38</v>
      </c>
      <c r="B64" s="4"/>
      <c r="C64" s="251">
        <f>VLOOKUP(A64, '2b. Continuity Schedule'!$A$24:$BW$110,3,FALSE)</f>
        <v>0</v>
      </c>
      <c r="D64" s="252">
        <f>VLOOKUP(A64, '2b. Continuity Schedule'!$A$24:$BW$110,4,FALSE)</f>
        <v>0</v>
      </c>
      <c r="E64" s="253">
        <f>IF(ISERROR(VLOOKUP($A64, '2b. Continuity Schedule'!$A$20:$BW$112, MATCH('3. Appendix A'!$E$20, '2b. Continuity Schedule'!$A$20:$BW$20,0),FALSE)), 0, VLOOKUP($A64, '2b. Continuity Schedule'!$A$20:$BW$112, MATCH('3. Appendix A'!$E$20, '2b. Continuity Schedule'!$A$20:$BW$20,0),FALSE))</f>
        <v>0</v>
      </c>
      <c r="F64" s="132"/>
    </row>
    <row r="65" spans="1:6" ht="30.75" customHeight="1" x14ac:dyDescent="0.2">
      <c r="A65">
        <v>39</v>
      </c>
      <c r="B65" s="4"/>
      <c r="C65" s="251" t="str">
        <f>VLOOKUP(A65, '2b. Continuity Schedule'!$A$24:$BW$110,3,FALSE)</f>
        <v>Retail Cost Variance Account - Retail6</v>
      </c>
      <c r="D65" s="252">
        <f>VLOOKUP(A65, '2b. Continuity Schedule'!$A$24:$BW$110,4,FALSE)</f>
        <v>1518</v>
      </c>
      <c r="E65" s="253">
        <f>IF(ISERROR(VLOOKUP($A65, '2b. Continuity Schedule'!$A$20:$BW$112, MATCH('3. Appendix A'!$E$20, '2b. Continuity Schedule'!$A$20:$BW$20,0),FALSE)), 0, VLOOKUP($A65, '2b. Continuity Schedule'!$A$20:$BW$112, MATCH('3. Appendix A'!$E$20, '2b. Continuity Schedule'!$A$20:$BW$20,0),FALSE))</f>
        <v>12107.131207145587</v>
      </c>
      <c r="F65" s="132" t="s">
        <v>3494</v>
      </c>
    </row>
    <row r="66" spans="1:6" ht="30.75" hidden="1" customHeight="1" x14ac:dyDescent="0.2">
      <c r="A66">
        <v>40</v>
      </c>
      <c r="B66" s="4"/>
      <c r="C66" s="251" t="str">
        <f>VLOOKUP(A66, '2b. Continuity Schedule'!$A$24:$BW$110,3,FALSE)</f>
        <v>Pension &amp; OPEB Forecast Accrual versus Actual Cash Payment Differential Carrying Charges8</v>
      </c>
      <c r="D66" s="252">
        <f>VLOOKUP(A66, '2b. Continuity Schedule'!$A$24:$BW$110,4,FALSE)</f>
        <v>1522</v>
      </c>
      <c r="E66" s="253">
        <f>IF(ISERROR(VLOOKUP($A66, '2b. Continuity Schedule'!$A$20:$BW$112, MATCH('3. Appendix A'!$E$20, '2b. Continuity Schedule'!$A$20:$BW$20,0),FALSE)), 0, VLOOKUP($A66, '2b. Continuity Schedule'!$A$20:$BW$112, MATCH('3. Appendix A'!$E$20, '2b. Continuity Schedule'!$A$20:$BW$20,0),FALSE))</f>
        <v>0</v>
      </c>
      <c r="F66" s="132"/>
    </row>
    <row r="67" spans="1:6" ht="30.75" hidden="1" customHeight="1" x14ac:dyDescent="0.2">
      <c r="A67">
        <v>41</v>
      </c>
      <c r="B67" s="4"/>
      <c r="C67" s="251" t="str">
        <f>VLOOKUP(A67, '2b. Continuity Schedule'!$A$24:$BW$110,3,FALSE)</f>
        <v>Misc. Deferred Debits</v>
      </c>
      <c r="D67" s="252">
        <f>VLOOKUP(A67, '2b. Continuity Schedule'!$A$24:$BW$110,4,FALSE)</f>
        <v>1525</v>
      </c>
      <c r="E67" s="253">
        <f>IF(ISERROR(VLOOKUP($A67, '2b. Continuity Schedule'!$A$20:$BW$112, MATCH('3. Appendix A'!$E$20, '2b. Continuity Schedule'!$A$20:$BW$20,0),FALSE)), 0, VLOOKUP($A67, '2b. Continuity Schedule'!$A$20:$BW$112, MATCH('3. Appendix A'!$E$20, '2b. Continuity Schedule'!$A$20:$BW$20,0),FALSE))</f>
        <v>0</v>
      </c>
      <c r="F67" s="132"/>
    </row>
    <row r="68" spans="1:6" ht="30.75" customHeight="1" x14ac:dyDescent="0.2">
      <c r="A68">
        <v>42</v>
      </c>
      <c r="B68" s="4"/>
      <c r="C68" s="251" t="str">
        <f>VLOOKUP(A68, '2b. Continuity Schedule'!$A$24:$BW$110,3,FALSE)</f>
        <v>Retail Cost Variance Account - STR6</v>
      </c>
      <c r="D68" s="255">
        <f>VLOOKUP(A68, '2b. Continuity Schedule'!$A$24:$BW$110,4,FALSE)</f>
        <v>1548</v>
      </c>
      <c r="E68" s="253">
        <f>IF(ISERROR(VLOOKUP($A68, '2b. Continuity Schedule'!$A$20:$BW$112, MATCH('3. Appendix A'!$E$20, '2b. Continuity Schedule'!$A$20:$BW$20,0),FALSE)), 0, VLOOKUP($A68, '2b. Continuity Schedule'!$A$20:$BW$112, MATCH('3. Appendix A'!$E$20, '2b. Continuity Schedule'!$A$20:$BW$20,0),FALSE))</f>
        <v>-10432.770000000011</v>
      </c>
      <c r="F68" s="132" t="s">
        <v>3494</v>
      </c>
    </row>
    <row r="69" spans="1:6" ht="29.25" hidden="1" customHeight="1" x14ac:dyDescent="0.2">
      <c r="A69">
        <v>43</v>
      </c>
      <c r="C69" s="251" t="str">
        <f>VLOOKUP(A69, '2b. Continuity Schedule'!$A$24:$BW$110,3,FALSE)</f>
        <v>Extra-Ordinary Event Costs</v>
      </c>
      <c r="D69" s="304">
        <f>VLOOKUP(A69, '2b. Continuity Schedule'!$A$24:$BW$110,4,FALSE)</f>
        <v>1572</v>
      </c>
      <c r="E69" s="253">
        <f>IF(ISERROR(VLOOKUP($A69, '2b. Continuity Schedule'!$A$20:$BW$112, MATCH('3. Appendix A'!$E$20, '2b. Continuity Schedule'!$A$20:$BW$20,0),FALSE)), 0, VLOOKUP($A69, '2b. Continuity Schedule'!$A$20:$BW$112, MATCH('3. Appendix A'!$E$20, '2b. Continuity Schedule'!$A$20:$BW$20,0),FALSE))</f>
        <v>0</v>
      </c>
      <c r="F69" s="132"/>
    </row>
    <row r="70" spans="1:6" ht="29.25" hidden="1" customHeight="1" x14ac:dyDescent="0.2">
      <c r="A70">
        <v>44</v>
      </c>
      <c r="C70" s="251" t="str">
        <f>VLOOKUP(A70, '2b. Continuity Schedule'!$A$24:$BW$110,3,FALSE)</f>
        <v>Deferred Rate Impact Amounts</v>
      </c>
      <c r="D70" s="304">
        <f>VLOOKUP(A70, '2b. Continuity Schedule'!$A$24:$BW$110,4,FALSE)</f>
        <v>1574</v>
      </c>
      <c r="E70" s="253">
        <f>IF(ISERROR(VLOOKUP($A70, '2b. Continuity Schedule'!$A$20:$BW$112, MATCH('3. Appendix A'!$E$20, '2b. Continuity Schedule'!$A$20:$BW$20,0),FALSE)), 0, VLOOKUP($A70, '2b. Continuity Schedule'!$A$20:$BW$112, MATCH('3. Appendix A'!$E$20, '2b. Continuity Schedule'!$A$20:$BW$20,0),FALSE))</f>
        <v>0</v>
      </c>
      <c r="F70" s="132"/>
    </row>
    <row r="71" spans="1:6" ht="29.25" hidden="1" customHeight="1" x14ac:dyDescent="0.2">
      <c r="A71">
        <v>45</v>
      </c>
      <c r="C71" s="251" t="str">
        <f>VLOOKUP(A71, '2b. Continuity Schedule'!$A$24:$BW$110,3,FALSE)</f>
        <v>RSVA - One-time</v>
      </c>
      <c r="D71" s="304">
        <f>VLOOKUP(A71, '2b. Continuity Schedule'!$A$24:$BW$110,4,FALSE)</f>
        <v>1582</v>
      </c>
      <c r="E71" s="253">
        <f>IF(ISERROR(VLOOKUP($A71, '2b. Continuity Schedule'!$A$20:$BW$112, MATCH('3. Appendix A'!$E$20, '2b. Continuity Schedule'!$A$20:$BW$20,0),FALSE)), 0, VLOOKUP($A71, '2b. Continuity Schedule'!$A$20:$BW$112, MATCH('3. Appendix A'!$E$20, '2b. Continuity Schedule'!$A$20:$BW$20,0),FALSE))</f>
        <v>0</v>
      </c>
      <c r="F71" s="132"/>
    </row>
    <row r="72" spans="1:6" ht="29.25" hidden="1" customHeight="1" x14ac:dyDescent="0.2">
      <c r="A72">
        <v>46</v>
      </c>
      <c r="C72" s="251" t="str">
        <f>VLOOKUP(A72, '2b. Continuity Schedule'!$A$24:$BW$110,3,FALSE)</f>
        <v>Other Deferred Credits</v>
      </c>
      <c r="D72" s="304">
        <f>VLOOKUP(A72, '2b. Continuity Schedule'!$A$24:$BW$110,4,FALSE)</f>
        <v>2425</v>
      </c>
      <c r="E72" s="253">
        <f>IF(ISERROR(VLOOKUP($A72, '2b. Continuity Schedule'!$A$20:$BW$112, MATCH('3. Appendix A'!$E$20, '2b. Continuity Schedule'!$A$20:$BW$20,0),FALSE)), 0, VLOOKUP($A72, '2b. Continuity Schedule'!$A$20:$BW$112, MATCH('3. Appendix A'!$E$20, '2b. Continuity Schedule'!$A$20:$BW$20,0),FALSE))</f>
        <v>0</v>
      </c>
      <c r="F72" s="132"/>
    </row>
    <row r="73" spans="1:6" ht="29.25" hidden="1" customHeight="1" x14ac:dyDescent="0.2">
      <c r="A73">
        <v>47</v>
      </c>
      <c r="C73" s="251" t="str">
        <f>VLOOKUP(A73, '2b. Continuity Schedule'!$A$24:$BW$110,3,FALSE)</f>
        <v>PILs and Tax Variance for 2006 and Subsequent Years                                                                          (excludes sub-account and contra account below)</v>
      </c>
      <c r="D73" s="304">
        <f>VLOOKUP(A73, '2b. Continuity Schedule'!$A$24:$BW$110,4,FALSE)</f>
        <v>1592</v>
      </c>
      <c r="E73" s="253">
        <f>IF(ISERROR(VLOOKUP($A73, '2b. Continuity Schedule'!$A$20:$BW$112, MATCH('3. Appendix A'!$E$20, '2b. Continuity Schedule'!$A$20:$BW$20,0),FALSE)), 0, VLOOKUP($A73, '2b. Continuity Schedule'!$A$20:$BW$112, MATCH('3. Appendix A'!$E$20, '2b. Continuity Schedule'!$A$20:$BW$20,0),FALSE))</f>
        <v>0</v>
      </c>
      <c r="F73" s="132"/>
    </row>
    <row r="74" spans="1:6" ht="29.25" customHeight="1" x14ac:dyDescent="0.2">
      <c r="A74">
        <v>48</v>
      </c>
      <c r="C74" s="251" t="str">
        <f>VLOOKUP(A74, '2b. Continuity Schedule'!$A$24:$BW$110,3,FALSE)</f>
        <v>PILs and Tax Variance for 2006 and Subsequent Years- Sub-account CCA Changes12</v>
      </c>
      <c r="D74" s="304">
        <f>VLOOKUP(A74, '2b. Continuity Schedule'!$A$24:$BW$110,4,FALSE)</f>
        <v>1592</v>
      </c>
      <c r="E74" s="253">
        <f>IF(ISERROR(VLOOKUP($A74, '2b. Continuity Schedule'!$A$20:$BW$112, MATCH('3. Appendix A'!$E$20, '2b. Continuity Schedule'!$A$20:$BW$20,0),FALSE)), 0, VLOOKUP($A74, '2b. Continuity Schedule'!$A$20:$BW$112, MATCH('3. Appendix A'!$E$20, '2b. Continuity Schedule'!$A$20:$BW$20,0),FALSE))</f>
        <v>-410974.27</v>
      </c>
      <c r="F74" s="132" t="s">
        <v>3494</v>
      </c>
    </row>
    <row r="75" spans="1:6" ht="29.25" customHeight="1" x14ac:dyDescent="0.2">
      <c r="A75">
        <v>49</v>
      </c>
      <c r="C75" s="251" t="str">
        <f>VLOOKUP(A75, '2b. Continuity Schedule'!$A$24:$BW$110,3,FALSE)</f>
        <v>LRAM Variance Account4</v>
      </c>
      <c r="D75" s="304">
        <f>VLOOKUP(A75, '2b. Continuity Schedule'!$A$24:$BW$110,4,FALSE)</f>
        <v>1568</v>
      </c>
      <c r="E75" s="253">
        <f>IF(ISERROR(VLOOKUP($A75, '2b. Continuity Schedule'!$A$20:$BW$112, MATCH('3. Appendix A'!$E$20, '2b. Continuity Schedule'!$A$20:$BW$20,0),FALSE)), 0, VLOOKUP($A75, '2b. Continuity Schedule'!$A$20:$BW$112, MATCH('3. Appendix A'!$E$20, '2b. Continuity Schedule'!$A$20:$BW$20,0),FALSE))</f>
        <v>-178618.02999999991</v>
      </c>
      <c r="F75" s="132" t="s">
        <v>3494</v>
      </c>
    </row>
    <row r="76" spans="1:6" ht="29.25" hidden="1" customHeight="1" x14ac:dyDescent="0.2">
      <c r="A76">
        <v>50</v>
      </c>
      <c r="C76" s="251" t="str">
        <f>VLOOKUP(A76, '2b. Continuity Schedule'!$A$24:$BW$110,3,FALSE)</f>
        <v>Renewable Generation Connection Capital Deferral Account</v>
      </c>
      <c r="D76" s="304">
        <f>VLOOKUP(A76, '2b. Continuity Schedule'!$A$24:$BW$110,4,FALSE)</f>
        <v>1531</v>
      </c>
      <c r="E76" s="253">
        <f>IF(ISERROR(VLOOKUP($A76, '2b. Continuity Schedule'!$A$20:$BW$112, MATCH('3. Appendix A'!$E$20, '2b. Continuity Schedule'!$A$20:$BW$20,0),FALSE)), 0, VLOOKUP($A76, '2b. Continuity Schedule'!$A$20:$BW$112, MATCH('3. Appendix A'!$E$20, '2b. Continuity Schedule'!$A$20:$BW$20,0),FALSE))</f>
        <v>0</v>
      </c>
      <c r="F76" s="132"/>
    </row>
    <row r="77" spans="1:6" ht="29.25" hidden="1" customHeight="1" x14ac:dyDescent="0.2">
      <c r="A77">
        <v>51</v>
      </c>
      <c r="C77" s="251" t="str">
        <f>VLOOKUP(A77, '2b. Continuity Schedule'!$A$24:$BW$110,3,FALSE)</f>
        <v>Renewable Generation Connection OM&amp;A Deferral Account</v>
      </c>
      <c r="D77" s="304">
        <f>VLOOKUP(A77, '2b. Continuity Schedule'!$A$24:$BW$110,4,FALSE)</f>
        <v>1532</v>
      </c>
      <c r="E77" s="253">
        <f>IF(ISERROR(VLOOKUP($A77, '2b. Continuity Schedule'!$A$20:$BW$112, MATCH('3. Appendix A'!$E$20, '2b. Continuity Schedule'!$A$20:$BW$20,0),FALSE)), 0, VLOOKUP($A77, '2b. Continuity Schedule'!$A$20:$BW$112, MATCH('3. Appendix A'!$E$20, '2b. Continuity Schedule'!$A$20:$BW$20,0),FALSE))</f>
        <v>0</v>
      </c>
      <c r="F77" s="132"/>
    </row>
    <row r="78" spans="1:6" ht="29.25" hidden="1" customHeight="1" x14ac:dyDescent="0.2">
      <c r="A78">
        <v>52</v>
      </c>
      <c r="C78" s="251" t="str">
        <f>VLOOKUP(A78, '2b. Continuity Schedule'!$A$24:$BW$110,3,FALSE)</f>
        <v xml:space="preserve">Renewable Generation Connection Funding Adder Deferral Account </v>
      </c>
      <c r="D78" s="304">
        <f>VLOOKUP(A78, '2b. Continuity Schedule'!$A$24:$BW$110,4,FALSE)</f>
        <v>1533</v>
      </c>
      <c r="E78" s="253">
        <f>IF(ISERROR(VLOOKUP($A78, '2b. Continuity Schedule'!$A$20:$BW$112, MATCH('3. Appendix A'!$E$20, '2b. Continuity Schedule'!$A$20:$BW$20,0),FALSE)), 0, VLOOKUP($A78, '2b. Continuity Schedule'!$A$20:$BW$112, MATCH('3. Appendix A'!$E$20, '2b. Continuity Schedule'!$A$20:$BW$20,0),FALSE))</f>
        <v>0</v>
      </c>
      <c r="F78" s="132"/>
    </row>
    <row r="79" spans="1:6" ht="29.25" hidden="1" customHeight="1" x14ac:dyDescent="0.2">
      <c r="A79">
        <v>53</v>
      </c>
      <c r="C79" s="251" t="str">
        <f>VLOOKUP(A79, '2b. Continuity Schedule'!$A$24:$BW$110,3,FALSE)</f>
        <v>Smart Grid Capital Deferral Account</v>
      </c>
      <c r="D79" s="304">
        <f>VLOOKUP(A79, '2b. Continuity Schedule'!$A$24:$BW$110,4,FALSE)</f>
        <v>1534</v>
      </c>
      <c r="E79" s="253">
        <f>IF(ISERROR(VLOOKUP($A79, '2b. Continuity Schedule'!$A$20:$BW$112, MATCH('3. Appendix A'!$E$20, '2b. Continuity Schedule'!$A$20:$BW$20,0),FALSE)), 0, VLOOKUP($A79, '2b. Continuity Schedule'!$A$20:$BW$112, MATCH('3. Appendix A'!$E$20, '2b. Continuity Schedule'!$A$20:$BW$20,0),FALSE))</f>
        <v>0</v>
      </c>
      <c r="F79" s="132"/>
    </row>
    <row r="80" spans="1:6" ht="29.25" hidden="1" customHeight="1" x14ac:dyDescent="0.2">
      <c r="A80">
        <v>54</v>
      </c>
      <c r="C80" s="251" t="str">
        <f>VLOOKUP(A80, '2b. Continuity Schedule'!$A$24:$BW$110,3,FALSE)</f>
        <v>Smart Grid OM&amp;A Deferral Account</v>
      </c>
      <c r="D80" s="304">
        <f>VLOOKUP(A80, '2b. Continuity Schedule'!$A$24:$BW$110,4,FALSE)</f>
        <v>1535</v>
      </c>
      <c r="E80" s="253">
        <f>IF(ISERROR(VLOOKUP($A80, '2b. Continuity Schedule'!$A$20:$BW$112, MATCH('3. Appendix A'!$E$20, '2b. Continuity Schedule'!$A$20:$BW$20,0),FALSE)), 0, VLOOKUP($A80, '2b. Continuity Schedule'!$A$20:$BW$112, MATCH('3. Appendix A'!$E$20, '2b. Continuity Schedule'!$A$20:$BW$20,0),FALSE))</f>
        <v>0</v>
      </c>
      <c r="F80" s="132"/>
    </row>
    <row r="81" spans="1:6" ht="29.25" hidden="1" customHeight="1" x14ac:dyDescent="0.2">
      <c r="A81">
        <v>55</v>
      </c>
      <c r="C81" s="251" t="str">
        <f>VLOOKUP(A81, '2b. Continuity Schedule'!$A$24:$BW$110,3,FALSE)</f>
        <v>Smart Grid Funding Adder Deferral Account</v>
      </c>
      <c r="D81" s="304">
        <f>VLOOKUP(A81, '2b. Continuity Schedule'!$A$24:$BW$110,4,FALSE)</f>
        <v>1536</v>
      </c>
      <c r="E81" s="253">
        <f>IF(ISERROR(VLOOKUP($A81, '2b. Continuity Schedule'!$A$20:$BW$112, MATCH('3. Appendix A'!$E$20, '2b. Continuity Schedule'!$A$20:$BW$20,0),FALSE)), 0, VLOOKUP($A81, '2b. Continuity Schedule'!$A$20:$BW$112, MATCH('3. Appendix A'!$E$20, '2b. Continuity Schedule'!$A$20:$BW$20,0),FALSE))</f>
        <v>0</v>
      </c>
      <c r="F81" s="132"/>
    </row>
    <row r="82" spans="1:6" ht="29.25" hidden="1" customHeight="1" x14ac:dyDescent="0.2">
      <c r="A82">
        <v>56</v>
      </c>
      <c r="C82" s="251" t="str">
        <f>VLOOKUP(A82, '2b. Continuity Schedule'!$A$24:$BW$110,3,FALSE)</f>
        <v>Smart Meter Capital and Recovery Offset Variance - Sub-Account - Capital4</v>
      </c>
      <c r="D82" s="304">
        <f>VLOOKUP(A82, '2b. Continuity Schedule'!$A$24:$BW$110,4,FALSE)</f>
        <v>1555</v>
      </c>
      <c r="E82" s="253">
        <f>IF(ISERROR(VLOOKUP($A82, '2b. Continuity Schedule'!$A$20:$BW$112, MATCH('3. Appendix A'!$E$20, '2b. Continuity Schedule'!$A$20:$BW$20,0),FALSE)), 0, VLOOKUP($A82, '2b. Continuity Schedule'!$A$20:$BW$112, MATCH('3. Appendix A'!$E$20, '2b. Continuity Schedule'!$A$20:$BW$20,0),FALSE))</f>
        <v>0</v>
      </c>
      <c r="F82" s="132"/>
    </row>
    <row r="83" spans="1:6" ht="29.25" hidden="1" customHeight="1" x14ac:dyDescent="0.2">
      <c r="A83">
        <v>57</v>
      </c>
      <c r="C83" s="251" t="str">
        <f>VLOOKUP(A83, '2b. Continuity Schedule'!$A$24:$BW$110,3,FALSE)</f>
        <v>Smart Meter Capital and Recovery Offset Variance - Sub-Account - Recoveries4</v>
      </c>
      <c r="D83" s="304">
        <f>VLOOKUP(A83, '2b. Continuity Schedule'!$A$24:$BW$110,4,FALSE)</f>
        <v>1555</v>
      </c>
      <c r="E83" s="253">
        <f>IF(ISERROR(VLOOKUP($A83, '2b. Continuity Schedule'!$A$20:$BW$112, MATCH('3. Appendix A'!$E$20, '2b. Continuity Schedule'!$A$20:$BW$20,0),FALSE)), 0, VLOOKUP($A83, '2b. Continuity Schedule'!$A$20:$BW$112, MATCH('3. Appendix A'!$E$20, '2b. Continuity Schedule'!$A$20:$BW$20,0),FALSE))</f>
        <v>0</v>
      </c>
      <c r="F83" s="132"/>
    </row>
    <row r="84" spans="1:6" ht="29.25" hidden="1" customHeight="1" x14ac:dyDescent="0.2">
      <c r="A84">
        <v>58</v>
      </c>
      <c r="C84" s="251" t="str">
        <f>VLOOKUP(A84, '2b. Continuity Schedule'!$A$24:$BW$110,3,FALSE)</f>
        <v>Smart Meter Capital and Recovery Offset Variance - Sub-Account - Stranded Meter Costs</v>
      </c>
      <c r="D84" s="304">
        <f>VLOOKUP(A84, '2b. Continuity Schedule'!$A$24:$BW$110,4,FALSE)</f>
        <v>1555</v>
      </c>
      <c r="E84" s="253">
        <f>IF(ISERROR(VLOOKUP($A84, '2b. Continuity Schedule'!$A$20:$BW$112, MATCH('3. Appendix A'!$E$20, '2b. Continuity Schedule'!$A$20:$BW$20,0),FALSE)), 0, VLOOKUP($A84, '2b. Continuity Schedule'!$A$20:$BW$112, MATCH('3. Appendix A'!$E$20, '2b. Continuity Schedule'!$A$20:$BW$20,0),FALSE))</f>
        <v>0</v>
      </c>
      <c r="F84" s="132"/>
    </row>
    <row r="85" spans="1:6" ht="29.25" hidden="1" customHeight="1" x14ac:dyDescent="0.2">
      <c r="A85">
        <v>59</v>
      </c>
      <c r="C85" s="251" t="str">
        <f>VLOOKUP(A85, '2b. Continuity Schedule'!$A$24:$BW$110,3,FALSE)</f>
        <v>Smart Meter OM&amp;A Variance4</v>
      </c>
      <c r="D85" s="304">
        <f>VLOOKUP(A85, '2b. Continuity Schedule'!$A$24:$BW$110,4,FALSE)</f>
        <v>1556</v>
      </c>
      <c r="E85" s="253">
        <f>IF(ISERROR(VLOOKUP($A85, '2b. Continuity Schedule'!$A$20:$BW$112, MATCH('3. Appendix A'!$E$20, '2b. Continuity Schedule'!$A$20:$BW$20,0),FALSE)), 0, VLOOKUP($A85, '2b. Continuity Schedule'!$A$20:$BW$112, MATCH('3. Appendix A'!$E$20, '2b. Continuity Schedule'!$A$20:$BW$20,0),FALSE))</f>
        <v>0</v>
      </c>
      <c r="F85" s="132"/>
    </row>
    <row r="86" spans="1:6" ht="29.25" hidden="1" customHeight="1" x14ac:dyDescent="0.2">
      <c r="A86">
        <v>60</v>
      </c>
      <c r="C86" s="251" t="str">
        <f>VLOOKUP(A86, '2b. Continuity Schedule'!$A$24:$BW$110,3,FALSE)</f>
        <v>Meter Cost Deferral Account (MIST Meters)3</v>
      </c>
      <c r="D86" s="304">
        <f>VLOOKUP(A86, '2b. Continuity Schedule'!$A$24:$BW$110,4,FALSE)</f>
        <v>1557</v>
      </c>
      <c r="E86" s="253">
        <f>IF(ISERROR(VLOOKUP($A86, '2b. Continuity Schedule'!$A$20:$BW$112, MATCH('3. Appendix A'!$E$20, '2b. Continuity Schedule'!$A$20:$BW$20,0),FALSE)), 0, VLOOKUP($A86, '2b. Continuity Schedule'!$A$20:$BW$112, MATCH('3. Appendix A'!$E$20, '2b. Continuity Schedule'!$A$20:$BW$20,0),FALSE))</f>
        <v>0</v>
      </c>
      <c r="F86" s="132"/>
    </row>
    <row r="87" spans="1:6" ht="29.25" hidden="1" customHeight="1" x14ac:dyDescent="0.2">
      <c r="A87">
        <v>61</v>
      </c>
      <c r="C87" s="251" t="str">
        <f>VLOOKUP(A87, '2b. Continuity Schedule'!$A$24:$BW$110,3,FALSE)</f>
        <v>IFRS-CGAAP Transition PP&amp;E Amounts Balance + Return Component</v>
      </c>
      <c r="D87" s="304">
        <f>VLOOKUP(A87, '2b. Continuity Schedule'!$A$24:$BW$110,4,FALSE)</f>
        <v>1575</v>
      </c>
      <c r="E87" s="253">
        <f>IF(ISERROR(VLOOKUP($A87, '2b. Continuity Schedule'!$A$20:$BW$112, MATCH('3. Appendix A'!$E$20, '2b. Continuity Schedule'!$A$20:$BW$20,0),FALSE)), 0, VLOOKUP($A87, '2b. Continuity Schedule'!$A$20:$BW$112, MATCH('3. Appendix A'!$E$20, '2b. Continuity Schedule'!$A$20:$BW$20,0),FALSE))</f>
        <v>0</v>
      </c>
      <c r="F87" s="132"/>
    </row>
    <row r="88" spans="1:6" ht="29.25" hidden="1" customHeight="1" x14ac:dyDescent="0.2">
      <c r="A88">
        <v>62</v>
      </c>
      <c r="C88" s="251" t="str">
        <f>VLOOKUP(A88, '2b. Continuity Schedule'!$A$24:$BW$110,3,FALSE)</f>
        <v>Accounting Changes Under CGAAP Balance + Return Component</v>
      </c>
      <c r="D88" s="304">
        <f>VLOOKUP(A88, '2b. Continuity Schedule'!$A$24:$BW$110,4,FALSE)</f>
        <v>1576</v>
      </c>
      <c r="E88" s="253">
        <f>IF(ISERROR(VLOOKUP($A88, '2b. Continuity Schedule'!$A$20:$BW$112, MATCH('3. Appendix A'!$E$20, '2b. Continuity Schedule'!$A$20:$BW$20,0),FALSE)), 0, VLOOKUP($A88, '2b. Continuity Schedule'!$A$20:$BW$112, MATCH('3. Appendix A'!$E$20, '2b. Continuity Schedule'!$A$20:$BW$20,0),FALSE))</f>
        <v>0</v>
      </c>
      <c r="F88" s="132"/>
    </row>
    <row r="89" spans="1:6" ht="29.25" hidden="1" customHeight="1" thickBot="1" x14ac:dyDescent="0.25">
      <c r="A89">
        <v>63</v>
      </c>
      <c r="C89" s="302" t="str">
        <f>VLOOKUP(A89, '2b. Continuity Schedule'!$A$24:$BW$110,3,FALSE)</f>
        <v>Impacts Arising from the COVID-19 Emergency11</v>
      </c>
      <c r="D89" s="305">
        <f>VLOOKUP(A89, '2b. Continuity Schedule'!$A$24:$BW$110,4,FALSE)</f>
        <v>1509</v>
      </c>
      <c r="E89" s="256">
        <f>IF(ISERROR(VLOOKUP($A89, '2b. Continuity Schedule'!$A$20:$BW$112, MATCH('3. Appendix A'!$E$20, '2b. Continuity Schedule'!$A$20:$BW$20,0),FALSE)), 0, VLOOKUP($A89, '2b. Continuity Schedule'!$A$20:$BW$112, MATCH('3. Appendix A'!$E$20, '2b. Continuity Schedule'!$A$20:$BW$20,0),FALSE))</f>
        <v>76892.210000000079</v>
      </c>
      <c r="F89" s="242"/>
    </row>
    <row r="90" spans="1:6" hidden="1" x14ac:dyDescent="0.2"/>
    <row r="91" spans="1:6" hidden="1" x14ac:dyDescent="0.2"/>
    <row r="92" spans="1:6" hidden="1" x14ac:dyDescent="0.2"/>
  </sheetData>
  <mergeCells count="5">
    <mergeCell ref="E20:E22"/>
    <mergeCell ref="F20:F22"/>
    <mergeCell ref="C20:C22"/>
    <mergeCell ref="D20:D22"/>
    <mergeCell ref="B16:E16"/>
  </mergeCells>
  <phoneticPr fontId="27" type="noConversion"/>
  <conditionalFormatting sqref="F24:F40 F42:F68">
    <cfRule type="expression" dxfId="20" priority="10" stopIfTrue="1">
      <formula>ISBLANK(F24)</formula>
    </cfRule>
  </conditionalFormatting>
  <conditionalFormatting sqref="F69:F73 F76:F87">
    <cfRule type="expression" dxfId="19" priority="5" stopIfTrue="1">
      <formula>ISBLANK(F69)</formula>
    </cfRule>
  </conditionalFormatting>
  <conditionalFormatting sqref="F89">
    <cfRule type="expression" dxfId="18" priority="4" stopIfTrue="1">
      <formula>ISBLANK(F89)</formula>
    </cfRule>
  </conditionalFormatting>
  <conditionalFormatting sqref="F88">
    <cfRule type="expression" dxfId="17" priority="2" stopIfTrue="1">
      <formula>ISBLANK(F88)</formula>
    </cfRule>
  </conditionalFormatting>
  <conditionalFormatting sqref="F74:F75">
    <cfRule type="expression" dxfId="16" priority="1" stopIfTrue="1">
      <formula>ISBLANK(F74)</formula>
    </cfRule>
  </conditionalFormatting>
  <pageMargins left="0.35433070866141736" right="0.39370078740157483" top="0.59055118110236227" bottom="0.62992125984251968" header="0.35433070866141736" footer="0.31496062992125984"/>
  <pageSetup scale="3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XEV55"/>
  <sheetViews>
    <sheetView showGridLines="0" topLeftCell="B9" zoomScaleNormal="100" workbookViewId="0">
      <selection activeCell="I22" sqref="I22"/>
    </sheetView>
  </sheetViews>
  <sheetFormatPr defaultColWidth="9" defaultRowHeight="12.75" x14ac:dyDescent="0.2"/>
  <cols>
    <col min="2" max="2" width="54" bestFit="1" customWidth="1"/>
    <col min="3" max="3" width="9.28515625" customWidth="1"/>
    <col min="4" max="4" width="14.85546875" customWidth="1"/>
    <col min="5" max="6" width="17" customWidth="1"/>
    <col min="7" max="7" width="14" bestFit="1" customWidth="1"/>
    <col min="8" max="8" width="12.7109375" bestFit="1" customWidth="1"/>
    <col min="9" max="9" width="16" bestFit="1" customWidth="1"/>
    <col min="10" max="10" width="19.7109375" customWidth="1"/>
    <col min="11" max="11" width="19.28515625" customWidth="1"/>
    <col min="12" max="12" width="17" customWidth="1"/>
    <col min="13" max="13" width="18" bestFit="1" customWidth="1"/>
    <col min="14" max="14" width="17" hidden="1" customWidth="1"/>
    <col min="15" max="15" width="19" customWidth="1"/>
    <col min="16" max="16" width="19.7109375" customWidth="1"/>
    <col min="17" max="17" width="21.28515625" hidden="1" customWidth="1"/>
    <col min="18" max="18" width="21.85546875" hidden="1" customWidth="1"/>
    <col min="19" max="19" width="26.7109375" customWidth="1"/>
    <col min="20" max="20" width="20.85546875" customWidth="1"/>
    <col min="21" max="23" width="21.28515625" hidden="1" customWidth="1"/>
    <col min="24" max="24" width="21.28515625" customWidth="1"/>
    <col min="25" max="28" width="21.28515625" hidden="1" customWidth="1"/>
    <col min="29" max="30" width="17.28515625" customWidth="1"/>
  </cols>
  <sheetData>
    <row r="1" spans="2:16" x14ac:dyDescent="0.2">
      <c r="J1" s="262"/>
      <c r="K1" s="262"/>
      <c r="L1" s="262"/>
    </row>
    <row r="2" spans="2:16" x14ac:dyDescent="0.2">
      <c r="B2" s="262"/>
      <c r="J2" s="262"/>
      <c r="K2" s="262"/>
      <c r="L2" s="262"/>
    </row>
    <row r="3" spans="2:16" x14ac:dyDescent="0.2">
      <c r="J3" s="262"/>
      <c r="K3" s="262"/>
      <c r="L3" s="262"/>
    </row>
    <row r="4" spans="2:16" x14ac:dyDescent="0.2">
      <c r="J4" s="262"/>
      <c r="K4" s="262"/>
      <c r="L4" s="262"/>
    </row>
    <row r="5" spans="2:16" x14ac:dyDescent="0.2">
      <c r="J5" s="262"/>
      <c r="K5" s="262"/>
      <c r="L5" s="262"/>
    </row>
    <row r="6" spans="2:16" x14ac:dyDescent="0.2">
      <c r="J6" s="262"/>
      <c r="K6" s="262"/>
      <c r="L6" s="262"/>
    </row>
    <row r="7" spans="2:16" x14ac:dyDescent="0.2">
      <c r="J7" s="262"/>
      <c r="K7" s="262"/>
      <c r="L7" s="262"/>
    </row>
    <row r="8" spans="2:16" x14ac:dyDescent="0.2">
      <c r="J8" s="262"/>
      <c r="K8" s="262"/>
      <c r="L8" s="262"/>
    </row>
    <row r="9" spans="2:16" x14ac:dyDescent="0.2">
      <c r="J9" s="262"/>
      <c r="K9" s="262"/>
      <c r="L9" s="262"/>
    </row>
    <row r="10" spans="2:16" x14ac:dyDescent="0.2">
      <c r="J10" s="262"/>
      <c r="K10" s="262"/>
      <c r="L10" s="262"/>
    </row>
    <row r="11" spans="2:16" x14ac:dyDescent="0.2">
      <c r="J11" s="262"/>
      <c r="K11" s="262"/>
      <c r="L11" s="262"/>
    </row>
    <row r="12" spans="2:16" x14ac:dyDescent="0.2">
      <c r="J12" s="262"/>
      <c r="K12" s="262"/>
      <c r="L12" s="262"/>
    </row>
    <row r="13" spans="2:16" ht="3" customHeight="1" x14ac:dyDescent="0.2">
      <c r="J13" s="262"/>
      <c r="K13" s="262"/>
      <c r="L13" s="262"/>
    </row>
    <row r="14" spans="2:16" ht="3" customHeight="1" x14ac:dyDescent="0.2">
      <c r="J14" s="262"/>
      <c r="K14" s="262"/>
      <c r="L14" s="262"/>
    </row>
    <row r="15" spans="2:16" ht="3" customHeight="1" x14ac:dyDescent="0.2"/>
    <row r="16" spans="2:16" ht="12.75" customHeight="1" x14ac:dyDescent="0.2">
      <c r="B16" s="793" t="s">
        <v>158</v>
      </c>
      <c r="C16" s="793"/>
      <c r="D16" s="793"/>
      <c r="E16" s="793"/>
      <c r="F16" s="793"/>
      <c r="G16" s="793"/>
      <c r="H16" s="793"/>
      <c r="I16" s="793"/>
      <c r="J16" s="94"/>
      <c r="K16" s="94"/>
      <c r="L16" s="94"/>
      <c r="M16" s="94"/>
      <c r="N16" s="94"/>
      <c r="O16" s="94"/>
      <c r="P16" s="94"/>
    </row>
    <row r="17" spans="1:16376" x14ac:dyDescent="0.2">
      <c r="B17" s="793"/>
      <c r="C17" s="793"/>
      <c r="D17" s="793"/>
      <c r="E17" s="793"/>
      <c r="F17" s="793"/>
      <c r="G17" s="793"/>
      <c r="H17" s="793"/>
      <c r="I17" s="793"/>
      <c r="J17" s="94"/>
      <c r="K17" s="94"/>
      <c r="L17" s="94"/>
      <c r="M17" s="94"/>
      <c r="N17" s="94"/>
      <c r="O17" s="94"/>
      <c r="P17" s="94"/>
    </row>
    <row r="18" spans="1:16376" ht="25.5" x14ac:dyDescent="0.2">
      <c r="B18" s="95"/>
      <c r="C18" s="95"/>
      <c r="D18" s="95"/>
      <c r="E18" s="798" t="s">
        <v>186</v>
      </c>
      <c r="F18" s="798"/>
      <c r="G18" s="798" t="s">
        <v>187</v>
      </c>
      <c r="H18" s="798"/>
      <c r="I18" s="95"/>
      <c r="J18" s="798" t="s">
        <v>192</v>
      </c>
      <c r="K18" s="798"/>
      <c r="L18" s="805" t="s">
        <v>193</v>
      </c>
      <c r="M18" s="806"/>
      <c r="N18" s="95"/>
      <c r="O18" s="798" t="s">
        <v>194</v>
      </c>
      <c r="P18" s="798"/>
      <c r="Q18" s="798"/>
      <c r="R18" s="95"/>
      <c r="S18" s="306" t="s">
        <v>395</v>
      </c>
    </row>
    <row r="19" spans="1:16376" ht="12.75" customHeight="1" x14ac:dyDescent="0.2">
      <c r="B19" s="809" t="s">
        <v>144</v>
      </c>
      <c r="C19" s="808" t="s">
        <v>51</v>
      </c>
      <c r="D19" s="794" t="s">
        <v>59</v>
      </c>
      <c r="E19" s="795" t="s">
        <v>448</v>
      </c>
      <c r="F19" s="795" t="s">
        <v>449</v>
      </c>
      <c r="G19" s="795" t="s">
        <v>2871</v>
      </c>
      <c r="H19" s="795" t="s">
        <v>2901</v>
      </c>
      <c r="I19" s="795" t="s">
        <v>171</v>
      </c>
      <c r="J19" s="795" t="s">
        <v>450</v>
      </c>
      <c r="K19" s="795" t="s">
        <v>451</v>
      </c>
      <c r="L19" s="795" t="s">
        <v>145</v>
      </c>
      <c r="M19" s="795" t="s">
        <v>179</v>
      </c>
      <c r="N19" s="797" t="s">
        <v>175</v>
      </c>
      <c r="O19" s="795" t="s">
        <v>2906</v>
      </c>
      <c r="P19" s="796" t="s">
        <v>2907</v>
      </c>
      <c r="Q19" s="796"/>
      <c r="R19" s="796" t="s">
        <v>191</v>
      </c>
      <c r="S19" s="795" t="s">
        <v>202</v>
      </c>
      <c r="T19" s="795" t="s">
        <v>180</v>
      </c>
      <c r="U19" s="796" t="s">
        <v>172</v>
      </c>
      <c r="V19" s="799" t="s">
        <v>3470</v>
      </c>
      <c r="W19" s="799" t="s">
        <v>424</v>
      </c>
      <c r="X19" s="799" t="s">
        <v>2904</v>
      </c>
      <c r="Y19" s="799" t="s">
        <v>3067</v>
      </c>
      <c r="Z19" s="799" t="s">
        <v>3068</v>
      </c>
      <c r="AA19" s="799" t="s">
        <v>3070</v>
      </c>
      <c r="AB19" s="796" t="s">
        <v>3471</v>
      </c>
      <c r="AC19" s="803" t="s">
        <v>183</v>
      </c>
      <c r="AD19" s="801" t="s">
        <v>173</v>
      </c>
    </row>
    <row r="20" spans="1:16376" ht="101.25" customHeight="1" x14ac:dyDescent="0.2">
      <c r="B20" s="810"/>
      <c r="C20" s="808"/>
      <c r="D20" s="794"/>
      <c r="E20" s="794"/>
      <c r="F20" s="794"/>
      <c r="G20" s="795"/>
      <c r="H20" s="795"/>
      <c r="I20" s="795"/>
      <c r="J20" s="795"/>
      <c r="K20" s="795"/>
      <c r="L20" s="795"/>
      <c r="M20" s="795"/>
      <c r="N20" s="797"/>
      <c r="O20" s="795"/>
      <c r="P20" s="796"/>
      <c r="Q20" s="796"/>
      <c r="R20" s="796"/>
      <c r="S20" s="795"/>
      <c r="T20" s="795"/>
      <c r="U20" s="796"/>
      <c r="V20" s="800"/>
      <c r="W20" s="800"/>
      <c r="X20" s="800"/>
      <c r="Y20" s="800"/>
      <c r="Z20" s="800"/>
      <c r="AA20" s="800"/>
      <c r="AB20" s="796"/>
      <c r="AC20" s="803"/>
      <c r="AD20" s="802"/>
    </row>
    <row r="21" spans="1:16376" x14ac:dyDescent="0.2">
      <c r="B21" s="138" t="s">
        <v>3495</v>
      </c>
      <c r="C21" s="139" t="s">
        <v>139</v>
      </c>
      <c r="D21" s="187">
        <v>30340</v>
      </c>
      <c r="E21" s="188">
        <v>282922375</v>
      </c>
      <c r="F21" s="189">
        <v>0</v>
      </c>
      <c r="G21" s="190">
        <v>3464299</v>
      </c>
      <c r="H21" s="190"/>
      <c r="I21" s="191">
        <v>14039803.519375909</v>
      </c>
      <c r="J21" s="187"/>
      <c r="K21" s="187"/>
      <c r="L21" s="98">
        <f>E21-J21</f>
        <v>282922375</v>
      </c>
      <c r="M21" s="98">
        <f>F21-K21</f>
        <v>0</v>
      </c>
      <c r="N21" s="227"/>
      <c r="O21" s="307">
        <f t="array" ref="O21">SUM(IF('6. Class A Consumption Data'!$B$492:$B$791=B21,'6. Class A Consumption Data'!$E$492:$E$791))</f>
        <v>0</v>
      </c>
      <c r="P21" s="307">
        <f t="array" ref="P21">SUM(IF('6. Class A Consumption Data'!$B$492:$B$791=B21,'6. Class A Consumption Data'!$D$492:$D$791))</f>
        <v>0</v>
      </c>
      <c r="Q21" s="103">
        <f>L21-O21-P21</f>
        <v>282922375</v>
      </c>
      <c r="R21" s="141"/>
      <c r="S21" s="98">
        <f>IF(OR(G21=0, ISBLANK(G21)), 0, G21-J21-O21-P21)</f>
        <v>3464299</v>
      </c>
      <c r="T21" s="98">
        <f>IF(OR(H21=0, ISBLANK(H21)), 0, H21-K21-P21-R21)</f>
        <v>0</v>
      </c>
      <c r="U21" s="258"/>
      <c r="V21" s="141"/>
      <c r="W21" s="141"/>
      <c r="X21" s="141">
        <v>0.46649616166089203</v>
      </c>
      <c r="Y21" s="141">
        <v>0.46845039417564138</v>
      </c>
      <c r="Z21" s="50"/>
      <c r="AA21" s="50"/>
      <c r="AB21" s="50"/>
      <c r="AC21" s="192">
        <v>44507</v>
      </c>
      <c r="AD21" s="547">
        <f>D21</f>
        <v>30340</v>
      </c>
    </row>
    <row r="22" spans="1:16376" x14ac:dyDescent="0.2">
      <c r="B22" s="138" t="s">
        <v>3496</v>
      </c>
      <c r="C22" s="139" t="s">
        <v>139</v>
      </c>
      <c r="D22" s="187">
        <v>3400</v>
      </c>
      <c r="E22" s="188">
        <v>86539469</v>
      </c>
      <c r="F22" s="189">
        <v>0</v>
      </c>
      <c r="G22" s="190">
        <v>13210191</v>
      </c>
      <c r="H22" s="190"/>
      <c r="I22" s="191">
        <v>3556769.5384339723</v>
      </c>
      <c r="J22" s="187"/>
      <c r="K22" s="187"/>
      <c r="L22" s="98">
        <f t="shared" ref="L22:L40" si="0">E22-J22</f>
        <v>86539469</v>
      </c>
      <c r="M22" s="98">
        <f t="shared" ref="M22:M40" si="1">F22-K22</f>
        <v>0</v>
      </c>
      <c r="N22" s="227"/>
      <c r="O22" s="307">
        <f t="array" ref="O22">SUM(IF('6. Class A Consumption Data'!$B$492:$B$791=B22,'6. Class A Consumption Data'!$E$492:$E$791))</f>
        <v>0</v>
      </c>
      <c r="P22" s="307">
        <f t="array" ref="P22">SUM(IF('6. Class A Consumption Data'!$B$492:$B$791=B22,'6. Class A Consumption Data'!$D$492:$D$791))</f>
        <v>0</v>
      </c>
      <c r="Q22" s="103">
        <f t="shared" ref="Q22:Q41" si="2">L22-O22-P22</f>
        <v>86539469</v>
      </c>
      <c r="R22" s="141"/>
      <c r="S22" s="98">
        <f t="shared" ref="S22:S41" si="3">IF(OR(G22=0, ISBLANK(G22)), 0, G22-J22-O22-P22)</f>
        <v>13210191</v>
      </c>
      <c r="T22" s="98">
        <f t="shared" ref="T22:T40" si="4">IF(OR(H22=0, ISBLANK(H22)), 0, H22-K22-P22-R22)</f>
        <v>0</v>
      </c>
      <c r="U22" s="258"/>
      <c r="V22" s="141"/>
      <c r="W22" s="141"/>
      <c r="X22" s="141">
        <v>0.14637889020700481</v>
      </c>
      <c r="Y22" s="141">
        <v>0.14513646324373936</v>
      </c>
      <c r="Z22" s="50"/>
      <c r="AA22" s="50"/>
      <c r="AB22" s="50"/>
      <c r="AC22" s="192">
        <f>-106950-4884+1613</f>
        <v>-110221</v>
      </c>
      <c r="AD22" s="547">
        <f>D22</f>
        <v>3400</v>
      </c>
    </row>
    <row r="23" spans="1:16376" x14ac:dyDescent="0.2">
      <c r="B23" s="138" t="s">
        <v>3497</v>
      </c>
      <c r="C23" s="139" t="s">
        <v>170</v>
      </c>
      <c r="D23" s="187">
        <v>344</v>
      </c>
      <c r="E23" s="188">
        <v>232644288</v>
      </c>
      <c r="F23" s="189">
        <v>575372</v>
      </c>
      <c r="G23" s="190">
        <v>189711508</v>
      </c>
      <c r="H23" s="190">
        <v>469161</v>
      </c>
      <c r="I23" s="191">
        <v>5248566.6528926305</v>
      </c>
      <c r="J23" s="140"/>
      <c r="K23" s="140"/>
      <c r="L23" s="98">
        <f t="shared" si="0"/>
        <v>232644288</v>
      </c>
      <c r="M23" s="98">
        <f t="shared" si="1"/>
        <v>575372</v>
      </c>
      <c r="N23" s="227"/>
      <c r="O23" s="307">
        <f t="array" ref="O23">SUM(IF('6. Class A Consumption Data'!$B$492:$B$791=B23,'6. Class A Consumption Data'!$E$492:$E$791))</f>
        <v>37810243.020000003</v>
      </c>
      <c r="P23" s="307">
        <f t="array" ref="P23">SUM(IF('6. Class A Consumption Data'!$B$492:$B$791=B23,'6. Class A Consumption Data'!$D$492:$D$791))</f>
        <v>0</v>
      </c>
      <c r="Q23" s="103">
        <f t="shared" si="2"/>
        <v>194834044.97999999</v>
      </c>
      <c r="R23" s="141"/>
      <c r="S23" s="98">
        <f t="shared" si="3"/>
        <v>151901264.97999999</v>
      </c>
      <c r="T23" s="98">
        <f t="shared" si="4"/>
        <v>469161</v>
      </c>
      <c r="U23" s="258"/>
      <c r="V23" s="141"/>
      <c r="W23" s="141"/>
      <c r="X23" s="141">
        <v>0.38159779018834555</v>
      </c>
      <c r="Y23" s="141">
        <v>0.38090024586913879</v>
      </c>
      <c r="Z23" s="50"/>
      <c r="AA23" s="50"/>
      <c r="AB23" s="50"/>
      <c r="AC23" s="192">
        <v>263903</v>
      </c>
      <c r="AD23" s="192"/>
    </row>
    <row r="24" spans="1:16376" x14ac:dyDescent="0.2">
      <c r="B24" s="138" t="s">
        <v>3498</v>
      </c>
      <c r="C24" s="139" t="s">
        <v>139</v>
      </c>
      <c r="D24" s="187">
        <v>25</v>
      </c>
      <c r="E24" s="188">
        <v>878528</v>
      </c>
      <c r="F24" s="189"/>
      <c r="G24" s="190">
        <v>0</v>
      </c>
      <c r="H24" s="190"/>
      <c r="I24" s="191">
        <v>45897.511946399296</v>
      </c>
      <c r="J24" s="140"/>
      <c r="K24" s="140"/>
      <c r="L24" s="98">
        <f t="shared" si="0"/>
        <v>878528</v>
      </c>
      <c r="M24" s="98">
        <f t="shared" si="1"/>
        <v>0</v>
      </c>
      <c r="N24" s="227"/>
      <c r="O24" s="307">
        <f t="array" ref="O24">SUM(IF('6. Class A Consumption Data'!$B$492:$B$791=B24,'6. Class A Consumption Data'!$E$492:$E$791))</f>
        <v>0</v>
      </c>
      <c r="P24" s="307">
        <f t="array" ref="P24">SUM(IF('6. Class A Consumption Data'!$B$492:$B$791=B24,'6. Class A Consumption Data'!$D$492:$D$791))</f>
        <v>0</v>
      </c>
      <c r="Q24" s="103">
        <f t="shared" si="2"/>
        <v>878528</v>
      </c>
      <c r="R24" s="141"/>
      <c r="S24" s="98">
        <f t="shared" si="3"/>
        <v>0</v>
      </c>
      <c r="T24" s="98">
        <f t="shared" si="4"/>
        <v>0</v>
      </c>
      <c r="U24" s="258"/>
      <c r="V24" s="141"/>
      <c r="W24" s="141"/>
      <c r="X24" s="141">
        <v>3.2998468380550144E-4</v>
      </c>
      <c r="Y24" s="141">
        <v>3.2728443706438019E-4</v>
      </c>
      <c r="Z24" s="50"/>
      <c r="AA24" s="50"/>
      <c r="AB24" s="50"/>
      <c r="AC24" s="192"/>
      <c r="AD24" s="192"/>
    </row>
    <row r="25" spans="1:16376" x14ac:dyDescent="0.2">
      <c r="B25" s="138" t="s">
        <v>3500</v>
      </c>
      <c r="C25" s="139" t="s">
        <v>170</v>
      </c>
      <c r="D25" s="187">
        <v>8037</v>
      </c>
      <c r="E25" s="188">
        <v>2459994</v>
      </c>
      <c r="F25" s="189">
        <v>7200</v>
      </c>
      <c r="G25" s="190">
        <v>2330282</v>
      </c>
      <c r="H25" s="190">
        <v>6820</v>
      </c>
      <c r="I25" s="191">
        <v>271714.59220537677</v>
      </c>
      <c r="J25" s="140"/>
      <c r="K25" s="140"/>
      <c r="L25" s="98">
        <f t="shared" si="0"/>
        <v>2459994</v>
      </c>
      <c r="M25" s="98">
        <f t="shared" si="1"/>
        <v>7200</v>
      </c>
      <c r="N25" s="227">
        <v>0</v>
      </c>
      <c r="O25" s="307">
        <f t="array" ref="O25">SUM(IF('6. Class A Consumption Data'!$B$492:$B$791=B25,'6. Class A Consumption Data'!$E$492:$E$791))</f>
        <v>0</v>
      </c>
      <c r="P25" s="307">
        <f t="array" ref="P25">SUM(IF('6. Class A Consumption Data'!$B$492:$B$791=B25,'6. Class A Consumption Data'!$D$492:$D$791))</f>
        <v>0</v>
      </c>
      <c r="Q25" s="103">
        <f t="shared" si="2"/>
        <v>2459994</v>
      </c>
      <c r="R25" s="141"/>
      <c r="S25" s="98">
        <f t="shared" si="3"/>
        <v>2330282</v>
      </c>
      <c r="T25" s="98">
        <f t="shared" si="4"/>
        <v>6820</v>
      </c>
      <c r="U25" s="258"/>
      <c r="V25" s="141"/>
      <c r="W25" s="141"/>
      <c r="X25" s="141">
        <v>3.7844860439234826E-3</v>
      </c>
      <c r="Y25" s="141">
        <v>3.8144819958971453E-3</v>
      </c>
      <c r="Z25" s="50"/>
      <c r="AA25" s="50"/>
      <c r="AB25" s="50"/>
      <c r="AC25" s="192"/>
      <c r="AD25" s="192"/>
    </row>
    <row r="26" spans="1:16376" s="99" customFormat="1" x14ac:dyDescent="0.2">
      <c r="A26"/>
      <c r="B26" s="138" t="s">
        <v>3499</v>
      </c>
      <c r="C26" s="139" t="s">
        <v>170</v>
      </c>
      <c r="D26" s="187">
        <v>317</v>
      </c>
      <c r="E26" s="188">
        <v>193841</v>
      </c>
      <c r="F26" s="189">
        <v>566</v>
      </c>
      <c r="G26" s="190">
        <v>0</v>
      </c>
      <c r="H26" s="190"/>
      <c r="I26" s="191">
        <v>41010.185145716845</v>
      </c>
      <c r="J26" s="187"/>
      <c r="K26" s="187"/>
      <c r="L26" s="98">
        <f t="shared" si="0"/>
        <v>193841</v>
      </c>
      <c r="M26" s="98">
        <f t="shared" si="1"/>
        <v>566</v>
      </c>
      <c r="N26" s="227">
        <v>0</v>
      </c>
      <c r="O26" s="307">
        <f t="array" ref="O26">SUM(IF('6. Class A Consumption Data'!$B$492:$B$791=B26,'6. Class A Consumption Data'!$E$492:$E$791))</f>
        <v>0</v>
      </c>
      <c r="P26" s="307">
        <f t="array" ref="P26">SUM(IF('6. Class A Consumption Data'!$B$492:$B$791=B26,'6. Class A Consumption Data'!$D$492:$D$791))</f>
        <v>0</v>
      </c>
      <c r="Q26" s="103">
        <f t="shared" si="2"/>
        <v>193841</v>
      </c>
      <c r="R26" s="141"/>
      <c r="S26" s="98">
        <f t="shared" si="3"/>
        <v>0</v>
      </c>
      <c r="T26" s="98">
        <f t="shared" si="4"/>
        <v>0</v>
      </c>
      <c r="U26" s="258"/>
      <c r="V26" s="141"/>
      <c r="W26" s="141"/>
      <c r="X26" s="141">
        <v>1.412687216028504E-3</v>
      </c>
      <c r="Y26" s="141">
        <v>1.3711302785192059E-3</v>
      </c>
      <c r="Z26" s="50"/>
      <c r="AA26" s="50"/>
      <c r="AB26" s="50"/>
      <c r="AC26" s="192"/>
      <c r="AD26" s="192"/>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c r="AXD26"/>
      <c r="AXE26"/>
      <c r="AXF26"/>
      <c r="AXG26"/>
      <c r="AXH26"/>
      <c r="AXI26"/>
      <c r="AXJ26"/>
      <c r="AXK26"/>
      <c r="AXL26"/>
      <c r="AXM26"/>
      <c r="AXN26"/>
      <c r="AXO26"/>
      <c r="AXP26"/>
      <c r="AXQ26"/>
      <c r="AXR26"/>
      <c r="AXS26"/>
      <c r="AXT26"/>
      <c r="AXU26"/>
      <c r="AXV26"/>
      <c r="AXW26"/>
      <c r="AXX26"/>
      <c r="AXY26"/>
      <c r="AXZ26"/>
      <c r="AYA26"/>
      <c r="AYB26"/>
      <c r="AYC26"/>
      <c r="AYD26"/>
      <c r="AYE26"/>
      <c r="AYF26"/>
      <c r="AYG26"/>
      <c r="AYH26"/>
      <c r="AYI26"/>
      <c r="AYJ26"/>
      <c r="AYK26"/>
      <c r="AYL26"/>
      <c r="AYM26"/>
      <c r="AYN26"/>
      <c r="AYO26"/>
      <c r="AYP26"/>
      <c r="AYQ26"/>
      <c r="AYR26"/>
      <c r="AYS26"/>
      <c r="AYT26"/>
      <c r="AYU26"/>
      <c r="AYV26"/>
      <c r="AYW26"/>
      <c r="AYX26"/>
      <c r="AYY26"/>
      <c r="AYZ26"/>
      <c r="AZA26"/>
      <c r="AZB26"/>
      <c r="AZC26"/>
      <c r="AZD26"/>
      <c r="AZE26"/>
      <c r="AZF26"/>
      <c r="AZG26"/>
      <c r="AZH26"/>
      <c r="AZI26"/>
      <c r="AZJ26"/>
      <c r="AZK26"/>
      <c r="AZL26"/>
      <c r="AZM26"/>
      <c r="AZN26"/>
      <c r="AZO26"/>
      <c r="AZP26"/>
      <c r="AZQ26"/>
      <c r="AZR26"/>
      <c r="AZS26"/>
      <c r="AZT26"/>
      <c r="AZU26"/>
      <c r="AZV26"/>
      <c r="AZW26"/>
      <c r="AZX26"/>
      <c r="AZY26"/>
      <c r="AZZ26"/>
      <c r="BAA26"/>
      <c r="BAB26"/>
      <c r="BAC26"/>
      <c r="BAD26"/>
      <c r="BAE26"/>
      <c r="BAF26"/>
      <c r="BAG26"/>
      <c r="BAH26"/>
      <c r="BAI26"/>
      <c r="BAJ26"/>
      <c r="BAK26"/>
      <c r="BAL26"/>
      <c r="BAM26"/>
      <c r="BAN26"/>
      <c r="BAO26"/>
      <c r="BAP26"/>
      <c r="BAQ26"/>
      <c r="BAR26"/>
      <c r="BAS26"/>
      <c r="BAT26"/>
      <c r="BAU26"/>
      <c r="BAV26"/>
      <c r="BAW26"/>
      <c r="BAX26"/>
      <c r="BAY26"/>
      <c r="BAZ26"/>
      <c r="BBA26"/>
      <c r="BBB26"/>
      <c r="BBC26"/>
      <c r="BBD26"/>
      <c r="BBE26"/>
      <c r="BBF26"/>
      <c r="BBG26"/>
      <c r="BBH26"/>
      <c r="BBI26"/>
      <c r="BBJ26"/>
      <c r="BBK26"/>
      <c r="BBL26"/>
      <c r="BBM26"/>
      <c r="BBN26"/>
      <c r="BBO26"/>
      <c r="BBP26"/>
      <c r="BBQ26"/>
      <c r="BBR26"/>
      <c r="BBS26"/>
      <c r="BBT26"/>
      <c r="BBU26"/>
      <c r="BBV26"/>
      <c r="BBW26"/>
      <c r="BBX26"/>
      <c r="BBY26"/>
      <c r="BBZ26"/>
      <c r="BCA26"/>
      <c r="BCB26"/>
      <c r="BCC26"/>
      <c r="BCD26"/>
      <c r="BCE26"/>
      <c r="BCF26"/>
      <c r="BCG26"/>
      <c r="BCH26"/>
      <c r="BCI26"/>
      <c r="BCJ26"/>
      <c r="BCK26"/>
      <c r="BCL26"/>
      <c r="BCM26"/>
      <c r="BCN26"/>
      <c r="BCO26"/>
      <c r="BCP26"/>
      <c r="BCQ26"/>
      <c r="BCR26"/>
      <c r="BCS26"/>
      <c r="BCT26"/>
      <c r="BCU26"/>
      <c r="BCV26"/>
      <c r="BCW26"/>
      <c r="BCX26"/>
      <c r="BCY26"/>
      <c r="BCZ26"/>
      <c r="BDA26"/>
      <c r="BDB26"/>
      <c r="BDC26"/>
      <c r="BDD26"/>
      <c r="BDE26"/>
      <c r="BDF26"/>
      <c r="BDG26"/>
      <c r="BDH26"/>
      <c r="BDI26"/>
      <c r="BDJ26"/>
      <c r="BDK26"/>
      <c r="BDL26"/>
      <c r="BDM26"/>
      <c r="BDN26"/>
      <c r="BDO26"/>
      <c r="BDP26"/>
      <c r="BDQ26"/>
      <c r="BDR26"/>
      <c r="BDS26"/>
      <c r="BDT26"/>
      <c r="BDU26"/>
      <c r="BDV26"/>
      <c r="BDW26"/>
      <c r="BDX26"/>
      <c r="BDY26"/>
      <c r="BDZ26"/>
      <c r="BEA26"/>
      <c r="BEB26"/>
      <c r="BEC26"/>
      <c r="BED26"/>
      <c r="BEE26"/>
      <c r="BEF26"/>
      <c r="BEG26"/>
      <c r="BEH26"/>
      <c r="BEI26"/>
      <c r="BEJ26"/>
      <c r="BEK26"/>
      <c r="BEL26"/>
      <c r="BEM26"/>
      <c r="BEN26"/>
      <c r="BEO26"/>
      <c r="BEP26"/>
      <c r="BEQ26"/>
      <c r="BER26"/>
      <c r="BES26"/>
      <c r="BET26"/>
      <c r="BEU26"/>
      <c r="BEV26"/>
      <c r="BEW26"/>
      <c r="BEX26"/>
      <c r="BEY26"/>
      <c r="BEZ26"/>
      <c r="BFA26"/>
      <c r="BFB26"/>
      <c r="BFC26"/>
      <c r="BFD26"/>
      <c r="BFE26"/>
      <c r="BFF26"/>
      <c r="BFG26"/>
      <c r="BFH26"/>
      <c r="BFI26"/>
      <c r="BFJ26"/>
      <c r="BFK26"/>
      <c r="BFL26"/>
      <c r="BFM26"/>
      <c r="BFN26"/>
      <c r="BFO26"/>
      <c r="BFP26"/>
      <c r="BFQ26"/>
      <c r="BFR26"/>
      <c r="BFS26"/>
      <c r="BFT26"/>
      <c r="BFU26"/>
      <c r="BFV26"/>
      <c r="BFW26"/>
      <c r="BFX26"/>
      <c r="BFY26"/>
      <c r="BFZ26"/>
      <c r="BGA26"/>
      <c r="BGB26"/>
      <c r="BGC26"/>
      <c r="BGD26"/>
      <c r="BGE26"/>
      <c r="BGF26"/>
      <c r="BGG26"/>
      <c r="BGH26"/>
      <c r="BGI26"/>
      <c r="BGJ26"/>
      <c r="BGK26"/>
      <c r="BGL26"/>
      <c r="BGM26"/>
      <c r="BGN26"/>
      <c r="BGO26"/>
      <c r="BGP26"/>
      <c r="BGQ26"/>
      <c r="BGR26"/>
      <c r="BGS26"/>
      <c r="BGT26"/>
      <c r="BGU26"/>
      <c r="BGV26"/>
      <c r="BGW26"/>
      <c r="BGX26"/>
      <c r="BGY26"/>
      <c r="BGZ26"/>
      <c r="BHA26"/>
      <c r="BHB26"/>
      <c r="BHC26"/>
      <c r="BHD26"/>
      <c r="BHE26"/>
      <c r="BHF26"/>
      <c r="BHG26"/>
      <c r="BHH26"/>
      <c r="BHI26"/>
      <c r="BHJ26"/>
      <c r="BHK26"/>
      <c r="BHL26"/>
      <c r="BHM26"/>
      <c r="BHN26"/>
      <c r="BHO26"/>
      <c r="BHP26"/>
      <c r="BHQ26"/>
      <c r="BHR26"/>
      <c r="BHS26"/>
      <c r="BHT26"/>
      <c r="BHU26"/>
      <c r="BHV26"/>
      <c r="BHW26"/>
      <c r="BHX26"/>
      <c r="BHY26"/>
      <c r="BHZ26"/>
      <c r="BIA26"/>
      <c r="BIB26"/>
      <c r="BIC26"/>
      <c r="BID26"/>
      <c r="BIE26"/>
      <c r="BIF26"/>
      <c r="BIG26"/>
      <c r="BIH26"/>
      <c r="BII26"/>
      <c r="BIJ26"/>
      <c r="BIK26"/>
      <c r="BIL26"/>
      <c r="BIM26"/>
      <c r="BIN26"/>
      <c r="BIO26"/>
      <c r="BIP26"/>
      <c r="BIQ26"/>
      <c r="BIR26"/>
      <c r="BIS26"/>
      <c r="BIT26"/>
      <c r="BIU26"/>
      <c r="BIV26"/>
      <c r="BIW26"/>
      <c r="BIX26"/>
      <c r="BIY26"/>
      <c r="BIZ26"/>
      <c r="BJA26"/>
      <c r="BJB26"/>
      <c r="BJC26"/>
      <c r="BJD26"/>
      <c r="BJE26"/>
      <c r="BJF26"/>
      <c r="BJG26"/>
      <c r="BJH26"/>
      <c r="BJI26"/>
      <c r="BJJ26"/>
      <c r="BJK26"/>
      <c r="BJL26"/>
      <c r="BJM26"/>
      <c r="BJN26"/>
      <c r="BJO26"/>
      <c r="BJP26"/>
      <c r="BJQ26"/>
      <c r="BJR26"/>
      <c r="BJS26"/>
      <c r="BJT26"/>
      <c r="BJU26"/>
      <c r="BJV26"/>
      <c r="BJW26"/>
      <c r="BJX26"/>
      <c r="BJY26"/>
      <c r="BJZ26"/>
      <c r="BKA26"/>
      <c r="BKB26"/>
      <c r="BKC26"/>
      <c r="BKD26"/>
      <c r="BKE26"/>
      <c r="BKF26"/>
      <c r="BKG26"/>
      <c r="BKH26"/>
      <c r="BKI26"/>
      <c r="BKJ26"/>
      <c r="BKK26"/>
      <c r="BKL26"/>
      <c r="BKM26"/>
      <c r="BKN26"/>
      <c r="BKO26"/>
      <c r="BKP26"/>
      <c r="BKQ26"/>
      <c r="BKR26"/>
      <c r="BKS26"/>
      <c r="BKT26"/>
      <c r="BKU26"/>
      <c r="BKV26"/>
      <c r="BKW26"/>
      <c r="BKX26"/>
      <c r="BKY26"/>
      <c r="BKZ26"/>
      <c r="BLA26"/>
      <c r="BLB26"/>
      <c r="BLC26"/>
      <c r="BLD26"/>
      <c r="BLE26"/>
      <c r="BLF26"/>
      <c r="BLG26"/>
      <c r="BLH26"/>
      <c r="BLI26"/>
      <c r="BLJ26"/>
      <c r="BLK26"/>
      <c r="BLL26"/>
      <c r="BLM26"/>
      <c r="BLN26"/>
      <c r="BLO26"/>
      <c r="BLP26"/>
      <c r="BLQ26"/>
      <c r="BLR26"/>
      <c r="BLS26"/>
      <c r="BLT26"/>
      <c r="BLU26"/>
      <c r="BLV26"/>
      <c r="BLW26"/>
      <c r="BLX26"/>
      <c r="BLY26"/>
      <c r="BLZ26"/>
      <c r="BMA26"/>
      <c r="BMB26"/>
      <c r="BMC26"/>
      <c r="BMD26"/>
      <c r="BME26"/>
      <c r="BMF26"/>
      <c r="BMG26"/>
      <c r="BMH26"/>
      <c r="BMI26"/>
      <c r="BMJ26"/>
      <c r="BMK26"/>
      <c r="BML26"/>
      <c r="BMM26"/>
      <c r="BMN26"/>
      <c r="BMO26"/>
      <c r="BMP26"/>
      <c r="BMQ26"/>
      <c r="BMR26"/>
      <c r="BMS26"/>
      <c r="BMT26"/>
      <c r="BMU26"/>
      <c r="BMV26"/>
      <c r="BMW26"/>
      <c r="BMX26"/>
      <c r="BMY26"/>
      <c r="BMZ26"/>
      <c r="BNA26"/>
      <c r="BNB26"/>
      <c r="BNC26"/>
      <c r="BND26"/>
      <c r="BNE26"/>
      <c r="BNF26"/>
      <c r="BNG26"/>
      <c r="BNH26"/>
      <c r="BNI26"/>
      <c r="BNJ26"/>
      <c r="BNK26"/>
      <c r="BNL26"/>
      <c r="BNM26"/>
      <c r="BNN26"/>
      <c r="BNO26"/>
      <c r="BNP26"/>
      <c r="BNQ26"/>
      <c r="BNR26"/>
      <c r="BNS26"/>
      <c r="BNT26"/>
      <c r="BNU26"/>
      <c r="BNV26"/>
      <c r="BNW26"/>
      <c r="BNX26"/>
      <c r="BNY26"/>
      <c r="BNZ26"/>
      <c r="BOA26"/>
      <c r="BOB26"/>
      <c r="BOC26"/>
      <c r="BOD26"/>
      <c r="BOE26"/>
      <c r="BOF26"/>
      <c r="BOG26"/>
      <c r="BOH26"/>
      <c r="BOI26"/>
      <c r="BOJ26"/>
      <c r="BOK26"/>
      <c r="BOL26"/>
      <c r="BOM26"/>
      <c r="BON26"/>
      <c r="BOO26"/>
      <c r="BOP26"/>
      <c r="BOQ26"/>
      <c r="BOR26"/>
      <c r="BOS26"/>
      <c r="BOT26"/>
      <c r="BOU26"/>
      <c r="BOV26"/>
      <c r="BOW26"/>
      <c r="BOX26"/>
      <c r="BOY26"/>
      <c r="BOZ26"/>
      <c r="BPA26"/>
      <c r="BPB26"/>
      <c r="BPC26"/>
      <c r="BPD26"/>
      <c r="BPE26"/>
      <c r="BPF26"/>
      <c r="BPG26"/>
      <c r="BPH26"/>
      <c r="BPI26"/>
      <c r="BPJ26"/>
      <c r="BPK26"/>
      <c r="BPL26"/>
      <c r="BPM26"/>
      <c r="BPN26"/>
      <c r="BPO26"/>
      <c r="BPP26"/>
      <c r="BPQ26"/>
      <c r="BPR26"/>
      <c r="BPS26"/>
      <c r="BPT26"/>
      <c r="BPU26"/>
      <c r="BPV26"/>
      <c r="BPW26"/>
      <c r="BPX26"/>
      <c r="BPY26"/>
      <c r="BPZ26"/>
      <c r="BQA26"/>
      <c r="BQB26"/>
      <c r="BQC26"/>
      <c r="BQD26"/>
      <c r="BQE26"/>
      <c r="BQF26"/>
      <c r="BQG26"/>
      <c r="BQH26"/>
      <c r="BQI26"/>
      <c r="BQJ26"/>
      <c r="BQK26"/>
      <c r="BQL26"/>
      <c r="BQM26"/>
      <c r="BQN26"/>
      <c r="BQO26"/>
      <c r="BQP26"/>
      <c r="BQQ26"/>
      <c r="BQR26"/>
      <c r="BQS26"/>
      <c r="BQT26"/>
      <c r="BQU26"/>
      <c r="BQV26"/>
      <c r="BQW26"/>
      <c r="BQX26"/>
      <c r="BQY26"/>
      <c r="BQZ26"/>
      <c r="BRA26"/>
      <c r="BRB26"/>
      <c r="BRC26"/>
      <c r="BRD26"/>
      <c r="BRE26"/>
      <c r="BRF26"/>
      <c r="BRG26"/>
      <c r="BRH26"/>
      <c r="BRI26"/>
      <c r="BRJ26"/>
      <c r="BRK26"/>
      <c r="BRL26"/>
      <c r="BRM26"/>
      <c r="BRN26"/>
      <c r="BRO26"/>
      <c r="BRP26"/>
      <c r="BRQ26"/>
      <c r="BRR26"/>
      <c r="BRS26"/>
      <c r="BRT26"/>
      <c r="BRU26"/>
      <c r="BRV26"/>
      <c r="BRW26"/>
      <c r="BRX26"/>
      <c r="BRY26"/>
      <c r="BRZ26"/>
      <c r="BSA26"/>
      <c r="BSB26"/>
      <c r="BSC26"/>
      <c r="BSD26"/>
      <c r="BSE26"/>
      <c r="BSF26"/>
      <c r="BSG26"/>
      <c r="BSH26"/>
      <c r="BSI26"/>
      <c r="BSJ26"/>
      <c r="BSK26"/>
      <c r="BSL26"/>
      <c r="BSM26"/>
      <c r="BSN26"/>
      <c r="BSO26"/>
      <c r="BSP26"/>
      <c r="BSQ26"/>
      <c r="BSR26"/>
      <c r="BSS26"/>
      <c r="BST26"/>
      <c r="BSU26"/>
      <c r="BSV26"/>
      <c r="BSW26"/>
      <c r="BSX26"/>
      <c r="BSY26"/>
      <c r="BSZ26"/>
      <c r="BTA26"/>
      <c r="BTB26"/>
      <c r="BTC26"/>
      <c r="BTD26"/>
      <c r="BTE26"/>
      <c r="BTF26"/>
      <c r="BTG26"/>
      <c r="BTH26"/>
      <c r="BTI26"/>
      <c r="BTJ26"/>
      <c r="BTK26"/>
      <c r="BTL26"/>
      <c r="BTM26"/>
      <c r="BTN26"/>
      <c r="BTO26"/>
      <c r="BTP26"/>
      <c r="BTQ26"/>
      <c r="BTR26"/>
      <c r="BTS26"/>
      <c r="BTT26"/>
      <c r="BTU26"/>
      <c r="BTV26"/>
      <c r="BTW26"/>
      <c r="BTX26"/>
      <c r="BTY26"/>
      <c r="BTZ26"/>
      <c r="BUA26"/>
      <c r="BUB26"/>
      <c r="BUC26"/>
      <c r="BUD26"/>
      <c r="BUE26"/>
      <c r="BUF26"/>
      <c r="BUG26"/>
      <c r="BUH26"/>
      <c r="BUI26"/>
      <c r="BUJ26"/>
      <c r="BUK26"/>
      <c r="BUL26"/>
      <c r="BUM26"/>
      <c r="BUN26"/>
      <c r="BUO26"/>
      <c r="BUP26"/>
      <c r="BUQ26"/>
      <c r="BUR26"/>
      <c r="BUS26"/>
      <c r="BUT26"/>
      <c r="BUU26"/>
      <c r="BUV26"/>
      <c r="BUW26"/>
      <c r="BUX26"/>
      <c r="BUY26"/>
      <c r="BUZ26"/>
      <c r="BVA26"/>
      <c r="BVB26"/>
      <c r="BVC26"/>
      <c r="BVD26"/>
      <c r="BVE26"/>
      <c r="BVF26"/>
      <c r="BVG26"/>
      <c r="BVH26"/>
      <c r="BVI26"/>
      <c r="BVJ26"/>
      <c r="BVK26"/>
      <c r="BVL26"/>
      <c r="BVM26"/>
      <c r="BVN26"/>
      <c r="BVO26"/>
      <c r="BVP26"/>
      <c r="BVQ26"/>
      <c r="BVR26"/>
      <c r="BVS26"/>
      <c r="BVT26"/>
      <c r="BVU26"/>
      <c r="BVV26"/>
      <c r="BVW26"/>
      <c r="BVX26"/>
      <c r="BVY26"/>
      <c r="BVZ26"/>
      <c r="BWA26"/>
      <c r="BWB26"/>
      <c r="BWC26"/>
      <c r="BWD26"/>
      <c r="BWE26"/>
      <c r="BWF26"/>
      <c r="BWG26"/>
      <c r="BWH26"/>
      <c r="BWI26"/>
      <c r="BWJ26"/>
      <c r="BWK26"/>
      <c r="BWL26"/>
      <c r="BWM26"/>
      <c r="BWN26"/>
      <c r="BWO26"/>
      <c r="BWP26"/>
      <c r="BWQ26"/>
      <c r="BWR26"/>
      <c r="BWS26"/>
      <c r="BWT26"/>
      <c r="BWU26"/>
      <c r="BWV26"/>
      <c r="BWW26"/>
      <c r="BWX26"/>
      <c r="BWY26"/>
      <c r="BWZ26"/>
      <c r="BXA26"/>
      <c r="BXB26"/>
      <c r="BXC26"/>
      <c r="BXD26"/>
      <c r="BXE26"/>
      <c r="BXF26"/>
      <c r="BXG26"/>
      <c r="BXH26"/>
      <c r="BXI26"/>
      <c r="BXJ26"/>
      <c r="BXK26"/>
      <c r="BXL26"/>
      <c r="BXM26"/>
      <c r="BXN26"/>
      <c r="BXO26"/>
      <c r="BXP26"/>
      <c r="BXQ26"/>
      <c r="BXR26"/>
      <c r="BXS26"/>
      <c r="BXT26"/>
      <c r="BXU26"/>
      <c r="BXV26"/>
      <c r="BXW26"/>
      <c r="BXX26"/>
      <c r="BXY26"/>
      <c r="BXZ26"/>
      <c r="BYA26"/>
      <c r="BYB26"/>
      <c r="BYC26"/>
      <c r="BYD26"/>
      <c r="BYE26"/>
      <c r="BYF26"/>
      <c r="BYG26"/>
      <c r="BYH26"/>
      <c r="BYI26"/>
      <c r="BYJ26"/>
      <c r="BYK26"/>
      <c r="BYL26"/>
      <c r="BYM26"/>
      <c r="BYN26"/>
      <c r="BYO26"/>
      <c r="BYP26"/>
      <c r="BYQ26"/>
      <c r="BYR26"/>
      <c r="BYS26"/>
      <c r="BYT26"/>
      <c r="BYU26"/>
      <c r="BYV26"/>
      <c r="BYW26"/>
      <c r="BYX26"/>
      <c r="BYY26"/>
      <c r="BYZ26"/>
      <c r="BZA26"/>
      <c r="BZB26"/>
      <c r="BZC26"/>
      <c r="BZD26"/>
      <c r="BZE26"/>
      <c r="BZF26"/>
      <c r="BZG26"/>
      <c r="BZH26"/>
      <c r="BZI26"/>
      <c r="BZJ26"/>
      <c r="BZK26"/>
      <c r="BZL26"/>
      <c r="BZM26"/>
      <c r="BZN26"/>
      <c r="BZO26"/>
      <c r="BZP26"/>
      <c r="BZQ26"/>
      <c r="BZR26"/>
      <c r="BZS26"/>
      <c r="BZT26"/>
      <c r="BZU26"/>
      <c r="BZV26"/>
      <c r="BZW26"/>
      <c r="BZX26"/>
      <c r="BZY26"/>
      <c r="BZZ26"/>
      <c r="CAA26"/>
      <c r="CAB26"/>
      <c r="CAC26"/>
      <c r="CAD26"/>
      <c r="CAE26"/>
      <c r="CAF26"/>
      <c r="CAG26"/>
      <c r="CAH26"/>
      <c r="CAI26"/>
      <c r="CAJ26"/>
      <c r="CAK26"/>
      <c r="CAL26"/>
      <c r="CAM26"/>
      <c r="CAN26"/>
      <c r="CAO26"/>
      <c r="CAP26"/>
      <c r="CAQ26"/>
      <c r="CAR26"/>
      <c r="CAS26"/>
      <c r="CAT26"/>
      <c r="CAU26"/>
      <c r="CAV26"/>
      <c r="CAW26"/>
      <c r="CAX26"/>
      <c r="CAY26"/>
      <c r="CAZ26"/>
      <c r="CBA26"/>
      <c r="CBB26"/>
      <c r="CBC26"/>
      <c r="CBD26"/>
      <c r="CBE26"/>
      <c r="CBF26"/>
      <c r="CBG26"/>
      <c r="CBH26"/>
      <c r="CBI26"/>
      <c r="CBJ26"/>
      <c r="CBK26"/>
      <c r="CBL26"/>
      <c r="CBM26"/>
      <c r="CBN26"/>
      <c r="CBO26"/>
      <c r="CBP26"/>
      <c r="CBQ26"/>
      <c r="CBR26"/>
      <c r="CBS26"/>
      <c r="CBT26"/>
      <c r="CBU26"/>
      <c r="CBV26"/>
      <c r="CBW26"/>
      <c r="CBX26"/>
      <c r="CBY26"/>
      <c r="CBZ26"/>
      <c r="CCA26"/>
      <c r="CCB26"/>
      <c r="CCC26"/>
      <c r="CCD26"/>
      <c r="CCE26"/>
      <c r="CCF26"/>
      <c r="CCG26"/>
      <c r="CCH26"/>
      <c r="CCI26"/>
      <c r="CCJ26"/>
      <c r="CCK26"/>
      <c r="CCL26"/>
      <c r="CCM26"/>
      <c r="CCN26"/>
      <c r="CCO26"/>
      <c r="CCP26"/>
      <c r="CCQ26"/>
      <c r="CCR26"/>
      <c r="CCS26"/>
      <c r="CCT26"/>
      <c r="CCU26"/>
      <c r="CCV26"/>
      <c r="CCW26"/>
      <c r="CCX26"/>
      <c r="CCY26"/>
      <c r="CCZ26"/>
      <c r="CDA26"/>
      <c r="CDB26"/>
      <c r="CDC26"/>
      <c r="CDD26"/>
      <c r="CDE26"/>
      <c r="CDF26"/>
      <c r="CDG26"/>
      <c r="CDH26"/>
      <c r="CDI26"/>
      <c r="CDJ26"/>
      <c r="CDK26"/>
      <c r="CDL26"/>
      <c r="CDM26"/>
      <c r="CDN26"/>
      <c r="CDO26"/>
      <c r="CDP26"/>
      <c r="CDQ26"/>
      <c r="CDR26"/>
      <c r="CDS26"/>
      <c r="CDT26"/>
      <c r="CDU26"/>
      <c r="CDV26"/>
      <c r="CDW26"/>
      <c r="CDX26"/>
      <c r="CDY26"/>
      <c r="CDZ26"/>
      <c r="CEA26"/>
      <c r="CEB26"/>
      <c r="CEC26"/>
      <c r="CED26"/>
      <c r="CEE26"/>
      <c r="CEF26"/>
      <c r="CEG26"/>
      <c r="CEH26"/>
      <c r="CEI26"/>
      <c r="CEJ26"/>
      <c r="CEK26"/>
      <c r="CEL26"/>
      <c r="CEM26"/>
      <c r="CEN26"/>
      <c r="CEO26"/>
      <c r="CEP26"/>
      <c r="CEQ26"/>
      <c r="CER26"/>
      <c r="CES26"/>
      <c r="CET26"/>
      <c r="CEU26"/>
      <c r="CEV26"/>
      <c r="CEW26"/>
      <c r="CEX26"/>
      <c r="CEY26"/>
      <c r="CEZ26"/>
      <c r="CFA26"/>
      <c r="CFB26"/>
      <c r="CFC26"/>
      <c r="CFD26"/>
      <c r="CFE26"/>
      <c r="CFF26"/>
      <c r="CFG26"/>
      <c r="CFH26"/>
      <c r="CFI26"/>
      <c r="CFJ26"/>
      <c r="CFK26"/>
      <c r="CFL26"/>
      <c r="CFM26"/>
      <c r="CFN26"/>
      <c r="CFO26"/>
      <c r="CFP26"/>
      <c r="CFQ26"/>
      <c r="CFR26"/>
      <c r="CFS26"/>
      <c r="CFT26"/>
      <c r="CFU26"/>
      <c r="CFV26"/>
      <c r="CFW26"/>
      <c r="CFX26"/>
      <c r="CFY26"/>
      <c r="CFZ26"/>
      <c r="CGA26"/>
      <c r="CGB26"/>
      <c r="CGC26"/>
      <c r="CGD26"/>
      <c r="CGE26"/>
      <c r="CGF26"/>
      <c r="CGG26"/>
      <c r="CGH26"/>
      <c r="CGI26"/>
      <c r="CGJ26"/>
      <c r="CGK26"/>
      <c r="CGL26"/>
      <c r="CGM26"/>
      <c r="CGN26"/>
      <c r="CGO26"/>
      <c r="CGP26"/>
      <c r="CGQ26"/>
      <c r="CGR26"/>
      <c r="CGS26"/>
      <c r="CGT26"/>
      <c r="CGU26"/>
      <c r="CGV26"/>
      <c r="CGW26"/>
      <c r="CGX26"/>
      <c r="CGY26"/>
      <c r="CGZ26"/>
      <c r="CHA26"/>
      <c r="CHB26"/>
      <c r="CHC26"/>
      <c r="CHD26"/>
      <c r="CHE26"/>
      <c r="CHF26"/>
      <c r="CHG26"/>
      <c r="CHH26"/>
      <c r="CHI26"/>
      <c r="CHJ26"/>
      <c r="CHK26"/>
      <c r="CHL26"/>
      <c r="CHM26"/>
      <c r="CHN26"/>
      <c r="CHO26"/>
      <c r="CHP26"/>
      <c r="CHQ26"/>
      <c r="CHR26"/>
      <c r="CHS26"/>
      <c r="CHT26"/>
      <c r="CHU26"/>
      <c r="CHV26"/>
      <c r="CHW26"/>
      <c r="CHX26"/>
      <c r="CHY26"/>
      <c r="CHZ26"/>
      <c r="CIA26"/>
      <c r="CIB26"/>
      <c r="CIC26"/>
      <c r="CID26"/>
      <c r="CIE26"/>
      <c r="CIF26"/>
      <c r="CIG26"/>
      <c r="CIH26"/>
      <c r="CII26"/>
      <c r="CIJ26"/>
      <c r="CIK26"/>
      <c r="CIL26"/>
      <c r="CIM26"/>
      <c r="CIN26"/>
      <c r="CIO26"/>
      <c r="CIP26"/>
      <c r="CIQ26"/>
      <c r="CIR26"/>
      <c r="CIS26"/>
      <c r="CIT26"/>
      <c r="CIU26"/>
      <c r="CIV26"/>
      <c r="CIW26"/>
      <c r="CIX26"/>
      <c r="CIY26"/>
      <c r="CIZ26"/>
      <c r="CJA26"/>
      <c r="CJB26"/>
      <c r="CJC26"/>
      <c r="CJD26"/>
      <c r="CJE26"/>
      <c r="CJF26"/>
      <c r="CJG26"/>
      <c r="CJH26"/>
      <c r="CJI26"/>
      <c r="CJJ26"/>
      <c r="CJK26"/>
      <c r="CJL26"/>
      <c r="CJM26"/>
      <c r="CJN26"/>
      <c r="CJO26"/>
      <c r="CJP26"/>
      <c r="CJQ26"/>
      <c r="CJR26"/>
      <c r="CJS26"/>
      <c r="CJT26"/>
      <c r="CJU26"/>
      <c r="CJV26"/>
      <c r="CJW26"/>
      <c r="CJX26"/>
      <c r="CJY26"/>
      <c r="CJZ26"/>
      <c r="CKA26"/>
      <c r="CKB26"/>
      <c r="CKC26"/>
      <c r="CKD26"/>
      <c r="CKE26"/>
      <c r="CKF26"/>
      <c r="CKG26"/>
      <c r="CKH26"/>
      <c r="CKI26"/>
      <c r="CKJ26"/>
      <c r="CKK26"/>
      <c r="CKL26"/>
      <c r="CKM26"/>
      <c r="CKN26"/>
      <c r="CKO26"/>
      <c r="CKP26"/>
      <c r="CKQ26"/>
      <c r="CKR26"/>
      <c r="CKS26"/>
      <c r="CKT26"/>
      <c r="CKU26"/>
      <c r="CKV26"/>
      <c r="CKW26"/>
      <c r="CKX26"/>
      <c r="CKY26"/>
      <c r="CKZ26"/>
      <c r="CLA26"/>
      <c r="CLB26"/>
      <c r="CLC26"/>
      <c r="CLD26"/>
      <c r="CLE26"/>
      <c r="CLF26"/>
      <c r="CLG26"/>
      <c r="CLH26"/>
      <c r="CLI26"/>
      <c r="CLJ26"/>
      <c r="CLK26"/>
      <c r="CLL26"/>
      <c r="CLM26"/>
      <c r="CLN26"/>
      <c r="CLO26"/>
      <c r="CLP26"/>
      <c r="CLQ26"/>
      <c r="CLR26"/>
      <c r="CLS26"/>
      <c r="CLT26"/>
      <c r="CLU26"/>
      <c r="CLV26"/>
      <c r="CLW26"/>
      <c r="CLX26"/>
      <c r="CLY26"/>
      <c r="CLZ26"/>
      <c r="CMA26"/>
      <c r="CMB26"/>
      <c r="CMC26"/>
      <c r="CMD26"/>
      <c r="CME26"/>
      <c r="CMF26"/>
      <c r="CMG26"/>
      <c r="CMH26"/>
      <c r="CMI26"/>
      <c r="CMJ26"/>
      <c r="CMK26"/>
      <c r="CML26"/>
      <c r="CMM26"/>
      <c r="CMN26"/>
      <c r="CMO26"/>
      <c r="CMP26"/>
      <c r="CMQ26"/>
      <c r="CMR26"/>
      <c r="CMS26"/>
      <c r="CMT26"/>
      <c r="CMU26"/>
      <c r="CMV26"/>
      <c r="CMW26"/>
      <c r="CMX26"/>
      <c r="CMY26"/>
      <c r="CMZ26"/>
      <c r="CNA26"/>
      <c r="CNB26"/>
      <c r="CNC26"/>
      <c r="CND26"/>
      <c r="CNE26"/>
      <c r="CNF26"/>
      <c r="CNG26"/>
      <c r="CNH26"/>
      <c r="CNI26"/>
      <c r="CNJ26"/>
      <c r="CNK26"/>
      <c r="CNL26"/>
      <c r="CNM26"/>
      <c r="CNN26"/>
      <c r="CNO26"/>
      <c r="CNP26"/>
      <c r="CNQ26"/>
      <c r="CNR26"/>
      <c r="CNS26"/>
      <c r="CNT26"/>
      <c r="CNU26"/>
      <c r="CNV26"/>
      <c r="CNW26"/>
      <c r="CNX26"/>
      <c r="CNY26"/>
      <c r="CNZ26"/>
      <c r="COA26"/>
      <c r="COB26"/>
      <c r="COC26"/>
      <c r="COD26"/>
      <c r="COE26"/>
      <c r="COF26"/>
      <c r="COG26"/>
      <c r="COH26"/>
      <c r="COI26"/>
      <c r="COJ26"/>
      <c r="COK26"/>
      <c r="COL26"/>
      <c r="COM26"/>
      <c r="CON26"/>
      <c r="COO26"/>
      <c r="COP26"/>
      <c r="COQ26"/>
      <c r="COR26"/>
      <c r="COS26"/>
      <c r="COT26"/>
      <c r="COU26"/>
      <c r="COV26"/>
      <c r="COW26"/>
      <c r="COX26"/>
      <c r="COY26"/>
      <c r="COZ26"/>
      <c r="CPA26"/>
      <c r="CPB26"/>
      <c r="CPC26"/>
      <c r="CPD26"/>
      <c r="CPE26"/>
      <c r="CPF26"/>
      <c r="CPG26"/>
      <c r="CPH26"/>
      <c r="CPI26"/>
      <c r="CPJ26"/>
      <c r="CPK26"/>
      <c r="CPL26"/>
      <c r="CPM26"/>
      <c r="CPN26"/>
      <c r="CPO26"/>
      <c r="CPP26"/>
      <c r="CPQ26"/>
      <c r="CPR26"/>
      <c r="CPS26"/>
      <c r="CPT26"/>
      <c r="CPU26"/>
      <c r="CPV26"/>
      <c r="CPW26"/>
      <c r="CPX26"/>
      <c r="CPY26"/>
      <c r="CPZ26"/>
      <c r="CQA26"/>
      <c r="CQB26"/>
      <c r="CQC26"/>
      <c r="CQD26"/>
      <c r="CQE26"/>
      <c r="CQF26"/>
      <c r="CQG26"/>
      <c r="CQH26"/>
      <c r="CQI26"/>
      <c r="CQJ26"/>
      <c r="CQK26"/>
      <c r="CQL26"/>
      <c r="CQM26"/>
      <c r="CQN26"/>
      <c r="CQO26"/>
      <c r="CQP26"/>
      <c r="CQQ26"/>
      <c r="CQR26"/>
      <c r="CQS26"/>
      <c r="CQT26"/>
      <c r="CQU26"/>
      <c r="CQV26"/>
      <c r="CQW26"/>
      <c r="CQX26"/>
      <c r="CQY26"/>
      <c r="CQZ26"/>
      <c r="CRA26"/>
      <c r="CRB26"/>
      <c r="CRC26"/>
      <c r="CRD26"/>
      <c r="CRE26"/>
      <c r="CRF26"/>
      <c r="CRG26"/>
      <c r="CRH26"/>
      <c r="CRI26"/>
      <c r="CRJ26"/>
      <c r="CRK26"/>
      <c r="CRL26"/>
      <c r="CRM26"/>
      <c r="CRN26"/>
      <c r="CRO26"/>
      <c r="CRP26"/>
      <c r="CRQ26"/>
      <c r="CRR26"/>
      <c r="CRS26"/>
      <c r="CRT26"/>
      <c r="CRU26"/>
      <c r="CRV26"/>
      <c r="CRW26"/>
      <c r="CRX26"/>
      <c r="CRY26"/>
      <c r="CRZ26"/>
      <c r="CSA26"/>
      <c r="CSB26"/>
      <c r="CSC26"/>
      <c r="CSD26"/>
      <c r="CSE26"/>
      <c r="CSF26"/>
      <c r="CSG26"/>
      <c r="CSH26"/>
      <c r="CSI26"/>
      <c r="CSJ26"/>
      <c r="CSK26"/>
      <c r="CSL26"/>
      <c r="CSM26"/>
      <c r="CSN26"/>
      <c r="CSO26"/>
      <c r="CSP26"/>
      <c r="CSQ26"/>
      <c r="CSR26"/>
      <c r="CSS26"/>
      <c r="CST26"/>
      <c r="CSU26"/>
      <c r="CSV26"/>
      <c r="CSW26"/>
      <c r="CSX26"/>
      <c r="CSY26"/>
      <c r="CSZ26"/>
      <c r="CTA26"/>
      <c r="CTB26"/>
      <c r="CTC26"/>
      <c r="CTD26"/>
      <c r="CTE26"/>
      <c r="CTF26"/>
      <c r="CTG26"/>
      <c r="CTH26"/>
      <c r="CTI26"/>
      <c r="CTJ26"/>
      <c r="CTK26"/>
      <c r="CTL26"/>
      <c r="CTM26"/>
      <c r="CTN26"/>
      <c r="CTO26"/>
      <c r="CTP26"/>
      <c r="CTQ26"/>
      <c r="CTR26"/>
      <c r="CTS26"/>
      <c r="CTT26"/>
      <c r="CTU26"/>
      <c r="CTV26"/>
      <c r="CTW26"/>
      <c r="CTX26"/>
      <c r="CTY26"/>
      <c r="CTZ26"/>
      <c r="CUA26"/>
      <c r="CUB26"/>
      <c r="CUC26"/>
      <c r="CUD26"/>
      <c r="CUE26"/>
      <c r="CUF26"/>
      <c r="CUG26"/>
      <c r="CUH26"/>
      <c r="CUI26"/>
      <c r="CUJ26"/>
      <c r="CUK26"/>
      <c r="CUL26"/>
      <c r="CUM26"/>
      <c r="CUN26"/>
      <c r="CUO26"/>
      <c r="CUP26"/>
      <c r="CUQ26"/>
      <c r="CUR26"/>
      <c r="CUS26"/>
      <c r="CUT26"/>
      <c r="CUU26"/>
      <c r="CUV26"/>
      <c r="CUW26"/>
      <c r="CUX26"/>
      <c r="CUY26"/>
      <c r="CUZ26"/>
      <c r="CVA26"/>
      <c r="CVB26"/>
      <c r="CVC26"/>
      <c r="CVD26"/>
      <c r="CVE26"/>
      <c r="CVF26"/>
      <c r="CVG26"/>
      <c r="CVH26"/>
      <c r="CVI26"/>
      <c r="CVJ26"/>
      <c r="CVK26"/>
      <c r="CVL26"/>
      <c r="CVM26"/>
      <c r="CVN26"/>
      <c r="CVO26"/>
      <c r="CVP26"/>
      <c r="CVQ26"/>
      <c r="CVR26"/>
      <c r="CVS26"/>
      <c r="CVT26"/>
      <c r="CVU26"/>
      <c r="CVV26"/>
      <c r="CVW26"/>
      <c r="CVX26"/>
      <c r="CVY26"/>
      <c r="CVZ26"/>
      <c r="CWA26"/>
      <c r="CWB26"/>
      <c r="CWC26"/>
      <c r="CWD26"/>
      <c r="CWE26"/>
      <c r="CWF26"/>
      <c r="CWG26"/>
      <c r="CWH26"/>
      <c r="CWI26"/>
      <c r="CWJ26"/>
      <c r="CWK26"/>
      <c r="CWL26"/>
      <c r="CWM26"/>
      <c r="CWN26"/>
      <c r="CWO26"/>
      <c r="CWP26"/>
      <c r="CWQ26"/>
      <c r="CWR26"/>
      <c r="CWS26"/>
      <c r="CWT26"/>
      <c r="CWU26"/>
      <c r="CWV26"/>
      <c r="CWW26"/>
      <c r="CWX26"/>
      <c r="CWY26"/>
      <c r="CWZ26"/>
      <c r="CXA26"/>
      <c r="CXB26"/>
      <c r="CXC26"/>
      <c r="CXD26"/>
      <c r="CXE26"/>
      <c r="CXF26"/>
      <c r="CXG26"/>
      <c r="CXH26"/>
      <c r="CXI26"/>
      <c r="CXJ26"/>
      <c r="CXK26"/>
      <c r="CXL26"/>
      <c r="CXM26"/>
      <c r="CXN26"/>
      <c r="CXO26"/>
      <c r="CXP26"/>
      <c r="CXQ26"/>
      <c r="CXR26"/>
      <c r="CXS26"/>
      <c r="CXT26"/>
      <c r="CXU26"/>
      <c r="CXV26"/>
      <c r="CXW26"/>
      <c r="CXX26"/>
      <c r="CXY26"/>
      <c r="CXZ26"/>
      <c r="CYA26"/>
      <c r="CYB26"/>
      <c r="CYC26"/>
      <c r="CYD26"/>
      <c r="CYE26"/>
      <c r="CYF26"/>
      <c r="CYG26"/>
      <c r="CYH26"/>
      <c r="CYI26"/>
      <c r="CYJ26"/>
      <c r="CYK26"/>
      <c r="CYL26"/>
      <c r="CYM26"/>
      <c r="CYN26"/>
      <c r="CYO26"/>
      <c r="CYP26"/>
      <c r="CYQ26"/>
      <c r="CYR26"/>
      <c r="CYS26"/>
      <c r="CYT26"/>
      <c r="CYU26"/>
      <c r="CYV26"/>
      <c r="CYW26"/>
      <c r="CYX26"/>
      <c r="CYY26"/>
      <c r="CYZ26"/>
      <c r="CZA26"/>
      <c r="CZB26"/>
      <c r="CZC26"/>
      <c r="CZD26"/>
      <c r="CZE26"/>
      <c r="CZF26"/>
      <c r="CZG26"/>
      <c r="CZH26"/>
      <c r="CZI26"/>
      <c r="CZJ26"/>
      <c r="CZK26"/>
      <c r="CZL26"/>
      <c r="CZM26"/>
      <c r="CZN26"/>
      <c r="CZO26"/>
      <c r="CZP26"/>
      <c r="CZQ26"/>
      <c r="CZR26"/>
      <c r="CZS26"/>
      <c r="CZT26"/>
      <c r="CZU26"/>
      <c r="CZV26"/>
      <c r="CZW26"/>
      <c r="CZX26"/>
      <c r="CZY26"/>
      <c r="CZZ26"/>
      <c r="DAA26"/>
      <c r="DAB26"/>
      <c r="DAC26"/>
      <c r="DAD26"/>
      <c r="DAE26"/>
      <c r="DAF26"/>
      <c r="DAG26"/>
      <c r="DAH26"/>
      <c r="DAI26"/>
      <c r="DAJ26"/>
      <c r="DAK26"/>
      <c r="DAL26"/>
      <c r="DAM26"/>
      <c r="DAN26"/>
      <c r="DAO26"/>
      <c r="DAP26"/>
      <c r="DAQ26"/>
      <c r="DAR26"/>
      <c r="DAS26"/>
      <c r="DAT26"/>
      <c r="DAU26"/>
      <c r="DAV26"/>
      <c r="DAW26"/>
      <c r="DAX26"/>
      <c r="DAY26"/>
      <c r="DAZ26"/>
      <c r="DBA26"/>
      <c r="DBB26"/>
      <c r="DBC26"/>
      <c r="DBD26"/>
      <c r="DBE26"/>
      <c r="DBF26"/>
      <c r="DBG26"/>
      <c r="DBH26"/>
      <c r="DBI26"/>
      <c r="DBJ26"/>
      <c r="DBK26"/>
      <c r="DBL26"/>
      <c r="DBM26"/>
      <c r="DBN26"/>
      <c r="DBO26"/>
      <c r="DBP26"/>
      <c r="DBQ26"/>
      <c r="DBR26"/>
      <c r="DBS26"/>
      <c r="DBT26"/>
      <c r="DBU26"/>
      <c r="DBV26"/>
      <c r="DBW26"/>
      <c r="DBX26"/>
      <c r="DBY26"/>
      <c r="DBZ26"/>
      <c r="DCA26"/>
      <c r="DCB26"/>
      <c r="DCC26"/>
      <c r="DCD26"/>
      <c r="DCE26"/>
      <c r="DCF26"/>
      <c r="DCG26"/>
      <c r="DCH26"/>
      <c r="DCI26"/>
      <c r="DCJ26"/>
      <c r="DCK26"/>
      <c r="DCL26"/>
      <c r="DCM26"/>
      <c r="DCN26"/>
      <c r="DCO26"/>
      <c r="DCP26"/>
      <c r="DCQ26"/>
      <c r="DCR26"/>
      <c r="DCS26"/>
      <c r="DCT26"/>
      <c r="DCU26"/>
      <c r="DCV26"/>
      <c r="DCW26"/>
      <c r="DCX26"/>
      <c r="DCY26"/>
      <c r="DCZ26"/>
      <c r="DDA26"/>
      <c r="DDB26"/>
      <c r="DDC26"/>
      <c r="DDD26"/>
      <c r="DDE26"/>
      <c r="DDF26"/>
      <c r="DDG26"/>
      <c r="DDH26"/>
      <c r="DDI26"/>
      <c r="DDJ26"/>
      <c r="DDK26"/>
      <c r="DDL26"/>
      <c r="DDM26"/>
      <c r="DDN26"/>
      <c r="DDO26"/>
      <c r="DDP26"/>
      <c r="DDQ26"/>
      <c r="DDR26"/>
      <c r="DDS26"/>
      <c r="DDT26"/>
      <c r="DDU26"/>
      <c r="DDV26"/>
      <c r="DDW26"/>
      <c r="DDX26"/>
      <c r="DDY26"/>
      <c r="DDZ26"/>
      <c r="DEA26"/>
      <c r="DEB26"/>
      <c r="DEC26"/>
      <c r="DED26"/>
      <c r="DEE26"/>
      <c r="DEF26"/>
      <c r="DEG26"/>
      <c r="DEH26"/>
      <c r="DEI26"/>
      <c r="DEJ26"/>
      <c r="DEK26"/>
      <c r="DEL26"/>
      <c r="DEM26"/>
      <c r="DEN26"/>
      <c r="DEO26"/>
      <c r="DEP26"/>
      <c r="DEQ26"/>
      <c r="DER26"/>
      <c r="DES26"/>
      <c r="DET26"/>
      <c r="DEU26"/>
      <c r="DEV26"/>
      <c r="DEW26"/>
      <c r="DEX26"/>
      <c r="DEY26"/>
      <c r="DEZ26"/>
      <c r="DFA26"/>
      <c r="DFB26"/>
      <c r="DFC26"/>
      <c r="DFD26"/>
      <c r="DFE26"/>
      <c r="DFF26"/>
      <c r="DFG26"/>
      <c r="DFH26"/>
      <c r="DFI26"/>
      <c r="DFJ26"/>
      <c r="DFK26"/>
      <c r="DFL26"/>
      <c r="DFM26"/>
      <c r="DFN26"/>
      <c r="DFO26"/>
      <c r="DFP26"/>
      <c r="DFQ26"/>
      <c r="DFR26"/>
      <c r="DFS26"/>
      <c r="DFT26"/>
      <c r="DFU26"/>
      <c r="DFV26"/>
      <c r="DFW26"/>
      <c r="DFX26"/>
      <c r="DFY26"/>
      <c r="DFZ26"/>
      <c r="DGA26"/>
      <c r="DGB26"/>
      <c r="DGC26"/>
      <c r="DGD26"/>
      <c r="DGE26"/>
      <c r="DGF26"/>
      <c r="DGG26"/>
      <c r="DGH26"/>
      <c r="DGI26"/>
      <c r="DGJ26"/>
      <c r="DGK26"/>
      <c r="DGL26"/>
      <c r="DGM26"/>
      <c r="DGN26"/>
      <c r="DGO26"/>
      <c r="DGP26"/>
      <c r="DGQ26"/>
      <c r="DGR26"/>
      <c r="DGS26"/>
      <c r="DGT26"/>
      <c r="DGU26"/>
      <c r="DGV26"/>
      <c r="DGW26"/>
      <c r="DGX26"/>
      <c r="DGY26"/>
      <c r="DGZ26"/>
      <c r="DHA26"/>
      <c r="DHB26"/>
      <c r="DHC26"/>
      <c r="DHD26"/>
      <c r="DHE26"/>
      <c r="DHF26"/>
      <c r="DHG26"/>
      <c r="DHH26"/>
      <c r="DHI26"/>
      <c r="DHJ26"/>
      <c r="DHK26"/>
      <c r="DHL26"/>
      <c r="DHM26"/>
      <c r="DHN26"/>
      <c r="DHO26"/>
      <c r="DHP26"/>
      <c r="DHQ26"/>
      <c r="DHR26"/>
      <c r="DHS26"/>
      <c r="DHT26"/>
      <c r="DHU26"/>
      <c r="DHV26"/>
      <c r="DHW26"/>
      <c r="DHX26"/>
      <c r="DHY26"/>
      <c r="DHZ26"/>
      <c r="DIA26"/>
      <c r="DIB26"/>
      <c r="DIC26"/>
      <c r="DID26"/>
      <c r="DIE26"/>
      <c r="DIF26"/>
      <c r="DIG26"/>
      <c r="DIH26"/>
      <c r="DII26"/>
      <c r="DIJ26"/>
      <c r="DIK26"/>
      <c r="DIL26"/>
      <c r="DIM26"/>
      <c r="DIN26"/>
      <c r="DIO26"/>
      <c r="DIP26"/>
      <c r="DIQ26"/>
      <c r="DIR26"/>
      <c r="DIS26"/>
      <c r="DIT26"/>
      <c r="DIU26"/>
      <c r="DIV26"/>
      <c r="DIW26"/>
      <c r="DIX26"/>
      <c r="DIY26"/>
      <c r="DIZ26"/>
      <c r="DJA26"/>
      <c r="DJB26"/>
      <c r="DJC26"/>
      <c r="DJD26"/>
      <c r="DJE26"/>
      <c r="DJF26"/>
      <c r="DJG26"/>
      <c r="DJH26"/>
      <c r="DJI26"/>
      <c r="DJJ26"/>
      <c r="DJK26"/>
      <c r="DJL26"/>
      <c r="DJM26"/>
      <c r="DJN26"/>
      <c r="DJO26"/>
      <c r="DJP26"/>
      <c r="DJQ26"/>
      <c r="DJR26"/>
      <c r="DJS26"/>
      <c r="DJT26"/>
      <c r="DJU26"/>
      <c r="DJV26"/>
      <c r="DJW26"/>
      <c r="DJX26"/>
      <c r="DJY26"/>
      <c r="DJZ26"/>
      <c r="DKA26"/>
      <c r="DKB26"/>
      <c r="DKC26"/>
      <c r="DKD26"/>
      <c r="DKE26"/>
      <c r="DKF26"/>
      <c r="DKG26"/>
      <c r="DKH26"/>
      <c r="DKI26"/>
      <c r="DKJ26"/>
      <c r="DKK26"/>
      <c r="DKL26"/>
      <c r="DKM26"/>
      <c r="DKN26"/>
      <c r="DKO26"/>
      <c r="DKP26"/>
      <c r="DKQ26"/>
      <c r="DKR26"/>
      <c r="DKS26"/>
      <c r="DKT26"/>
      <c r="DKU26"/>
      <c r="DKV26"/>
      <c r="DKW26"/>
      <c r="DKX26"/>
      <c r="DKY26"/>
      <c r="DKZ26"/>
      <c r="DLA26"/>
      <c r="DLB26"/>
      <c r="DLC26"/>
      <c r="DLD26"/>
      <c r="DLE26"/>
      <c r="DLF26"/>
      <c r="DLG26"/>
      <c r="DLH26"/>
      <c r="DLI26"/>
      <c r="DLJ26"/>
      <c r="DLK26"/>
      <c r="DLL26"/>
      <c r="DLM26"/>
      <c r="DLN26"/>
      <c r="DLO26"/>
      <c r="DLP26"/>
      <c r="DLQ26"/>
      <c r="DLR26"/>
      <c r="DLS26"/>
      <c r="DLT26"/>
      <c r="DLU26"/>
      <c r="DLV26"/>
      <c r="DLW26"/>
      <c r="DLX26"/>
      <c r="DLY26"/>
      <c r="DLZ26"/>
      <c r="DMA26"/>
      <c r="DMB26"/>
      <c r="DMC26"/>
      <c r="DMD26"/>
      <c r="DME26"/>
      <c r="DMF26"/>
      <c r="DMG26"/>
      <c r="DMH26"/>
      <c r="DMI26"/>
      <c r="DMJ26"/>
      <c r="DMK26"/>
      <c r="DML26"/>
      <c r="DMM26"/>
      <c r="DMN26"/>
      <c r="DMO26"/>
      <c r="DMP26"/>
      <c r="DMQ26"/>
      <c r="DMR26"/>
      <c r="DMS26"/>
      <c r="DMT26"/>
      <c r="DMU26"/>
      <c r="DMV26"/>
      <c r="DMW26"/>
      <c r="DMX26"/>
      <c r="DMY26"/>
      <c r="DMZ26"/>
      <c r="DNA26"/>
      <c r="DNB26"/>
      <c r="DNC26"/>
      <c r="DND26"/>
      <c r="DNE26"/>
      <c r="DNF26"/>
      <c r="DNG26"/>
      <c r="DNH26"/>
      <c r="DNI26"/>
      <c r="DNJ26"/>
      <c r="DNK26"/>
      <c r="DNL26"/>
      <c r="DNM26"/>
      <c r="DNN26"/>
      <c r="DNO26"/>
      <c r="DNP26"/>
      <c r="DNQ26"/>
      <c r="DNR26"/>
      <c r="DNS26"/>
      <c r="DNT26"/>
      <c r="DNU26"/>
      <c r="DNV26"/>
      <c r="DNW26"/>
      <c r="DNX26"/>
      <c r="DNY26"/>
      <c r="DNZ26"/>
      <c r="DOA26"/>
      <c r="DOB26"/>
      <c r="DOC26"/>
      <c r="DOD26"/>
      <c r="DOE26"/>
      <c r="DOF26"/>
      <c r="DOG26"/>
      <c r="DOH26"/>
      <c r="DOI26"/>
      <c r="DOJ26"/>
      <c r="DOK26"/>
      <c r="DOL26"/>
      <c r="DOM26"/>
      <c r="DON26"/>
      <c r="DOO26"/>
      <c r="DOP26"/>
      <c r="DOQ26"/>
      <c r="DOR26"/>
      <c r="DOS26"/>
      <c r="DOT26"/>
      <c r="DOU26"/>
      <c r="DOV26"/>
      <c r="DOW26"/>
      <c r="DOX26"/>
      <c r="DOY26"/>
      <c r="DOZ26"/>
      <c r="DPA26"/>
      <c r="DPB26"/>
      <c r="DPC26"/>
      <c r="DPD26"/>
      <c r="DPE26"/>
      <c r="DPF26"/>
      <c r="DPG26"/>
      <c r="DPH26"/>
      <c r="DPI26"/>
      <c r="DPJ26"/>
      <c r="DPK26"/>
      <c r="DPL26"/>
      <c r="DPM26"/>
      <c r="DPN26"/>
      <c r="DPO26"/>
      <c r="DPP26"/>
      <c r="DPQ26"/>
      <c r="DPR26"/>
      <c r="DPS26"/>
      <c r="DPT26"/>
      <c r="DPU26"/>
      <c r="DPV26"/>
      <c r="DPW26"/>
      <c r="DPX26"/>
      <c r="DPY26"/>
      <c r="DPZ26"/>
      <c r="DQA26"/>
      <c r="DQB26"/>
      <c r="DQC26"/>
      <c r="DQD26"/>
      <c r="DQE26"/>
      <c r="DQF26"/>
      <c r="DQG26"/>
      <c r="DQH26"/>
      <c r="DQI26"/>
      <c r="DQJ26"/>
      <c r="DQK26"/>
      <c r="DQL26"/>
      <c r="DQM26"/>
      <c r="DQN26"/>
      <c r="DQO26"/>
      <c r="DQP26"/>
      <c r="DQQ26"/>
      <c r="DQR26"/>
      <c r="DQS26"/>
      <c r="DQT26"/>
      <c r="DQU26"/>
      <c r="DQV26"/>
      <c r="DQW26"/>
      <c r="DQX26"/>
      <c r="DQY26"/>
      <c r="DQZ26"/>
      <c r="DRA26"/>
      <c r="DRB26"/>
      <c r="DRC26"/>
      <c r="DRD26"/>
      <c r="DRE26"/>
      <c r="DRF26"/>
      <c r="DRG26"/>
      <c r="DRH26"/>
      <c r="DRI26"/>
      <c r="DRJ26"/>
      <c r="DRK26"/>
      <c r="DRL26"/>
      <c r="DRM26"/>
      <c r="DRN26"/>
      <c r="DRO26"/>
      <c r="DRP26"/>
      <c r="DRQ26"/>
      <c r="DRR26"/>
      <c r="DRS26"/>
      <c r="DRT26"/>
      <c r="DRU26"/>
      <c r="DRV26"/>
      <c r="DRW26"/>
      <c r="DRX26"/>
      <c r="DRY26"/>
      <c r="DRZ26"/>
      <c r="DSA26"/>
      <c r="DSB26"/>
      <c r="DSC26"/>
      <c r="DSD26"/>
      <c r="DSE26"/>
      <c r="DSF26"/>
      <c r="DSG26"/>
      <c r="DSH26"/>
      <c r="DSI26"/>
      <c r="DSJ26"/>
      <c r="DSK26"/>
      <c r="DSL26"/>
      <c r="DSM26"/>
      <c r="DSN26"/>
      <c r="DSO26"/>
      <c r="DSP26"/>
      <c r="DSQ26"/>
      <c r="DSR26"/>
      <c r="DSS26"/>
      <c r="DST26"/>
      <c r="DSU26"/>
      <c r="DSV26"/>
      <c r="DSW26"/>
      <c r="DSX26"/>
      <c r="DSY26"/>
      <c r="DSZ26"/>
      <c r="DTA26"/>
      <c r="DTB26"/>
      <c r="DTC26"/>
      <c r="DTD26"/>
      <c r="DTE26"/>
      <c r="DTF26"/>
      <c r="DTG26"/>
      <c r="DTH26"/>
      <c r="DTI26"/>
      <c r="DTJ26"/>
      <c r="DTK26"/>
      <c r="DTL26"/>
      <c r="DTM26"/>
      <c r="DTN26"/>
      <c r="DTO26"/>
      <c r="DTP26"/>
      <c r="DTQ26"/>
      <c r="DTR26"/>
      <c r="DTS26"/>
      <c r="DTT26"/>
      <c r="DTU26"/>
      <c r="DTV26"/>
      <c r="DTW26"/>
      <c r="DTX26"/>
      <c r="DTY26"/>
      <c r="DTZ26"/>
      <c r="DUA26"/>
      <c r="DUB26"/>
      <c r="DUC26"/>
      <c r="DUD26"/>
      <c r="DUE26"/>
      <c r="DUF26"/>
      <c r="DUG26"/>
      <c r="DUH26"/>
      <c r="DUI26"/>
      <c r="DUJ26"/>
      <c r="DUK26"/>
      <c r="DUL26"/>
      <c r="DUM26"/>
      <c r="DUN26"/>
      <c r="DUO26"/>
      <c r="DUP26"/>
      <c r="DUQ26"/>
      <c r="DUR26"/>
      <c r="DUS26"/>
      <c r="DUT26"/>
      <c r="DUU26"/>
      <c r="DUV26"/>
      <c r="DUW26"/>
      <c r="DUX26"/>
      <c r="DUY26"/>
      <c r="DUZ26"/>
      <c r="DVA26"/>
      <c r="DVB26"/>
      <c r="DVC26"/>
      <c r="DVD26"/>
      <c r="DVE26"/>
      <c r="DVF26"/>
      <c r="DVG26"/>
      <c r="DVH26"/>
      <c r="DVI26"/>
      <c r="DVJ26"/>
      <c r="DVK26"/>
      <c r="DVL26"/>
      <c r="DVM26"/>
      <c r="DVN26"/>
      <c r="DVO26"/>
      <c r="DVP26"/>
      <c r="DVQ26"/>
      <c r="DVR26"/>
      <c r="DVS26"/>
      <c r="DVT26"/>
      <c r="DVU26"/>
      <c r="DVV26"/>
      <c r="DVW26"/>
      <c r="DVX26"/>
      <c r="DVY26"/>
      <c r="DVZ26"/>
      <c r="DWA26"/>
      <c r="DWB26"/>
      <c r="DWC26"/>
      <c r="DWD26"/>
      <c r="DWE26"/>
      <c r="DWF26"/>
      <c r="DWG26"/>
      <c r="DWH26"/>
      <c r="DWI26"/>
      <c r="DWJ26"/>
      <c r="DWK26"/>
      <c r="DWL26"/>
      <c r="DWM26"/>
      <c r="DWN26"/>
      <c r="DWO26"/>
      <c r="DWP26"/>
      <c r="DWQ26"/>
      <c r="DWR26"/>
      <c r="DWS26"/>
      <c r="DWT26"/>
      <c r="DWU26"/>
      <c r="DWV26"/>
      <c r="DWW26"/>
      <c r="DWX26"/>
      <c r="DWY26"/>
      <c r="DWZ26"/>
      <c r="DXA26"/>
      <c r="DXB26"/>
      <c r="DXC26"/>
      <c r="DXD26"/>
      <c r="DXE26"/>
      <c r="DXF26"/>
      <c r="DXG26"/>
      <c r="DXH26"/>
      <c r="DXI26"/>
      <c r="DXJ26"/>
      <c r="DXK26"/>
      <c r="DXL26"/>
      <c r="DXM26"/>
      <c r="DXN26"/>
      <c r="DXO26"/>
      <c r="DXP26"/>
      <c r="DXQ26"/>
      <c r="DXR26"/>
      <c r="DXS26"/>
      <c r="DXT26"/>
      <c r="DXU26"/>
      <c r="DXV26"/>
      <c r="DXW26"/>
      <c r="DXX26"/>
      <c r="DXY26"/>
      <c r="DXZ26"/>
      <c r="DYA26"/>
      <c r="DYB26"/>
      <c r="DYC26"/>
      <c r="DYD26"/>
      <c r="DYE26"/>
      <c r="DYF26"/>
      <c r="DYG26"/>
      <c r="DYH26"/>
      <c r="DYI26"/>
      <c r="DYJ26"/>
      <c r="DYK26"/>
      <c r="DYL26"/>
      <c r="DYM26"/>
      <c r="DYN26"/>
      <c r="DYO26"/>
      <c r="DYP26"/>
      <c r="DYQ26"/>
      <c r="DYR26"/>
      <c r="DYS26"/>
      <c r="DYT26"/>
      <c r="DYU26"/>
      <c r="DYV26"/>
      <c r="DYW26"/>
      <c r="DYX26"/>
      <c r="DYY26"/>
      <c r="DYZ26"/>
      <c r="DZA26"/>
      <c r="DZB26"/>
      <c r="DZC26"/>
      <c r="DZD26"/>
      <c r="DZE26"/>
      <c r="DZF26"/>
      <c r="DZG26"/>
      <c r="DZH26"/>
      <c r="DZI26"/>
      <c r="DZJ26"/>
      <c r="DZK26"/>
      <c r="DZL26"/>
      <c r="DZM26"/>
      <c r="DZN26"/>
      <c r="DZO26"/>
      <c r="DZP26"/>
      <c r="DZQ26"/>
      <c r="DZR26"/>
      <c r="DZS26"/>
      <c r="DZT26"/>
      <c r="DZU26"/>
      <c r="DZV26"/>
      <c r="DZW26"/>
      <c r="DZX26"/>
      <c r="DZY26"/>
      <c r="DZZ26"/>
      <c r="EAA26"/>
      <c r="EAB26"/>
      <c r="EAC26"/>
      <c r="EAD26"/>
      <c r="EAE26"/>
      <c r="EAF26"/>
      <c r="EAG26"/>
      <c r="EAH26"/>
      <c r="EAI26"/>
      <c r="EAJ26"/>
      <c r="EAK26"/>
      <c r="EAL26"/>
      <c r="EAM26"/>
      <c r="EAN26"/>
      <c r="EAO26"/>
      <c r="EAP26"/>
      <c r="EAQ26"/>
      <c r="EAR26"/>
      <c r="EAS26"/>
      <c r="EAT26"/>
      <c r="EAU26"/>
      <c r="EAV26"/>
      <c r="EAW26"/>
      <c r="EAX26"/>
      <c r="EAY26"/>
      <c r="EAZ26"/>
      <c r="EBA26"/>
      <c r="EBB26"/>
      <c r="EBC26"/>
      <c r="EBD26"/>
      <c r="EBE26"/>
      <c r="EBF26"/>
      <c r="EBG26"/>
      <c r="EBH26"/>
      <c r="EBI26"/>
      <c r="EBJ26"/>
      <c r="EBK26"/>
      <c r="EBL26"/>
      <c r="EBM26"/>
      <c r="EBN26"/>
      <c r="EBO26"/>
      <c r="EBP26"/>
      <c r="EBQ26"/>
      <c r="EBR26"/>
      <c r="EBS26"/>
      <c r="EBT26"/>
      <c r="EBU26"/>
      <c r="EBV26"/>
      <c r="EBW26"/>
      <c r="EBX26"/>
      <c r="EBY26"/>
      <c r="EBZ26"/>
      <c r="ECA26"/>
      <c r="ECB26"/>
      <c r="ECC26"/>
      <c r="ECD26"/>
      <c r="ECE26"/>
      <c r="ECF26"/>
      <c r="ECG26"/>
      <c r="ECH26"/>
      <c r="ECI26"/>
      <c r="ECJ26"/>
      <c r="ECK26"/>
      <c r="ECL26"/>
      <c r="ECM26"/>
      <c r="ECN26"/>
      <c r="ECO26"/>
      <c r="ECP26"/>
      <c r="ECQ26"/>
      <c r="ECR26"/>
      <c r="ECS26"/>
      <c r="ECT26"/>
      <c r="ECU26"/>
      <c r="ECV26"/>
      <c r="ECW26"/>
      <c r="ECX26"/>
      <c r="ECY26"/>
      <c r="ECZ26"/>
      <c r="EDA26"/>
      <c r="EDB26"/>
      <c r="EDC26"/>
      <c r="EDD26"/>
      <c r="EDE26"/>
      <c r="EDF26"/>
      <c r="EDG26"/>
      <c r="EDH26"/>
      <c r="EDI26"/>
      <c r="EDJ26"/>
      <c r="EDK26"/>
      <c r="EDL26"/>
      <c r="EDM26"/>
      <c r="EDN26"/>
      <c r="EDO26"/>
      <c r="EDP26"/>
      <c r="EDQ26"/>
      <c r="EDR26"/>
      <c r="EDS26"/>
      <c r="EDT26"/>
      <c r="EDU26"/>
      <c r="EDV26"/>
      <c r="EDW26"/>
      <c r="EDX26"/>
      <c r="EDY26"/>
      <c r="EDZ26"/>
      <c r="EEA26"/>
      <c r="EEB26"/>
      <c r="EEC26"/>
      <c r="EED26"/>
      <c r="EEE26"/>
      <c r="EEF26"/>
      <c r="EEG26"/>
      <c r="EEH26"/>
      <c r="EEI26"/>
      <c r="EEJ26"/>
      <c r="EEK26"/>
      <c r="EEL26"/>
      <c r="EEM26"/>
      <c r="EEN26"/>
      <c r="EEO26"/>
      <c r="EEP26"/>
      <c r="EEQ26"/>
      <c r="EER26"/>
      <c r="EES26"/>
      <c r="EET26"/>
      <c r="EEU26"/>
      <c r="EEV26"/>
      <c r="EEW26"/>
      <c r="EEX26"/>
      <c r="EEY26"/>
      <c r="EEZ26"/>
      <c r="EFA26"/>
      <c r="EFB26"/>
      <c r="EFC26"/>
      <c r="EFD26"/>
      <c r="EFE26"/>
      <c r="EFF26"/>
      <c r="EFG26"/>
      <c r="EFH26"/>
      <c r="EFI26"/>
      <c r="EFJ26"/>
      <c r="EFK26"/>
      <c r="EFL26"/>
      <c r="EFM26"/>
      <c r="EFN26"/>
      <c r="EFO26"/>
      <c r="EFP26"/>
      <c r="EFQ26"/>
      <c r="EFR26"/>
      <c r="EFS26"/>
      <c r="EFT26"/>
      <c r="EFU26"/>
      <c r="EFV26"/>
      <c r="EFW26"/>
      <c r="EFX26"/>
      <c r="EFY26"/>
      <c r="EFZ26"/>
      <c r="EGA26"/>
      <c r="EGB26"/>
      <c r="EGC26"/>
      <c r="EGD26"/>
      <c r="EGE26"/>
      <c r="EGF26"/>
      <c r="EGG26"/>
      <c r="EGH26"/>
      <c r="EGI26"/>
      <c r="EGJ26"/>
      <c r="EGK26"/>
      <c r="EGL26"/>
      <c r="EGM26"/>
      <c r="EGN26"/>
      <c r="EGO26"/>
      <c r="EGP26"/>
      <c r="EGQ26"/>
      <c r="EGR26"/>
      <c r="EGS26"/>
      <c r="EGT26"/>
      <c r="EGU26"/>
      <c r="EGV26"/>
      <c r="EGW26"/>
      <c r="EGX26"/>
      <c r="EGY26"/>
      <c r="EGZ26"/>
      <c r="EHA26"/>
      <c r="EHB26"/>
      <c r="EHC26"/>
      <c r="EHD26"/>
      <c r="EHE26"/>
      <c r="EHF26"/>
      <c r="EHG26"/>
      <c r="EHH26"/>
      <c r="EHI26"/>
      <c r="EHJ26"/>
      <c r="EHK26"/>
      <c r="EHL26"/>
      <c r="EHM26"/>
      <c r="EHN26"/>
      <c r="EHO26"/>
      <c r="EHP26"/>
      <c r="EHQ26"/>
      <c r="EHR26"/>
      <c r="EHS26"/>
      <c r="EHT26"/>
      <c r="EHU26"/>
      <c r="EHV26"/>
      <c r="EHW26"/>
      <c r="EHX26"/>
      <c r="EHY26"/>
      <c r="EHZ26"/>
      <c r="EIA26"/>
      <c r="EIB26"/>
      <c r="EIC26"/>
      <c r="EID26"/>
      <c r="EIE26"/>
      <c r="EIF26"/>
      <c r="EIG26"/>
      <c r="EIH26"/>
      <c r="EII26"/>
      <c r="EIJ26"/>
      <c r="EIK26"/>
      <c r="EIL26"/>
      <c r="EIM26"/>
      <c r="EIN26"/>
      <c r="EIO26"/>
      <c r="EIP26"/>
      <c r="EIQ26"/>
      <c r="EIR26"/>
      <c r="EIS26"/>
      <c r="EIT26"/>
      <c r="EIU26"/>
      <c r="EIV26"/>
      <c r="EIW26"/>
      <c r="EIX26"/>
      <c r="EIY26"/>
      <c r="EIZ26"/>
      <c r="EJA26"/>
      <c r="EJB26"/>
      <c r="EJC26"/>
      <c r="EJD26"/>
      <c r="EJE26"/>
      <c r="EJF26"/>
      <c r="EJG26"/>
      <c r="EJH26"/>
      <c r="EJI26"/>
      <c r="EJJ26"/>
      <c r="EJK26"/>
      <c r="EJL26"/>
      <c r="EJM26"/>
      <c r="EJN26"/>
      <c r="EJO26"/>
      <c r="EJP26"/>
      <c r="EJQ26"/>
      <c r="EJR26"/>
      <c r="EJS26"/>
      <c r="EJT26"/>
      <c r="EJU26"/>
      <c r="EJV26"/>
      <c r="EJW26"/>
      <c r="EJX26"/>
      <c r="EJY26"/>
      <c r="EJZ26"/>
      <c r="EKA26"/>
      <c r="EKB26"/>
      <c r="EKC26"/>
      <c r="EKD26"/>
      <c r="EKE26"/>
      <c r="EKF26"/>
      <c r="EKG26"/>
      <c r="EKH26"/>
      <c r="EKI26"/>
      <c r="EKJ26"/>
      <c r="EKK26"/>
      <c r="EKL26"/>
      <c r="EKM26"/>
      <c r="EKN26"/>
      <c r="EKO26"/>
      <c r="EKP26"/>
      <c r="EKQ26"/>
      <c r="EKR26"/>
      <c r="EKS26"/>
      <c r="EKT26"/>
      <c r="EKU26"/>
      <c r="EKV26"/>
      <c r="EKW26"/>
      <c r="EKX26"/>
      <c r="EKY26"/>
      <c r="EKZ26"/>
      <c r="ELA26"/>
      <c r="ELB26"/>
      <c r="ELC26"/>
      <c r="ELD26"/>
      <c r="ELE26"/>
      <c r="ELF26"/>
      <c r="ELG26"/>
      <c r="ELH26"/>
      <c r="ELI26"/>
      <c r="ELJ26"/>
      <c r="ELK26"/>
      <c r="ELL26"/>
      <c r="ELM26"/>
      <c r="ELN26"/>
      <c r="ELO26"/>
      <c r="ELP26"/>
      <c r="ELQ26"/>
      <c r="ELR26"/>
      <c r="ELS26"/>
      <c r="ELT26"/>
      <c r="ELU26"/>
      <c r="ELV26"/>
      <c r="ELW26"/>
      <c r="ELX26"/>
      <c r="ELY26"/>
      <c r="ELZ26"/>
      <c r="EMA26"/>
      <c r="EMB26"/>
      <c r="EMC26"/>
      <c r="EMD26"/>
      <c r="EME26"/>
      <c r="EMF26"/>
      <c r="EMG26"/>
      <c r="EMH26"/>
      <c r="EMI26"/>
      <c r="EMJ26"/>
      <c r="EMK26"/>
      <c r="EML26"/>
      <c r="EMM26"/>
      <c r="EMN26"/>
      <c r="EMO26"/>
      <c r="EMP26"/>
      <c r="EMQ26"/>
      <c r="EMR26"/>
      <c r="EMS26"/>
      <c r="EMT26"/>
      <c r="EMU26"/>
      <c r="EMV26"/>
      <c r="EMW26"/>
      <c r="EMX26"/>
      <c r="EMY26"/>
      <c r="EMZ26"/>
      <c r="ENA26"/>
      <c r="ENB26"/>
      <c r="ENC26"/>
      <c r="END26"/>
      <c r="ENE26"/>
      <c r="ENF26"/>
      <c r="ENG26"/>
      <c r="ENH26"/>
      <c r="ENI26"/>
      <c r="ENJ26"/>
      <c r="ENK26"/>
      <c r="ENL26"/>
      <c r="ENM26"/>
      <c r="ENN26"/>
      <c r="ENO26"/>
      <c r="ENP26"/>
      <c r="ENQ26"/>
      <c r="ENR26"/>
      <c r="ENS26"/>
      <c r="ENT26"/>
      <c r="ENU26"/>
      <c r="ENV26"/>
      <c r="ENW26"/>
      <c r="ENX26"/>
      <c r="ENY26"/>
      <c r="ENZ26"/>
      <c r="EOA26"/>
      <c r="EOB26"/>
      <c r="EOC26"/>
      <c r="EOD26"/>
      <c r="EOE26"/>
      <c r="EOF26"/>
      <c r="EOG26"/>
      <c r="EOH26"/>
      <c r="EOI26"/>
      <c r="EOJ26"/>
      <c r="EOK26"/>
      <c r="EOL26"/>
      <c r="EOM26"/>
      <c r="EON26"/>
      <c r="EOO26"/>
      <c r="EOP26"/>
      <c r="EOQ26"/>
      <c r="EOR26"/>
      <c r="EOS26"/>
      <c r="EOT26"/>
      <c r="EOU26"/>
      <c r="EOV26"/>
      <c r="EOW26"/>
      <c r="EOX26"/>
      <c r="EOY26"/>
      <c r="EOZ26"/>
      <c r="EPA26"/>
      <c r="EPB26"/>
      <c r="EPC26"/>
      <c r="EPD26"/>
      <c r="EPE26"/>
      <c r="EPF26"/>
      <c r="EPG26"/>
      <c r="EPH26"/>
      <c r="EPI26"/>
      <c r="EPJ26"/>
      <c r="EPK26"/>
      <c r="EPL26"/>
      <c r="EPM26"/>
      <c r="EPN26"/>
      <c r="EPO26"/>
      <c r="EPP26"/>
      <c r="EPQ26"/>
      <c r="EPR26"/>
      <c r="EPS26"/>
      <c r="EPT26"/>
      <c r="EPU26"/>
      <c r="EPV26"/>
      <c r="EPW26"/>
      <c r="EPX26"/>
      <c r="EPY26"/>
      <c r="EPZ26"/>
      <c r="EQA26"/>
      <c r="EQB26"/>
      <c r="EQC26"/>
      <c r="EQD26"/>
      <c r="EQE26"/>
      <c r="EQF26"/>
      <c r="EQG26"/>
      <c r="EQH26"/>
      <c r="EQI26"/>
      <c r="EQJ26"/>
      <c r="EQK26"/>
      <c r="EQL26"/>
      <c r="EQM26"/>
      <c r="EQN26"/>
      <c r="EQO26"/>
      <c r="EQP26"/>
      <c r="EQQ26"/>
      <c r="EQR26"/>
      <c r="EQS26"/>
      <c r="EQT26"/>
      <c r="EQU26"/>
      <c r="EQV26"/>
      <c r="EQW26"/>
      <c r="EQX26"/>
      <c r="EQY26"/>
      <c r="EQZ26"/>
      <c r="ERA26"/>
      <c r="ERB26"/>
      <c r="ERC26"/>
      <c r="ERD26"/>
      <c r="ERE26"/>
      <c r="ERF26"/>
      <c r="ERG26"/>
      <c r="ERH26"/>
      <c r="ERI26"/>
      <c r="ERJ26"/>
      <c r="ERK26"/>
      <c r="ERL26"/>
      <c r="ERM26"/>
      <c r="ERN26"/>
      <c r="ERO26"/>
      <c r="ERP26"/>
      <c r="ERQ26"/>
      <c r="ERR26"/>
      <c r="ERS26"/>
      <c r="ERT26"/>
      <c r="ERU26"/>
      <c r="ERV26"/>
      <c r="ERW26"/>
      <c r="ERX26"/>
      <c r="ERY26"/>
      <c r="ERZ26"/>
      <c r="ESA26"/>
      <c r="ESB26"/>
      <c r="ESC26"/>
      <c r="ESD26"/>
      <c r="ESE26"/>
      <c r="ESF26"/>
      <c r="ESG26"/>
      <c r="ESH26"/>
      <c r="ESI26"/>
      <c r="ESJ26"/>
      <c r="ESK26"/>
      <c r="ESL26"/>
      <c r="ESM26"/>
      <c r="ESN26"/>
      <c r="ESO26"/>
      <c r="ESP26"/>
      <c r="ESQ26"/>
      <c r="ESR26"/>
      <c r="ESS26"/>
      <c r="EST26"/>
      <c r="ESU26"/>
      <c r="ESV26"/>
      <c r="ESW26"/>
      <c r="ESX26"/>
      <c r="ESY26"/>
      <c r="ESZ26"/>
      <c r="ETA26"/>
      <c r="ETB26"/>
      <c r="ETC26"/>
      <c r="ETD26"/>
      <c r="ETE26"/>
      <c r="ETF26"/>
      <c r="ETG26"/>
      <c r="ETH26"/>
      <c r="ETI26"/>
      <c r="ETJ26"/>
      <c r="ETK26"/>
      <c r="ETL26"/>
      <c r="ETM26"/>
      <c r="ETN26"/>
      <c r="ETO26"/>
      <c r="ETP26"/>
      <c r="ETQ26"/>
      <c r="ETR26"/>
      <c r="ETS26"/>
      <c r="ETT26"/>
      <c r="ETU26"/>
      <c r="ETV26"/>
      <c r="ETW26"/>
      <c r="ETX26"/>
      <c r="ETY26"/>
      <c r="ETZ26"/>
      <c r="EUA26"/>
      <c r="EUB26"/>
      <c r="EUC26"/>
      <c r="EUD26"/>
      <c r="EUE26"/>
      <c r="EUF26"/>
      <c r="EUG26"/>
      <c r="EUH26"/>
      <c r="EUI26"/>
      <c r="EUJ26"/>
      <c r="EUK26"/>
      <c r="EUL26"/>
      <c r="EUM26"/>
      <c r="EUN26"/>
      <c r="EUO26"/>
      <c r="EUP26"/>
      <c r="EUQ26"/>
      <c r="EUR26"/>
      <c r="EUS26"/>
      <c r="EUT26"/>
      <c r="EUU26"/>
      <c r="EUV26"/>
      <c r="EUW26"/>
      <c r="EUX26"/>
      <c r="EUY26"/>
      <c r="EUZ26"/>
      <c r="EVA26"/>
      <c r="EVB26"/>
      <c r="EVC26"/>
      <c r="EVD26"/>
      <c r="EVE26"/>
      <c r="EVF26"/>
      <c r="EVG26"/>
      <c r="EVH26"/>
      <c r="EVI26"/>
      <c r="EVJ26"/>
      <c r="EVK26"/>
      <c r="EVL26"/>
      <c r="EVM26"/>
      <c r="EVN26"/>
      <c r="EVO26"/>
      <c r="EVP26"/>
      <c r="EVQ26"/>
      <c r="EVR26"/>
      <c r="EVS26"/>
      <c r="EVT26"/>
      <c r="EVU26"/>
      <c r="EVV26"/>
      <c r="EVW26"/>
      <c r="EVX26"/>
      <c r="EVY26"/>
      <c r="EVZ26"/>
      <c r="EWA26"/>
      <c r="EWB26"/>
      <c r="EWC26"/>
      <c r="EWD26"/>
      <c r="EWE26"/>
      <c r="EWF26"/>
      <c r="EWG26"/>
      <c r="EWH26"/>
      <c r="EWI26"/>
      <c r="EWJ26"/>
      <c r="EWK26"/>
      <c r="EWL26"/>
      <c r="EWM26"/>
      <c r="EWN26"/>
      <c r="EWO26"/>
      <c r="EWP26"/>
      <c r="EWQ26"/>
      <c r="EWR26"/>
      <c r="EWS26"/>
      <c r="EWT26"/>
      <c r="EWU26"/>
      <c r="EWV26"/>
      <c r="EWW26"/>
      <c r="EWX26"/>
      <c r="EWY26"/>
      <c r="EWZ26"/>
      <c r="EXA26"/>
      <c r="EXB26"/>
      <c r="EXC26"/>
      <c r="EXD26"/>
      <c r="EXE26"/>
      <c r="EXF26"/>
      <c r="EXG26"/>
      <c r="EXH26"/>
      <c r="EXI26"/>
      <c r="EXJ26"/>
      <c r="EXK26"/>
      <c r="EXL26"/>
      <c r="EXM26"/>
      <c r="EXN26"/>
      <c r="EXO26"/>
      <c r="EXP26"/>
      <c r="EXQ26"/>
      <c r="EXR26"/>
      <c r="EXS26"/>
      <c r="EXT26"/>
      <c r="EXU26"/>
      <c r="EXV26"/>
      <c r="EXW26"/>
      <c r="EXX26"/>
      <c r="EXY26"/>
      <c r="EXZ26"/>
      <c r="EYA26"/>
      <c r="EYB26"/>
      <c r="EYC26"/>
      <c r="EYD26"/>
      <c r="EYE26"/>
      <c r="EYF26"/>
      <c r="EYG26"/>
      <c r="EYH26"/>
      <c r="EYI26"/>
      <c r="EYJ26"/>
      <c r="EYK26"/>
      <c r="EYL26"/>
      <c r="EYM26"/>
      <c r="EYN26"/>
      <c r="EYO26"/>
      <c r="EYP26"/>
      <c r="EYQ26"/>
      <c r="EYR26"/>
      <c r="EYS26"/>
      <c r="EYT26"/>
      <c r="EYU26"/>
      <c r="EYV26"/>
      <c r="EYW26"/>
      <c r="EYX26"/>
      <c r="EYY26"/>
      <c r="EYZ26"/>
      <c r="EZA26"/>
      <c r="EZB26"/>
      <c r="EZC26"/>
      <c r="EZD26"/>
      <c r="EZE26"/>
      <c r="EZF26"/>
      <c r="EZG26"/>
      <c r="EZH26"/>
      <c r="EZI26"/>
      <c r="EZJ26"/>
      <c r="EZK26"/>
      <c r="EZL26"/>
      <c r="EZM26"/>
      <c r="EZN26"/>
      <c r="EZO26"/>
      <c r="EZP26"/>
      <c r="EZQ26"/>
      <c r="EZR26"/>
      <c r="EZS26"/>
      <c r="EZT26"/>
      <c r="EZU26"/>
      <c r="EZV26"/>
      <c r="EZW26"/>
      <c r="EZX26"/>
      <c r="EZY26"/>
      <c r="EZZ26"/>
      <c r="FAA26"/>
      <c r="FAB26"/>
      <c r="FAC26"/>
      <c r="FAD26"/>
      <c r="FAE26"/>
      <c r="FAF26"/>
      <c r="FAG26"/>
      <c r="FAH26"/>
      <c r="FAI26"/>
      <c r="FAJ26"/>
      <c r="FAK26"/>
      <c r="FAL26"/>
      <c r="FAM26"/>
      <c r="FAN26"/>
      <c r="FAO26"/>
      <c r="FAP26"/>
      <c r="FAQ26"/>
      <c r="FAR26"/>
      <c r="FAS26"/>
      <c r="FAT26"/>
      <c r="FAU26"/>
      <c r="FAV26"/>
      <c r="FAW26"/>
      <c r="FAX26"/>
      <c r="FAY26"/>
      <c r="FAZ26"/>
      <c r="FBA26"/>
      <c r="FBB26"/>
      <c r="FBC26"/>
      <c r="FBD26"/>
      <c r="FBE26"/>
      <c r="FBF26"/>
      <c r="FBG26"/>
      <c r="FBH26"/>
      <c r="FBI26"/>
      <c r="FBJ26"/>
      <c r="FBK26"/>
      <c r="FBL26"/>
      <c r="FBM26"/>
      <c r="FBN26"/>
      <c r="FBO26"/>
      <c r="FBP26"/>
      <c r="FBQ26"/>
      <c r="FBR26"/>
      <c r="FBS26"/>
      <c r="FBT26"/>
      <c r="FBU26"/>
      <c r="FBV26"/>
      <c r="FBW26"/>
      <c r="FBX26"/>
      <c r="FBY26"/>
      <c r="FBZ26"/>
      <c r="FCA26"/>
      <c r="FCB26"/>
      <c r="FCC26"/>
      <c r="FCD26"/>
      <c r="FCE26"/>
      <c r="FCF26"/>
      <c r="FCG26"/>
      <c r="FCH26"/>
      <c r="FCI26"/>
      <c r="FCJ26"/>
      <c r="FCK26"/>
      <c r="FCL26"/>
      <c r="FCM26"/>
      <c r="FCN26"/>
      <c r="FCO26"/>
      <c r="FCP26"/>
      <c r="FCQ26"/>
      <c r="FCR26"/>
      <c r="FCS26"/>
      <c r="FCT26"/>
      <c r="FCU26"/>
      <c r="FCV26"/>
      <c r="FCW26"/>
      <c r="FCX26"/>
      <c r="FCY26"/>
      <c r="FCZ26"/>
      <c r="FDA26"/>
      <c r="FDB26"/>
      <c r="FDC26"/>
      <c r="FDD26"/>
      <c r="FDE26"/>
      <c r="FDF26"/>
      <c r="FDG26"/>
      <c r="FDH26"/>
      <c r="FDI26"/>
      <c r="FDJ26"/>
      <c r="FDK26"/>
      <c r="FDL26"/>
      <c r="FDM26"/>
      <c r="FDN26"/>
      <c r="FDO26"/>
      <c r="FDP26"/>
      <c r="FDQ26"/>
      <c r="FDR26"/>
      <c r="FDS26"/>
      <c r="FDT26"/>
      <c r="FDU26"/>
      <c r="FDV26"/>
      <c r="FDW26"/>
      <c r="FDX26"/>
      <c r="FDY26"/>
      <c r="FDZ26"/>
      <c r="FEA26"/>
      <c r="FEB26"/>
      <c r="FEC26"/>
      <c r="FED26"/>
      <c r="FEE26"/>
      <c r="FEF26"/>
      <c r="FEG26"/>
      <c r="FEH26"/>
      <c r="FEI26"/>
      <c r="FEJ26"/>
      <c r="FEK26"/>
      <c r="FEL26"/>
      <c r="FEM26"/>
      <c r="FEN26"/>
      <c r="FEO26"/>
      <c r="FEP26"/>
      <c r="FEQ26"/>
      <c r="FER26"/>
      <c r="FES26"/>
      <c r="FET26"/>
      <c r="FEU26"/>
      <c r="FEV26"/>
      <c r="FEW26"/>
      <c r="FEX26"/>
      <c r="FEY26"/>
      <c r="FEZ26"/>
      <c r="FFA26"/>
      <c r="FFB26"/>
      <c r="FFC26"/>
      <c r="FFD26"/>
      <c r="FFE26"/>
      <c r="FFF26"/>
      <c r="FFG26"/>
      <c r="FFH26"/>
      <c r="FFI26"/>
      <c r="FFJ26"/>
      <c r="FFK26"/>
      <c r="FFL26"/>
      <c r="FFM26"/>
      <c r="FFN26"/>
      <c r="FFO26"/>
      <c r="FFP26"/>
      <c r="FFQ26"/>
      <c r="FFR26"/>
      <c r="FFS26"/>
      <c r="FFT26"/>
      <c r="FFU26"/>
      <c r="FFV26"/>
      <c r="FFW26"/>
      <c r="FFX26"/>
      <c r="FFY26"/>
      <c r="FFZ26"/>
      <c r="FGA26"/>
      <c r="FGB26"/>
      <c r="FGC26"/>
      <c r="FGD26"/>
      <c r="FGE26"/>
      <c r="FGF26"/>
      <c r="FGG26"/>
      <c r="FGH26"/>
      <c r="FGI26"/>
      <c r="FGJ26"/>
      <c r="FGK26"/>
      <c r="FGL26"/>
      <c r="FGM26"/>
      <c r="FGN26"/>
      <c r="FGO26"/>
      <c r="FGP26"/>
      <c r="FGQ26"/>
      <c r="FGR26"/>
      <c r="FGS26"/>
      <c r="FGT26"/>
      <c r="FGU26"/>
      <c r="FGV26"/>
      <c r="FGW26"/>
      <c r="FGX26"/>
      <c r="FGY26"/>
      <c r="FGZ26"/>
      <c r="FHA26"/>
      <c r="FHB26"/>
      <c r="FHC26"/>
      <c r="FHD26"/>
      <c r="FHE26"/>
      <c r="FHF26"/>
      <c r="FHG26"/>
      <c r="FHH26"/>
      <c r="FHI26"/>
      <c r="FHJ26"/>
      <c r="FHK26"/>
      <c r="FHL26"/>
      <c r="FHM26"/>
      <c r="FHN26"/>
      <c r="FHO26"/>
      <c r="FHP26"/>
      <c r="FHQ26"/>
      <c r="FHR26"/>
      <c r="FHS26"/>
      <c r="FHT26"/>
      <c r="FHU26"/>
      <c r="FHV26"/>
      <c r="FHW26"/>
      <c r="FHX26"/>
      <c r="FHY26"/>
      <c r="FHZ26"/>
      <c r="FIA26"/>
      <c r="FIB26"/>
      <c r="FIC26"/>
      <c r="FID26"/>
      <c r="FIE26"/>
      <c r="FIF26"/>
      <c r="FIG26"/>
      <c r="FIH26"/>
      <c r="FII26"/>
      <c r="FIJ26"/>
      <c r="FIK26"/>
      <c r="FIL26"/>
      <c r="FIM26"/>
      <c r="FIN26"/>
      <c r="FIO26"/>
      <c r="FIP26"/>
      <c r="FIQ26"/>
      <c r="FIR26"/>
      <c r="FIS26"/>
      <c r="FIT26"/>
      <c r="FIU26"/>
      <c r="FIV26"/>
      <c r="FIW26"/>
      <c r="FIX26"/>
      <c r="FIY26"/>
      <c r="FIZ26"/>
      <c r="FJA26"/>
      <c r="FJB26"/>
      <c r="FJC26"/>
      <c r="FJD26"/>
      <c r="FJE26"/>
      <c r="FJF26"/>
      <c r="FJG26"/>
      <c r="FJH26"/>
      <c r="FJI26"/>
      <c r="FJJ26"/>
      <c r="FJK26"/>
      <c r="FJL26"/>
      <c r="FJM26"/>
      <c r="FJN26"/>
      <c r="FJO26"/>
      <c r="FJP26"/>
      <c r="FJQ26"/>
      <c r="FJR26"/>
      <c r="FJS26"/>
      <c r="FJT26"/>
      <c r="FJU26"/>
      <c r="FJV26"/>
      <c r="FJW26"/>
      <c r="FJX26"/>
      <c r="FJY26"/>
      <c r="FJZ26"/>
      <c r="FKA26"/>
      <c r="FKB26"/>
      <c r="FKC26"/>
      <c r="FKD26"/>
      <c r="FKE26"/>
      <c r="FKF26"/>
      <c r="FKG26"/>
      <c r="FKH26"/>
      <c r="FKI26"/>
      <c r="FKJ26"/>
      <c r="FKK26"/>
      <c r="FKL26"/>
      <c r="FKM26"/>
      <c r="FKN26"/>
      <c r="FKO26"/>
      <c r="FKP26"/>
      <c r="FKQ26"/>
      <c r="FKR26"/>
      <c r="FKS26"/>
      <c r="FKT26"/>
      <c r="FKU26"/>
      <c r="FKV26"/>
      <c r="FKW26"/>
      <c r="FKX26"/>
      <c r="FKY26"/>
      <c r="FKZ26"/>
      <c r="FLA26"/>
      <c r="FLB26"/>
      <c r="FLC26"/>
      <c r="FLD26"/>
      <c r="FLE26"/>
      <c r="FLF26"/>
      <c r="FLG26"/>
      <c r="FLH26"/>
      <c r="FLI26"/>
      <c r="FLJ26"/>
      <c r="FLK26"/>
      <c r="FLL26"/>
      <c r="FLM26"/>
      <c r="FLN26"/>
      <c r="FLO26"/>
      <c r="FLP26"/>
      <c r="FLQ26"/>
      <c r="FLR26"/>
      <c r="FLS26"/>
      <c r="FLT26"/>
      <c r="FLU26"/>
      <c r="FLV26"/>
      <c r="FLW26"/>
      <c r="FLX26"/>
      <c r="FLY26"/>
      <c r="FLZ26"/>
      <c r="FMA26"/>
      <c r="FMB26"/>
      <c r="FMC26"/>
      <c r="FMD26"/>
      <c r="FME26"/>
      <c r="FMF26"/>
      <c r="FMG26"/>
      <c r="FMH26"/>
      <c r="FMI26"/>
      <c r="FMJ26"/>
      <c r="FMK26"/>
      <c r="FML26"/>
      <c r="FMM26"/>
      <c r="FMN26"/>
      <c r="FMO26"/>
      <c r="FMP26"/>
      <c r="FMQ26"/>
      <c r="FMR26"/>
      <c r="FMS26"/>
      <c r="FMT26"/>
      <c r="FMU26"/>
      <c r="FMV26"/>
      <c r="FMW26"/>
      <c r="FMX26"/>
      <c r="FMY26"/>
      <c r="FMZ26"/>
      <c r="FNA26"/>
      <c r="FNB26"/>
      <c r="FNC26"/>
      <c r="FND26"/>
      <c r="FNE26"/>
      <c r="FNF26"/>
      <c r="FNG26"/>
      <c r="FNH26"/>
      <c r="FNI26"/>
      <c r="FNJ26"/>
      <c r="FNK26"/>
      <c r="FNL26"/>
      <c r="FNM26"/>
      <c r="FNN26"/>
      <c r="FNO26"/>
      <c r="FNP26"/>
      <c r="FNQ26"/>
      <c r="FNR26"/>
      <c r="FNS26"/>
      <c r="FNT26"/>
      <c r="FNU26"/>
      <c r="FNV26"/>
      <c r="FNW26"/>
      <c r="FNX26"/>
      <c r="FNY26"/>
      <c r="FNZ26"/>
      <c r="FOA26"/>
      <c r="FOB26"/>
      <c r="FOC26"/>
      <c r="FOD26"/>
      <c r="FOE26"/>
      <c r="FOF26"/>
      <c r="FOG26"/>
      <c r="FOH26"/>
      <c r="FOI26"/>
      <c r="FOJ26"/>
      <c r="FOK26"/>
      <c r="FOL26"/>
      <c r="FOM26"/>
      <c r="FON26"/>
      <c r="FOO26"/>
      <c r="FOP26"/>
      <c r="FOQ26"/>
      <c r="FOR26"/>
      <c r="FOS26"/>
      <c r="FOT26"/>
      <c r="FOU26"/>
      <c r="FOV26"/>
      <c r="FOW26"/>
      <c r="FOX26"/>
      <c r="FOY26"/>
      <c r="FOZ26"/>
      <c r="FPA26"/>
      <c r="FPB26"/>
      <c r="FPC26"/>
      <c r="FPD26"/>
      <c r="FPE26"/>
      <c r="FPF26"/>
      <c r="FPG26"/>
      <c r="FPH26"/>
      <c r="FPI26"/>
      <c r="FPJ26"/>
      <c r="FPK26"/>
      <c r="FPL26"/>
      <c r="FPM26"/>
      <c r="FPN26"/>
      <c r="FPO26"/>
      <c r="FPP26"/>
      <c r="FPQ26"/>
      <c r="FPR26"/>
      <c r="FPS26"/>
      <c r="FPT26"/>
      <c r="FPU26"/>
      <c r="FPV26"/>
      <c r="FPW26"/>
      <c r="FPX26"/>
      <c r="FPY26"/>
      <c r="FPZ26"/>
      <c r="FQA26"/>
      <c r="FQB26"/>
      <c r="FQC26"/>
      <c r="FQD26"/>
      <c r="FQE26"/>
      <c r="FQF26"/>
      <c r="FQG26"/>
      <c r="FQH26"/>
      <c r="FQI26"/>
      <c r="FQJ26"/>
      <c r="FQK26"/>
      <c r="FQL26"/>
      <c r="FQM26"/>
      <c r="FQN26"/>
      <c r="FQO26"/>
      <c r="FQP26"/>
      <c r="FQQ26"/>
      <c r="FQR26"/>
      <c r="FQS26"/>
      <c r="FQT26"/>
      <c r="FQU26"/>
      <c r="FQV26"/>
      <c r="FQW26"/>
      <c r="FQX26"/>
      <c r="FQY26"/>
      <c r="FQZ26"/>
      <c r="FRA26"/>
      <c r="FRB26"/>
      <c r="FRC26"/>
      <c r="FRD26"/>
      <c r="FRE26"/>
      <c r="FRF26"/>
      <c r="FRG26"/>
      <c r="FRH26"/>
      <c r="FRI26"/>
      <c r="FRJ26"/>
      <c r="FRK26"/>
      <c r="FRL26"/>
      <c r="FRM26"/>
      <c r="FRN26"/>
      <c r="FRO26"/>
      <c r="FRP26"/>
      <c r="FRQ26"/>
      <c r="FRR26"/>
      <c r="FRS26"/>
      <c r="FRT26"/>
      <c r="FRU26"/>
      <c r="FRV26"/>
      <c r="FRW26"/>
      <c r="FRX26"/>
      <c r="FRY26"/>
      <c r="FRZ26"/>
      <c r="FSA26"/>
      <c r="FSB26"/>
      <c r="FSC26"/>
      <c r="FSD26"/>
      <c r="FSE26"/>
      <c r="FSF26"/>
      <c r="FSG26"/>
      <c r="FSH26"/>
      <c r="FSI26"/>
      <c r="FSJ26"/>
      <c r="FSK26"/>
      <c r="FSL26"/>
      <c r="FSM26"/>
      <c r="FSN26"/>
      <c r="FSO26"/>
      <c r="FSP26"/>
      <c r="FSQ26"/>
      <c r="FSR26"/>
      <c r="FSS26"/>
      <c r="FST26"/>
      <c r="FSU26"/>
      <c r="FSV26"/>
      <c r="FSW26"/>
      <c r="FSX26"/>
      <c r="FSY26"/>
      <c r="FSZ26"/>
      <c r="FTA26"/>
      <c r="FTB26"/>
      <c r="FTC26"/>
      <c r="FTD26"/>
      <c r="FTE26"/>
      <c r="FTF26"/>
      <c r="FTG26"/>
      <c r="FTH26"/>
      <c r="FTI26"/>
      <c r="FTJ26"/>
      <c r="FTK26"/>
      <c r="FTL26"/>
      <c r="FTM26"/>
      <c r="FTN26"/>
      <c r="FTO26"/>
      <c r="FTP26"/>
      <c r="FTQ26"/>
      <c r="FTR26"/>
      <c r="FTS26"/>
      <c r="FTT26"/>
      <c r="FTU26"/>
      <c r="FTV26"/>
      <c r="FTW26"/>
      <c r="FTX26"/>
      <c r="FTY26"/>
      <c r="FTZ26"/>
      <c r="FUA26"/>
      <c r="FUB26"/>
      <c r="FUC26"/>
      <c r="FUD26"/>
      <c r="FUE26"/>
      <c r="FUF26"/>
      <c r="FUG26"/>
      <c r="FUH26"/>
      <c r="FUI26"/>
      <c r="FUJ26"/>
      <c r="FUK26"/>
      <c r="FUL26"/>
      <c r="FUM26"/>
      <c r="FUN26"/>
      <c r="FUO26"/>
      <c r="FUP26"/>
      <c r="FUQ26"/>
      <c r="FUR26"/>
      <c r="FUS26"/>
      <c r="FUT26"/>
      <c r="FUU26"/>
      <c r="FUV26"/>
      <c r="FUW26"/>
      <c r="FUX26"/>
      <c r="FUY26"/>
      <c r="FUZ26"/>
      <c r="FVA26"/>
      <c r="FVB26"/>
      <c r="FVC26"/>
      <c r="FVD26"/>
      <c r="FVE26"/>
      <c r="FVF26"/>
      <c r="FVG26"/>
      <c r="FVH26"/>
      <c r="FVI26"/>
      <c r="FVJ26"/>
      <c r="FVK26"/>
      <c r="FVL26"/>
      <c r="FVM26"/>
      <c r="FVN26"/>
      <c r="FVO26"/>
      <c r="FVP26"/>
      <c r="FVQ26"/>
      <c r="FVR26"/>
      <c r="FVS26"/>
      <c r="FVT26"/>
      <c r="FVU26"/>
      <c r="FVV26"/>
      <c r="FVW26"/>
      <c r="FVX26"/>
      <c r="FVY26"/>
      <c r="FVZ26"/>
      <c r="FWA26"/>
      <c r="FWB26"/>
      <c r="FWC26"/>
      <c r="FWD26"/>
      <c r="FWE26"/>
      <c r="FWF26"/>
      <c r="FWG26"/>
      <c r="FWH26"/>
      <c r="FWI26"/>
      <c r="FWJ26"/>
      <c r="FWK26"/>
      <c r="FWL26"/>
      <c r="FWM26"/>
      <c r="FWN26"/>
      <c r="FWO26"/>
      <c r="FWP26"/>
      <c r="FWQ26"/>
      <c r="FWR26"/>
      <c r="FWS26"/>
      <c r="FWT26"/>
      <c r="FWU26"/>
      <c r="FWV26"/>
      <c r="FWW26"/>
      <c r="FWX26"/>
      <c r="FWY26"/>
      <c r="FWZ26"/>
      <c r="FXA26"/>
      <c r="FXB26"/>
      <c r="FXC26"/>
      <c r="FXD26"/>
      <c r="FXE26"/>
      <c r="FXF26"/>
      <c r="FXG26"/>
      <c r="FXH26"/>
      <c r="FXI26"/>
      <c r="FXJ26"/>
      <c r="FXK26"/>
      <c r="FXL26"/>
      <c r="FXM26"/>
      <c r="FXN26"/>
      <c r="FXO26"/>
      <c r="FXP26"/>
      <c r="FXQ26"/>
      <c r="FXR26"/>
      <c r="FXS26"/>
      <c r="FXT26"/>
      <c r="FXU26"/>
      <c r="FXV26"/>
      <c r="FXW26"/>
      <c r="FXX26"/>
      <c r="FXY26"/>
      <c r="FXZ26"/>
      <c r="FYA26"/>
      <c r="FYB26"/>
      <c r="FYC26"/>
      <c r="FYD26"/>
      <c r="FYE26"/>
      <c r="FYF26"/>
      <c r="FYG26"/>
      <c r="FYH26"/>
      <c r="FYI26"/>
      <c r="FYJ26"/>
      <c r="FYK26"/>
      <c r="FYL26"/>
      <c r="FYM26"/>
      <c r="FYN26"/>
      <c r="FYO26"/>
      <c r="FYP26"/>
      <c r="FYQ26"/>
      <c r="FYR26"/>
      <c r="FYS26"/>
      <c r="FYT26"/>
      <c r="FYU26"/>
      <c r="FYV26"/>
      <c r="FYW26"/>
      <c r="FYX26"/>
      <c r="FYY26"/>
      <c r="FYZ26"/>
      <c r="FZA26"/>
      <c r="FZB26"/>
      <c r="FZC26"/>
      <c r="FZD26"/>
      <c r="FZE26"/>
      <c r="FZF26"/>
      <c r="FZG26"/>
      <c r="FZH26"/>
      <c r="FZI26"/>
      <c r="FZJ26"/>
      <c r="FZK26"/>
      <c r="FZL26"/>
      <c r="FZM26"/>
      <c r="FZN26"/>
      <c r="FZO26"/>
      <c r="FZP26"/>
      <c r="FZQ26"/>
      <c r="FZR26"/>
      <c r="FZS26"/>
      <c r="FZT26"/>
      <c r="FZU26"/>
      <c r="FZV26"/>
      <c r="FZW26"/>
      <c r="FZX26"/>
      <c r="FZY26"/>
      <c r="FZZ26"/>
      <c r="GAA26"/>
      <c r="GAB26"/>
      <c r="GAC26"/>
      <c r="GAD26"/>
      <c r="GAE26"/>
      <c r="GAF26"/>
      <c r="GAG26"/>
      <c r="GAH26"/>
      <c r="GAI26"/>
      <c r="GAJ26"/>
      <c r="GAK26"/>
      <c r="GAL26"/>
      <c r="GAM26"/>
      <c r="GAN26"/>
      <c r="GAO26"/>
      <c r="GAP26"/>
      <c r="GAQ26"/>
      <c r="GAR26"/>
      <c r="GAS26"/>
      <c r="GAT26"/>
      <c r="GAU26"/>
      <c r="GAV26"/>
      <c r="GAW26"/>
      <c r="GAX26"/>
      <c r="GAY26"/>
      <c r="GAZ26"/>
      <c r="GBA26"/>
      <c r="GBB26"/>
      <c r="GBC26"/>
      <c r="GBD26"/>
      <c r="GBE26"/>
      <c r="GBF26"/>
      <c r="GBG26"/>
      <c r="GBH26"/>
      <c r="GBI26"/>
      <c r="GBJ26"/>
      <c r="GBK26"/>
      <c r="GBL26"/>
      <c r="GBM26"/>
      <c r="GBN26"/>
      <c r="GBO26"/>
      <c r="GBP26"/>
      <c r="GBQ26"/>
      <c r="GBR26"/>
      <c r="GBS26"/>
      <c r="GBT26"/>
      <c r="GBU26"/>
      <c r="GBV26"/>
      <c r="GBW26"/>
      <c r="GBX26"/>
      <c r="GBY26"/>
      <c r="GBZ26"/>
      <c r="GCA26"/>
      <c r="GCB26"/>
      <c r="GCC26"/>
      <c r="GCD26"/>
      <c r="GCE26"/>
      <c r="GCF26"/>
      <c r="GCG26"/>
      <c r="GCH26"/>
      <c r="GCI26"/>
      <c r="GCJ26"/>
      <c r="GCK26"/>
      <c r="GCL26"/>
      <c r="GCM26"/>
      <c r="GCN26"/>
      <c r="GCO26"/>
      <c r="GCP26"/>
      <c r="GCQ26"/>
      <c r="GCR26"/>
      <c r="GCS26"/>
      <c r="GCT26"/>
      <c r="GCU26"/>
      <c r="GCV26"/>
      <c r="GCW26"/>
      <c r="GCX26"/>
      <c r="GCY26"/>
      <c r="GCZ26"/>
      <c r="GDA26"/>
      <c r="GDB26"/>
      <c r="GDC26"/>
      <c r="GDD26"/>
      <c r="GDE26"/>
      <c r="GDF26"/>
      <c r="GDG26"/>
      <c r="GDH26"/>
      <c r="GDI26"/>
      <c r="GDJ26"/>
      <c r="GDK26"/>
      <c r="GDL26"/>
      <c r="GDM26"/>
      <c r="GDN26"/>
      <c r="GDO26"/>
      <c r="GDP26"/>
      <c r="GDQ26"/>
      <c r="GDR26"/>
      <c r="GDS26"/>
      <c r="GDT26"/>
      <c r="GDU26"/>
      <c r="GDV26"/>
      <c r="GDW26"/>
      <c r="GDX26"/>
      <c r="GDY26"/>
      <c r="GDZ26"/>
      <c r="GEA26"/>
      <c r="GEB26"/>
      <c r="GEC26"/>
      <c r="GED26"/>
      <c r="GEE26"/>
      <c r="GEF26"/>
      <c r="GEG26"/>
      <c r="GEH26"/>
      <c r="GEI26"/>
      <c r="GEJ26"/>
      <c r="GEK26"/>
      <c r="GEL26"/>
      <c r="GEM26"/>
      <c r="GEN26"/>
      <c r="GEO26"/>
      <c r="GEP26"/>
      <c r="GEQ26"/>
      <c r="GER26"/>
      <c r="GES26"/>
      <c r="GET26"/>
      <c r="GEU26"/>
      <c r="GEV26"/>
      <c r="GEW26"/>
      <c r="GEX26"/>
      <c r="GEY26"/>
      <c r="GEZ26"/>
      <c r="GFA26"/>
      <c r="GFB26"/>
      <c r="GFC26"/>
      <c r="GFD26"/>
      <c r="GFE26"/>
      <c r="GFF26"/>
      <c r="GFG26"/>
      <c r="GFH26"/>
      <c r="GFI26"/>
      <c r="GFJ26"/>
      <c r="GFK26"/>
      <c r="GFL26"/>
      <c r="GFM26"/>
      <c r="GFN26"/>
      <c r="GFO26"/>
      <c r="GFP26"/>
      <c r="GFQ26"/>
      <c r="GFR26"/>
      <c r="GFS26"/>
      <c r="GFT26"/>
      <c r="GFU26"/>
      <c r="GFV26"/>
      <c r="GFW26"/>
      <c r="GFX26"/>
      <c r="GFY26"/>
      <c r="GFZ26"/>
      <c r="GGA26"/>
      <c r="GGB26"/>
      <c r="GGC26"/>
      <c r="GGD26"/>
      <c r="GGE26"/>
      <c r="GGF26"/>
      <c r="GGG26"/>
      <c r="GGH26"/>
      <c r="GGI26"/>
      <c r="GGJ26"/>
      <c r="GGK26"/>
      <c r="GGL26"/>
      <c r="GGM26"/>
      <c r="GGN26"/>
      <c r="GGO26"/>
      <c r="GGP26"/>
      <c r="GGQ26"/>
      <c r="GGR26"/>
      <c r="GGS26"/>
      <c r="GGT26"/>
      <c r="GGU26"/>
      <c r="GGV26"/>
      <c r="GGW26"/>
      <c r="GGX26"/>
      <c r="GGY26"/>
      <c r="GGZ26"/>
      <c r="GHA26"/>
      <c r="GHB26"/>
      <c r="GHC26"/>
      <c r="GHD26"/>
      <c r="GHE26"/>
      <c r="GHF26"/>
      <c r="GHG26"/>
      <c r="GHH26"/>
      <c r="GHI26"/>
      <c r="GHJ26"/>
      <c r="GHK26"/>
      <c r="GHL26"/>
      <c r="GHM26"/>
      <c r="GHN26"/>
      <c r="GHO26"/>
      <c r="GHP26"/>
      <c r="GHQ26"/>
      <c r="GHR26"/>
      <c r="GHS26"/>
      <c r="GHT26"/>
      <c r="GHU26"/>
      <c r="GHV26"/>
      <c r="GHW26"/>
      <c r="GHX26"/>
      <c r="GHY26"/>
      <c r="GHZ26"/>
      <c r="GIA26"/>
      <c r="GIB26"/>
      <c r="GIC26"/>
      <c r="GID26"/>
      <c r="GIE26"/>
      <c r="GIF26"/>
      <c r="GIG26"/>
      <c r="GIH26"/>
      <c r="GII26"/>
      <c r="GIJ26"/>
      <c r="GIK26"/>
      <c r="GIL26"/>
      <c r="GIM26"/>
      <c r="GIN26"/>
      <c r="GIO26"/>
      <c r="GIP26"/>
      <c r="GIQ26"/>
      <c r="GIR26"/>
      <c r="GIS26"/>
      <c r="GIT26"/>
      <c r="GIU26"/>
      <c r="GIV26"/>
      <c r="GIW26"/>
      <c r="GIX26"/>
      <c r="GIY26"/>
      <c r="GIZ26"/>
      <c r="GJA26"/>
      <c r="GJB26"/>
      <c r="GJC26"/>
      <c r="GJD26"/>
      <c r="GJE26"/>
      <c r="GJF26"/>
      <c r="GJG26"/>
      <c r="GJH26"/>
      <c r="GJI26"/>
      <c r="GJJ26"/>
      <c r="GJK26"/>
      <c r="GJL26"/>
      <c r="GJM26"/>
      <c r="GJN26"/>
      <c r="GJO26"/>
      <c r="GJP26"/>
      <c r="GJQ26"/>
      <c r="GJR26"/>
      <c r="GJS26"/>
      <c r="GJT26"/>
      <c r="GJU26"/>
      <c r="GJV26"/>
      <c r="GJW26"/>
      <c r="GJX26"/>
      <c r="GJY26"/>
      <c r="GJZ26"/>
      <c r="GKA26"/>
      <c r="GKB26"/>
      <c r="GKC26"/>
      <c r="GKD26"/>
      <c r="GKE26"/>
      <c r="GKF26"/>
      <c r="GKG26"/>
      <c r="GKH26"/>
      <c r="GKI26"/>
      <c r="GKJ26"/>
      <c r="GKK26"/>
      <c r="GKL26"/>
      <c r="GKM26"/>
      <c r="GKN26"/>
      <c r="GKO26"/>
      <c r="GKP26"/>
      <c r="GKQ26"/>
      <c r="GKR26"/>
      <c r="GKS26"/>
      <c r="GKT26"/>
      <c r="GKU26"/>
      <c r="GKV26"/>
      <c r="GKW26"/>
      <c r="GKX26"/>
      <c r="GKY26"/>
      <c r="GKZ26"/>
      <c r="GLA26"/>
      <c r="GLB26"/>
      <c r="GLC26"/>
      <c r="GLD26"/>
      <c r="GLE26"/>
      <c r="GLF26"/>
      <c r="GLG26"/>
      <c r="GLH26"/>
      <c r="GLI26"/>
      <c r="GLJ26"/>
      <c r="GLK26"/>
      <c r="GLL26"/>
      <c r="GLM26"/>
      <c r="GLN26"/>
      <c r="GLO26"/>
      <c r="GLP26"/>
      <c r="GLQ26"/>
      <c r="GLR26"/>
      <c r="GLS26"/>
      <c r="GLT26"/>
      <c r="GLU26"/>
      <c r="GLV26"/>
      <c r="GLW26"/>
      <c r="GLX26"/>
      <c r="GLY26"/>
      <c r="GLZ26"/>
      <c r="GMA26"/>
      <c r="GMB26"/>
      <c r="GMC26"/>
      <c r="GMD26"/>
      <c r="GME26"/>
      <c r="GMF26"/>
      <c r="GMG26"/>
      <c r="GMH26"/>
      <c r="GMI26"/>
      <c r="GMJ26"/>
      <c r="GMK26"/>
      <c r="GML26"/>
      <c r="GMM26"/>
      <c r="GMN26"/>
      <c r="GMO26"/>
      <c r="GMP26"/>
      <c r="GMQ26"/>
      <c r="GMR26"/>
      <c r="GMS26"/>
      <c r="GMT26"/>
      <c r="GMU26"/>
      <c r="GMV26"/>
      <c r="GMW26"/>
      <c r="GMX26"/>
      <c r="GMY26"/>
      <c r="GMZ26"/>
      <c r="GNA26"/>
      <c r="GNB26"/>
      <c r="GNC26"/>
      <c r="GND26"/>
      <c r="GNE26"/>
      <c r="GNF26"/>
      <c r="GNG26"/>
      <c r="GNH26"/>
      <c r="GNI26"/>
      <c r="GNJ26"/>
      <c r="GNK26"/>
      <c r="GNL26"/>
      <c r="GNM26"/>
      <c r="GNN26"/>
      <c r="GNO26"/>
      <c r="GNP26"/>
      <c r="GNQ26"/>
      <c r="GNR26"/>
      <c r="GNS26"/>
      <c r="GNT26"/>
      <c r="GNU26"/>
      <c r="GNV26"/>
      <c r="GNW26"/>
      <c r="GNX26"/>
      <c r="GNY26"/>
      <c r="GNZ26"/>
      <c r="GOA26"/>
      <c r="GOB26"/>
      <c r="GOC26"/>
      <c r="GOD26"/>
      <c r="GOE26"/>
      <c r="GOF26"/>
      <c r="GOG26"/>
      <c r="GOH26"/>
      <c r="GOI26"/>
      <c r="GOJ26"/>
      <c r="GOK26"/>
      <c r="GOL26"/>
      <c r="GOM26"/>
      <c r="GON26"/>
      <c r="GOO26"/>
      <c r="GOP26"/>
      <c r="GOQ26"/>
      <c r="GOR26"/>
      <c r="GOS26"/>
      <c r="GOT26"/>
      <c r="GOU26"/>
      <c r="GOV26"/>
      <c r="GOW26"/>
      <c r="GOX26"/>
      <c r="GOY26"/>
      <c r="GOZ26"/>
      <c r="GPA26"/>
      <c r="GPB26"/>
      <c r="GPC26"/>
      <c r="GPD26"/>
      <c r="GPE26"/>
      <c r="GPF26"/>
      <c r="GPG26"/>
      <c r="GPH26"/>
      <c r="GPI26"/>
      <c r="GPJ26"/>
      <c r="GPK26"/>
      <c r="GPL26"/>
      <c r="GPM26"/>
      <c r="GPN26"/>
      <c r="GPO26"/>
      <c r="GPP26"/>
      <c r="GPQ26"/>
      <c r="GPR26"/>
      <c r="GPS26"/>
      <c r="GPT26"/>
      <c r="GPU26"/>
      <c r="GPV26"/>
      <c r="GPW26"/>
      <c r="GPX26"/>
      <c r="GPY26"/>
      <c r="GPZ26"/>
      <c r="GQA26"/>
      <c r="GQB26"/>
      <c r="GQC26"/>
      <c r="GQD26"/>
      <c r="GQE26"/>
      <c r="GQF26"/>
      <c r="GQG26"/>
      <c r="GQH26"/>
      <c r="GQI26"/>
      <c r="GQJ26"/>
      <c r="GQK26"/>
      <c r="GQL26"/>
      <c r="GQM26"/>
      <c r="GQN26"/>
      <c r="GQO26"/>
      <c r="GQP26"/>
      <c r="GQQ26"/>
      <c r="GQR26"/>
      <c r="GQS26"/>
      <c r="GQT26"/>
      <c r="GQU26"/>
      <c r="GQV26"/>
      <c r="GQW26"/>
      <c r="GQX26"/>
      <c r="GQY26"/>
      <c r="GQZ26"/>
      <c r="GRA26"/>
      <c r="GRB26"/>
      <c r="GRC26"/>
      <c r="GRD26"/>
      <c r="GRE26"/>
      <c r="GRF26"/>
      <c r="GRG26"/>
      <c r="GRH26"/>
      <c r="GRI26"/>
      <c r="GRJ26"/>
      <c r="GRK26"/>
      <c r="GRL26"/>
      <c r="GRM26"/>
      <c r="GRN26"/>
      <c r="GRO26"/>
      <c r="GRP26"/>
      <c r="GRQ26"/>
      <c r="GRR26"/>
      <c r="GRS26"/>
      <c r="GRT26"/>
      <c r="GRU26"/>
      <c r="GRV26"/>
      <c r="GRW26"/>
      <c r="GRX26"/>
      <c r="GRY26"/>
      <c r="GRZ26"/>
      <c r="GSA26"/>
      <c r="GSB26"/>
      <c r="GSC26"/>
      <c r="GSD26"/>
      <c r="GSE26"/>
      <c r="GSF26"/>
      <c r="GSG26"/>
      <c r="GSH26"/>
      <c r="GSI26"/>
      <c r="GSJ26"/>
      <c r="GSK26"/>
      <c r="GSL26"/>
      <c r="GSM26"/>
      <c r="GSN26"/>
      <c r="GSO26"/>
      <c r="GSP26"/>
      <c r="GSQ26"/>
      <c r="GSR26"/>
      <c r="GSS26"/>
      <c r="GST26"/>
      <c r="GSU26"/>
      <c r="GSV26"/>
      <c r="GSW26"/>
      <c r="GSX26"/>
      <c r="GSY26"/>
      <c r="GSZ26"/>
      <c r="GTA26"/>
      <c r="GTB26"/>
      <c r="GTC26"/>
      <c r="GTD26"/>
      <c r="GTE26"/>
      <c r="GTF26"/>
      <c r="GTG26"/>
      <c r="GTH26"/>
      <c r="GTI26"/>
      <c r="GTJ26"/>
      <c r="GTK26"/>
      <c r="GTL26"/>
      <c r="GTM26"/>
      <c r="GTN26"/>
      <c r="GTO26"/>
      <c r="GTP26"/>
      <c r="GTQ26"/>
      <c r="GTR26"/>
      <c r="GTS26"/>
      <c r="GTT26"/>
      <c r="GTU26"/>
      <c r="GTV26"/>
      <c r="GTW26"/>
      <c r="GTX26"/>
      <c r="GTY26"/>
      <c r="GTZ26"/>
      <c r="GUA26"/>
      <c r="GUB26"/>
      <c r="GUC26"/>
      <c r="GUD26"/>
      <c r="GUE26"/>
      <c r="GUF26"/>
      <c r="GUG26"/>
      <c r="GUH26"/>
      <c r="GUI26"/>
      <c r="GUJ26"/>
      <c r="GUK26"/>
      <c r="GUL26"/>
      <c r="GUM26"/>
      <c r="GUN26"/>
      <c r="GUO26"/>
      <c r="GUP26"/>
      <c r="GUQ26"/>
      <c r="GUR26"/>
      <c r="GUS26"/>
      <c r="GUT26"/>
      <c r="GUU26"/>
      <c r="GUV26"/>
      <c r="GUW26"/>
      <c r="GUX26"/>
      <c r="GUY26"/>
      <c r="GUZ26"/>
      <c r="GVA26"/>
      <c r="GVB26"/>
      <c r="GVC26"/>
      <c r="GVD26"/>
      <c r="GVE26"/>
      <c r="GVF26"/>
      <c r="GVG26"/>
      <c r="GVH26"/>
      <c r="GVI26"/>
      <c r="GVJ26"/>
      <c r="GVK26"/>
      <c r="GVL26"/>
      <c r="GVM26"/>
      <c r="GVN26"/>
      <c r="GVO26"/>
      <c r="GVP26"/>
      <c r="GVQ26"/>
      <c r="GVR26"/>
      <c r="GVS26"/>
      <c r="GVT26"/>
      <c r="GVU26"/>
      <c r="GVV26"/>
      <c r="GVW26"/>
      <c r="GVX26"/>
      <c r="GVY26"/>
      <c r="GVZ26"/>
      <c r="GWA26"/>
      <c r="GWB26"/>
      <c r="GWC26"/>
      <c r="GWD26"/>
      <c r="GWE26"/>
      <c r="GWF26"/>
      <c r="GWG26"/>
      <c r="GWH26"/>
      <c r="GWI26"/>
      <c r="GWJ26"/>
      <c r="GWK26"/>
      <c r="GWL26"/>
      <c r="GWM26"/>
      <c r="GWN26"/>
      <c r="GWO26"/>
      <c r="GWP26"/>
      <c r="GWQ26"/>
      <c r="GWR26"/>
      <c r="GWS26"/>
      <c r="GWT26"/>
      <c r="GWU26"/>
      <c r="GWV26"/>
      <c r="GWW26"/>
      <c r="GWX26"/>
      <c r="GWY26"/>
      <c r="GWZ26"/>
      <c r="GXA26"/>
      <c r="GXB26"/>
      <c r="GXC26"/>
      <c r="GXD26"/>
      <c r="GXE26"/>
      <c r="GXF26"/>
      <c r="GXG26"/>
      <c r="GXH26"/>
      <c r="GXI26"/>
      <c r="GXJ26"/>
      <c r="GXK26"/>
      <c r="GXL26"/>
      <c r="GXM26"/>
      <c r="GXN26"/>
      <c r="GXO26"/>
      <c r="GXP26"/>
      <c r="GXQ26"/>
      <c r="GXR26"/>
      <c r="GXS26"/>
      <c r="GXT26"/>
      <c r="GXU26"/>
      <c r="GXV26"/>
      <c r="GXW26"/>
      <c r="GXX26"/>
      <c r="GXY26"/>
      <c r="GXZ26"/>
      <c r="GYA26"/>
      <c r="GYB26"/>
      <c r="GYC26"/>
      <c r="GYD26"/>
      <c r="GYE26"/>
      <c r="GYF26"/>
      <c r="GYG26"/>
      <c r="GYH26"/>
      <c r="GYI26"/>
      <c r="GYJ26"/>
      <c r="GYK26"/>
      <c r="GYL26"/>
      <c r="GYM26"/>
      <c r="GYN26"/>
      <c r="GYO26"/>
      <c r="GYP26"/>
      <c r="GYQ26"/>
      <c r="GYR26"/>
      <c r="GYS26"/>
      <c r="GYT26"/>
      <c r="GYU26"/>
      <c r="GYV26"/>
      <c r="GYW26"/>
      <c r="GYX26"/>
      <c r="GYY26"/>
      <c r="GYZ26"/>
      <c r="GZA26"/>
      <c r="GZB26"/>
      <c r="GZC26"/>
      <c r="GZD26"/>
      <c r="GZE26"/>
      <c r="GZF26"/>
      <c r="GZG26"/>
      <c r="GZH26"/>
      <c r="GZI26"/>
      <c r="GZJ26"/>
      <c r="GZK26"/>
      <c r="GZL26"/>
      <c r="GZM26"/>
      <c r="GZN26"/>
      <c r="GZO26"/>
      <c r="GZP26"/>
      <c r="GZQ26"/>
      <c r="GZR26"/>
      <c r="GZS26"/>
      <c r="GZT26"/>
      <c r="GZU26"/>
      <c r="GZV26"/>
      <c r="GZW26"/>
      <c r="GZX26"/>
      <c r="GZY26"/>
      <c r="GZZ26"/>
      <c r="HAA26"/>
      <c r="HAB26"/>
      <c r="HAC26"/>
      <c r="HAD26"/>
      <c r="HAE26"/>
      <c r="HAF26"/>
      <c r="HAG26"/>
      <c r="HAH26"/>
      <c r="HAI26"/>
      <c r="HAJ26"/>
      <c r="HAK26"/>
      <c r="HAL26"/>
      <c r="HAM26"/>
      <c r="HAN26"/>
      <c r="HAO26"/>
      <c r="HAP26"/>
      <c r="HAQ26"/>
      <c r="HAR26"/>
      <c r="HAS26"/>
      <c r="HAT26"/>
      <c r="HAU26"/>
      <c r="HAV26"/>
      <c r="HAW26"/>
      <c r="HAX26"/>
      <c r="HAY26"/>
      <c r="HAZ26"/>
      <c r="HBA26"/>
      <c r="HBB26"/>
      <c r="HBC26"/>
      <c r="HBD26"/>
      <c r="HBE26"/>
      <c r="HBF26"/>
      <c r="HBG26"/>
      <c r="HBH26"/>
      <c r="HBI26"/>
      <c r="HBJ26"/>
      <c r="HBK26"/>
      <c r="HBL26"/>
      <c r="HBM26"/>
      <c r="HBN26"/>
      <c r="HBO26"/>
      <c r="HBP26"/>
      <c r="HBQ26"/>
      <c r="HBR26"/>
      <c r="HBS26"/>
      <c r="HBT26"/>
      <c r="HBU26"/>
      <c r="HBV26"/>
      <c r="HBW26"/>
      <c r="HBX26"/>
      <c r="HBY26"/>
      <c r="HBZ26"/>
      <c r="HCA26"/>
      <c r="HCB26"/>
      <c r="HCC26"/>
      <c r="HCD26"/>
      <c r="HCE26"/>
      <c r="HCF26"/>
      <c r="HCG26"/>
      <c r="HCH26"/>
      <c r="HCI26"/>
      <c r="HCJ26"/>
      <c r="HCK26"/>
      <c r="HCL26"/>
      <c r="HCM26"/>
      <c r="HCN26"/>
      <c r="HCO26"/>
      <c r="HCP26"/>
      <c r="HCQ26"/>
      <c r="HCR26"/>
      <c r="HCS26"/>
      <c r="HCT26"/>
      <c r="HCU26"/>
      <c r="HCV26"/>
      <c r="HCW26"/>
      <c r="HCX26"/>
      <c r="HCY26"/>
      <c r="HCZ26"/>
      <c r="HDA26"/>
      <c r="HDB26"/>
      <c r="HDC26"/>
      <c r="HDD26"/>
      <c r="HDE26"/>
      <c r="HDF26"/>
      <c r="HDG26"/>
      <c r="HDH26"/>
      <c r="HDI26"/>
      <c r="HDJ26"/>
      <c r="HDK26"/>
      <c r="HDL26"/>
      <c r="HDM26"/>
      <c r="HDN26"/>
      <c r="HDO26"/>
      <c r="HDP26"/>
      <c r="HDQ26"/>
      <c r="HDR26"/>
      <c r="HDS26"/>
      <c r="HDT26"/>
      <c r="HDU26"/>
      <c r="HDV26"/>
      <c r="HDW26"/>
      <c r="HDX26"/>
      <c r="HDY26"/>
      <c r="HDZ26"/>
      <c r="HEA26"/>
      <c r="HEB26"/>
      <c r="HEC26"/>
      <c r="HED26"/>
      <c r="HEE26"/>
      <c r="HEF26"/>
      <c r="HEG26"/>
      <c r="HEH26"/>
      <c r="HEI26"/>
      <c r="HEJ26"/>
      <c r="HEK26"/>
      <c r="HEL26"/>
      <c r="HEM26"/>
      <c r="HEN26"/>
      <c r="HEO26"/>
      <c r="HEP26"/>
      <c r="HEQ26"/>
      <c r="HER26"/>
      <c r="HES26"/>
      <c r="HET26"/>
      <c r="HEU26"/>
      <c r="HEV26"/>
      <c r="HEW26"/>
      <c r="HEX26"/>
      <c r="HEY26"/>
      <c r="HEZ26"/>
      <c r="HFA26"/>
      <c r="HFB26"/>
      <c r="HFC26"/>
      <c r="HFD26"/>
      <c r="HFE26"/>
      <c r="HFF26"/>
      <c r="HFG26"/>
      <c r="HFH26"/>
      <c r="HFI26"/>
      <c r="HFJ26"/>
      <c r="HFK26"/>
      <c r="HFL26"/>
      <c r="HFM26"/>
      <c r="HFN26"/>
      <c r="HFO26"/>
      <c r="HFP26"/>
      <c r="HFQ26"/>
      <c r="HFR26"/>
      <c r="HFS26"/>
      <c r="HFT26"/>
      <c r="HFU26"/>
      <c r="HFV26"/>
      <c r="HFW26"/>
      <c r="HFX26"/>
      <c r="HFY26"/>
      <c r="HFZ26"/>
      <c r="HGA26"/>
      <c r="HGB26"/>
      <c r="HGC26"/>
      <c r="HGD26"/>
      <c r="HGE26"/>
      <c r="HGF26"/>
      <c r="HGG26"/>
      <c r="HGH26"/>
      <c r="HGI26"/>
      <c r="HGJ26"/>
      <c r="HGK26"/>
      <c r="HGL26"/>
      <c r="HGM26"/>
      <c r="HGN26"/>
      <c r="HGO26"/>
      <c r="HGP26"/>
      <c r="HGQ26"/>
      <c r="HGR26"/>
      <c r="HGS26"/>
      <c r="HGT26"/>
      <c r="HGU26"/>
      <c r="HGV26"/>
      <c r="HGW26"/>
      <c r="HGX26"/>
      <c r="HGY26"/>
      <c r="HGZ26"/>
      <c r="HHA26"/>
      <c r="HHB26"/>
      <c r="HHC26"/>
      <c r="HHD26"/>
      <c r="HHE26"/>
      <c r="HHF26"/>
      <c r="HHG26"/>
      <c r="HHH26"/>
      <c r="HHI26"/>
      <c r="HHJ26"/>
      <c r="HHK26"/>
      <c r="HHL26"/>
      <c r="HHM26"/>
      <c r="HHN26"/>
      <c r="HHO26"/>
      <c r="HHP26"/>
      <c r="HHQ26"/>
      <c r="HHR26"/>
      <c r="HHS26"/>
      <c r="HHT26"/>
      <c r="HHU26"/>
      <c r="HHV26"/>
      <c r="HHW26"/>
      <c r="HHX26"/>
      <c r="HHY26"/>
      <c r="HHZ26"/>
      <c r="HIA26"/>
      <c r="HIB26"/>
      <c r="HIC26"/>
      <c r="HID26"/>
      <c r="HIE26"/>
      <c r="HIF26"/>
      <c r="HIG26"/>
      <c r="HIH26"/>
      <c r="HII26"/>
      <c r="HIJ26"/>
      <c r="HIK26"/>
      <c r="HIL26"/>
      <c r="HIM26"/>
      <c r="HIN26"/>
      <c r="HIO26"/>
      <c r="HIP26"/>
      <c r="HIQ26"/>
      <c r="HIR26"/>
      <c r="HIS26"/>
      <c r="HIT26"/>
      <c r="HIU26"/>
      <c r="HIV26"/>
      <c r="HIW26"/>
      <c r="HIX26"/>
      <c r="HIY26"/>
      <c r="HIZ26"/>
      <c r="HJA26"/>
      <c r="HJB26"/>
      <c r="HJC26"/>
      <c r="HJD26"/>
      <c r="HJE26"/>
      <c r="HJF26"/>
      <c r="HJG26"/>
      <c r="HJH26"/>
      <c r="HJI26"/>
      <c r="HJJ26"/>
      <c r="HJK26"/>
      <c r="HJL26"/>
      <c r="HJM26"/>
      <c r="HJN26"/>
      <c r="HJO26"/>
      <c r="HJP26"/>
      <c r="HJQ26"/>
      <c r="HJR26"/>
      <c r="HJS26"/>
      <c r="HJT26"/>
      <c r="HJU26"/>
      <c r="HJV26"/>
      <c r="HJW26"/>
      <c r="HJX26"/>
      <c r="HJY26"/>
      <c r="HJZ26"/>
      <c r="HKA26"/>
      <c r="HKB26"/>
      <c r="HKC26"/>
      <c r="HKD26"/>
      <c r="HKE26"/>
      <c r="HKF26"/>
      <c r="HKG26"/>
      <c r="HKH26"/>
      <c r="HKI26"/>
      <c r="HKJ26"/>
      <c r="HKK26"/>
      <c r="HKL26"/>
      <c r="HKM26"/>
      <c r="HKN26"/>
      <c r="HKO26"/>
      <c r="HKP26"/>
      <c r="HKQ26"/>
      <c r="HKR26"/>
      <c r="HKS26"/>
      <c r="HKT26"/>
      <c r="HKU26"/>
      <c r="HKV26"/>
      <c r="HKW26"/>
      <c r="HKX26"/>
      <c r="HKY26"/>
      <c r="HKZ26"/>
      <c r="HLA26"/>
      <c r="HLB26"/>
      <c r="HLC26"/>
      <c r="HLD26"/>
      <c r="HLE26"/>
      <c r="HLF26"/>
      <c r="HLG26"/>
      <c r="HLH26"/>
      <c r="HLI26"/>
      <c r="HLJ26"/>
      <c r="HLK26"/>
      <c r="HLL26"/>
      <c r="HLM26"/>
      <c r="HLN26"/>
      <c r="HLO26"/>
      <c r="HLP26"/>
      <c r="HLQ26"/>
      <c r="HLR26"/>
      <c r="HLS26"/>
      <c r="HLT26"/>
      <c r="HLU26"/>
      <c r="HLV26"/>
      <c r="HLW26"/>
      <c r="HLX26"/>
      <c r="HLY26"/>
      <c r="HLZ26"/>
      <c r="HMA26"/>
      <c r="HMB26"/>
      <c r="HMC26"/>
      <c r="HMD26"/>
      <c r="HME26"/>
      <c r="HMF26"/>
      <c r="HMG26"/>
      <c r="HMH26"/>
      <c r="HMI26"/>
      <c r="HMJ26"/>
      <c r="HMK26"/>
      <c r="HML26"/>
      <c r="HMM26"/>
      <c r="HMN26"/>
      <c r="HMO26"/>
      <c r="HMP26"/>
      <c r="HMQ26"/>
      <c r="HMR26"/>
      <c r="HMS26"/>
      <c r="HMT26"/>
      <c r="HMU26"/>
      <c r="HMV26"/>
      <c r="HMW26"/>
      <c r="HMX26"/>
      <c r="HMY26"/>
      <c r="HMZ26"/>
      <c r="HNA26"/>
      <c r="HNB26"/>
      <c r="HNC26"/>
      <c r="HND26"/>
      <c r="HNE26"/>
      <c r="HNF26"/>
      <c r="HNG26"/>
      <c r="HNH26"/>
      <c r="HNI26"/>
      <c r="HNJ26"/>
      <c r="HNK26"/>
      <c r="HNL26"/>
      <c r="HNM26"/>
      <c r="HNN26"/>
      <c r="HNO26"/>
      <c r="HNP26"/>
      <c r="HNQ26"/>
      <c r="HNR26"/>
      <c r="HNS26"/>
      <c r="HNT26"/>
      <c r="HNU26"/>
      <c r="HNV26"/>
      <c r="HNW26"/>
      <c r="HNX26"/>
      <c r="HNY26"/>
      <c r="HNZ26"/>
      <c r="HOA26"/>
      <c r="HOB26"/>
      <c r="HOC26"/>
      <c r="HOD26"/>
      <c r="HOE26"/>
      <c r="HOF26"/>
      <c r="HOG26"/>
      <c r="HOH26"/>
      <c r="HOI26"/>
      <c r="HOJ26"/>
      <c r="HOK26"/>
      <c r="HOL26"/>
      <c r="HOM26"/>
      <c r="HON26"/>
      <c r="HOO26"/>
      <c r="HOP26"/>
      <c r="HOQ26"/>
      <c r="HOR26"/>
      <c r="HOS26"/>
      <c r="HOT26"/>
      <c r="HOU26"/>
      <c r="HOV26"/>
      <c r="HOW26"/>
      <c r="HOX26"/>
      <c r="HOY26"/>
      <c r="HOZ26"/>
      <c r="HPA26"/>
      <c r="HPB26"/>
      <c r="HPC26"/>
      <c r="HPD26"/>
      <c r="HPE26"/>
      <c r="HPF26"/>
      <c r="HPG26"/>
      <c r="HPH26"/>
      <c r="HPI26"/>
      <c r="HPJ26"/>
      <c r="HPK26"/>
      <c r="HPL26"/>
      <c r="HPM26"/>
      <c r="HPN26"/>
      <c r="HPO26"/>
      <c r="HPP26"/>
      <c r="HPQ26"/>
      <c r="HPR26"/>
      <c r="HPS26"/>
      <c r="HPT26"/>
      <c r="HPU26"/>
      <c r="HPV26"/>
      <c r="HPW26"/>
      <c r="HPX26"/>
      <c r="HPY26"/>
      <c r="HPZ26"/>
      <c r="HQA26"/>
      <c r="HQB26"/>
      <c r="HQC26"/>
      <c r="HQD26"/>
      <c r="HQE26"/>
      <c r="HQF26"/>
      <c r="HQG26"/>
      <c r="HQH26"/>
      <c r="HQI26"/>
      <c r="HQJ26"/>
      <c r="HQK26"/>
      <c r="HQL26"/>
      <c r="HQM26"/>
      <c r="HQN26"/>
      <c r="HQO26"/>
      <c r="HQP26"/>
      <c r="HQQ26"/>
      <c r="HQR26"/>
      <c r="HQS26"/>
      <c r="HQT26"/>
      <c r="HQU26"/>
      <c r="HQV26"/>
      <c r="HQW26"/>
      <c r="HQX26"/>
      <c r="HQY26"/>
      <c r="HQZ26"/>
      <c r="HRA26"/>
      <c r="HRB26"/>
      <c r="HRC26"/>
      <c r="HRD26"/>
      <c r="HRE26"/>
      <c r="HRF26"/>
      <c r="HRG26"/>
      <c r="HRH26"/>
      <c r="HRI26"/>
      <c r="HRJ26"/>
      <c r="HRK26"/>
      <c r="HRL26"/>
      <c r="HRM26"/>
      <c r="HRN26"/>
      <c r="HRO26"/>
      <c r="HRP26"/>
      <c r="HRQ26"/>
      <c r="HRR26"/>
      <c r="HRS26"/>
      <c r="HRT26"/>
      <c r="HRU26"/>
      <c r="HRV26"/>
      <c r="HRW26"/>
      <c r="HRX26"/>
      <c r="HRY26"/>
      <c r="HRZ26"/>
      <c r="HSA26"/>
      <c r="HSB26"/>
      <c r="HSC26"/>
      <c r="HSD26"/>
      <c r="HSE26"/>
      <c r="HSF26"/>
      <c r="HSG26"/>
      <c r="HSH26"/>
      <c r="HSI26"/>
      <c r="HSJ26"/>
      <c r="HSK26"/>
      <c r="HSL26"/>
      <c r="HSM26"/>
      <c r="HSN26"/>
      <c r="HSO26"/>
      <c r="HSP26"/>
      <c r="HSQ26"/>
      <c r="HSR26"/>
      <c r="HSS26"/>
      <c r="HST26"/>
      <c r="HSU26"/>
      <c r="HSV26"/>
      <c r="HSW26"/>
      <c r="HSX26"/>
      <c r="HSY26"/>
      <c r="HSZ26"/>
      <c r="HTA26"/>
      <c r="HTB26"/>
      <c r="HTC26"/>
      <c r="HTD26"/>
      <c r="HTE26"/>
      <c r="HTF26"/>
      <c r="HTG26"/>
      <c r="HTH26"/>
      <c r="HTI26"/>
      <c r="HTJ26"/>
      <c r="HTK26"/>
      <c r="HTL26"/>
      <c r="HTM26"/>
      <c r="HTN26"/>
      <c r="HTO26"/>
      <c r="HTP26"/>
      <c r="HTQ26"/>
      <c r="HTR26"/>
      <c r="HTS26"/>
      <c r="HTT26"/>
      <c r="HTU26"/>
      <c r="HTV26"/>
      <c r="HTW26"/>
      <c r="HTX26"/>
      <c r="HTY26"/>
      <c r="HTZ26"/>
      <c r="HUA26"/>
      <c r="HUB26"/>
      <c r="HUC26"/>
      <c r="HUD26"/>
      <c r="HUE26"/>
      <c r="HUF26"/>
      <c r="HUG26"/>
      <c r="HUH26"/>
      <c r="HUI26"/>
      <c r="HUJ26"/>
      <c r="HUK26"/>
      <c r="HUL26"/>
      <c r="HUM26"/>
      <c r="HUN26"/>
      <c r="HUO26"/>
      <c r="HUP26"/>
      <c r="HUQ26"/>
      <c r="HUR26"/>
      <c r="HUS26"/>
      <c r="HUT26"/>
      <c r="HUU26"/>
      <c r="HUV26"/>
      <c r="HUW26"/>
      <c r="HUX26"/>
      <c r="HUY26"/>
      <c r="HUZ26"/>
      <c r="HVA26"/>
      <c r="HVB26"/>
      <c r="HVC26"/>
      <c r="HVD26"/>
      <c r="HVE26"/>
      <c r="HVF26"/>
      <c r="HVG26"/>
      <c r="HVH26"/>
      <c r="HVI26"/>
      <c r="HVJ26"/>
      <c r="HVK26"/>
      <c r="HVL26"/>
      <c r="HVM26"/>
      <c r="HVN26"/>
      <c r="HVO26"/>
      <c r="HVP26"/>
      <c r="HVQ26"/>
      <c r="HVR26"/>
      <c r="HVS26"/>
      <c r="HVT26"/>
      <c r="HVU26"/>
      <c r="HVV26"/>
      <c r="HVW26"/>
      <c r="HVX26"/>
      <c r="HVY26"/>
      <c r="HVZ26"/>
      <c r="HWA26"/>
      <c r="HWB26"/>
      <c r="HWC26"/>
      <c r="HWD26"/>
      <c r="HWE26"/>
      <c r="HWF26"/>
      <c r="HWG26"/>
      <c r="HWH26"/>
      <c r="HWI26"/>
      <c r="HWJ26"/>
      <c r="HWK26"/>
      <c r="HWL26"/>
      <c r="HWM26"/>
      <c r="HWN26"/>
      <c r="HWO26"/>
      <c r="HWP26"/>
      <c r="HWQ26"/>
      <c r="HWR26"/>
      <c r="HWS26"/>
      <c r="HWT26"/>
      <c r="HWU26"/>
      <c r="HWV26"/>
      <c r="HWW26"/>
      <c r="HWX26"/>
      <c r="HWY26"/>
      <c r="HWZ26"/>
      <c r="HXA26"/>
      <c r="HXB26"/>
      <c r="HXC26"/>
      <c r="HXD26"/>
      <c r="HXE26"/>
      <c r="HXF26"/>
      <c r="HXG26"/>
      <c r="HXH26"/>
      <c r="HXI26"/>
      <c r="HXJ26"/>
      <c r="HXK26"/>
      <c r="HXL26"/>
      <c r="HXM26"/>
      <c r="HXN26"/>
      <c r="HXO26"/>
      <c r="HXP26"/>
      <c r="HXQ26"/>
      <c r="HXR26"/>
      <c r="HXS26"/>
      <c r="HXT26"/>
      <c r="HXU26"/>
      <c r="HXV26"/>
      <c r="HXW26"/>
      <c r="HXX26"/>
      <c r="HXY26"/>
      <c r="HXZ26"/>
      <c r="HYA26"/>
      <c r="HYB26"/>
      <c r="HYC26"/>
      <c r="HYD26"/>
      <c r="HYE26"/>
      <c r="HYF26"/>
      <c r="HYG26"/>
      <c r="HYH26"/>
      <c r="HYI26"/>
      <c r="HYJ26"/>
      <c r="HYK26"/>
      <c r="HYL26"/>
      <c r="HYM26"/>
      <c r="HYN26"/>
      <c r="HYO26"/>
      <c r="HYP26"/>
      <c r="HYQ26"/>
      <c r="HYR26"/>
      <c r="HYS26"/>
      <c r="HYT26"/>
      <c r="HYU26"/>
      <c r="HYV26"/>
      <c r="HYW26"/>
      <c r="HYX26"/>
      <c r="HYY26"/>
      <c r="HYZ26"/>
      <c r="HZA26"/>
      <c r="HZB26"/>
      <c r="HZC26"/>
      <c r="HZD26"/>
      <c r="HZE26"/>
      <c r="HZF26"/>
      <c r="HZG26"/>
      <c r="HZH26"/>
      <c r="HZI26"/>
      <c r="HZJ26"/>
      <c r="HZK26"/>
      <c r="HZL26"/>
      <c r="HZM26"/>
      <c r="HZN26"/>
      <c r="HZO26"/>
      <c r="HZP26"/>
      <c r="HZQ26"/>
      <c r="HZR26"/>
      <c r="HZS26"/>
      <c r="HZT26"/>
      <c r="HZU26"/>
      <c r="HZV26"/>
      <c r="HZW26"/>
      <c r="HZX26"/>
      <c r="HZY26"/>
      <c r="HZZ26"/>
      <c r="IAA26"/>
      <c r="IAB26"/>
      <c r="IAC26"/>
      <c r="IAD26"/>
      <c r="IAE26"/>
      <c r="IAF26"/>
      <c r="IAG26"/>
      <c r="IAH26"/>
      <c r="IAI26"/>
      <c r="IAJ26"/>
      <c r="IAK26"/>
      <c r="IAL26"/>
      <c r="IAM26"/>
      <c r="IAN26"/>
      <c r="IAO26"/>
      <c r="IAP26"/>
      <c r="IAQ26"/>
      <c r="IAR26"/>
      <c r="IAS26"/>
      <c r="IAT26"/>
      <c r="IAU26"/>
      <c r="IAV26"/>
      <c r="IAW26"/>
      <c r="IAX26"/>
      <c r="IAY26"/>
      <c r="IAZ26"/>
      <c r="IBA26"/>
      <c r="IBB26"/>
      <c r="IBC26"/>
      <c r="IBD26"/>
      <c r="IBE26"/>
      <c r="IBF26"/>
      <c r="IBG26"/>
      <c r="IBH26"/>
      <c r="IBI26"/>
      <c r="IBJ26"/>
      <c r="IBK26"/>
      <c r="IBL26"/>
      <c r="IBM26"/>
      <c r="IBN26"/>
      <c r="IBO26"/>
      <c r="IBP26"/>
      <c r="IBQ26"/>
      <c r="IBR26"/>
      <c r="IBS26"/>
      <c r="IBT26"/>
      <c r="IBU26"/>
      <c r="IBV26"/>
      <c r="IBW26"/>
      <c r="IBX26"/>
      <c r="IBY26"/>
      <c r="IBZ26"/>
      <c r="ICA26"/>
      <c r="ICB26"/>
      <c r="ICC26"/>
      <c r="ICD26"/>
      <c r="ICE26"/>
      <c r="ICF26"/>
      <c r="ICG26"/>
      <c r="ICH26"/>
      <c r="ICI26"/>
      <c r="ICJ26"/>
      <c r="ICK26"/>
      <c r="ICL26"/>
      <c r="ICM26"/>
      <c r="ICN26"/>
      <c r="ICO26"/>
      <c r="ICP26"/>
      <c r="ICQ26"/>
      <c r="ICR26"/>
      <c r="ICS26"/>
      <c r="ICT26"/>
      <c r="ICU26"/>
      <c r="ICV26"/>
      <c r="ICW26"/>
      <c r="ICX26"/>
      <c r="ICY26"/>
      <c r="ICZ26"/>
      <c r="IDA26"/>
      <c r="IDB26"/>
      <c r="IDC26"/>
      <c r="IDD26"/>
      <c r="IDE26"/>
      <c r="IDF26"/>
      <c r="IDG26"/>
      <c r="IDH26"/>
      <c r="IDI26"/>
      <c r="IDJ26"/>
      <c r="IDK26"/>
      <c r="IDL26"/>
      <c r="IDM26"/>
      <c r="IDN26"/>
      <c r="IDO26"/>
      <c r="IDP26"/>
      <c r="IDQ26"/>
      <c r="IDR26"/>
      <c r="IDS26"/>
      <c r="IDT26"/>
      <c r="IDU26"/>
      <c r="IDV26"/>
      <c r="IDW26"/>
      <c r="IDX26"/>
      <c r="IDY26"/>
      <c r="IDZ26"/>
      <c r="IEA26"/>
      <c r="IEB26"/>
      <c r="IEC26"/>
      <c r="IED26"/>
      <c r="IEE26"/>
      <c r="IEF26"/>
      <c r="IEG26"/>
      <c r="IEH26"/>
      <c r="IEI26"/>
      <c r="IEJ26"/>
      <c r="IEK26"/>
      <c r="IEL26"/>
      <c r="IEM26"/>
      <c r="IEN26"/>
      <c r="IEO26"/>
      <c r="IEP26"/>
      <c r="IEQ26"/>
      <c r="IER26"/>
      <c r="IES26"/>
      <c r="IET26"/>
      <c r="IEU26"/>
      <c r="IEV26"/>
      <c r="IEW26"/>
      <c r="IEX26"/>
      <c r="IEY26"/>
      <c r="IEZ26"/>
      <c r="IFA26"/>
      <c r="IFB26"/>
      <c r="IFC26"/>
      <c r="IFD26"/>
      <c r="IFE26"/>
      <c r="IFF26"/>
      <c r="IFG26"/>
      <c r="IFH26"/>
      <c r="IFI26"/>
      <c r="IFJ26"/>
      <c r="IFK26"/>
      <c r="IFL26"/>
      <c r="IFM26"/>
      <c r="IFN26"/>
      <c r="IFO26"/>
      <c r="IFP26"/>
      <c r="IFQ26"/>
      <c r="IFR26"/>
      <c r="IFS26"/>
      <c r="IFT26"/>
      <c r="IFU26"/>
      <c r="IFV26"/>
      <c r="IFW26"/>
      <c r="IFX26"/>
      <c r="IFY26"/>
      <c r="IFZ26"/>
      <c r="IGA26"/>
      <c r="IGB26"/>
      <c r="IGC26"/>
      <c r="IGD26"/>
      <c r="IGE26"/>
      <c r="IGF26"/>
      <c r="IGG26"/>
      <c r="IGH26"/>
      <c r="IGI26"/>
      <c r="IGJ26"/>
      <c r="IGK26"/>
      <c r="IGL26"/>
      <c r="IGM26"/>
      <c r="IGN26"/>
      <c r="IGO26"/>
      <c r="IGP26"/>
      <c r="IGQ26"/>
      <c r="IGR26"/>
      <c r="IGS26"/>
      <c r="IGT26"/>
      <c r="IGU26"/>
      <c r="IGV26"/>
      <c r="IGW26"/>
      <c r="IGX26"/>
      <c r="IGY26"/>
      <c r="IGZ26"/>
      <c r="IHA26"/>
      <c r="IHB26"/>
      <c r="IHC26"/>
      <c r="IHD26"/>
      <c r="IHE26"/>
      <c r="IHF26"/>
      <c r="IHG26"/>
      <c r="IHH26"/>
      <c r="IHI26"/>
      <c r="IHJ26"/>
      <c r="IHK26"/>
      <c r="IHL26"/>
      <c r="IHM26"/>
      <c r="IHN26"/>
      <c r="IHO26"/>
      <c r="IHP26"/>
      <c r="IHQ26"/>
      <c r="IHR26"/>
      <c r="IHS26"/>
      <c r="IHT26"/>
      <c r="IHU26"/>
      <c r="IHV26"/>
      <c r="IHW26"/>
      <c r="IHX26"/>
      <c r="IHY26"/>
      <c r="IHZ26"/>
      <c r="IIA26"/>
      <c r="IIB26"/>
      <c r="IIC26"/>
      <c r="IID26"/>
      <c r="IIE26"/>
      <c r="IIF26"/>
      <c r="IIG26"/>
      <c r="IIH26"/>
      <c r="III26"/>
      <c r="IIJ26"/>
      <c r="IIK26"/>
      <c r="IIL26"/>
      <c r="IIM26"/>
      <c r="IIN26"/>
      <c r="IIO26"/>
      <c r="IIP26"/>
      <c r="IIQ26"/>
      <c r="IIR26"/>
      <c r="IIS26"/>
      <c r="IIT26"/>
      <c r="IIU26"/>
      <c r="IIV26"/>
      <c r="IIW26"/>
      <c r="IIX26"/>
      <c r="IIY26"/>
      <c r="IIZ26"/>
      <c r="IJA26"/>
      <c r="IJB26"/>
      <c r="IJC26"/>
      <c r="IJD26"/>
      <c r="IJE26"/>
      <c r="IJF26"/>
      <c r="IJG26"/>
      <c r="IJH26"/>
      <c r="IJI26"/>
      <c r="IJJ26"/>
      <c r="IJK26"/>
      <c r="IJL26"/>
      <c r="IJM26"/>
      <c r="IJN26"/>
      <c r="IJO26"/>
      <c r="IJP26"/>
      <c r="IJQ26"/>
      <c r="IJR26"/>
      <c r="IJS26"/>
      <c r="IJT26"/>
      <c r="IJU26"/>
      <c r="IJV26"/>
      <c r="IJW26"/>
      <c r="IJX26"/>
      <c r="IJY26"/>
      <c r="IJZ26"/>
      <c r="IKA26"/>
      <c r="IKB26"/>
      <c r="IKC26"/>
      <c r="IKD26"/>
      <c r="IKE26"/>
      <c r="IKF26"/>
      <c r="IKG26"/>
      <c r="IKH26"/>
      <c r="IKI26"/>
      <c r="IKJ26"/>
      <c r="IKK26"/>
      <c r="IKL26"/>
      <c r="IKM26"/>
      <c r="IKN26"/>
      <c r="IKO26"/>
      <c r="IKP26"/>
      <c r="IKQ26"/>
      <c r="IKR26"/>
      <c r="IKS26"/>
      <c r="IKT26"/>
      <c r="IKU26"/>
      <c r="IKV26"/>
      <c r="IKW26"/>
      <c r="IKX26"/>
      <c r="IKY26"/>
      <c r="IKZ26"/>
      <c r="ILA26"/>
      <c r="ILB26"/>
      <c r="ILC26"/>
      <c r="ILD26"/>
      <c r="ILE26"/>
      <c r="ILF26"/>
      <c r="ILG26"/>
      <c r="ILH26"/>
      <c r="ILI26"/>
      <c r="ILJ26"/>
      <c r="ILK26"/>
      <c r="ILL26"/>
      <c r="ILM26"/>
      <c r="ILN26"/>
      <c r="ILO26"/>
      <c r="ILP26"/>
      <c r="ILQ26"/>
      <c r="ILR26"/>
      <c r="ILS26"/>
      <c r="ILT26"/>
      <c r="ILU26"/>
      <c r="ILV26"/>
      <c r="ILW26"/>
      <c r="ILX26"/>
      <c r="ILY26"/>
      <c r="ILZ26"/>
      <c r="IMA26"/>
      <c r="IMB26"/>
      <c r="IMC26"/>
      <c r="IMD26"/>
      <c r="IME26"/>
      <c r="IMF26"/>
      <c r="IMG26"/>
      <c r="IMH26"/>
      <c r="IMI26"/>
      <c r="IMJ26"/>
      <c r="IMK26"/>
      <c r="IML26"/>
      <c r="IMM26"/>
      <c r="IMN26"/>
      <c r="IMO26"/>
      <c r="IMP26"/>
      <c r="IMQ26"/>
      <c r="IMR26"/>
      <c r="IMS26"/>
      <c r="IMT26"/>
      <c r="IMU26"/>
      <c r="IMV26"/>
      <c r="IMW26"/>
      <c r="IMX26"/>
      <c r="IMY26"/>
      <c r="IMZ26"/>
      <c r="INA26"/>
      <c r="INB26"/>
      <c r="INC26"/>
      <c r="IND26"/>
      <c r="INE26"/>
      <c r="INF26"/>
      <c r="ING26"/>
      <c r="INH26"/>
      <c r="INI26"/>
      <c r="INJ26"/>
      <c r="INK26"/>
      <c r="INL26"/>
      <c r="INM26"/>
      <c r="INN26"/>
      <c r="INO26"/>
      <c r="INP26"/>
      <c r="INQ26"/>
      <c r="INR26"/>
      <c r="INS26"/>
      <c r="INT26"/>
      <c r="INU26"/>
      <c r="INV26"/>
      <c r="INW26"/>
      <c r="INX26"/>
      <c r="INY26"/>
      <c r="INZ26"/>
      <c r="IOA26"/>
      <c r="IOB26"/>
      <c r="IOC26"/>
      <c r="IOD26"/>
      <c r="IOE26"/>
      <c r="IOF26"/>
      <c r="IOG26"/>
      <c r="IOH26"/>
      <c r="IOI26"/>
      <c r="IOJ26"/>
      <c r="IOK26"/>
      <c r="IOL26"/>
      <c r="IOM26"/>
      <c r="ION26"/>
      <c r="IOO26"/>
      <c r="IOP26"/>
      <c r="IOQ26"/>
      <c r="IOR26"/>
      <c r="IOS26"/>
      <c r="IOT26"/>
      <c r="IOU26"/>
      <c r="IOV26"/>
      <c r="IOW26"/>
      <c r="IOX26"/>
      <c r="IOY26"/>
      <c r="IOZ26"/>
      <c r="IPA26"/>
      <c r="IPB26"/>
      <c r="IPC26"/>
      <c r="IPD26"/>
      <c r="IPE26"/>
      <c r="IPF26"/>
      <c r="IPG26"/>
      <c r="IPH26"/>
      <c r="IPI26"/>
      <c r="IPJ26"/>
      <c r="IPK26"/>
      <c r="IPL26"/>
      <c r="IPM26"/>
      <c r="IPN26"/>
      <c r="IPO26"/>
      <c r="IPP26"/>
      <c r="IPQ26"/>
      <c r="IPR26"/>
      <c r="IPS26"/>
      <c r="IPT26"/>
      <c r="IPU26"/>
      <c r="IPV26"/>
      <c r="IPW26"/>
      <c r="IPX26"/>
      <c r="IPY26"/>
      <c r="IPZ26"/>
      <c r="IQA26"/>
      <c r="IQB26"/>
      <c r="IQC26"/>
      <c r="IQD26"/>
      <c r="IQE26"/>
      <c r="IQF26"/>
      <c r="IQG26"/>
      <c r="IQH26"/>
      <c r="IQI26"/>
      <c r="IQJ26"/>
      <c r="IQK26"/>
      <c r="IQL26"/>
      <c r="IQM26"/>
      <c r="IQN26"/>
      <c r="IQO26"/>
      <c r="IQP26"/>
      <c r="IQQ26"/>
      <c r="IQR26"/>
      <c r="IQS26"/>
      <c r="IQT26"/>
      <c r="IQU26"/>
      <c r="IQV26"/>
      <c r="IQW26"/>
      <c r="IQX26"/>
      <c r="IQY26"/>
      <c r="IQZ26"/>
      <c r="IRA26"/>
      <c r="IRB26"/>
      <c r="IRC26"/>
      <c r="IRD26"/>
      <c r="IRE26"/>
      <c r="IRF26"/>
      <c r="IRG26"/>
      <c r="IRH26"/>
      <c r="IRI26"/>
      <c r="IRJ26"/>
      <c r="IRK26"/>
      <c r="IRL26"/>
      <c r="IRM26"/>
      <c r="IRN26"/>
      <c r="IRO26"/>
      <c r="IRP26"/>
      <c r="IRQ26"/>
      <c r="IRR26"/>
      <c r="IRS26"/>
      <c r="IRT26"/>
      <c r="IRU26"/>
      <c r="IRV26"/>
      <c r="IRW26"/>
      <c r="IRX26"/>
      <c r="IRY26"/>
      <c r="IRZ26"/>
      <c r="ISA26"/>
      <c r="ISB26"/>
      <c r="ISC26"/>
      <c r="ISD26"/>
      <c r="ISE26"/>
      <c r="ISF26"/>
      <c r="ISG26"/>
      <c r="ISH26"/>
      <c r="ISI26"/>
      <c r="ISJ26"/>
      <c r="ISK26"/>
      <c r="ISL26"/>
      <c r="ISM26"/>
      <c r="ISN26"/>
      <c r="ISO26"/>
      <c r="ISP26"/>
      <c r="ISQ26"/>
      <c r="ISR26"/>
      <c r="ISS26"/>
      <c r="IST26"/>
      <c r="ISU26"/>
      <c r="ISV26"/>
      <c r="ISW26"/>
      <c r="ISX26"/>
      <c r="ISY26"/>
      <c r="ISZ26"/>
      <c r="ITA26"/>
      <c r="ITB26"/>
      <c r="ITC26"/>
      <c r="ITD26"/>
      <c r="ITE26"/>
      <c r="ITF26"/>
      <c r="ITG26"/>
      <c r="ITH26"/>
      <c r="ITI26"/>
      <c r="ITJ26"/>
      <c r="ITK26"/>
      <c r="ITL26"/>
      <c r="ITM26"/>
      <c r="ITN26"/>
      <c r="ITO26"/>
      <c r="ITP26"/>
      <c r="ITQ26"/>
      <c r="ITR26"/>
      <c r="ITS26"/>
      <c r="ITT26"/>
      <c r="ITU26"/>
      <c r="ITV26"/>
      <c r="ITW26"/>
      <c r="ITX26"/>
      <c r="ITY26"/>
      <c r="ITZ26"/>
      <c r="IUA26"/>
      <c r="IUB26"/>
      <c r="IUC26"/>
      <c r="IUD26"/>
      <c r="IUE26"/>
      <c r="IUF26"/>
      <c r="IUG26"/>
      <c r="IUH26"/>
      <c r="IUI26"/>
      <c r="IUJ26"/>
      <c r="IUK26"/>
      <c r="IUL26"/>
      <c r="IUM26"/>
      <c r="IUN26"/>
      <c r="IUO26"/>
      <c r="IUP26"/>
      <c r="IUQ26"/>
      <c r="IUR26"/>
      <c r="IUS26"/>
      <c r="IUT26"/>
      <c r="IUU26"/>
      <c r="IUV26"/>
      <c r="IUW26"/>
      <c r="IUX26"/>
      <c r="IUY26"/>
      <c r="IUZ26"/>
      <c r="IVA26"/>
      <c r="IVB26"/>
      <c r="IVC26"/>
      <c r="IVD26"/>
      <c r="IVE26"/>
      <c r="IVF26"/>
      <c r="IVG26"/>
      <c r="IVH26"/>
      <c r="IVI26"/>
      <c r="IVJ26"/>
      <c r="IVK26"/>
      <c r="IVL26"/>
      <c r="IVM26"/>
      <c r="IVN26"/>
      <c r="IVO26"/>
      <c r="IVP26"/>
      <c r="IVQ26"/>
      <c r="IVR26"/>
      <c r="IVS26"/>
      <c r="IVT26"/>
      <c r="IVU26"/>
      <c r="IVV26"/>
      <c r="IVW26"/>
      <c r="IVX26"/>
      <c r="IVY26"/>
      <c r="IVZ26"/>
      <c r="IWA26"/>
      <c r="IWB26"/>
      <c r="IWC26"/>
      <c r="IWD26"/>
      <c r="IWE26"/>
      <c r="IWF26"/>
      <c r="IWG26"/>
      <c r="IWH26"/>
      <c r="IWI26"/>
      <c r="IWJ26"/>
      <c r="IWK26"/>
      <c r="IWL26"/>
      <c r="IWM26"/>
      <c r="IWN26"/>
      <c r="IWO26"/>
      <c r="IWP26"/>
      <c r="IWQ26"/>
      <c r="IWR26"/>
      <c r="IWS26"/>
      <c r="IWT26"/>
      <c r="IWU26"/>
      <c r="IWV26"/>
      <c r="IWW26"/>
      <c r="IWX26"/>
      <c r="IWY26"/>
      <c r="IWZ26"/>
      <c r="IXA26"/>
      <c r="IXB26"/>
      <c r="IXC26"/>
      <c r="IXD26"/>
      <c r="IXE26"/>
      <c r="IXF26"/>
      <c r="IXG26"/>
      <c r="IXH26"/>
      <c r="IXI26"/>
      <c r="IXJ26"/>
      <c r="IXK26"/>
      <c r="IXL26"/>
      <c r="IXM26"/>
      <c r="IXN26"/>
      <c r="IXO26"/>
      <c r="IXP26"/>
      <c r="IXQ26"/>
      <c r="IXR26"/>
      <c r="IXS26"/>
      <c r="IXT26"/>
      <c r="IXU26"/>
      <c r="IXV26"/>
      <c r="IXW26"/>
      <c r="IXX26"/>
      <c r="IXY26"/>
      <c r="IXZ26"/>
      <c r="IYA26"/>
      <c r="IYB26"/>
      <c r="IYC26"/>
      <c r="IYD26"/>
      <c r="IYE26"/>
      <c r="IYF26"/>
      <c r="IYG26"/>
      <c r="IYH26"/>
      <c r="IYI26"/>
      <c r="IYJ26"/>
      <c r="IYK26"/>
      <c r="IYL26"/>
      <c r="IYM26"/>
      <c r="IYN26"/>
      <c r="IYO26"/>
      <c r="IYP26"/>
      <c r="IYQ26"/>
      <c r="IYR26"/>
      <c r="IYS26"/>
      <c r="IYT26"/>
      <c r="IYU26"/>
      <c r="IYV26"/>
      <c r="IYW26"/>
      <c r="IYX26"/>
      <c r="IYY26"/>
      <c r="IYZ26"/>
      <c r="IZA26"/>
      <c r="IZB26"/>
      <c r="IZC26"/>
      <c r="IZD26"/>
      <c r="IZE26"/>
      <c r="IZF26"/>
      <c r="IZG26"/>
      <c r="IZH26"/>
      <c r="IZI26"/>
      <c r="IZJ26"/>
      <c r="IZK26"/>
      <c r="IZL26"/>
      <c r="IZM26"/>
      <c r="IZN26"/>
      <c r="IZO26"/>
      <c r="IZP26"/>
      <c r="IZQ26"/>
      <c r="IZR26"/>
      <c r="IZS26"/>
      <c r="IZT26"/>
      <c r="IZU26"/>
      <c r="IZV26"/>
      <c r="IZW26"/>
      <c r="IZX26"/>
      <c r="IZY26"/>
      <c r="IZZ26"/>
      <c r="JAA26"/>
      <c r="JAB26"/>
      <c r="JAC26"/>
      <c r="JAD26"/>
      <c r="JAE26"/>
      <c r="JAF26"/>
      <c r="JAG26"/>
      <c r="JAH26"/>
      <c r="JAI26"/>
      <c r="JAJ26"/>
      <c r="JAK26"/>
      <c r="JAL26"/>
      <c r="JAM26"/>
      <c r="JAN26"/>
      <c r="JAO26"/>
      <c r="JAP26"/>
      <c r="JAQ26"/>
      <c r="JAR26"/>
      <c r="JAS26"/>
      <c r="JAT26"/>
      <c r="JAU26"/>
      <c r="JAV26"/>
      <c r="JAW26"/>
      <c r="JAX26"/>
      <c r="JAY26"/>
      <c r="JAZ26"/>
      <c r="JBA26"/>
      <c r="JBB26"/>
      <c r="JBC26"/>
      <c r="JBD26"/>
      <c r="JBE26"/>
      <c r="JBF26"/>
      <c r="JBG26"/>
      <c r="JBH26"/>
      <c r="JBI26"/>
      <c r="JBJ26"/>
      <c r="JBK26"/>
      <c r="JBL26"/>
      <c r="JBM26"/>
      <c r="JBN26"/>
      <c r="JBO26"/>
      <c r="JBP26"/>
      <c r="JBQ26"/>
      <c r="JBR26"/>
      <c r="JBS26"/>
      <c r="JBT26"/>
      <c r="JBU26"/>
      <c r="JBV26"/>
      <c r="JBW26"/>
      <c r="JBX26"/>
      <c r="JBY26"/>
      <c r="JBZ26"/>
      <c r="JCA26"/>
      <c r="JCB26"/>
      <c r="JCC26"/>
      <c r="JCD26"/>
      <c r="JCE26"/>
      <c r="JCF26"/>
      <c r="JCG26"/>
      <c r="JCH26"/>
      <c r="JCI26"/>
      <c r="JCJ26"/>
      <c r="JCK26"/>
      <c r="JCL26"/>
      <c r="JCM26"/>
      <c r="JCN26"/>
      <c r="JCO26"/>
      <c r="JCP26"/>
      <c r="JCQ26"/>
      <c r="JCR26"/>
      <c r="JCS26"/>
      <c r="JCT26"/>
      <c r="JCU26"/>
      <c r="JCV26"/>
      <c r="JCW26"/>
      <c r="JCX26"/>
      <c r="JCY26"/>
      <c r="JCZ26"/>
      <c r="JDA26"/>
      <c r="JDB26"/>
      <c r="JDC26"/>
      <c r="JDD26"/>
      <c r="JDE26"/>
      <c r="JDF26"/>
      <c r="JDG26"/>
      <c r="JDH26"/>
      <c r="JDI26"/>
      <c r="JDJ26"/>
      <c r="JDK26"/>
      <c r="JDL26"/>
      <c r="JDM26"/>
      <c r="JDN26"/>
      <c r="JDO26"/>
      <c r="JDP26"/>
      <c r="JDQ26"/>
      <c r="JDR26"/>
      <c r="JDS26"/>
      <c r="JDT26"/>
      <c r="JDU26"/>
      <c r="JDV26"/>
      <c r="JDW26"/>
      <c r="JDX26"/>
      <c r="JDY26"/>
      <c r="JDZ26"/>
      <c r="JEA26"/>
      <c r="JEB26"/>
      <c r="JEC26"/>
      <c r="JED26"/>
      <c r="JEE26"/>
      <c r="JEF26"/>
      <c r="JEG26"/>
      <c r="JEH26"/>
      <c r="JEI26"/>
      <c r="JEJ26"/>
      <c r="JEK26"/>
      <c r="JEL26"/>
      <c r="JEM26"/>
      <c r="JEN26"/>
      <c r="JEO26"/>
      <c r="JEP26"/>
      <c r="JEQ26"/>
      <c r="JER26"/>
      <c r="JES26"/>
      <c r="JET26"/>
      <c r="JEU26"/>
      <c r="JEV26"/>
      <c r="JEW26"/>
      <c r="JEX26"/>
      <c r="JEY26"/>
      <c r="JEZ26"/>
      <c r="JFA26"/>
      <c r="JFB26"/>
      <c r="JFC26"/>
      <c r="JFD26"/>
      <c r="JFE26"/>
      <c r="JFF26"/>
      <c r="JFG26"/>
      <c r="JFH26"/>
      <c r="JFI26"/>
      <c r="JFJ26"/>
      <c r="JFK26"/>
      <c r="JFL26"/>
      <c r="JFM26"/>
      <c r="JFN26"/>
      <c r="JFO26"/>
      <c r="JFP26"/>
      <c r="JFQ26"/>
      <c r="JFR26"/>
      <c r="JFS26"/>
      <c r="JFT26"/>
      <c r="JFU26"/>
      <c r="JFV26"/>
      <c r="JFW26"/>
      <c r="JFX26"/>
      <c r="JFY26"/>
      <c r="JFZ26"/>
      <c r="JGA26"/>
      <c r="JGB26"/>
      <c r="JGC26"/>
      <c r="JGD26"/>
      <c r="JGE26"/>
      <c r="JGF26"/>
      <c r="JGG26"/>
      <c r="JGH26"/>
      <c r="JGI26"/>
      <c r="JGJ26"/>
      <c r="JGK26"/>
      <c r="JGL26"/>
      <c r="JGM26"/>
      <c r="JGN26"/>
      <c r="JGO26"/>
      <c r="JGP26"/>
      <c r="JGQ26"/>
      <c r="JGR26"/>
      <c r="JGS26"/>
      <c r="JGT26"/>
      <c r="JGU26"/>
      <c r="JGV26"/>
      <c r="JGW26"/>
      <c r="JGX26"/>
      <c r="JGY26"/>
      <c r="JGZ26"/>
      <c r="JHA26"/>
      <c r="JHB26"/>
      <c r="JHC26"/>
      <c r="JHD26"/>
      <c r="JHE26"/>
      <c r="JHF26"/>
      <c r="JHG26"/>
      <c r="JHH26"/>
      <c r="JHI26"/>
      <c r="JHJ26"/>
      <c r="JHK26"/>
      <c r="JHL26"/>
      <c r="JHM26"/>
      <c r="JHN26"/>
      <c r="JHO26"/>
      <c r="JHP26"/>
      <c r="JHQ26"/>
      <c r="JHR26"/>
      <c r="JHS26"/>
      <c r="JHT26"/>
      <c r="JHU26"/>
      <c r="JHV26"/>
      <c r="JHW26"/>
      <c r="JHX26"/>
      <c r="JHY26"/>
      <c r="JHZ26"/>
      <c r="JIA26"/>
      <c r="JIB26"/>
      <c r="JIC26"/>
      <c r="JID26"/>
      <c r="JIE26"/>
      <c r="JIF26"/>
      <c r="JIG26"/>
      <c r="JIH26"/>
      <c r="JII26"/>
      <c r="JIJ26"/>
      <c r="JIK26"/>
      <c r="JIL26"/>
      <c r="JIM26"/>
      <c r="JIN26"/>
      <c r="JIO26"/>
      <c r="JIP26"/>
      <c r="JIQ26"/>
      <c r="JIR26"/>
      <c r="JIS26"/>
      <c r="JIT26"/>
      <c r="JIU26"/>
      <c r="JIV26"/>
      <c r="JIW26"/>
      <c r="JIX26"/>
      <c r="JIY26"/>
      <c r="JIZ26"/>
      <c r="JJA26"/>
      <c r="JJB26"/>
      <c r="JJC26"/>
      <c r="JJD26"/>
      <c r="JJE26"/>
      <c r="JJF26"/>
      <c r="JJG26"/>
      <c r="JJH26"/>
      <c r="JJI26"/>
      <c r="JJJ26"/>
      <c r="JJK26"/>
      <c r="JJL26"/>
      <c r="JJM26"/>
      <c r="JJN26"/>
      <c r="JJO26"/>
      <c r="JJP26"/>
      <c r="JJQ26"/>
      <c r="JJR26"/>
      <c r="JJS26"/>
      <c r="JJT26"/>
      <c r="JJU26"/>
      <c r="JJV26"/>
      <c r="JJW26"/>
      <c r="JJX26"/>
      <c r="JJY26"/>
      <c r="JJZ26"/>
      <c r="JKA26"/>
      <c r="JKB26"/>
      <c r="JKC26"/>
      <c r="JKD26"/>
      <c r="JKE26"/>
      <c r="JKF26"/>
      <c r="JKG26"/>
      <c r="JKH26"/>
      <c r="JKI26"/>
      <c r="JKJ26"/>
      <c r="JKK26"/>
      <c r="JKL26"/>
      <c r="JKM26"/>
      <c r="JKN26"/>
      <c r="JKO26"/>
      <c r="JKP26"/>
      <c r="JKQ26"/>
      <c r="JKR26"/>
      <c r="JKS26"/>
      <c r="JKT26"/>
      <c r="JKU26"/>
      <c r="JKV26"/>
      <c r="JKW26"/>
      <c r="JKX26"/>
      <c r="JKY26"/>
      <c r="JKZ26"/>
      <c r="JLA26"/>
      <c r="JLB26"/>
      <c r="JLC26"/>
      <c r="JLD26"/>
      <c r="JLE26"/>
      <c r="JLF26"/>
      <c r="JLG26"/>
      <c r="JLH26"/>
      <c r="JLI26"/>
      <c r="JLJ26"/>
      <c r="JLK26"/>
      <c r="JLL26"/>
      <c r="JLM26"/>
      <c r="JLN26"/>
      <c r="JLO26"/>
      <c r="JLP26"/>
      <c r="JLQ26"/>
      <c r="JLR26"/>
      <c r="JLS26"/>
      <c r="JLT26"/>
      <c r="JLU26"/>
      <c r="JLV26"/>
      <c r="JLW26"/>
      <c r="JLX26"/>
      <c r="JLY26"/>
      <c r="JLZ26"/>
      <c r="JMA26"/>
      <c r="JMB26"/>
      <c r="JMC26"/>
      <c r="JMD26"/>
      <c r="JME26"/>
      <c r="JMF26"/>
      <c r="JMG26"/>
      <c r="JMH26"/>
      <c r="JMI26"/>
      <c r="JMJ26"/>
      <c r="JMK26"/>
      <c r="JML26"/>
      <c r="JMM26"/>
      <c r="JMN26"/>
      <c r="JMO26"/>
      <c r="JMP26"/>
      <c r="JMQ26"/>
      <c r="JMR26"/>
      <c r="JMS26"/>
      <c r="JMT26"/>
      <c r="JMU26"/>
      <c r="JMV26"/>
      <c r="JMW26"/>
      <c r="JMX26"/>
      <c r="JMY26"/>
      <c r="JMZ26"/>
      <c r="JNA26"/>
      <c r="JNB26"/>
      <c r="JNC26"/>
      <c r="JND26"/>
      <c r="JNE26"/>
      <c r="JNF26"/>
      <c r="JNG26"/>
      <c r="JNH26"/>
      <c r="JNI26"/>
      <c r="JNJ26"/>
      <c r="JNK26"/>
      <c r="JNL26"/>
      <c r="JNM26"/>
      <c r="JNN26"/>
      <c r="JNO26"/>
      <c r="JNP26"/>
      <c r="JNQ26"/>
      <c r="JNR26"/>
      <c r="JNS26"/>
      <c r="JNT26"/>
      <c r="JNU26"/>
      <c r="JNV26"/>
      <c r="JNW26"/>
      <c r="JNX26"/>
      <c r="JNY26"/>
      <c r="JNZ26"/>
      <c r="JOA26"/>
      <c r="JOB26"/>
      <c r="JOC26"/>
      <c r="JOD26"/>
      <c r="JOE26"/>
      <c r="JOF26"/>
      <c r="JOG26"/>
      <c r="JOH26"/>
      <c r="JOI26"/>
      <c r="JOJ26"/>
      <c r="JOK26"/>
      <c r="JOL26"/>
      <c r="JOM26"/>
      <c r="JON26"/>
      <c r="JOO26"/>
      <c r="JOP26"/>
      <c r="JOQ26"/>
      <c r="JOR26"/>
      <c r="JOS26"/>
      <c r="JOT26"/>
      <c r="JOU26"/>
      <c r="JOV26"/>
      <c r="JOW26"/>
      <c r="JOX26"/>
      <c r="JOY26"/>
      <c r="JOZ26"/>
      <c r="JPA26"/>
      <c r="JPB26"/>
      <c r="JPC26"/>
      <c r="JPD26"/>
      <c r="JPE26"/>
      <c r="JPF26"/>
      <c r="JPG26"/>
      <c r="JPH26"/>
      <c r="JPI26"/>
      <c r="JPJ26"/>
      <c r="JPK26"/>
      <c r="JPL26"/>
      <c r="JPM26"/>
      <c r="JPN26"/>
      <c r="JPO26"/>
      <c r="JPP26"/>
      <c r="JPQ26"/>
      <c r="JPR26"/>
      <c r="JPS26"/>
      <c r="JPT26"/>
      <c r="JPU26"/>
      <c r="JPV26"/>
      <c r="JPW26"/>
      <c r="JPX26"/>
      <c r="JPY26"/>
      <c r="JPZ26"/>
      <c r="JQA26"/>
      <c r="JQB26"/>
      <c r="JQC26"/>
      <c r="JQD26"/>
      <c r="JQE26"/>
      <c r="JQF26"/>
      <c r="JQG26"/>
      <c r="JQH26"/>
      <c r="JQI26"/>
      <c r="JQJ26"/>
      <c r="JQK26"/>
      <c r="JQL26"/>
      <c r="JQM26"/>
      <c r="JQN26"/>
      <c r="JQO26"/>
      <c r="JQP26"/>
      <c r="JQQ26"/>
      <c r="JQR26"/>
      <c r="JQS26"/>
      <c r="JQT26"/>
      <c r="JQU26"/>
      <c r="JQV26"/>
      <c r="JQW26"/>
      <c r="JQX26"/>
      <c r="JQY26"/>
      <c r="JQZ26"/>
      <c r="JRA26"/>
      <c r="JRB26"/>
      <c r="JRC26"/>
      <c r="JRD26"/>
      <c r="JRE26"/>
      <c r="JRF26"/>
      <c r="JRG26"/>
      <c r="JRH26"/>
      <c r="JRI26"/>
      <c r="JRJ26"/>
      <c r="JRK26"/>
      <c r="JRL26"/>
      <c r="JRM26"/>
      <c r="JRN26"/>
      <c r="JRO26"/>
      <c r="JRP26"/>
      <c r="JRQ26"/>
      <c r="JRR26"/>
      <c r="JRS26"/>
      <c r="JRT26"/>
      <c r="JRU26"/>
      <c r="JRV26"/>
      <c r="JRW26"/>
      <c r="JRX26"/>
      <c r="JRY26"/>
      <c r="JRZ26"/>
      <c r="JSA26"/>
      <c r="JSB26"/>
      <c r="JSC26"/>
      <c r="JSD26"/>
      <c r="JSE26"/>
      <c r="JSF26"/>
      <c r="JSG26"/>
      <c r="JSH26"/>
      <c r="JSI26"/>
      <c r="JSJ26"/>
      <c r="JSK26"/>
      <c r="JSL26"/>
      <c r="JSM26"/>
      <c r="JSN26"/>
      <c r="JSO26"/>
      <c r="JSP26"/>
      <c r="JSQ26"/>
      <c r="JSR26"/>
      <c r="JSS26"/>
      <c r="JST26"/>
      <c r="JSU26"/>
      <c r="JSV26"/>
      <c r="JSW26"/>
      <c r="JSX26"/>
      <c r="JSY26"/>
      <c r="JSZ26"/>
      <c r="JTA26"/>
      <c r="JTB26"/>
      <c r="JTC26"/>
      <c r="JTD26"/>
      <c r="JTE26"/>
      <c r="JTF26"/>
      <c r="JTG26"/>
      <c r="JTH26"/>
      <c r="JTI26"/>
      <c r="JTJ26"/>
      <c r="JTK26"/>
      <c r="JTL26"/>
      <c r="JTM26"/>
      <c r="JTN26"/>
      <c r="JTO26"/>
      <c r="JTP26"/>
      <c r="JTQ26"/>
      <c r="JTR26"/>
      <c r="JTS26"/>
      <c r="JTT26"/>
      <c r="JTU26"/>
      <c r="JTV26"/>
      <c r="JTW26"/>
      <c r="JTX26"/>
      <c r="JTY26"/>
      <c r="JTZ26"/>
      <c r="JUA26"/>
      <c r="JUB26"/>
      <c r="JUC26"/>
      <c r="JUD26"/>
      <c r="JUE26"/>
      <c r="JUF26"/>
      <c r="JUG26"/>
      <c r="JUH26"/>
      <c r="JUI26"/>
      <c r="JUJ26"/>
      <c r="JUK26"/>
      <c r="JUL26"/>
      <c r="JUM26"/>
      <c r="JUN26"/>
      <c r="JUO26"/>
      <c r="JUP26"/>
      <c r="JUQ26"/>
      <c r="JUR26"/>
      <c r="JUS26"/>
      <c r="JUT26"/>
      <c r="JUU26"/>
      <c r="JUV26"/>
      <c r="JUW26"/>
      <c r="JUX26"/>
      <c r="JUY26"/>
      <c r="JUZ26"/>
      <c r="JVA26"/>
      <c r="JVB26"/>
      <c r="JVC26"/>
      <c r="JVD26"/>
      <c r="JVE26"/>
      <c r="JVF26"/>
      <c r="JVG26"/>
      <c r="JVH26"/>
      <c r="JVI26"/>
      <c r="JVJ26"/>
      <c r="JVK26"/>
      <c r="JVL26"/>
      <c r="JVM26"/>
      <c r="JVN26"/>
      <c r="JVO26"/>
      <c r="JVP26"/>
      <c r="JVQ26"/>
      <c r="JVR26"/>
      <c r="JVS26"/>
      <c r="JVT26"/>
      <c r="JVU26"/>
      <c r="JVV26"/>
      <c r="JVW26"/>
      <c r="JVX26"/>
      <c r="JVY26"/>
      <c r="JVZ26"/>
      <c r="JWA26"/>
      <c r="JWB26"/>
      <c r="JWC26"/>
      <c r="JWD26"/>
      <c r="JWE26"/>
      <c r="JWF26"/>
      <c r="JWG26"/>
      <c r="JWH26"/>
      <c r="JWI26"/>
      <c r="JWJ26"/>
      <c r="JWK26"/>
      <c r="JWL26"/>
      <c r="JWM26"/>
      <c r="JWN26"/>
      <c r="JWO26"/>
      <c r="JWP26"/>
      <c r="JWQ26"/>
      <c r="JWR26"/>
      <c r="JWS26"/>
      <c r="JWT26"/>
      <c r="JWU26"/>
      <c r="JWV26"/>
      <c r="JWW26"/>
      <c r="JWX26"/>
      <c r="JWY26"/>
      <c r="JWZ26"/>
      <c r="JXA26"/>
      <c r="JXB26"/>
      <c r="JXC26"/>
      <c r="JXD26"/>
      <c r="JXE26"/>
      <c r="JXF26"/>
      <c r="JXG26"/>
      <c r="JXH26"/>
      <c r="JXI26"/>
      <c r="JXJ26"/>
      <c r="JXK26"/>
      <c r="JXL26"/>
      <c r="JXM26"/>
      <c r="JXN26"/>
      <c r="JXO26"/>
      <c r="JXP26"/>
      <c r="JXQ26"/>
      <c r="JXR26"/>
      <c r="JXS26"/>
      <c r="JXT26"/>
      <c r="JXU26"/>
      <c r="JXV26"/>
      <c r="JXW26"/>
      <c r="JXX26"/>
      <c r="JXY26"/>
      <c r="JXZ26"/>
      <c r="JYA26"/>
      <c r="JYB26"/>
      <c r="JYC26"/>
      <c r="JYD26"/>
      <c r="JYE26"/>
      <c r="JYF26"/>
      <c r="JYG26"/>
      <c r="JYH26"/>
      <c r="JYI26"/>
      <c r="JYJ26"/>
      <c r="JYK26"/>
      <c r="JYL26"/>
      <c r="JYM26"/>
      <c r="JYN26"/>
      <c r="JYO26"/>
      <c r="JYP26"/>
      <c r="JYQ26"/>
      <c r="JYR26"/>
      <c r="JYS26"/>
      <c r="JYT26"/>
      <c r="JYU26"/>
      <c r="JYV26"/>
      <c r="JYW26"/>
      <c r="JYX26"/>
      <c r="JYY26"/>
      <c r="JYZ26"/>
      <c r="JZA26"/>
      <c r="JZB26"/>
      <c r="JZC26"/>
      <c r="JZD26"/>
      <c r="JZE26"/>
      <c r="JZF26"/>
      <c r="JZG26"/>
      <c r="JZH26"/>
      <c r="JZI26"/>
      <c r="JZJ26"/>
      <c r="JZK26"/>
      <c r="JZL26"/>
      <c r="JZM26"/>
      <c r="JZN26"/>
      <c r="JZO26"/>
      <c r="JZP26"/>
      <c r="JZQ26"/>
      <c r="JZR26"/>
      <c r="JZS26"/>
      <c r="JZT26"/>
      <c r="JZU26"/>
      <c r="JZV26"/>
      <c r="JZW26"/>
      <c r="JZX26"/>
      <c r="JZY26"/>
      <c r="JZZ26"/>
      <c r="KAA26"/>
      <c r="KAB26"/>
      <c r="KAC26"/>
      <c r="KAD26"/>
      <c r="KAE26"/>
      <c r="KAF26"/>
      <c r="KAG26"/>
      <c r="KAH26"/>
      <c r="KAI26"/>
      <c r="KAJ26"/>
      <c r="KAK26"/>
      <c r="KAL26"/>
      <c r="KAM26"/>
      <c r="KAN26"/>
      <c r="KAO26"/>
      <c r="KAP26"/>
      <c r="KAQ26"/>
      <c r="KAR26"/>
      <c r="KAS26"/>
      <c r="KAT26"/>
      <c r="KAU26"/>
      <c r="KAV26"/>
      <c r="KAW26"/>
      <c r="KAX26"/>
      <c r="KAY26"/>
      <c r="KAZ26"/>
      <c r="KBA26"/>
      <c r="KBB26"/>
      <c r="KBC26"/>
      <c r="KBD26"/>
      <c r="KBE26"/>
      <c r="KBF26"/>
      <c r="KBG26"/>
      <c r="KBH26"/>
      <c r="KBI26"/>
      <c r="KBJ26"/>
      <c r="KBK26"/>
      <c r="KBL26"/>
      <c r="KBM26"/>
      <c r="KBN26"/>
      <c r="KBO26"/>
      <c r="KBP26"/>
      <c r="KBQ26"/>
      <c r="KBR26"/>
      <c r="KBS26"/>
      <c r="KBT26"/>
      <c r="KBU26"/>
      <c r="KBV26"/>
      <c r="KBW26"/>
      <c r="KBX26"/>
      <c r="KBY26"/>
      <c r="KBZ26"/>
      <c r="KCA26"/>
      <c r="KCB26"/>
      <c r="KCC26"/>
      <c r="KCD26"/>
      <c r="KCE26"/>
      <c r="KCF26"/>
      <c r="KCG26"/>
      <c r="KCH26"/>
      <c r="KCI26"/>
      <c r="KCJ26"/>
      <c r="KCK26"/>
      <c r="KCL26"/>
      <c r="KCM26"/>
      <c r="KCN26"/>
      <c r="KCO26"/>
      <c r="KCP26"/>
      <c r="KCQ26"/>
      <c r="KCR26"/>
      <c r="KCS26"/>
      <c r="KCT26"/>
      <c r="KCU26"/>
      <c r="KCV26"/>
      <c r="KCW26"/>
      <c r="KCX26"/>
      <c r="KCY26"/>
      <c r="KCZ26"/>
      <c r="KDA26"/>
      <c r="KDB26"/>
      <c r="KDC26"/>
      <c r="KDD26"/>
      <c r="KDE26"/>
      <c r="KDF26"/>
      <c r="KDG26"/>
      <c r="KDH26"/>
      <c r="KDI26"/>
      <c r="KDJ26"/>
      <c r="KDK26"/>
      <c r="KDL26"/>
      <c r="KDM26"/>
      <c r="KDN26"/>
      <c r="KDO26"/>
      <c r="KDP26"/>
      <c r="KDQ26"/>
      <c r="KDR26"/>
      <c r="KDS26"/>
      <c r="KDT26"/>
      <c r="KDU26"/>
      <c r="KDV26"/>
      <c r="KDW26"/>
      <c r="KDX26"/>
      <c r="KDY26"/>
      <c r="KDZ26"/>
      <c r="KEA26"/>
      <c r="KEB26"/>
      <c r="KEC26"/>
      <c r="KED26"/>
      <c r="KEE26"/>
      <c r="KEF26"/>
      <c r="KEG26"/>
      <c r="KEH26"/>
      <c r="KEI26"/>
      <c r="KEJ26"/>
      <c r="KEK26"/>
      <c r="KEL26"/>
      <c r="KEM26"/>
      <c r="KEN26"/>
      <c r="KEO26"/>
      <c r="KEP26"/>
      <c r="KEQ26"/>
      <c r="KER26"/>
      <c r="KES26"/>
      <c r="KET26"/>
      <c r="KEU26"/>
      <c r="KEV26"/>
      <c r="KEW26"/>
      <c r="KEX26"/>
      <c r="KEY26"/>
      <c r="KEZ26"/>
      <c r="KFA26"/>
      <c r="KFB26"/>
      <c r="KFC26"/>
      <c r="KFD26"/>
      <c r="KFE26"/>
      <c r="KFF26"/>
      <c r="KFG26"/>
      <c r="KFH26"/>
      <c r="KFI26"/>
      <c r="KFJ26"/>
      <c r="KFK26"/>
      <c r="KFL26"/>
      <c r="KFM26"/>
      <c r="KFN26"/>
      <c r="KFO26"/>
      <c r="KFP26"/>
      <c r="KFQ26"/>
      <c r="KFR26"/>
      <c r="KFS26"/>
      <c r="KFT26"/>
      <c r="KFU26"/>
      <c r="KFV26"/>
      <c r="KFW26"/>
      <c r="KFX26"/>
      <c r="KFY26"/>
      <c r="KFZ26"/>
      <c r="KGA26"/>
      <c r="KGB26"/>
      <c r="KGC26"/>
      <c r="KGD26"/>
      <c r="KGE26"/>
      <c r="KGF26"/>
      <c r="KGG26"/>
      <c r="KGH26"/>
      <c r="KGI26"/>
      <c r="KGJ26"/>
      <c r="KGK26"/>
      <c r="KGL26"/>
      <c r="KGM26"/>
      <c r="KGN26"/>
      <c r="KGO26"/>
      <c r="KGP26"/>
      <c r="KGQ26"/>
      <c r="KGR26"/>
      <c r="KGS26"/>
      <c r="KGT26"/>
      <c r="KGU26"/>
      <c r="KGV26"/>
      <c r="KGW26"/>
      <c r="KGX26"/>
      <c r="KGY26"/>
      <c r="KGZ26"/>
      <c r="KHA26"/>
      <c r="KHB26"/>
      <c r="KHC26"/>
      <c r="KHD26"/>
      <c r="KHE26"/>
      <c r="KHF26"/>
      <c r="KHG26"/>
      <c r="KHH26"/>
      <c r="KHI26"/>
      <c r="KHJ26"/>
      <c r="KHK26"/>
      <c r="KHL26"/>
      <c r="KHM26"/>
      <c r="KHN26"/>
      <c r="KHO26"/>
      <c r="KHP26"/>
      <c r="KHQ26"/>
      <c r="KHR26"/>
      <c r="KHS26"/>
      <c r="KHT26"/>
      <c r="KHU26"/>
      <c r="KHV26"/>
      <c r="KHW26"/>
      <c r="KHX26"/>
      <c r="KHY26"/>
      <c r="KHZ26"/>
      <c r="KIA26"/>
      <c r="KIB26"/>
      <c r="KIC26"/>
      <c r="KID26"/>
      <c r="KIE26"/>
      <c r="KIF26"/>
      <c r="KIG26"/>
      <c r="KIH26"/>
      <c r="KII26"/>
      <c r="KIJ26"/>
      <c r="KIK26"/>
      <c r="KIL26"/>
      <c r="KIM26"/>
      <c r="KIN26"/>
      <c r="KIO26"/>
      <c r="KIP26"/>
      <c r="KIQ26"/>
      <c r="KIR26"/>
      <c r="KIS26"/>
      <c r="KIT26"/>
      <c r="KIU26"/>
      <c r="KIV26"/>
      <c r="KIW26"/>
      <c r="KIX26"/>
      <c r="KIY26"/>
      <c r="KIZ26"/>
      <c r="KJA26"/>
      <c r="KJB26"/>
      <c r="KJC26"/>
      <c r="KJD26"/>
      <c r="KJE26"/>
      <c r="KJF26"/>
      <c r="KJG26"/>
      <c r="KJH26"/>
      <c r="KJI26"/>
      <c r="KJJ26"/>
      <c r="KJK26"/>
      <c r="KJL26"/>
      <c r="KJM26"/>
      <c r="KJN26"/>
      <c r="KJO26"/>
      <c r="KJP26"/>
      <c r="KJQ26"/>
      <c r="KJR26"/>
      <c r="KJS26"/>
      <c r="KJT26"/>
      <c r="KJU26"/>
      <c r="KJV26"/>
      <c r="KJW26"/>
      <c r="KJX26"/>
      <c r="KJY26"/>
      <c r="KJZ26"/>
      <c r="KKA26"/>
      <c r="KKB26"/>
      <c r="KKC26"/>
      <c r="KKD26"/>
      <c r="KKE26"/>
      <c r="KKF26"/>
      <c r="KKG26"/>
      <c r="KKH26"/>
      <c r="KKI26"/>
      <c r="KKJ26"/>
      <c r="KKK26"/>
      <c r="KKL26"/>
      <c r="KKM26"/>
      <c r="KKN26"/>
      <c r="KKO26"/>
      <c r="KKP26"/>
      <c r="KKQ26"/>
      <c r="KKR26"/>
      <c r="KKS26"/>
      <c r="KKT26"/>
      <c r="KKU26"/>
      <c r="KKV26"/>
      <c r="KKW26"/>
      <c r="KKX26"/>
      <c r="KKY26"/>
      <c r="KKZ26"/>
      <c r="KLA26"/>
      <c r="KLB26"/>
      <c r="KLC26"/>
      <c r="KLD26"/>
      <c r="KLE26"/>
      <c r="KLF26"/>
      <c r="KLG26"/>
      <c r="KLH26"/>
      <c r="KLI26"/>
      <c r="KLJ26"/>
      <c r="KLK26"/>
      <c r="KLL26"/>
      <c r="KLM26"/>
      <c r="KLN26"/>
      <c r="KLO26"/>
      <c r="KLP26"/>
      <c r="KLQ26"/>
      <c r="KLR26"/>
      <c r="KLS26"/>
      <c r="KLT26"/>
      <c r="KLU26"/>
      <c r="KLV26"/>
      <c r="KLW26"/>
      <c r="KLX26"/>
      <c r="KLY26"/>
      <c r="KLZ26"/>
      <c r="KMA26"/>
      <c r="KMB26"/>
      <c r="KMC26"/>
      <c r="KMD26"/>
      <c r="KME26"/>
      <c r="KMF26"/>
      <c r="KMG26"/>
      <c r="KMH26"/>
      <c r="KMI26"/>
      <c r="KMJ26"/>
      <c r="KMK26"/>
      <c r="KML26"/>
      <c r="KMM26"/>
      <c r="KMN26"/>
      <c r="KMO26"/>
      <c r="KMP26"/>
      <c r="KMQ26"/>
      <c r="KMR26"/>
      <c r="KMS26"/>
      <c r="KMT26"/>
      <c r="KMU26"/>
      <c r="KMV26"/>
      <c r="KMW26"/>
      <c r="KMX26"/>
      <c r="KMY26"/>
      <c r="KMZ26"/>
      <c r="KNA26"/>
      <c r="KNB26"/>
      <c r="KNC26"/>
      <c r="KND26"/>
      <c r="KNE26"/>
      <c r="KNF26"/>
      <c r="KNG26"/>
      <c r="KNH26"/>
      <c r="KNI26"/>
      <c r="KNJ26"/>
      <c r="KNK26"/>
      <c r="KNL26"/>
      <c r="KNM26"/>
      <c r="KNN26"/>
      <c r="KNO26"/>
      <c r="KNP26"/>
      <c r="KNQ26"/>
      <c r="KNR26"/>
      <c r="KNS26"/>
      <c r="KNT26"/>
      <c r="KNU26"/>
      <c r="KNV26"/>
      <c r="KNW26"/>
      <c r="KNX26"/>
      <c r="KNY26"/>
      <c r="KNZ26"/>
      <c r="KOA26"/>
      <c r="KOB26"/>
      <c r="KOC26"/>
      <c r="KOD26"/>
      <c r="KOE26"/>
      <c r="KOF26"/>
      <c r="KOG26"/>
      <c r="KOH26"/>
      <c r="KOI26"/>
      <c r="KOJ26"/>
      <c r="KOK26"/>
      <c r="KOL26"/>
      <c r="KOM26"/>
      <c r="KON26"/>
      <c r="KOO26"/>
      <c r="KOP26"/>
      <c r="KOQ26"/>
      <c r="KOR26"/>
      <c r="KOS26"/>
      <c r="KOT26"/>
      <c r="KOU26"/>
      <c r="KOV26"/>
      <c r="KOW26"/>
      <c r="KOX26"/>
      <c r="KOY26"/>
      <c r="KOZ26"/>
      <c r="KPA26"/>
      <c r="KPB26"/>
      <c r="KPC26"/>
      <c r="KPD26"/>
      <c r="KPE26"/>
      <c r="KPF26"/>
      <c r="KPG26"/>
      <c r="KPH26"/>
      <c r="KPI26"/>
      <c r="KPJ26"/>
      <c r="KPK26"/>
      <c r="KPL26"/>
      <c r="KPM26"/>
      <c r="KPN26"/>
      <c r="KPO26"/>
      <c r="KPP26"/>
      <c r="KPQ26"/>
      <c r="KPR26"/>
      <c r="KPS26"/>
      <c r="KPT26"/>
      <c r="KPU26"/>
      <c r="KPV26"/>
      <c r="KPW26"/>
      <c r="KPX26"/>
      <c r="KPY26"/>
      <c r="KPZ26"/>
      <c r="KQA26"/>
      <c r="KQB26"/>
      <c r="KQC26"/>
      <c r="KQD26"/>
      <c r="KQE26"/>
      <c r="KQF26"/>
      <c r="KQG26"/>
      <c r="KQH26"/>
      <c r="KQI26"/>
      <c r="KQJ26"/>
      <c r="KQK26"/>
      <c r="KQL26"/>
      <c r="KQM26"/>
      <c r="KQN26"/>
      <c r="KQO26"/>
      <c r="KQP26"/>
      <c r="KQQ26"/>
      <c r="KQR26"/>
      <c r="KQS26"/>
      <c r="KQT26"/>
      <c r="KQU26"/>
      <c r="KQV26"/>
      <c r="KQW26"/>
      <c r="KQX26"/>
      <c r="KQY26"/>
      <c r="KQZ26"/>
      <c r="KRA26"/>
      <c r="KRB26"/>
      <c r="KRC26"/>
      <c r="KRD26"/>
      <c r="KRE26"/>
      <c r="KRF26"/>
      <c r="KRG26"/>
      <c r="KRH26"/>
      <c r="KRI26"/>
      <c r="KRJ26"/>
      <c r="KRK26"/>
      <c r="KRL26"/>
      <c r="KRM26"/>
      <c r="KRN26"/>
      <c r="KRO26"/>
      <c r="KRP26"/>
      <c r="KRQ26"/>
      <c r="KRR26"/>
      <c r="KRS26"/>
      <c r="KRT26"/>
      <c r="KRU26"/>
      <c r="KRV26"/>
      <c r="KRW26"/>
      <c r="KRX26"/>
      <c r="KRY26"/>
      <c r="KRZ26"/>
      <c r="KSA26"/>
      <c r="KSB26"/>
      <c r="KSC26"/>
      <c r="KSD26"/>
      <c r="KSE26"/>
      <c r="KSF26"/>
      <c r="KSG26"/>
      <c r="KSH26"/>
      <c r="KSI26"/>
      <c r="KSJ26"/>
      <c r="KSK26"/>
      <c r="KSL26"/>
      <c r="KSM26"/>
      <c r="KSN26"/>
      <c r="KSO26"/>
      <c r="KSP26"/>
      <c r="KSQ26"/>
      <c r="KSR26"/>
      <c r="KSS26"/>
      <c r="KST26"/>
      <c r="KSU26"/>
      <c r="KSV26"/>
      <c r="KSW26"/>
      <c r="KSX26"/>
      <c r="KSY26"/>
      <c r="KSZ26"/>
      <c r="KTA26"/>
      <c r="KTB26"/>
      <c r="KTC26"/>
      <c r="KTD26"/>
      <c r="KTE26"/>
      <c r="KTF26"/>
      <c r="KTG26"/>
      <c r="KTH26"/>
      <c r="KTI26"/>
      <c r="KTJ26"/>
      <c r="KTK26"/>
      <c r="KTL26"/>
      <c r="KTM26"/>
      <c r="KTN26"/>
      <c r="KTO26"/>
      <c r="KTP26"/>
      <c r="KTQ26"/>
      <c r="KTR26"/>
      <c r="KTS26"/>
      <c r="KTT26"/>
      <c r="KTU26"/>
      <c r="KTV26"/>
      <c r="KTW26"/>
      <c r="KTX26"/>
      <c r="KTY26"/>
      <c r="KTZ26"/>
      <c r="KUA26"/>
      <c r="KUB26"/>
      <c r="KUC26"/>
      <c r="KUD26"/>
      <c r="KUE26"/>
      <c r="KUF26"/>
      <c r="KUG26"/>
      <c r="KUH26"/>
      <c r="KUI26"/>
      <c r="KUJ26"/>
      <c r="KUK26"/>
      <c r="KUL26"/>
      <c r="KUM26"/>
      <c r="KUN26"/>
      <c r="KUO26"/>
      <c r="KUP26"/>
      <c r="KUQ26"/>
      <c r="KUR26"/>
      <c r="KUS26"/>
      <c r="KUT26"/>
      <c r="KUU26"/>
      <c r="KUV26"/>
      <c r="KUW26"/>
      <c r="KUX26"/>
      <c r="KUY26"/>
      <c r="KUZ26"/>
      <c r="KVA26"/>
      <c r="KVB26"/>
      <c r="KVC26"/>
      <c r="KVD26"/>
      <c r="KVE26"/>
      <c r="KVF26"/>
      <c r="KVG26"/>
      <c r="KVH26"/>
      <c r="KVI26"/>
      <c r="KVJ26"/>
      <c r="KVK26"/>
      <c r="KVL26"/>
      <c r="KVM26"/>
      <c r="KVN26"/>
      <c r="KVO26"/>
      <c r="KVP26"/>
      <c r="KVQ26"/>
      <c r="KVR26"/>
      <c r="KVS26"/>
      <c r="KVT26"/>
      <c r="KVU26"/>
      <c r="KVV26"/>
      <c r="KVW26"/>
      <c r="KVX26"/>
      <c r="KVY26"/>
      <c r="KVZ26"/>
      <c r="KWA26"/>
      <c r="KWB26"/>
      <c r="KWC26"/>
      <c r="KWD26"/>
      <c r="KWE26"/>
      <c r="KWF26"/>
      <c r="KWG26"/>
      <c r="KWH26"/>
      <c r="KWI26"/>
      <c r="KWJ26"/>
      <c r="KWK26"/>
      <c r="KWL26"/>
      <c r="KWM26"/>
      <c r="KWN26"/>
      <c r="KWO26"/>
      <c r="KWP26"/>
      <c r="KWQ26"/>
      <c r="KWR26"/>
      <c r="KWS26"/>
      <c r="KWT26"/>
      <c r="KWU26"/>
      <c r="KWV26"/>
      <c r="KWW26"/>
      <c r="KWX26"/>
      <c r="KWY26"/>
      <c r="KWZ26"/>
      <c r="KXA26"/>
      <c r="KXB26"/>
      <c r="KXC26"/>
      <c r="KXD26"/>
      <c r="KXE26"/>
      <c r="KXF26"/>
      <c r="KXG26"/>
      <c r="KXH26"/>
      <c r="KXI26"/>
      <c r="KXJ26"/>
      <c r="KXK26"/>
      <c r="KXL26"/>
      <c r="KXM26"/>
      <c r="KXN26"/>
      <c r="KXO26"/>
      <c r="KXP26"/>
      <c r="KXQ26"/>
      <c r="KXR26"/>
      <c r="KXS26"/>
      <c r="KXT26"/>
      <c r="KXU26"/>
      <c r="KXV26"/>
      <c r="KXW26"/>
      <c r="KXX26"/>
      <c r="KXY26"/>
      <c r="KXZ26"/>
      <c r="KYA26"/>
      <c r="KYB26"/>
      <c r="KYC26"/>
      <c r="KYD26"/>
      <c r="KYE26"/>
      <c r="KYF26"/>
      <c r="KYG26"/>
      <c r="KYH26"/>
      <c r="KYI26"/>
      <c r="KYJ26"/>
      <c r="KYK26"/>
      <c r="KYL26"/>
      <c r="KYM26"/>
      <c r="KYN26"/>
      <c r="KYO26"/>
      <c r="KYP26"/>
      <c r="KYQ26"/>
      <c r="KYR26"/>
      <c r="KYS26"/>
      <c r="KYT26"/>
      <c r="KYU26"/>
      <c r="KYV26"/>
      <c r="KYW26"/>
      <c r="KYX26"/>
      <c r="KYY26"/>
      <c r="KYZ26"/>
      <c r="KZA26"/>
      <c r="KZB26"/>
      <c r="KZC26"/>
      <c r="KZD26"/>
      <c r="KZE26"/>
      <c r="KZF26"/>
      <c r="KZG26"/>
      <c r="KZH26"/>
      <c r="KZI26"/>
      <c r="KZJ26"/>
      <c r="KZK26"/>
      <c r="KZL26"/>
      <c r="KZM26"/>
      <c r="KZN26"/>
      <c r="KZO26"/>
      <c r="KZP26"/>
      <c r="KZQ26"/>
      <c r="KZR26"/>
      <c r="KZS26"/>
      <c r="KZT26"/>
      <c r="KZU26"/>
      <c r="KZV26"/>
      <c r="KZW26"/>
      <c r="KZX26"/>
      <c r="KZY26"/>
      <c r="KZZ26"/>
      <c r="LAA26"/>
      <c r="LAB26"/>
      <c r="LAC26"/>
      <c r="LAD26"/>
      <c r="LAE26"/>
      <c r="LAF26"/>
      <c r="LAG26"/>
      <c r="LAH26"/>
      <c r="LAI26"/>
      <c r="LAJ26"/>
      <c r="LAK26"/>
      <c r="LAL26"/>
      <c r="LAM26"/>
      <c r="LAN26"/>
      <c r="LAO26"/>
      <c r="LAP26"/>
      <c r="LAQ26"/>
      <c r="LAR26"/>
      <c r="LAS26"/>
      <c r="LAT26"/>
      <c r="LAU26"/>
      <c r="LAV26"/>
      <c r="LAW26"/>
      <c r="LAX26"/>
      <c r="LAY26"/>
      <c r="LAZ26"/>
      <c r="LBA26"/>
      <c r="LBB26"/>
      <c r="LBC26"/>
      <c r="LBD26"/>
      <c r="LBE26"/>
      <c r="LBF26"/>
      <c r="LBG26"/>
      <c r="LBH26"/>
      <c r="LBI26"/>
      <c r="LBJ26"/>
      <c r="LBK26"/>
      <c r="LBL26"/>
      <c r="LBM26"/>
      <c r="LBN26"/>
      <c r="LBO26"/>
      <c r="LBP26"/>
      <c r="LBQ26"/>
      <c r="LBR26"/>
      <c r="LBS26"/>
      <c r="LBT26"/>
      <c r="LBU26"/>
      <c r="LBV26"/>
      <c r="LBW26"/>
      <c r="LBX26"/>
      <c r="LBY26"/>
      <c r="LBZ26"/>
      <c r="LCA26"/>
      <c r="LCB26"/>
      <c r="LCC26"/>
      <c r="LCD26"/>
      <c r="LCE26"/>
      <c r="LCF26"/>
      <c r="LCG26"/>
      <c r="LCH26"/>
      <c r="LCI26"/>
      <c r="LCJ26"/>
      <c r="LCK26"/>
      <c r="LCL26"/>
      <c r="LCM26"/>
      <c r="LCN26"/>
      <c r="LCO26"/>
      <c r="LCP26"/>
      <c r="LCQ26"/>
      <c r="LCR26"/>
      <c r="LCS26"/>
      <c r="LCT26"/>
      <c r="LCU26"/>
      <c r="LCV26"/>
      <c r="LCW26"/>
      <c r="LCX26"/>
      <c r="LCY26"/>
      <c r="LCZ26"/>
      <c r="LDA26"/>
      <c r="LDB26"/>
      <c r="LDC26"/>
      <c r="LDD26"/>
      <c r="LDE26"/>
      <c r="LDF26"/>
      <c r="LDG26"/>
      <c r="LDH26"/>
      <c r="LDI26"/>
      <c r="LDJ26"/>
      <c r="LDK26"/>
      <c r="LDL26"/>
      <c r="LDM26"/>
      <c r="LDN26"/>
      <c r="LDO26"/>
      <c r="LDP26"/>
      <c r="LDQ26"/>
      <c r="LDR26"/>
      <c r="LDS26"/>
      <c r="LDT26"/>
      <c r="LDU26"/>
      <c r="LDV26"/>
      <c r="LDW26"/>
      <c r="LDX26"/>
      <c r="LDY26"/>
      <c r="LDZ26"/>
      <c r="LEA26"/>
      <c r="LEB26"/>
      <c r="LEC26"/>
      <c r="LED26"/>
      <c r="LEE26"/>
      <c r="LEF26"/>
      <c r="LEG26"/>
      <c r="LEH26"/>
      <c r="LEI26"/>
      <c r="LEJ26"/>
      <c r="LEK26"/>
      <c r="LEL26"/>
      <c r="LEM26"/>
      <c r="LEN26"/>
      <c r="LEO26"/>
      <c r="LEP26"/>
      <c r="LEQ26"/>
      <c r="LER26"/>
      <c r="LES26"/>
      <c r="LET26"/>
      <c r="LEU26"/>
      <c r="LEV26"/>
      <c r="LEW26"/>
      <c r="LEX26"/>
      <c r="LEY26"/>
      <c r="LEZ26"/>
      <c r="LFA26"/>
      <c r="LFB26"/>
      <c r="LFC26"/>
      <c r="LFD26"/>
      <c r="LFE26"/>
      <c r="LFF26"/>
      <c r="LFG26"/>
      <c r="LFH26"/>
      <c r="LFI26"/>
      <c r="LFJ26"/>
      <c r="LFK26"/>
      <c r="LFL26"/>
      <c r="LFM26"/>
      <c r="LFN26"/>
      <c r="LFO26"/>
      <c r="LFP26"/>
      <c r="LFQ26"/>
      <c r="LFR26"/>
      <c r="LFS26"/>
      <c r="LFT26"/>
      <c r="LFU26"/>
      <c r="LFV26"/>
      <c r="LFW26"/>
      <c r="LFX26"/>
      <c r="LFY26"/>
      <c r="LFZ26"/>
      <c r="LGA26"/>
      <c r="LGB26"/>
      <c r="LGC26"/>
      <c r="LGD26"/>
      <c r="LGE26"/>
      <c r="LGF26"/>
      <c r="LGG26"/>
      <c r="LGH26"/>
      <c r="LGI26"/>
      <c r="LGJ26"/>
      <c r="LGK26"/>
      <c r="LGL26"/>
      <c r="LGM26"/>
      <c r="LGN26"/>
      <c r="LGO26"/>
      <c r="LGP26"/>
      <c r="LGQ26"/>
      <c r="LGR26"/>
      <c r="LGS26"/>
      <c r="LGT26"/>
      <c r="LGU26"/>
      <c r="LGV26"/>
      <c r="LGW26"/>
      <c r="LGX26"/>
      <c r="LGY26"/>
      <c r="LGZ26"/>
      <c r="LHA26"/>
      <c r="LHB26"/>
      <c r="LHC26"/>
      <c r="LHD26"/>
      <c r="LHE26"/>
      <c r="LHF26"/>
      <c r="LHG26"/>
      <c r="LHH26"/>
      <c r="LHI26"/>
      <c r="LHJ26"/>
      <c r="LHK26"/>
      <c r="LHL26"/>
      <c r="LHM26"/>
      <c r="LHN26"/>
      <c r="LHO26"/>
      <c r="LHP26"/>
      <c r="LHQ26"/>
      <c r="LHR26"/>
      <c r="LHS26"/>
      <c r="LHT26"/>
      <c r="LHU26"/>
      <c r="LHV26"/>
      <c r="LHW26"/>
      <c r="LHX26"/>
      <c r="LHY26"/>
      <c r="LHZ26"/>
      <c r="LIA26"/>
      <c r="LIB26"/>
      <c r="LIC26"/>
      <c r="LID26"/>
      <c r="LIE26"/>
      <c r="LIF26"/>
      <c r="LIG26"/>
      <c r="LIH26"/>
      <c r="LII26"/>
      <c r="LIJ26"/>
      <c r="LIK26"/>
      <c r="LIL26"/>
      <c r="LIM26"/>
      <c r="LIN26"/>
      <c r="LIO26"/>
      <c r="LIP26"/>
      <c r="LIQ26"/>
      <c r="LIR26"/>
      <c r="LIS26"/>
      <c r="LIT26"/>
      <c r="LIU26"/>
      <c r="LIV26"/>
      <c r="LIW26"/>
      <c r="LIX26"/>
      <c r="LIY26"/>
      <c r="LIZ26"/>
      <c r="LJA26"/>
      <c r="LJB26"/>
      <c r="LJC26"/>
      <c r="LJD26"/>
      <c r="LJE26"/>
      <c r="LJF26"/>
      <c r="LJG26"/>
      <c r="LJH26"/>
      <c r="LJI26"/>
      <c r="LJJ26"/>
      <c r="LJK26"/>
      <c r="LJL26"/>
      <c r="LJM26"/>
      <c r="LJN26"/>
      <c r="LJO26"/>
      <c r="LJP26"/>
      <c r="LJQ26"/>
      <c r="LJR26"/>
      <c r="LJS26"/>
      <c r="LJT26"/>
      <c r="LJU26"/>
      <c r="LJV26"/>
      <c r="LJW26"/>
      <c r="LJX26"/>
      <c r="LJY26"/>
      <c r="LJZ26"/>
      <c r="LKA26"/>
      <c r="LKB26"/>
      <c r="LKC26"/>
      <c r="LKD26"/>
      <c r="LKE26"/>
      <c r="LKF26"/>
      <c r="LKG26"/>
      <c r="LKH26"/>
      <c r="LKI26"/>
      <c r="LKJ26"/>
      <c r="LKK26"/>
      <c r="LKL26"/>
      <c r="LKM26"/>
      <c r="LKN26"/>
      <c r="LKO26"/>
      <c r="LKP26"/>
      <c r="LKQ26"/>
      <c r="LKR26"/>
      <c r="LKS26"/>
      <c r="LKT26"/>
      <c r="LKU26"/>
      <c r="LKV26"/>
      <c r="LKW26"/>
      <c r="LKX26"/>
      <c r="LKY26"/>
      <c r="LKZ26"/>
      <c r="LLA26"/>
      <c r="LLB26"/>
      <c r="LLC26"/>
      <c r="LLD26"/>
      <c r="LLE26"/>
      <c r="LLF26"/>
      <c r="LLG26"/>
      <c r="LLH26"/>
      <c r="LLI26"/>
      <c r="LLJ26"/>
      <c r="LLK26"/>
      <c r="LLL26"/>
      <c r="LLM26"/>
      <c r="LLN26"/>
      <c r="LLO26"/>
      <c r="LLP26"/>
      <c r="LLQ26"/>
      <c r="LLR26"/>
      <c r="LLS26"/>
      <c r="LLT26"/>
      <c r="LLU26"/>
      <c r="LLV26"/>
      <c r="LLW26"/>
      <c r="LLX26"/>
      <c r="LLY26"/>
      <c r="LLZ26"/>
      <c r="LMA26"/>
      <c r="LMB26"/>
      <c r="LMC26"/>
      <c r="LMD26"/>
      <c r="LME26"/>
      <c r="LMF26"/>
      <c r="LMG26"/>
      <c r="LMH26"/>
      <c r="LMI26"/>
      <c r="LMJ26"/>
      <c r="LMK26"/>
      <c r="LML26"/>
      <c r="LMM26"/>
      <c r="LMN26"/>
      <c r="LMO26"/>
      <c r="LMP26"/>
      <c r="LMQ26"/>
      <c r="LMR26"/>
      <c r="LMS26"/>
      <c r="LMT26"/>
      <c r="LMU26"/>
      <c r="LMV26"/>
      <c r="LMW26"/>
      <c r="LMX26"/>
      <c r="LMY26"/>
      <c r="LMZ26"/>
      <c r="LNA26"/>
      <c r="LNB26"/>
      <c r="LNC26"/>
      <c r="LND26"/>
      <c r="LNE26"/>
      <c r="LNF26"/>
      <c r="LNG26"/>
      <c r="LNH26"/>
      <c r="LNI26"/>
      <c r="LNJ26"/>
      <c r="LNK26"/>
      <c r="LNL26"/>
      <c r="LNM26"/>
      <c r="LNN26"/>
      <c r="LNO26"/>
      <c r="LNP26"/>
      <c r="LNQ26"/>
      <c r="LNR26"/>
      <c r="LNS26"/>
      <c r="LNT26"/>
      <c r="LNU26"/>
      <c r="LNV26"/>
      <c r="LNW26"/>
      <c r="LNX26"/>
      <c r="LNY26"/>
      <c r="LNZ26"/>
      <c r="LOA26"/>
      <c r="LOB26"/>
      <c r="LOC26"/>
      <c r="LOD26"/>
      <c r="LOE26"/>
      <c r="LOF26"/>
      <c r="LOG26"/>
      <c r="LOH26"/>
      <c r="LOI26"/>
      <c r="LOJ26"/>
      <c r="LOK26"/>
      <c r="LOL26"/>
      <c r="LOM26"/>
      <c r="LON26"/>
      <c r="LOO26"/>
      <c r="LOP26"/>
      <c r="LOQ26"/>
      <c r="LOR26"/>
      <c r="LOS26"/>
      <c r="LOT26"/>
      <c r="LOU26"/>
      <c r="LOV26"/>
      <c r="LOW26"/>
      <c r="LOX26"/>
      <c r="LOY26"/>
      <c r="LOZ26"/>
      <c r="LPA26"/>
      <c r="LPB26"/>
      <c r="LPC26"/>
      <c r="LPD26"/>
      <c r="LPE26"/>
      <c r="LPF26"/>
      <c r="LPG26"/>
      <c r="LPH26"/>
      <c r="LPI26"/>
      <c r="LPJ26"/>
      <c r="LPK26"/>
      <c r="LPL26"/>
      <c r="LPM26"/>
      <c r="LPN26"/>
      <c r="LPO26"/>
      <c r="LPP26"/>
      <c r="LPQ26"/>
      <c r="LPR26"/>
      <c r="LPS26"/>
      <c r="LPT26"/>
      <c r="LPU26"/>
      <c r="LPV26"/>
      <c r="LPW26"/>
      <c r="LPX26"/>
      <c r="LPY26"/>
      <c r="LPZ26"/>
      <c r="LQA26"/>
      <c r="LQB26"/>
      <c r="LQC26"/>
      <c r="LQD26"/>
      <c r="LQE26"/>
      <c r="LQF26"/>
      <c r="LQG26"/>
      <c r="LQH26"/>
      <c r="LQI26"/>
      <c r="LQJ26"/>
      <c r="LQK26"/>
      <c r="LQL26"/>
      <c r="LQM26"/>
      <c r="LQN26"/>
      <c r="LQO26"/>
      <c r="LQP26"/>
      <c r="LQQ26"/>
      <c r="LQR26"/>
      <c r="LQS26"/>
      <c r="LQT26"/>
      <c r="LQU26"/>
      <c r="LQV26"/>
      <c r="LQW26"/>
      <c r="LQX26"/>
      <c r="LQY26"/>
      <c r="LQZ26"/>
      <c r="LRA26"/>
      <c r="LRB26"/>
      <c r="LRC26"/>
      <c r="LRD26"/>
      <c r="LRE26"/>
      <c r="LRF26"/>
      <c r="LRG26"/>
      <c r="LRH26"/>
      <c r="LRI26"/>
      <c r="LRJ26"/>
      <c r="LRK26"/>
      <c r="LRL26"/>
      <c r="LRM26"/>
      <c r="LRN26"/>
      <c r="LRO26"/>
      <c r="LRP26"/>
      <c r="LRQ26"/>
      <c r="LRR26"/>
      <c r="LRS26"/>
      <c r="LRT26"/>
      <c r="LRU26"/>
      <c r="LRV26"/>
      <c r="LRW26"/>
      <c r="LRX26"/>
      <c r="LRY26"/>
      <c r="LRZ26"/>
      <c r="LSA26"/>
      <c r="LSB26"/>
      <c r="LSC26"/>
      <c r="LSD26"/>
      <c r="LSE26"/>
      <c r="LSF26"/>
      <c r="LSG26"/>
      <c r="LSH26"/>
      <c r="LSI26"/>
      <c r="LSJ26"/>
      <c r="LSK26"/>
      <c r="LSL26"/>
      <c r="LSM26"/>
      <c r="LSN26"/>
      <c r="LSO26"/>
      <c r="LSP26"/>
      <c r="LSQ26"/>
      <c r="LSR26"/>
      <c r="LSS26"/>
      <c r="LST26"/>
      <c r="LSU26"/>
      <c r="LSV26"/>
      <c r="LSW26"/>
      <c r="LSX26"/>
      <c r="LSY26"/>
      <c r="LSZ26"/>
      <c r="LTA26"/>
      <c r="LTB26"/>
      <c r="LTC26"/>
      <c r="LTD26"/>
      <c r="LTE26"/>
      <c r="LTF26"/>
      <c r="LTG26"/>
      <c r="LTH26"/>
      <c r="LTI26"/>
      <c r="LTJ26"/>
      <c r="LTK26"/>
      <c r="LTL26"/>
      <c r="LTM26"/>
      <c r="LTN26"/>
      <c r="LTO26"/>
      <c r="LTP26"/>
      <c r="LTQ26"/>
      <c r="LTR26"/>
      <c r="LTS26"/>
      <c r="LTT26"/>
      <c r="LTU26"/>
      <c r="LTV26"/>
      <c r="LTW26"/>
      <c r="LTX26"/>
      <c r="LTY26"/>
      <c r="LTZ26"/>
      <c r="LUA26"/>
      <c r="LUB26"/>
      <c r="LUC26"/>
      <c r="LUD26"/>
      <c r="LUE26"/>
      <c r="LUF26"/>
      <c r="LUG26"/>
      <c r="LUH26"/>
      <c r="LUI26"/>
      <c r="LUJ26"/>
      <c r="LUK26"/>
      <c r="LUL26"/>
      <c r="LUM26"/>
      <c r="LUN26"/>
      <c r="LUO26"/>
      <c r="LUP26"/>
      <c r="LUQ26"/>
      <c r="LUR26"/>
      <c r="LUS26"/>
      <c r="LUT26"/>
      <c r="LUU26"/>
      <c r="LUV26"/>
      <c r="LUW26"/>
      <c r="LUX26"/>
      <c r="LUY26"/>
      <c r="LUZ26"/>
      <c r="LVA26"/>
      <c r="LVB26"/>
      <c r="LVC26"/>
      <c r="LVD26"/>
      <c r="LVE26"/>
      <c r="LVF26"/>
      <c r="LVG26"/>
      <c r="LVH26"/>
      <c r="LVI26"/>
      <c r="LVJ26"/>
      <c r="LVK26"/>
      <c r="LVL26"/>
      <c r="LVM26"/>
      <c r="LVN26"/>
      <c r="LVO26"/>
      <c r="LVP26"/>
      <c r="LVQ26"/>
      <c r="LVR26"/>
      <c r="LVS26"/>
      <c r="LVT26"/>
      <c r="LVU26"/>
      <c r="LVV26"/>
      <c r="LVW26"/>
      <c r="LVX26"/>
      <c r="LVY26"/>
      <c r="LVZ26"/>
      <c r="LWA26"/>
      <c r="LWB26"/>
      <c r="LWC26"/>
      <c r="LWD26"/>
      <c r="LWE26"/>
      <c r="LWF26"/>
      <c r="LWG26"/>
      <c r="LWH26"/>
      <c r="LWI26"/>
      <c r="LWJ26"/>
      <c r="LWK26"/>
      <c r="LWL26"/>
      <c r="LWM26"/>
      <c r="LWN26"/>
      <c r="LWO26"/>
      <c r="LWP26"/>
      <c r="LWQ26"/>
      <c r="LWR26"/>
      <c r="LWS26"/>
      <c r="LWT26"/>
      <c r="LWU26"/>
      <c r="LWV26"/>
      <c r="LWW26"/>
      <c r="LWX26"/>
      <c r="LWY26"/>
      <c r="LWZ26"/>
      <c r="LXA26"/>
      <c r="LXB26"/>
      <c r="LXC26"/>
      <c r="LXD26"/>
      <c r="LXE26"/>
      <c r="LXF26"/>
      <c r="LXG26"/>
      <c r="LXH26"/>
      <c r="LXI26"/>
      <c r="LXJ26"/>
      <c r="LXK26"/>
      <c r="LXL26"/>
      <c r="LXM26"/>
      <c r="LXN26"/>
      <c r="LXO26"/>
      <c r="LXP26"/>
      <c r="LXQ26"/>
      <c r="LXR26"/>
      <c r="LXS26"/>
      <c r="LXT26"/>
      <c r="LXU26"/>
      <c r="LXV26"/>
      <c r="LXW26"/>
      <c r="LXX26"/>
      <c r="LXY26"/>
      <c r="LXZ26"/>
      <c r="LYA26"/>
      <c r="LYB26"/>
      <c r="LYC26"/>
      <c r="LYD26"/>
      <c r="LYE26"/>
      <c r="LYF26"/>
      <c r="LYG26"/>
      <c r="LYH26"/>
      <c r="LYI26"/>
      <c r="LYJ26"/>
      <c r="LYK26"/>
      <c r="LYL26"/>
      <c r="LYM26"/>
      <c r="LYN26"/>
      <c r="LYO26"/>
      <c r="LYP26"/>
      <c r="LYQ26"/>
      <c r="LYR26"/>
      <c r="LYS26"/>
      <c r="LYT26"/>
      <c r="LYU26"/>
      <c r="LYV26"/>
      <c r="LYW26"/>
      <c r="LYX26"/>
      <c r="LYY26"/>
      <c r="LYZ26"/>
      <c r="LZA26"/>
      <c r="LZB26"/>
      <c r="LZC26"/>
      <c r="LZD26"/>
      <c r="LZE26"/>
      <c r="LZF26"/>
      <c r="LZG26"/>
      <c r="LZH26"/>
      <c r="LZI26"/>
      <c r="LZJ26"/>
      <c r="LZK26"/>
      <c r="LZL26"/>
      <c r="LZM26"/>
      <c r="LZN26"/>
      <c r="LZO26"/>
      <c r="LZP26"/>
      <c r="LZQ26"/>
      <c r="LZR26"/>
      <c r="LZS26"/>
      <c r="LZT26"/>
      <c r="LZU26"/>
      <c r="LZV26"/>
      <c r="LZW26"/>
      <c r="LZX26"/>
      <c r="LZY26"/>
      <c r="LZZ26"/>
      <c r="MAA26"/>
      <c r="MAB26"/>
      <c r="MAC26"/>
      <c r="MAD26"/>
      <c r="MAE26"/>
      <c r="MAF26"/>
      <c r="MAG26"/>
      <c r="MAH26"/>
      <c r="MAI26"/>
      <c r="MAJ26"/>
      <c r="MAK26"/>
      <c r="MAL26"/>
      <c r="MAM26"/>
      <c r="MAN26"/>
      <c r="MAO26"/>
      <c r="MAP26"/>
      <c r="MAQ26"/>
      <c r="MAR26"/>
      <c r="MAS26"/>
      <c r="MAT26"/>
      <c r="MAU26"/>
      <c r="MAV26"/>
      <c r="MAW26"/>
      <c r="MAX26"/>
      <c r="MAY26"/>
      <c r="MAZ26"/>
      <c r="MBA26"/>
      <c r="MBB26"/>
      <c r="MBC26"/>
      <c r="MBD26"/>
      <c r="MBE26"/>
      <c r="MBF26"/>
      <c r="MBG26"/>
      <c r="MBH26"/>
      <c r="MBI26"/>
      <c r="MBJ26"/>
      <c r="MBK26"/>
      <c r="MBL26"/>
      <c r="MBM26"/>
      <c r="MBN26"/>
      <c r="MBO26"/>
      <c r="MBP26"/>
      <c r="MBQ26"/>
      <c r="MBR26"/>
      <c r="MBS26"/>
      <c r="MBT26"/>
      <c r="MBU26"/>
      <c r="MBV26"/>
      <c r="MBW26"/>
      <c r="MBX26"/>
      <c r="MBY26"/>
      <c r="MBZ26"/>
      <c r="MCA26"/>
      <c r="MCB26"/>
      <c r="MCC26"/>
      <c r="MCD26"/>
      <c r="MCE26"/>
      <c r="MCF26"/>
      <c r="MCG26"/>
      <c r="MCH26"/>
      <c r="MCI26"/>
      <c r="MCJ26"/>
      <c r="MCK26"/>
      <c r="MCL26"/>
      <c r="MCM26"/>
      <c r="MCN26"/>
      <c r="MCO26"/>
      <c r="MCP26"/>
      <c r="MCQ26"/>
      <c r="MCR26"/>
      <c r="MCS26"/>
      <c r="MCT26"/>
      <c r="MCU26"/>
      <c r="MCV26"/>
      <c r="MCW26"/>
      <c r="MCX26"/>
      <c r="MCY26"/>
      <c r="MCZ26"/>
      <c r="MDA26"/>
      <c r="MDB26"/>
      <c r="MDC26"/>
      <c r="MDD26"/>
      <c r="MDE26"/>
      <c r="MDF26"/>
      <c r="MDG26"/>
      <c r="MDH26"/>
      <c r="MDI26"/>
      <c r="MDJ26"/>
      <c r="MDK26"/>
      <c r="MDL26"/>
      <c r="MDM26"/>
      <c r="MDN26"/>
      <c r="MDO26"/>
      <c r="MDP26"/>
      <c r="MDQ26"/>
      <c r="MDR26"/>
      <c r="MDS26"/>
      <c r="MDT26"/>
      <c r="MDU26"/>
      <c r="MDV26"/>
      <c r="MDW26"/>
      <c r="MDX26"/>
      <c r="MDY26"/>
      <c r="MDZ26"/>
      <c r="MEA26"/>
      <c r="MEB26"/>
      <c r="MEC26"/>
      <c r="MED26"/>
      <c r="MEE26"/>
      <c r="MEF26"/>
      <c r="MEG26"/>
      <c r="MEH26"/>
      <c r="MEI26"/>
      <c r="MEJ26"/>
      <c r="MEK26"/>
      <c r="MEL26"/>
      <c r="MEM26"/>
      <c r="MEN26"/>
      <c r="MEO26"/>
      <c r="MEP26"/>
      <c r="MEQ26"/>
      <c r="MER26"/>
      <c r="MES26"/>
      <c r="MET26"/>
      <c r="MEU26"/>
      <c r="MEV26"/>
      <c r="MEW26"/>
      <c r="MEX26"/>
      <c r="MEY26"/>
      <c r="MEZ26"/>
      <c r="MFA26"/>
      <c r="MFB26"/>
      <c r="MFC26"/>
      <c r="MFD26"/>
      <c r="MFE26"/>
      <c r="MFF26"/>
      <c r="MFG26"/>
      <c r="MFH26"/>
      <c r="MFI26"/>
      <c r="MFJ26"/>
      <c r="MFK26"/>
      <c r="MFL26"/>
      <c r="MFM26"/>
      <c r="MFN26"/>
      <c r="MFO26"/>
      <c r="MFP26"/>
      <c r="MFQ26"/>
      <c r="MFR26"/>
      <c r="MFS26"/>
      <c r="MFT26"/>
      <c r="MFU26"/>
      <c r="MFV26"/>
      <c r="MFW26"/>
      <c r="MFX26"/>
      <c r="MFY26"/>
      <c r="MFZ26"/>
      <c r="MGA26"/>
      <c r="MGB26"/>
      <c r="MGC26"/>
      <c r="MGD26"/>
      <c r="MGE26"/>
      <c r="MGF26"/>
      <c r="MGG26"/>
      <c r="MGH26"/>
      <c r="MGI26"/>
      <c r="MGJ26"/>
      <c r="MGK26"/>
      <c r="MGL26"/>
      <c r="MGM26"/>
      <c r="MGN26"/>
      <c r="MGO26"/>
      <c r="MGP26"/>
      <c r="MGQ26"/>
      <c r="MGR26"/>
      <c r="MGS26"/>
      <c r="MGT26"/>
      <c r="MGU26"/>
      <c r="MGV26"/>
      <c r="MGW26"/>
      <c r="MGX26"/>
      <c r="MGY26"/>
      <c r="MGZ26"/>
      <c r="MHA26"/>
      <c r="MHB26"/>
      <c r="MHC26"/>
      <c r="MHD26"/>
      <c r="MHE26"/>
      <c r="MHF26"/>
      <c r="MHG26"/>
      <c r="MHH26"/>
      <c r="MHI26"/>
      <c r="MHJ26"/>
      <c r="MHK26"/>
      <c r="MHL26"/>
      <c r="MHM26"/>
      <c r="MHN26"/>
      <c r="MHO26"/>
      <c r="MHP26"/>
      <c r="MHQ26"/>
      <c r="MHR26"/>
      <c r="MHS26"/>
      <c r="MHT26"/>
      <c r="MHU26"/>
      <c r="MHV26"/>
      <c r="MHW26"/>
      <c r="MHX26"/>
      <c r="MHY26"/>
      <c r="MHZ26"/>
      <c r="MIA26"/>
      <c r="MIB26"/>
      <c r="MIC26"/>
      <c r="MID26"/>
      <c r="MIE26"/>
      <c r="MIF26"/>
      <c r="MIG26"/>
      <c r="MIH26"/>
      <c r="MII26"/>
      <c r="MIJ26"/>
      <c r="MIK26"/>
      <c r="MIL26"/>
      <c r="MIM26"/>
      <c r="MIN26"/>
      <c r="MIO26"/>
      <c r="MIP26"/>
      <c r="MIQ26"/>
      <c r="MIR26"/>
      <c r="MIS26"/>
      <c r="MIT26"/>
      <c r="MIU26"/>
      <c r="MIV26"/>
      <c r="MIW26"/>
      <c r="MIX26"/>
      <c r="MIY26"/>
      <c r="MIZ26"/>
      <c r="MJA26"/>
      <c r="MJB26"/>
      <c r="MJC26"/>
      <c r="MJD26"/>
      <c r="MJE26"/>
      <c r="MJF26"/>
      <c r="MJG26"/>
      <c r="MJH26"/>
      <c r="MJI26"/>
      <c r="MJJ26"/>
      <c r="MJK26"/>
      <c r="MJL26"/>
      <c r="MJM26"/>
      <c r="MJN26"/>
      <c r="MJO26"/>
      <c r="MJP26"/>
      <c r="MJQ26"/>
      <c r="MJR26"/>
      <c r="MJS26"/>
      <c r="MJT26"/>
      <c r="MJU26"/>
      <c r="MJV26"/>
      <c r="MJW26"/>
      <c r="MJX26"/>
      <c r="MJY26"/>
      <c r="MJZ26"/>
      <c r="MKA26"/>
      <c r="MKB26"/>
      <c r="MKC26"/>
      <c r="MKD26"/>
      <c r="MKE26"/>
      <c r="MKF26"/>
      <c r="MKG26"/>
      <c r="MKH26"/>
      <c r="MKI26"/>
      <c r="MKJ26"/>
      <c r="MKK26"/>
      <c r="MKL26"/>
      <c r="MKM26"/>
      <c r="MKN26"/>
      <c r="MKO26"/>
      <c r="MKP26"/>
      <c r="MKQ26"/>
      <c r="MKR26"/>
      <c r="MKS26"/>
      <c r="MKT26"/>
      <c r="MKU26"/>
      <c r="MKV26"/>
      <c r="MKW26"/>
      <c r="MKX26"/>
      <c r="MKY26"/>
      <c r="MKZ26"/>
      <c r="MLA26"/>
      <c r="MLB26"/>
      <c r="MLC26"/>
      <c r="MLD26"/>
      <c r="MLE26"/>
      <c r="MLF26"/>
      <c r="MLG26"/>
      <c r="MLH26"/>
      <c r="MLI26"/>
      <c r="MLJ26"/>
      <c r="MLK26"/>
      <c r="MLL26"/>
      <c r="MLM26"/>
      <c r="MLN26"/>
      <c r="MLO26"/>
      <c r="MLP26"/>
      <c r="MLQ26"/>
      <c r="MLR26"/>
      <c r="MLS26"/>
      <c r="MLT26"/>
      <c r="MLU26"/>
      <c r="MLV26"/>
      <c r="MLW26"/>
      <c r="MLX26"/>
      <c r="MLY26"/>
      <c r="MLZ26"/>
      <c r="MMA26"/>
      <c r="MMB26"/>
      <c r="MMC26"/>
      <c r="MMD26"/>
      <c r="MME26"/>
      <c r="MMF26"/>
      <c r="MMG26"/>
      <c r="MMH26"/>
      <c r="MMI26"/>
      <c r="MMJ26"/>
      <c r="MMK26"/>
      <c r="MML26"/>
      <c r="MMM26"/>
      <c r="MMN26"/>
      <c r="MMO26"/>
      <c r="MMP26"/>
      <c r="MMQ26"/>
      <c r="MMR26"/>
      <c r="MMS26"/>
      <c r="MMT26"/>
      <c r="MMU26"/>
      <c r="MMV26"/>
      <c r="MMW26"/>
      <c r="MMX26"/>
      <c r="MMY26"/>
      <c r="MMZ26"/>
      <c r="MNA26"/>
      <c r="MNB26"/>
      <c r="MNC26"/>
      <c r="MND26"/>
      <c r="MNE26"/>
      <c r="MNF26"/>
      <c r="MNG26"/>
      <c r="MNH26"/>
      <c r="MNI26"/>
      <c r="MNJ26"/>
      <c r="MNK26"/>
      <c r="MNL26"/>
      <c r="MNM26"/>
      <c r="MNN26"/>
      <c r="MNO26"/>
      <c r="MNP26"/>
      <c r="MNQ26"/>
      <c r="MNR26"/>
      <c r="MNS26"/>
      <c r="MNT26"/>
      <c r="MNU26"/>
      <c r="MNV26"/>
      <c r="MNW26"/>
      <c r="MNX26"/>
      <c r="MNY26"/>
      <c r="MNZ26"/>
      <c r="MOA26"/>
      <c r="MOB26"/>
      <c r="MOC26"/>
      <c r="MOD26"/>
      <c r="MOE26"/>
      <c r="MOF26"/>
      <c r="MOG26"/>
      <c r="MOH26"/>
      <c r="MOI26"/>
      <c r="MOJ26"/>
      <c r="MOK26"/>
      <c r="MOL26"/>
      <c r="MOM26"/>
      <c r="MON26"/>
      <c r="MOO26"/>
      <c r="MOP26"/>
      <c r="MOQ26"/>
      <c r="MOR26"/>
      <c r="MOS26"/>
      <c r="MOT26"/>
      <c r="MOU26"/>
      <c r="MOV26"/>
      <c r="MOW26"/>
      <c r="MOX26"/>
      <c r="MOY26"/>
      <c r="MOZ26"/>
      <c r="MPA26"/>
      <c r="MPB26"/>
      <c r="MPC26"/>
      <c r="MPD26"/>
      <c r="MPE26"/>
      <c r="MPF26"/>
      <c r="MPG26"/>
      <c r="MPH26"/>
      <c r="MPI26"/>
      <c r="MPJ26"/>
      <c r="MPK26"/>
      <c r="MPL26"/>
      <c r="MPM26"/>
      <c r="MPN26"/>
      <c r="MPO26"/>
      <c r="MPP26"/>
      <c r="MPQ26"/>
      <c r="MPR26"/>
      <c r="MPS26"/>
      <c r="MPT26"/>
      <c r="MPU26"/>
      <c r="MPV26"/>
      <c r="MPW26"/>
      <c r="MPX26"/>
      <c r="MPY26"/>
      <c r="MPZ26"/>
      <c r="MQA26"/>
      <c r="MQB26"/>
      <c r="MQC26"/>
      <c r="MQD26"/>
      <c r="MQE26"/>
      <c r="MQF26"/>
      <c r="MQG26"/>
      <c r="MQH26"/>
      <c r="MQI26"/>
      <c r="MQJ26"/>
      <c r="MQK26"/>
      <c r="MQL26"/>
      <c r="MQM26"/>
      <c r="MQN26"/>
      <c r="MQO26"/>
      <c r="MQP26"/>
      <c r="MQQ26"/>
      <c r="MQR26"/>
      <c r="MQS26"/>
      <c r="MQT26"/>
      <c r="MQU26"/>
      <c r="MQV26"/>
      <c r="MQW26"/>
      <c r="MQX26"/>
      <c r="MQY26"/>
      <c r="MQZ26"/>
      <c r="MRA26"/>
      <c r="MRB26"/>
      <c r="MRC26"/>
      <c r="MRD26"/>
      <c r="MRE26"/>
      <c r="MRF26"/>
      <c r="MRG26"/>
      <c r="MRH26"/>
      <c r="MRI26"/>
      <c r="MRJ26"/>
      <c r="MRK26"/>
      <c r="MRL26"/>
      <c r="MRM26"/>
      <c r="MRN26"/>
      <c r="MRO26"/>
      <c r="MRP26"/>
      <c r="MRQ26"/>
      <c r="MRR26"/>
      <c r="MRS26"/>
      <c r="MRT26"/>
      <c r="MRU26"/>
      <c r="MRV26"/>
      <c r="MRW26"/>
      <c r="MRX26"/>
      <c r="MRY26"/>
      <c r="MRZ26"/>
      <c r="MSA26"/>
      <c r="MSB26"/>
      <c r="MSC26"/>
      <c r="MSD26"/>
      <c r="MSE26"/>
      <c r="MSF26"/>
      <c r="MSG26"/>
      <c r="MSH26"/>
      <c r="MSI26"/>
      <c r="MSJ26"/>
      <c r="MSK26"/>
      <c r="MSL26"/>
      <c r="MSM26"/>
      <c r="MSN26"/>
      <c r="MSO26"/>
      <c r="MSP26"/>
      <c r="MSQ26"/>
      <c r="MSR26"/>
      <c r="MSS26"/>
      <c r="MST26"/>
      <c r="MSU26"/>
      <c r="MSV26"/>
      <c r="MSW26"/>
      <c r="MSX26"/>
      <c r="MSY26"/>
      <c r="MSZ26"/>
      <c r="MTA26"/>
      <c r="MTB26"/>
      <c r="MTC26"/>
      <c r="MTD26"/>
      <c r="MTE26"/>
      <c r="MTF26"/>
      <c r="MTG26"/>
      <c r="MTH26"/>
      <c r="MTI26"/>
      <c r="MTJ26"/>
      <c r="MTK26"/>
      <c r="MTL26"/>
      <c r="MTM26"/>
      <c r="MTN26"/>
      <c r="MTO26"/>
      <c r="MTP26"/>
      <c r="MTQ26"/>
      <c r="MTR26"/>
      <c r="MTS26"/>
      <c r="MTT26"/>
      <c r="MTU26"/>
      <c r="MTV26"/>
      <c r="MTW26"/>
      <c r="MTX26"/>
      <c r="MTY26"/>
      <c r="MTZ26"/>
      <c r="MUA26"/>
      <c r="MUB26"/>
      <c r="MUC26"/>
      <c r="MUD26"/>
      <c r="MUE26"/>
      <c r="MUF26"/>
      <c r="MUG26"/>
      <c r="MUH26"/>
      <c r="MUI26"/>
      <c r="MUJ26"/>
      <c r="MUK26"/>
      <c r="MUL26"/>
      <c r="MUM26"/>
      <c r="MUN26"/>
      <c r="MUO26"/>
      <c r="MUP26"/>
      <c r="MUQ26"/>
      <c r="MUR26"/>
      <c r="MUS26"/>
      <c r="MUT26"/>
      <c r="MUU26"/>
      <c r="MUV26"/>
      <c r="MUW26"/>
      <c r="MUX26"/>
      <c r="MUY26"/>
      <c r="MUZ26"/>
      <c r="MVA26"/>
      <c r="MVB26"/>
      <c r="MVC26"/>
      <c r="MVD26"/>
      <c r="MVE26"/>
      <c r="MVF26"/>
      <c r="MVG26"/>
      <c r="MVH26"/>
      <c r="MVI26"/>
      <c r="MVJ26"/>
      <c r="MVK26"/>
      <c r="MVL26"/>
      <c r="MVM26"/>
      <c r="MVN26"/>
      <c r="MVO26"/>
      <c r="MVP26"/>
      <c r="MVQ26"/>
      <c r="MVR26"/>
      <c r="MVS26"/>
      <c r="MVT26"/>
      <c r="MVU26"/>
      <c r="MVV26"/>
      <c r="MVW26"/>
      <c r="MVX26"/>
      <c r="MVY26"/>
      <c r="MVZ26"/>
      <c r="MWA26"/>
      <c r="MWB26"/>
      <c r="MWC26"/>
      <c r="MWD26"/>
      <c r="MWE26"/>
      <c r="MWF26"/>
      <c r="MWG26"/>
      <c r="MWH26"/>
      <c r="MWI26"/>
      <c r="MWJ26"/>
      <c r="MWK26"/>
      <c r="MWL26"/>
      <c r="MWM26"/>
      <c r="MWN26"/>
      <c r="MWO26"/>
      <c r="MWP26"/>
      <c r="MWQ26"/>
      <c r="MWR26"/>
      <c r="MWS26"/>
      <c r="MWT26"/>
      <c r="MWU26"/>
      <c r="MWV26"/>
      <c r="MWW26"/>
      <c r="MWX26"/>
      <c r="MWY26"/>
      <c r="MWZ26"/>
      <c r="MXA26"/>
      <c r="MXB26"/>
      <c r="MXC26"/>
      <c r="MXD26"/>
      <c r="MXE26"/>
      <c r="MXF26"/>
      <c r="MXG26"/>
      <c r="MXH26"/>
      <c r="MXI26"/>
      <c r="MXJ26"/>
      <c r="MXK26"/>
      <c r="MXL26"/>
      <c r="MXM26"/>
      <c r="MXN26"/>
      <c r="MXO26"/>
      <c r="MXP26"/>
      <c r="MXQ26"/>
      <c r="MXR26"/>
      <c r="MXS26"/>
      <c r="MXT26"/>
      <c r="MXU26"/>
      <c r="MXV26"/>
      <c r="MXW26"/>
      <c r="MXX26"/>
      <c r="MXY26"/>
      <c r="MXZ26"/>
      <c r="MYA26"/>
      <c r="MYB26"/>
      <c r="MYC26"/>
      <c r="MYD26"/>
      <c r="MYE26"/>
      <c r="MYF26"/>
      <c r="MYG26"/>
      <c r="MYH26"/>
      <c r="MYI26"/>
      <c r="MYJ26"/>
      <c r="MYK26"/>
      <c r="MYL26"/>
      <c r="MYM26"/>
      <c r="MYN26"/>
      <c r="MYO26"/>
      <c r="MYP26"/>
      <c r="MYQ26"/>
      <c r="MYR26"/>
      <c r="MYS26"/>
      <c r="MYT26"/>
      <c r="MYU26"/>
      <c r="MYV26"/>
      <c r="MYW26"/>
      <c r="MYX26"/>
      <c r="MYY26"/>
      <c r="MYZ26"/>
      <c r="MZA26"/>
      <c r="MZB26"/>
      <c r="MZC26"/>
      <c r="MZD26"/>
      <c r="MZE26"/>
      <c r="MZF26"/>
      <c r="MZG26"/>
      <c r="MZH26"/>
      <c r="MZI26"/>
      <c r="MZJ26"/>
      <c r="MZK26"/>
      <c r="MZL26"/>
      <c r="MZM26"/>
      <c r="MZN26"/>
      <c r="MZO26"/>
      <c r="MZP26"/>
      <c r="MZQ26"/>
      <c r="MZR26"/>
      <c r="MZS26"/>
      <c r="MZT26"/>
      <c r="MZU26"/>
      <c r="MZV26"/>
      <c r="MZW26"/>
      <c r="MZX26"/>
      <c r="MZY26"/>
      <c r="MZZ26"/>
      <c r="NAA26"/>
      <c r="NAB26"/>
      <c r="NAC26"/>
      <c r="NAD26"/>
      <c r="NAE26"/>
      <c r="NAF26"/>
      <c r="NAG26"/>
      <c r="NAH26"/>
      <c r="NAI26"/>
      <c r="NAJ26"/>
      <c r="NAK26"/>
      <c r="NAL26"/>
      <c r="NAM26"/>
      <c r="NAN26"/>
      <c r="NAO26"/>
      <c r="NAP26"/>
      <c r="NAQ26"/>
      <c r="NAR26"/>
      <c r="NAS26"/>
      <c r="NAT26"/>
      <c r="NAU26"/>
      <c r="NAV26"/>
      <c r="NAW26"/>
      <c r="NAX26"/>
      <c r="NAY26"/>
      <c r="NAZ26"/>
      <c r="NBA26"/>
      <c r="NBB26"/>
      <c r="NBC26"/>
      <c r="NBD26"/>
      <c r="NBE26"/>
      <c r="NBF26"/>
      <c r="NBG26"/>
      <c r="NBH26"/>
      <c r="NBI26"/>
      <c r="NBJ26"/>
      <c r="NBK26"/>
      <c r="NBL26"/>
      <c r="NBM26"/>
      <c r="NBN26"/>
      <c r="NBO26"/>
      <c r="NBP26"/>
      <c r="NBQ26"/>
      <c r="NBR26"/>
      <c r="NBS26"/>
      <c r="NBT26"/>
      <c r="NBU26"/>
      <c r="NBV26"/>
      <c r="NBW26"/>
      <c r="NBX26"/>
      <c r="NBY26"/>
      <c r="NBZ26"/>
      <c r="NCA26"/>
      <c r="NCB26"/>
      <c r="NCC26"/>
      <c r="NCD26"/>
      <c r="NCE26"/>
      <c r="NCF26"/>
      <c r="NCG26"/>
      <c r="NCH26"/>
      <c r="NCI26"/>
      <c r="NCJ26"/>
      <c r="NCK26"/>
      <c r="NCL26"/>
      <c r="NCM26"/>
      <c r="NCN26"/>
      <c r="NCO26"/>
      <c r="NCP26"/>
      <c r="NCQ26"/>
      <c r="NCR26"/>
      <c r="NCS26"/>
      <c r="NCT26"/>
      <c r="NCU26"/>
      <c r="NCV26"/>
      <c r="NCW26"/>
      <c r="NCX26"/>
      <c r="NCY26"/>
      <c r="NCZ26"/>
      <c r="NDA26"/>
      <c r="NDB26"/>
      <c r="NDC26"/>
      <c r="NDD26"/>
      <c r="NDE26"/>
      <c r="NDF26"/>
      <c r="NDG26"/>
      <c r="NDH26"/>
      <c r="NDI26"/>
      <c r="NDJ26"/>
      <c r="NDK26"/>
      <c r="NDL26"/>
      <c r="NDM26"/>
      <c r="NDN26"/>
      <c r="NDO26"/>
      <c r="NDP26"/>
      <c r="NDQ26"/>
      <c r="NDR26"/>
      <c r="NDS26"/>
      <c r="NDT26"/>
      <c r="NDU26"/>
      <c r="NDV26"/>
      <c r="NDW26"/>
      <c r="NDX26"/>
      <c r="NDY26"/>
      <c r="NDZ26"/>
      <c r="NEA26"/>
      <c r="NEB26"/>
      <c r="NEC26"/>
      <c r="NED26"/>
      <c r="NEE26"/>
      <c r="NEF26"/>
      <c r="NEG26"/>
      <c r="NEH26"/>
      <c r="NEI26"/>
      <c r="NEJ26"/>
      <c r="NEK26"/>
      <c r="NEL26"/>
      <c r="NEM26"/>
      <c r="NEN26"/>
      <c r="NEO26"/>
      <c r="NEP26"/>
      <c r="NEQ26"/>
      <c r="NER26"/>
      <c r="NES26"/>
      <c r="NET26"/>
      <c r="NEU26"/>
      <c r="NEV26"/>
      <c r="NEW26"/>
      <c r="NEX26"/>
      <c r="NEY26"/>
      <c r="NEZ26"/>
      <c r="NFA26"/>
      <c r="NFB26"/>
      <c r="NFC26"/>
      <c r="NFD26"/>
      <c r="NFE26"/>
      <c r="NFF26"/>
      <c r="NFG26"/>
      <c r="NFH26"/>
      <c r="NFI26"/>
      <c r="NFJ26"/>
      <c r="NFK26"/>
      <c r="NFL26"/>
      <c r="NFM26"/>
      <c r="NFN26"/>
      <c r="NFO26"/>
      <c r="NFP26"/>
      <c r="NFQ26"/>
      <c r="NFR26"/>
      <c r="NFS26"/>
      <c r="NFT26"/>
      <c r="NFU26"/>
      <c r="NFV26"/>
      <c r="NFW26"/>
      <c r="NFX26"/>
      <c r="NFY26"/>
      <c r="NFZ26"/>
      <c r="NGA26"/>
      <c r="NGB26"/>
      <c r="NGC26"/>
      <c r="NGD26"/>
      <c r="NGE26"/>
      <c r="NGF26"/>
      <c r="NGG26"/>
      <c r="NGH26"/>
      <c r="NGI26"/>
      <c r="NGJ26"/>
      <c r="NGK26"/>
      <c r="NGL26"/>
      <c r="NGM26"/>
      <c r="NGN26"/>
      <c r="NGO26"/>
      <c r="NGP26"/>
      <c r="NGQ26"/>
      <c r="NGR26"/>
      <c r="NGS26"/>
      <c r="NGT26"/>
      <c r="NGU26"/>
      <c r="NGV26"/>
      <c r="NGW26"/>
      <c r="NGX26"/>
      <c r="NGY26"/>
      <c r="NGZ26"/>
      <c r="NHA26"/>
      <c r="NHB26"/>
      <c r="NHC26"/>
      <c r="NHD26"/>
      <c r="NHE26"/>
      <c r="NHF26"/>
      <c r="NHG26"/>
      <c r="NHH26"/>
      <c r="NHI26"/>
      <c r="NHJ26"/>
      <c r="NHK26"/>
      <c r="NHL26"/>
      <c r="NHM26"/>
      <c r="NHN26"/>
      <c r="NHO26"/>
      <c r="NHP26"/>
      <c r="NHQ26"/>
      <c r="NHR26"/>
      <c r="NHS26"/>
      <c r="NHT26"/>
      <c r="NHU26"/>
      <c r="NHV26"/>
      <c r="NHW26"/>
      <c r="NHX26"/>
      <c r="NHY26"/>
      <c r="NHZ26"/>
      <c r="NIA26"/>
      <c r="NIB26"/>
      <c r="NIC26"/>
      <c r="NID26"/>
      <c r="NIE26"/>
      <c r="NIF26"/>
      <c r="NIG26"/>
      <c r="NIH26"/>
      <c r="NII26"/>
      <c r="NIJ26"/>
      <c r="NIK26"/>
      <c r="NIL26"/>
      <c r="NIM26"/>
      <c r="NIN26"/>
      <c r="NIO26"/>
      <c r="NIP26"/>
      <c r="NIQ26"/>
      <c r="NIR26"/>
      <c r="NIS26"/>
      <c r="NIT26"/>
      <c r="NIU26"/>
      <c r="NIV26"/>
      <c r="NIW26"/>
      <c r="NIX26"/>
      <c r="NIY26"/>
      <c r="NIZ26"/>
      <c r="NJA26"/>
      <c r="NJB26"/>
      <c r="NJC26"/>
      <c r="NJD26"/>
      <c r="NJE26"/>
      <c r="NJF26"/>
      <c r="NJG26"/>
      <c r="NJH26"/>
      <c r="NJI26"/>
      <c r="NJJ26"/>
      <c r="NJK26"/>
      <c r="NJL26"/>
      <c r="NJM26"/>
      <c r="NJN26"/>
      <c r="NJO26"/>
      <c r="NJP26"/>
      <c r="NJQ26"/>
      <c r="NJR26"/>
      <c r="NJS26"/>
      <c r="NJT26"/>
      <c r="NJU26"/>
      <c r="NJV26"/>
      <c r="NJW26"/>
      <c r="NJX26"/>
      <c r="NJY26"/>
      <c r="NJZ26"/>
      <c r="NKA26"/>
      <c r="NKB26"/>
      <c r="NKC26"/>
      <c r="NKD26"/>
      <c r="NKE26"/>
      <c r="NKF26"/>
      <c r="NKG26"/>
      <c r="NKH26"/>
      <c r="NKI26"/>
      <c r="NKJ26"/>
      <c r="NKK26"/>
      <c r="NKL26"/>
      <c r="NKM26"/>
      <c r="NKN26"/>
      <c r="NKO26"/>
      <c r="NKP26"/>
      <c r="NKQ26"/>
      <c r="NKR26"/>
      <c r="NKS26"/>
      <c r="NKT26"/>
      <c r="NKU26"/>
      <c r="NKV26"/>
      <c r="NKW26"/>
      <c r="NKX26"/>
      <c r="NKY26"/>
      <c r="NKZ26"/>
      <c r="NLA26"/>
      <c r="NLB26"/>
      <c r="NLC26"/>
      <c r="NLD26"/>
      <c r="NLE26"/>
      <c r="NLF26"/>
      <c r="NLG26"/>
      <c r="NLH26"/>
      <c r="NLI26"/>
      <c r="NLJ26"/>
      <c r="NLK26"/>
      <c r="NLL26"/>
      <c r="NLM26"/>
      <c r="NLN26"/>
      <c r="NLO26"/>
      <c r="NLP26"/>
      <c r="NLQ26"/>
      <c r="NLR26"/>
      <c r="NLS26"/>
      <c r="NLT26"/>
      <c r="NLU26"/>
      <c r="NLV26"/>
      <c r="NLW26"/>
      <c r="NLX26"/>
      <c r="NLY26"/>
      <c r="NLZ26"/>
      <c r="NMA26"/>
      <c r="NMB26"/>
      <c r="NMC26"/>
      <c r="NMD26"/>
      <c r="NME26"/>
      <c r="NMF26"/>
      <c r="NMG26"/>
      <c r="NMH26"/>
      <c r="NMI26"/>
      <c r="NMJ26"/>
      <c r="NMK26"/>
      <c r="NML26"/>
      <c r="NMM26"/>
      <c r="NMN26"/>
      <c r="NMO26"/>
      <c r="NMP26"/>
      <c r="NMQ26"/>
      <c r="NMR26"/>
      <c r="NMS26"/>
      <c r="NMT26"/>
      <c r="NMU26"/>
      <c r="NMV26"/>
      <c r="NMW26"/>
      <c r="NMX26"/>
      <c r="NMY26"/>
      <c r="NMZ26"/>
      <c r="NNA26"/>
      <c r="NNB26"/>
      <c r="NNC26"/>
      <c r="NND26"/>
      <c r="NNE26"/>
      <c r="NNF26"/>
      <c r="NNG26"/>
      <c r="NNH26"/>
      <c r="NNI26"/>
      <c r="NNJ26"/>
      <c r="NNK26"/>
      <c r="NNL26"/>
      <c r="NNM26"/>
      <c r="NNN26"/>
      <c r="NNO26"/>
      <c r="NNP26"/>
      <c r="NNQ26"/>
      <c r="NNR26"/>
      <c r="NNS26"/>
      <c r="NNT26"/>
      <c r="NNU26"/>
      <c r="NNV26"/>
      <c r="NNW26"/>
      <c r="NNX26"/>
      <c r="NNY26"/>
      <c r="NNZ26"/>
      <c r="NOA26"/>
      <c r="NOB26"/>
      <c r="NOC26"/>
      <c r="NOD26"/>
      <c r="NOE26"/>
      <c r="NOF26"/>
      <c r="NOG26"/>
      <c r="NOH26"/>
      <c r="NOI26"/>
      <c r="NOJ26"/>
      <c r="NOK26"/>
      <c r="NOL26"/>
      <c r="NOM26"/>
      <c r="NON26"/>
      <c r="NOO26"/>
      <c r="NOP26"/>
      <c r="NOQ26"/>
      <c r="NOR26"/>
      <c r="NOS26"/>
      <c r="NOT26"/>
      <c r="NOU26"/>
      <c r="NOV26"/>
      <c r="NOW26"/>
      <c r="NOX26"/>
      <c r="NOY26"/>
      <c r="NOZ26"/>
      <c r="NPA26"/>
      <c r="NPB26"/>
      <c r="NPC26"/>
      <c r="NPD26"/>
      <c r="NPE26"/>
      <c r="NPF26"/>
      <c r="NPG26"/>
      <c r="NPH26"/>
      <c r="NPI26"/>
      <c r="NPJ26"/>
      <c r="NPK26"/>
      <c r="NPL26"/>
      <c r="NPM26"/>
      <c r="NPN26"/>
      <c r="NPO26"/>
      <c r="NPP26"/>
      <c r="NPQ26"/>
      <c r="NPR26"/>
      <c r="NPS26"/>
      <c r="NPT26"/>
      <c r="NPU26"/>
      <c r="NPV26"/>
      <c r="NPW26"/>
      <c r="NPX26"/>
      <c r="NPY26"/>
      <c r="NPZ26"/>
      <c r="NQA26"/>
      <c r="NQB26"/>
      <c r="NQC26"/>
      <c r="NQD26"/>
      <c r="NQE26"/>
      <c r="NQF26"/>
      <c r="NQG26"/>
      <c r="NQH26"/>
      <c r="NQI26"/>
      <c r="NQJ26"/>
      <c r="NQK26"/>
      <c r="NQL26"/>
      <c r="NQM26"/>
      <c r="NQN26"/>
      <c r="NQO26"/>
      <c r="NQP26"/>
      <c r="NQQ26"/>
      <c r="NQR26"/>
      <c r="NQS26"/>
      <c r="NQT26"/>
      <c r="NQU26"/>
      <c r="NQV26"/>
      <c r="NQW26"/>
      <c r="NQX26"/>
      <c r="NQY26"/>
      <c r="NQZ26"/>
      <c r="NRA26"/>
      <c r="NRB26"/>
      <c r="NRC26"/>
      <c r="NRD26"/>
      <c r="NRE26"/>
      <c r="NRF26"/>
      <c r="NRG26"/>
      <c r="NRH26"/>
      <c r="NRI26"/>
      <c r="NRJ26"/>
      <c r="NRK26"/>
      <c r="NRL26"/>
      <c r="NRM26"/>
      <c r="NRN26"/>
      <c r="NRO26"/>
      <c r="NRP26"/>
      <c r="NRQ26"/>
      <c r="NRR26"/>
      <c r="NRS26"/>
      <c r="NRT26"/>
      <c r="NRU26"/>
      <c r="NRV26"/>
      <c r="NRW26"/>
      <c r="NRX26"/>
      <c r="NRY26"/>
      <c r="NRZ26"/>
      <c r="NSA26"/>
      <c r="NSB26"/>
      <c r="NSC26"/>
      <c r="NSD26"/>
      <c r="NSE26"/>
      <c r="NSF26"/>
      <c r="NSG26"/>
      <c r="NSH26"/>
      <c r="NSI26"/>
      <c r="NSJ26"/>
      <c r="NSK26"/>
      <c r="NSL26"/>
      <c r="NSM26"/>
      <c r="NSN26"/>
      <c r="NSO26"/>
      <c r="NSP26"/>
      <c r="NSQ26"/>
      <c r="NSR26"/>
      <c r="NSS26"/>
      <c r="NST26"/>
      <c r="NSU26"/>
      <c r="NSV26"/>
      <c r="NSW26"/>
      <c r="NSX26"/>
      <c r="NSY26"/>
      <c r="NSZ26"/>
      <c r="NTA26"/>
      <c r="NTB26"/>
      <c r="NTC26"/>
      <c r="NTD26"/>
      <c r="NTE26"/>
      <c r="NTF26"/>
      <c r="NTG26"/>
      <c r="NTH26"/>
      <c r="NTI26"/>
      <c r="NTJ26"/>
      <c r="NTK26"/>
      <c r="NTL26"/>
      <c r="NTM26"/>
      <c r="NTN26"/>
      <c r="NTO26"/>
      <c r="NTP26"/>
      <c r="NTQ26"/>
      <c r="NTR26"/>
      <c r="NTS26"/>
      <c r="NTT26"/>
      <c r="NTU26"/>
      <c r="NTV26"/>
      <c r="NTW26"/>
      <c r="NTX26"/>
      <c r="NTY26"/>
      <c r="NTZ26"/>
      <c r="NUA26"/>
      <c r="NUB26"/>
      <c r="NUC26"/>
      <c r="NUD26"/>
      <c r="NUE26"/>
      <c r="NUF26"/>
      <c r="NUG26"/>
      <c r="NUH26"/>
      <c r="NUI26"/>
      <c r="NUJ26"/>
      <c r="NUK26"/>
      <c r="NUL26"/>
      <c r="NUM26"/>
      <c r="NUN26"/>
      <c r="NUO26"/>
      <c r="NUP26"/>
      <c r="NUQ26"/>
      <c r="NUR26"/>
      <c r="NUS26"/>
      <c r="NUT26"/>
      <c r="NUU26"/>
      <c r="NUV26"/>
      <c r="NUW26"/>
      <c r="NUX26"/>
      <c r="NUY26"/>
      <c r="NUZ26"/>
      <c r="NVA26"/>
      <c r="NVB26"/>
      <c r="NVC26"/>
      <c r="NVD26"/>
      <c r="NVE26"/>
      <c r="NVF26"/>
      <c r="NVG26"/>
      <c r="NVH26"/>
      <c r="NVI26"/>
      <c r="NVJ26"/>
      <c r="NVK26"/>
      <c r="NVL26"/>
      <c r="NVM26"/>
      <c r="NVN26"/>
      <c r="NVO26"/>
      <c r="NVP26"/>
      <c r="NVQ26"/>
      <c r="NVR26"/>
      <c r="NVS26"/>
      <c r="NVT26"/>
      <c r="NVU26"/>
      <c r="NVV26"/>
      <c r="NVW26"/>
      <c r="NVX26"/>
      <c r="NVY26"/>
      <c r="NVZ26"/>
      <c r="NWA26"/>
      <c r="NWB26"/>
      <c r="NWC26"/>
      <c r="NWD26"/>
      <c r="NWE26"/>
      <c r="NWF26"/>
      <c r="NWG26"/>
      <c r="NWH26"/>
      <c r="NWI26"/>
      <c r="NWJ26"/>
      <c r="NWK26"/>
      <c r="NWL26"/>
      <c r="NWM26"/>
      <c r="NWN26"/>
      <c r="NWO26"/>
      <c r="NWP26"/>
      <c r="NWQ26"/>
      <c r="NWR26"/>
      <c r="NWS26"/>
      <c r="NWT26"/>
      <c r="NWU26"/>
      <c r="NWV26"/>
      <c r="NWW26"/>
      <c r="NWX26"/>
      <c r="NWY26"/>
      <c r="NWZ26"/>
      <c r="NXA26"/>
      <c r="NXB26"/>
      <c r="NXC26"/>
      <c r="NXD26"/>
      <c r="NXE26"/>
      <c r="NXF26"/>
      <c r="NXG26"/>
      <c r="NXH26"/>
      <c r="NXI26"/>
      <c r="NXJ26"/>
      <c r="NXK26"/>
      <c r="NXL26"/>
      <c r="NXM26"/>
      <c r="NXN26"/>
      <c r="NXO26"/>
      <c r="NXP26"/>
      <c r="NXQ26"/>
      <c r="NXR26"/>
      <c r="NXS26"/>
      <c r="NXT26"/>
      <c r="NXU26"/>
      <c r="NXV26"/>
      <c r="NXW26"/>
      <c r="NXX26"/>
      <c r="NXY26"/>
      <c r="NXZ26"/>
      <c r="NYA26"/>
      <c r="NYB26"/>
      <c r="NYC26"/>
      <c r="NYD26"/>
      <c r="NYE26"/>
      <c r="NYF26"/>
      <c r="NYG26"/>
      <c r="NYH26"/>
      <c r="NYI26"/>
      <c r="NYJ26"/>
      <c r="NYK26"/>
      <c r="NYL26"/>
      <c r="NYM26"/>
      <c r="NYN26"/>
      <c r="NYO26"/>
      <c r="NYP26"/>
      <c r="NYQ26"/>
      <c r="NYR26"/>
      <c r="NYS26"/>
      <c r="NYT26"/>
      <c r="NYU26"/>
      <c r="NYV26"/>
      <c r="NYW26"/>
      <c r="NYX26"/>
      <c r="NYY26"/>
      <c r="NYZ26"/>
      <c r="NZA26"/>
      <c r="NZB26"/>
      <c r="NZC26"/>
      <c r="NZD26"/>
      <c r="NZE26"/>
      <c r="NZF26"/>
      <c r="NZG26"/>
      <c r="NZH26"/>
      <c r="NZI26"/>
      <c r="NZJ26"/>
      <c r="NZK26"/>
      <c r="NZL26"/>
      <c r="NZM26"/>
      <c r="NZN26"/>
      <c r="NZO26"/>
      <c r="NZP26"/>
      <c r="NZQ26"/>
      <c r="NZR26"/>
      <c r="NZS26"/>
      <c r="NZT26"/>
      <c r="NZU26"/>
      <c r="NZV26"/>
      <c r="NZW26"/>
      <c r="NZX26"/>
      <c r="NZY26"/>
      <c r="NZZ26"/>
      <c r="OAA26"/>
      <c r="OAB26"/>
      <c r="OAC26"/>
      <c r="OAD26"/>
      <c r="OAE26"/>
      <c r="OAF26"/>
      <c r="OAG26"/>
      <c r="OAH26"/>
      <c r="OAI26"/>
      <c r="OAJ26"/>
      <c r="OAK26"/>
      <c r="OAL26"/>
      <c r="OAM26"/>
      <c r="OAN26"/>
      <c r="OAO26"/>
      <c r="OAP26"/>
      <c r="OAQ26"/>
      <c r="OAR26"/>
      <c r="OAS26"/>
      <c r="OAT26"/>
      <c r="OAU26"/>
      <c r="OAV26"/>
      <c r="OAW26"/>
      <c r="OAX26"/>
      <c r="OAY26"/>
      <c r="OAZ26"/>
      <c r="OBA26"/>
      <c r="OBB26"/>
      <c r="OBC26"/>
      <c r="OBD26"/>
      <c r="OBE26"/>
      <c r="OBF26"/>
      <c r="OBG26"/>
      <c r="OBH26"/>
      <c r="OBI26"/>
      <c r="OBJ26"/>
      <c r="OBK26"/>
      <c r="OBL26"/>
      <c r="OBM26"/>
      <c r="OBN26"/>
      <c r="OBO26"/>
      <c r="OBP26"/>
      <c r="OBQ26"/>
      <c r="OBR26"/>
      <c r="OBS26"/>
      <c r="OBT26"/>
      <c r="OBU26"/>
      <c r="OBV26"/>
      <c r="OBW26"/>
      <c r="OBX26"/>
      <c r="OBY26"/>
      <c r="OBZ26"/>
      <c r="OCA26"/>
      <c r="OCB26"/>
      <c r="OCC26"/>
      <c r="OCD26"/>
      <c r="OCE26"/>
      <c r="OCF26"/>
      <c r="OCG26"/>
      <c r="OCH26"/>
      <c r="OCI26"/>
      <c r="OCJ26"/>
      <c r="OCK26"/>
      <c r="OCL26"/>
      <c r="OCM26"/>
      <c r="OCN26"/>
      <c r="OCO26"/>
      <c r="OCP26"/>
      <c r="OCQ26"/>
      <c r="OCR26"/>
      <c r="OCS26"/>
      <c r="OCT26"/>
      <c r="OCU26"/>
      <c r="OCV26"/>
      <c r="OCW26"/>
      <c r="OCX26"/>
      <c r="OCY26"/>
      <c r="OCZ26"/>
      <c r="ODA26"/>
      <c r="ODB26"/>
      <c r="ODC26"/>
      <c r="ODD26"/>
      <c r="ODE26"/>
      <c r="ODF26"/>
      <c r="ODG26"/>
      <c r="ODH26"/>
      <c r="ODI26"/>
      <c r="ODJ26"/>
      <c r="ODK26"/>
      <c r="ODL26"/>
      <c r="ODM26"/>
      <c r="ODN26"/>
      <c r="ODO26"/>
      <c r="ODP26"/>
      <c r="ODQ26"/>
      <c r="ODR26"/>
      <c r="ODS26"/>
      <c r="ODT26"/>
      <c r="ODU26"/>
      <c r="ODV26"/>
      <c r="ODW26"/>
      <c r="ODX26"/>
      <c r="ODY26"/>
      <c r="ODZ26"/>
      <c r="OEA26"/>
      <c r="OEB26"/>
      <c r="OEC26"/>
      <c r="OED26"/>
      <c r="OEE26"/>
      <c r="OEF26"/>
      <c r="OEG26"/>
      <c r="OEH26"/>
      <c r="OEI26"/>
      <c r="OEJ26"/>
      <c r="OEK26"/>
      <c r="OEL26"/>
      <c r="OEM26"/>
      <c r="OEN26"/>
      <c r="OEO26"/>
      <c r="OEP26"/>
      <c r="OEQ26"/>
      <c r="OER26"/>
      <c r="OES26"/>
      <c r="OET26"/>
      <c r="OEU26"/>
      <c r="OEV26"/>
      <c r="OEW26"/>
      <c r="OEX26"/>
      <c r="OEY26"/>
      <c r="OEZ26"/>
      <c r="OFA26"/>
      <c r="OFB26"/>
      <c r="OFC26"/>
      <c r="OFD26"/>
      <c r="OFE26"/>
      <c r="OFF26"/>
      <c r="OFG26"/>
      <c r="OFH26"/>
      <c r="OFI26"/>
      <c r="OFJ26"/>
      <c r="OFK26"/>
      <c r="OFL26"/>
      <c r="OFM26"/>
      <c r="OFN26"/>
      <c r="OFO26"/>
      <c r="OFP26"/>
      <c r="OFQ26"/>
      <c r="OFR26"/>
      <c r="OFS26"/>
      <c r="OFT26"/>
      <c r="OFU26"/>
      <c r="OFV26"/>
      <c r="OFW26"/>
      <c r="OFX26"/>
      <c r="OFY26"/>
      <c r="OFZ26"/>
      <c r="OGA26"/>
      <c r="OGB26"/>
      <c r="OGC26"/>
      <c r="OGD26"/>
      <c r="OGE26"/>
      <c r="OGF26"/>
      <c r="OGG26"/>
      <c r="OGH26"/>
      <c r="OGI26"/>
      <c r="OGJ26"/>
      <c r="OGK26"/>
      <c r="OGL26"/>
      <c r="OGM26"/>
      <c r="OGN26"/>
      <c r="OGO26"/>
      <c r="OGP26"/>
      <c r="OGQ26"/>
      <c r="OGR26"/>
      <c r="OGS26"/>
      <c r="OGT26"/>
      <c r="OGU26"/>
      <c r="OGV26"/>
      <c r="OGW26"/>
      <c r="OGX26"/>
      <c r="OGY26"/>
      <c r="OGZ26"/>
      <c r="OHA26"/>
      <c r="OHB26"/>
      <c r="OHC26"/>
      <c r="OHD26"/>
      <c r="OHE26"/>
      <c r="OHF26"/>
      <c r="OHG26"/>
      <c r="OHH26"/>
      <c r="OHI26"/>
      <c r="OHJ26"/>
      <c r="OHK26"/>
      <c r="OHL26"/>
      <c r="OHM26"/>
      <c r="OHN26"/>
      <c r="OHO26"/>
      <c r="OHP26"/>
      <c r="OHQ26"/>
      <c r="OHR26"/>
      <c r="OHS26"/>
      <c r="OHT26"/>
      <c r="OHU26"/>
      <c r="OHV26"/>
      <c r="OHW26"/>
      <c r="OHX26"/>
      <c r="OHY26"/>
      <c r="OHZ26"/>
      <c r="OIA26"/>
      <c r="OIB26"/>
      <c r="OIC26"/>
      <c r="OID26"/>
      <c r="OIE26"/>
      <c r="OIF26"/>
      <c r="OIG26"/>
      <c r="OIH26"/>
      <c r="OII26"/>
      <c r="OIJ26"/>
      <c r="OIK26"/>
      <c r="OIL26"/>
      <c r="OIM26"/>
      <c r="OIN26"/>
      <c r="OIO26"/>
      <c r="OIP26"/>
      <c r="OIQ26"/>
      <c r="OIR26"/>
      <c r="OIS26"/>
      <c r="OIT26"/>
      <c r="OIU26"/>
      <c r="OIV26"/>
      <c r="OIW26"/>
      <c r="OIX26"/>
      <c r="OIY26"/>
      <c r="OIZ26"/>
      <c r="OJA26"/>
      <c r="OJB26"/>
      <c r="OJC26"/>
      <c r="OJD26"/>
      <c r="OJE26"/>
      <c r="OJF26"/>
      <c r="OJG26"/>
      <c r="OJH26"/>
      <c r="OJI26"/>
      <c r="OJJ26"/>
      <c r="OJK26"/>
      <c r="OJL26"/>
      <c r="OJM26"/>
      <c r="OJN26"/>
      <c r="OJO26"/>
      <c r="OJP26"/>
      <c r="OJQ26"/>
      <c r="OJR26"/>
      <c r="OJS26"/>
      <c r="OJT26"/>
      <c r="OJU26"/>
      <c r="OJV26"/>
      <c r="OJW26"/>
      <c r="OJX26"/>
      <c r="OJY26"/>
      <c r="OJZ26"/>
      <c r="OKA26"/>
      <c r="OKB26"/>
      <c r="OKC26"/>
      <c r="OKD26"/>
      <c r="OKE26"/>
      <c r="OKF26"/>
      <c r="OKG26"/>
      <c r="OKH26"/>
      <c r="OKI26"/>
      <c r="OKJ26"/>
      <c r="OKK26"/>
      <c r="OKL26"/>
      <c r="OKM26"/>
      <c r="OKN26"/>
      <c r="OKO26"/>
      <c r="OKP26"/>
      <c r="OKQ26"/>
      <c r="OKR26"/>
      <c r="OKS26"/>
      <c r="OKT26"/>
      <c r="OKU26"/>
      <c r="OKV26"/>
      <c r="OKW26"/>
      <c r="OKX26"/>
      <c r="OKY26"/>
      <c r="OKZ26"/>
      <c r="OLA26"/>
      <c r="OLB26"/>
      <c r="OLC26"/>
      <c r="OLD26"/>
      <c r="OLE26"/>
      <c r="OLF26"/>
      <c r="OLG26"/>
      <c r="OLH26"/>
      <c r="OLI26"/>
      <c r="OLJ26"/>
      <c r="OLK26"/>
      <c r="OLL26"/>
      <c r="OLM26"/>
      <c r="OLN26"/>
      <c r="OLO26"/>
      <c r="OLP26"/>
      <c r="OLQ26"/>
      <c r="OLR26"/>
      <c r="OLS26"/>
      <c r="OLT26"/>
      <c r="OLU26"/>
      <c r="OLV26"/>
      <c r="OLW26"/>
      <c r="OLX26"/>
      <c r="OLY26"/>
      <c r="OLZ26"/>
      <c r="OMA26"/>
      <c r="OMB26"/>
      <c r="OMC26"/>
      <c r="OMD26"/>
      <c r="OME26"/>
      <c r="OMF26"/>
      <c r="OMG26"/>
      <c r="OMH26"/>
      <c r="OMI26"/>
      <c r="OMJ26"/>
      <c r="OMK26"/>
      <c r="OML26"/>
      <c r="OMM26"/>
      <c r="OMN26"/>
      <c r="OMO26"/>
      <c r="OMP26"/>
      <c r="OMQ26"/>
      <c r="OMR26"/>
      <c r="OMS26"/>
      <c r="OMT26"/>
      <c r="OMU26"/>
      <c r="OMV26"/>
      <c r="OMW26"/>
      <c r="OMX26"/>
      <c r="OMY26"/>
      <c r="OMZ26"/>
      <c r="ONA26"/>
      <c r="ONB26"/>
      <c r="ONC26"/>
      <c r="OND26"/>
      <c r="ONE26"/>
      <c r="ONF26"/>
      <c r="ONG26"/>
      <c r="ONH26"/>
      <c r="ONI26"/>
      <c r="ONJ26"/>
      <c r="ONK26"/>
      <c r="ONL26"/>
      <c r="ONM26"/>
      <c r="ONN26"/>
      <c r="ONO26"/>
      <c r="ONP26"/>
      <c r="ONQ26"/>
      <c r="ONR26"/>
      <c r="ONS26"/>
      <c r="ONT26"/>
      <c r="ONU26"/>
      <c r="ONV26"/>
      <c r="ONW26"/>
      <c r="ONX26"/>
      <c r="ONY26"/>
      <c r="ONZ26"/>
      <c r="OOA26"/>
      <c r="OOB26"/>
      <c r="OOC26"/>
      <c r="OOD26"/>
      <c r="OOE26"/>
      <c r="OOF26"/>
      <c r="OOG26"/>
      <c r="OOH26"/>
      <c r="OOI26"/>
      <c r="OOJ26"/>
      <c r="OOK26"/>
      <c r="OOL26"/>
      <c r="OOM26"/>
      <c r="OON26"/>
      <c r="OOO26"/>
      <c r="OOP26"/>
      <c r="OOQ26"/>
      <c r="OOR26"/>
      <c r="OOS26"/>
      <c r="OOT26"/>
      <c r="OOU26"/>
      <c r="OOV26"/>
      <c r="OOW26"/>
      <c r="OOX26"/>
      <c r="OOY26"/>
      <c r="OOZ26"/>
      <c r="OPA26"/>
      <c r="OPB26"/>
      <c r="OPC26"/>
      <c r="OPD26"/>
      <c r="OPE26"/>
      <c r="OPF26"/>
      <c r="OPG26"/>
      <c r="OPH26"/>
      <c r="OPI26"/>
      <c r="OPJ26"/>
      <c r="OPK26"/>
      <c r="OPL26"/>
      <c r="OPM26"/>
      <c r="OPN26"/>
      <c r="OPO26"/>
      <c r="OPP26"/>
      <c r="OPQ26"/>
      <c r="OPR26"/>
      <c r="OPS26"/>
      <c r="OPT26"/>
      <c r="OPU26"/>
      <c r="OPV26"/>
      <c r="OPW26"/>
      <c r="OPX26"/>
      <c r="OPY26"/>
      <c r="OPZ26"/>
      <c r="OQA26"/>
      <c r="OQB26"/>
      <c r="OQC26"/>
      <c r="OQD26"/>
      <c r="OQE26"/>
      <c r="OQF26"/>
      <c r="OQG26"/>
      <c r="OQH26"/>
      <c r="OQI26"/>
      <c r="OQJ26"/>
      <c r="OQK26"/>
      <c r="OQL26"/>
      <c r="OQM26"/>
      <c r="OQN26"/>
      <c r="OQO26"/>
      <c r="OQP26"/>
      <c r="OQQ26"/>
      <c r="OQR26"/>
      <c r="OQS26"/>
      <c r="OQT26"/>
      <c r="OQU26"/>
      <c r="OQV26"/>
      <c r="OQW26"/>
      <c r="OQX26"/>
      <c r="OQY26"/>
      <c r="OQZ26"/>
      <c r="ORA26"/>
      <c r="ORB26"/>
      <c r="ORC26"/>
      <c r="ORD26"/>
      <c r="ORE26"/>
      <c r="ORF26"/>
      <c r="ORG26"/>
      <c r="ORH26"/>
      <c r="ORI26"/>
      <c r="ORJ26"/>
      <c r="ORK26"/>
      <c r="ORL26"/>
      <c r="ORM26"/>
      <c r="ORN26"/>
      <c r="ORO26"/>
      <c r="ORP26"/>
      <c r="ORQ26"/>
      <c r="ORR26"/>
      <c r="ORS26"/>
      <c r="ORT26"/>
      <c r="ORU26"/>
      <c r="ORV26"/>
      <c r="ORW26"/>
      <c r="ORX26"/>
      <c r="ORY26"/>
      <c r="ORZ26"/>
      <c r="OSA26"/>
      <c r="OSB26"/>
      <c r="OSC26"/>
      <c r="OSD26"/>
      <c r="OSE26"/>
      <c r="OSF26"/>
      <c r="OSG26"/>
      <c r="OSH26"/>
      <c r="OSI26"/>
      <c r="OSJ26"/>
      <c r="OSK26"/>
      <c r="OSL26"/>
      <c r="OSM26"/>
      <c r="OSN26"/>
      <c r="OSO26"/>
      <c r="OSP26"/>
      <c r="OSQ26"/>
      <c r="OSR26"/>
      <c r="OSS26"/>
      <c r="OST26"/>
      <c r="OSU26"/>
      <c r="OSV26"/>
      <c r="OSW26"/>
      <c r="OSX26"/>
      <c r="OSY26"/>
      <c r="OSZ26"/>
      <c r="OTA26"/>
      <c r="OTB26"/>
      <c r="OTC26"/>
      <c r="OTD26"/>
      <c r="OTE26"/>
      <c r="OTF26"/>
      <c r="OTG26"/>
      <c r="OTH26"/>
      <c r="OTI26"/>
      <c r="OTJ26"/>
      <c r="OTK26"/>
      <c r="OTL26"/>
      <c r="OTM26"/>
      <c r="OTN26"/>
      <c r="OTO26"/>
      <c r="OTP26"/>
      <c r="OTQ26"/>
      <c r="OTR26"/>
      <c r="OTS26"/>
      <c r="OTT26"/>
      <c r="OTU26"/>
      <c r="OTV26"/>
      <c r="OTW26"/>
      <c r="OTX26"/>
      <c r="OTY26"/>
      <c r="OTZ26"/>
      <c r="OUA26"/>
      <c r="OUB26"/>
      <c r="OUC26"/>
      <c r="OUD26"/>
      <c r="OUE26"/>
      <c r="OUF26"/>
      <c r="OUG26"/>
      <c r="OUH26"/>
      <c r="OUI26"/>
      <c r="OUJ26"/>
      <c r="OUK26"/>
      <c r="OUL26"/>
      <c r="OUM26"/>
      <c r="OUN26"/>
      <c r="OUO26"/>
      <c r="OUP26"/>
      <c r="OUQ26"/>
      <c r="OUR26"/>
      <c r="OUS26"/>
      <c r="OUT26"/>
      <c r="OUU26"/>
      <c r="OUV26"/>
      <c r="OUW26"/>
      <c r="OUX26"/>
      <c r="OUY26"/>
      <c r="OUZ26"/>
      <c r="OVA26"/>
      <c r="OVB26"/>
      <c r="OVC26"/>
      <c r="OVD26"/>
      <c r="OVE26"/>
      <c r="OVF26"/>
      <c r="OVG26"/>
      <c r="OVH26"/>
      <c r="OVI26"/>
      <c r="OVJ26"/>
      <c r="OVK26"/>
      <c r="OVL26"/>
      <c r="OVM26"/>
      <c r="OVN26"/>
      <c r="OVO26"/>
      <c r="OVP26"/>
      <c r="OVQ26"/>
      <c r="OVR26"/>
      <c r="OVS26"/>
      <c r="OVT26"/>
      <c r="OVU26"/>
      <c r="OVV26"/>
      <c r="OVW26"/>
      <c r="OVX26"/>
      <c r="OVY26"/>
      <c r="OVZ26"/>
      <c r="OWA26"/>
      <c r="OWB26"/>
      <c r="OWC26"/>
      <c r="OWD26"/>
      <c r="OWE26"/>
      <c r="OWF26"/>
      <c r="OWG26"/>
      <c r="OWH26"/>
      <c r="OWI26"/>
      <c r="OWJ26"/>
      <c r="OWK26"/>
      <c r="OWL26"/>
      <c r="OWM26"/>
      <c r="OWN26"/>
      <c r="OWO26"/>
      <c r="OWP26"/>
      <c r="OWQ26"/>
      <c r="OWR26"/>
      <c r="OWS26"/>
      <c r="OWT26"/>
      <c r="OWU26"/>
      <c r="OWV26"/>
      <c r="OWW26"/>
      <c r="OWX26"/>
      <c r="OWY26"/>
      <c r="OWZ26"/>
      <c r="OXA26"/>
      <c r="OXB26"/>
      <c r="OXC26"/>
      <c r="OXD26"/>
      <c r="OXE26"/>
      <c r="OXF26"/>
      <c r="OXG26"/>
      <c r="OXH26"/>
      <c r="OXI26"/>
      <c r="OXJ26"/>
      <c r="OXK26"/>
      <c r="OXL26"/>
      <c r="OXM26"/>
      <c r="OXN26"/>
      <c r="OXO26"/>
      <c r="OXP26"/>
      <c r="OXQ26"/>
      <c r="OXR26"/>
      <c r="OXS26"/>
      <c r="OXT26"/>
      <c r="OXU26"/>
      <c r="OXV26"/>
      <c r="OXW26"/>
      <c r="OXX26"/>
      <c r="OXY26"/>
      <c r="OXZ26"/>
      <c r="OYA26"/>
      <c r="OYB26"/>
      <c r="OYC26"/>
      <c r="OYD26"/>
      <c r="OYE26"/>
      <c r="OYF26"/>
      <c r="OYG26"/>
      <c r="OYH26"/>
      <c r="OYI26"/>
      <c r="OYJ26"/>
      <c r="OYK26"/>
      <c r="OYL26"/>
      <c r="OYM26"/>
      <c r="OYN26"/>
      <c r="OYO26"/>
      <c r="OYP26"/>
      <c r="OYQ26"/>
      <c r="OYR26"/>
      <c r="OYS26"/>
      <c r="OYT26"/>
      <c r="OYU26"/>
      <c r="OYV26"/>
      <c r="OYW26"/>
      <c r="OYX26"/>
      <c r="OYY26"/>
      <c r="OYZ26"/>
      <c r="OZA26"/>
      <c r="OZB26"/>
      <c r="OZC26"/>
      <c r="OZD26"/>
      <c r="OZE26"/>
      <c r="OZF26"/>
      <c r="OZG26"/>
      <c r="OZH26"/>
      <c r="OZI26"/>
      <c r="OZJ26"/>
      <c r="OZK26"/>
      <c r="OZL26"/>
      <c r="OZM26"/>
      <c r="OZN26"/>
      <c r="OZO26"/>
      <c r="OZP26"/>
      <c r="OZQ26"/>
      <c r="OZR26"/>
      <c r="OZS26"/>
      <c r="OZT26"/>
      <c r="OZU26"/>
      <c r="OZV26"/>
      <c r="OZW26"/>
      <c r="OZX26"/>
      <c r="OZY26"/>
      <c r="OZZ26"/>
      <c r="PAA26"/>
      <c r="PAB26"/>
      <c r="PAC26"/>
      <c r="PAD26"/>
      <c r="PAE26"/>
      <c r="PAF26"/>
      <c r="PAG26"/>
      <c r="PAH26"/>
      <c r="PAI26"/>
      <c r="PAJ26"/>
      <c r="PAK26"/>
      <c r="PAL26"/>
      <c r="PAM26"/>
      <c r="PAN26"/>
      <c r="PAO26"/>
      <c r="PAP26"/>
      <c r="PAQ26"/>
      <c r="PAR26"/>
      <c r="PAS26"/>
      <c r="PAT26"/>
      <c r="PAU26"/>
      <c r="PAV26"/>
      <c r="PAW26"/>
      <c r="PAX26"/>
      <c r="PAY26"/>
      <c r="PAZ26"/>
      <c r="PBA26"/>
      <c r="PBB26"/>
      <c r="PBC26"/>
      <c r="PBD26"/>
      <c r="PBE26"/>
      <c r="PBF26"/>
      <c r="PBG26"/>
      <c r="PBH26"/>
      <c r="PBI26"/>
      <c r="PBJ26"/>
      <c r="PBK26"/>
      <c r="PBL26"/>
      <c r="PBM26"/>
      <c r="PBN26"/>
      <c r="PBO26"/>
      <c r="PBP26"/>
      <c r="PBQ26"/>
      <c r="PBR26"/>
      <c r="PBS26"/>
      <c r="PBT26"/>
      <c r="PBU26"/>
      <c r="PBV26"/>
      <c r="PBW26"/>
      <c r="PBX26"/>
      <c r="PBY26"/>
      <c r="PBZ26"/>
      <c r="PCA26"/>
      <c r="PCB26"/>
      <c r="PCC26"/>
      <c r="PCD26"/>
      <c r="PCE26"/>
      <c r="PCF26"/>
      <c r="PCG26"/>
      <c r="PCH26"/>
      <c r="PCI26"/>
      <c r="PCJ26"/>
      <c r="PCK26"/>
      <c r="PCL26"/>
      <c r="PCM26"/>
      <c r="PCN26"/>
      <c r="PCO26"/>
      <c r="PCP26"/>
      <c r="PCQ26"/>
      <c r="PCR26"/>
      <c r="PCS26"/>
      <c r="PCT26"/>
      <c r="PCU26"/>
      <c r="PCV26"/>
      <c r="PCW26"/>
      <c r="PCX26"/>
      <c r="PCY26"/>
      <c r="PCZ26"/>
      <c r="PDA26"/>
      <c r="PDB26"/>
      <c r="PDC26"/>
      <c r="PDD26"/>
      <c r="PDE26"/>
      <c r="PDF26"/>
      <c r="PDG26"/>
      <c r="PDH26"/>
      <c r="PDI26"/>
      <c r="PDJ26"/>
      <c r="PDK26"/>
      <c r="PDL26"/>
      <c r="PDM26"/>
      <c r="PDN26"/>
      <c r="PDO26"/>
      <c r="PDP26"/>
      <c r="PDQ26"/>
      <c r="PDR26"/>
      <c r="PDS26"/>
      <c r="PDT26"/>
      <c r="PDU26"/>
      <c r="PDV26"/>
      <c r="PDW26"/>
      <c r="PDX26"/>
      <c r="PDY26"/>
      <c r="PDZ26"/>
      <c r="PEA26"/>
      <c r="PEB26"/>
      <c r="PEC26"/>
      <c r="PED26"/>
      <c r="PEE26"/>
      <c r="PEF26"/>
      <c r="PEG26"/>
      <c r="PEH26"/>
      <c r="PEI26"/>
      <c r="PEJ26"/>
      <c r="PEK26"/>
      <c r="PEL26"/>
      <c r="PEM26"/>
      <c r="PEN26"/>
      <c r="PEO26"/>
      <c r="PEP26"/>
      <c r="PEQ26"/>
      <c r="PER26"/>
      <c r="PES26"/>
      <c r="PET26"/>
      <c r="PEU26"/>
      <c r="PEV26"/>
      <c r="PEW26"/>
      <c r="PEX26"/>
      <c r="PEY26"/>
      <c r="PEZ26"/>
      <c r="PFA26"/>
      <c r="PFB26"/>
      <c r="PFC26"/>
      <c r="PFD26"/>
      <c r="PFE26"/>
      <c r="PFF26"/>
      <c r="PFG26"/>
      <c r="PFH26"/>
      <c r="PFI26"/>
      <c r="PFJ26"/>
      <c r="PFK26"/>
      <c r="PFL26"/>
      <c r="PFM26"/>
      <c r="PFN26"/>
      <c r="PFO26"/>
      <c r="PFP26"/>
      <c r="PFQ26"/>
      <c r="PFR26"/>
      <c r="PFS26"/>
      <c r="PFT26"/>
      <c r="PFU26"/>
      <c r="PFV26"/>
      <c r="PFW26"/>
      <c r="PFX26"/>
      <c r="PFY26"/>
      <c r="PFZ26"/>
      <c r="PGA26"/>
      <c r="PGB26"/>
      <c r="PGC26"/>
      <c r="PGD26"/>
      <c r="PGE26"/>
      <c r="PGF26"/>
      <c r="PGG26"/>
      <c r="PGH26"/>
      <c r="PGI26"/>
      <c r="PGJ26"/>
      <c r="PGK26"/>
      <c r="PGL26"/>
      <c r="PGM26"/>
      <c r="PGN26"/>
      <c r="PGO26"/>
      <c r="PGP26"/>
      <c r="PGQ26"/>
      <c r="PGR26"/>
      <c r="PGS26"/>
      <c r="PGT26"/>
      <c r="PGU26"/>
      <c r="PGV26"/>
      <c r="PGW26"/>
      <c r="PGX26"/>
      <c r="PGY26"/>
      <c r="PGZ26"/>
      <c r="PHA26"/>
      <c r="PHB26"/>
      <c r="PHC26"/>
      <c r="PHD26"/>
      <c r="PHE26"/>
      <c r="PHF26"/>
      <c r="PHG26"/>
      <c r="PHH26"/>
      <c r="PHI26"/>
      <c r="PHJ26"/>
      <c r="PHK26"/>
      <c r="PHL26"/>
      <c r="PHM26"/>
      <c r="PHN26"/>
      <c r="PHO26"/>
      <c r="PHP26"/>
      <c r="PHQ26"/>
      <c r="PHR26"/>
      <c r="PHS26"/>
      <c r="PHT26"/>
      <c r="PHU26"/>
      <c r="PHV26"/>
      <c r="PHW26"/>
      <c r="PHX26"/>
      <c r="PHY26"/>
      <c r="PHZ26"/>
      <c r="PIA26"/>
      <c r="PIB26"/>
      <c r="PIC26"/>
      <c r="PID26"/>
      <c r="PIE26"/>
      <c r="PIF26"/>
      <c r="PIG26"/>
      <c r="PIH26"/>
      <c r="PII26"/>
      <c r="PIJ26"/>
      <c r="PIK26"/>
      <c r="PIL26"/>
      <c r="PIM26"/>
      <c r="PIN26"/>
      <c r="PIO26"/>
      <c r="PIP26"/>
      <c r="PIQ26"/>
      <c r="PIR26"/>
      <c r="PIS26"/>
      <c r="PIT26"/>
      <c r="PIU26"/>
      <c r="PIV26"/>
      <c r="PIW26"/>
      <c r="PIX26"/>
      <c r="PIY26"/>
      <c r="PIZ26"/>
      <c r="PJA26"/>
      <c r="PJB26"/>
      <c r="PJC26"/>
      <c r="PJD26"/>
      <c r="PJE26"/>
      <c r="PJF26"/>
      <c r="PJG26"/>
      <c r="PJH26"/>
      <c r="PJI26"/>
      <c r="PJJ26"/>
      <c r="PJK26"/>
      <c r="PJL26"/>
      <c r="PJM26"/>
      <c r="PJN26"/>
      <c r="PJO26"/>
      <c r="PJP26"/>
      <c r="PJQ26"/>
      <c r="PJR26"/>
      <c r="PJS26"/>
      <c r="PJT26"/>
      <c r="PJU26"/>
      <c r="PJV26"/>
      <c r="PJW26"/>
      <c r="PJX26"/>
      <c r="PJY26"/>
      <c r="PJZ26"/>
      <c r="PKA26"/>
      <c r="PKB26"/>
      <c r="PKC26"/>
      <c r="PKD26"/>
      <c r="PKE26"/>
      <c r="PKF26"/>
      <c r="PKG26"/>
      <c r="PKH26"/>
      <c r="PKI26"/>
      <c r="PKJ26"/>
      <c r="PKK26"/>
      <c r="PKL26"/>
      <c r="PKM26"/>
      <c r="PKN26"/>
      <c r="PKO26"/>
      <c r="PKP26"/>
      <c r="PKQ26"/>
      <c r="PKR26"/>
      <c r="PKS26"/>
      <c r="PKT26"/>
      <c r="PKU26"/>
      <c r="PKV26"/>
      <c r="PKW26"/>
      <c r="PKX26"/>
      <c r="PKY26"/>
      <c r="PKZ26"/>
      <c r="PLA26"/>
      <c r="PLB26"/>
      <c r="PLC26"/>
      <c r="PLD26"/>
      <c r="PLE26"/>
      <c r="PLF26"/>
      <c r="PLG26"/>
      <c r="PLH26"/>
      <c r="PLI26"/>
      <c r="PLJ26"/>
      <c r="PLK26"/>
      <c r="PLL26"/>
      <c r="PLM26"/>
      <c r="PLN26"/>
      <c r="PLO26"/>
      <c r="PLP26"/>
      <c r="PLQ26"/>
      <c r="PLR26"/>
      <c r="PLS26"/>
      <c r="PLT26"/>
      <c r="PLU26"/>
      <c r="PLV26"/>
      <c r="PLW26"/>
      <c r="PLX26"/>
      <c r="PLY26"/>
      <c r="PLZ26"/>
      <c r="PMA26"/>
      <c r="PMB26"/>
      <c r="PMC26"/>
      <c r="PMD26"/>
      <c r="PME26"/>
      <c r="PMF26"/>
      <c r="PMG26"/>
      <c r="PMH26"/>
      <c r="PMI26"/>
      <c r="PMJ26"/>
      <c r="PMK26"/>
      <c r="PML26"/>
      <c r="PMM26"/>
      <c r="PMN26"/>
      <c r="PMO26"/>
      <c r="PMP26"/>
      <c r="PMQ26"/>
      <c r="PMR26"/>
      <c r="PMS26"/>
      <c r="PMT26"/>
      <c r="PMU26"/>
      <c r="PMV26"/>
      <c r="PMW26"/>
      <c r="PMX26"/>
      <c r="PMY26"/>
      <c r="PMZ26"/>
      <c r="PNA26"/>
      <c r="PNB26"/>
      <c r="PNC26"/>
      <c r="PND26"/>
      <c r="PNE26"/>
      <c r="PNF26"/>
      <c r="PNG26"/>
      <c r="PNH26"/>
      <c r="PNI26"/>
      <c r="PNJ26"/>
      <c r="PNK26"/>
      <c r="PNL26"/>
      <c r="PNM26"/>
      <c r="PNN26"/>
      <c r="PNO26"/>
      <c r="PNP26"/>
      <c r="PNQ26"/>
      <c r="PNR26"/>
      <c r="PNS26"/>
      <c r="PNT26"/>
      <c r="PNU26"/>
      <c r="PNV26"/>
      <c r="PNW26"/>
      <c r="PNX26"/>
      <c r="PNY26"/>
      <c r="PNZ26"/>
      <c r="POA26"/>
      <c r="POB26"/>
      <c r="POC26"/>
      <c r="POD26"/>
      <c r="POE26"/>
      <c r="POF26"/>
      <c r="POG26"/>
      <c r="POH26"/>
      <c r="POI26"/>
      <c r="POJ26"/>
      <c r="POK26"/>
      <c r="POL26"/>
      <c r="POM26"/>
      <c r="PON26"/>
      <c r="POO26"/>
      <c r="POP26"/>
      <c r="POQ26"/>
      <c r="POR26"/>
      <c r="POS26"/>
      <c r="POT26"/>
      <c r="POU26"/>
      <c r="POV26"/>
      <c r="POW26"/>
      <c r="POX26"/>
      <c r="POY26"/>
      <c r="POZ26"/>
      <c r="PPA26"/>
      <c r="PPB26"/>
      <c r="PPC26"/>
      <c r="PPD26"/>
      <c r="PPE26"/>
      <c r="PPF26"/>
      <c r="PPG26"/>
      <c r="PPH26"/>
      <c r="PPI26"/>
      <c r="PPJ26"/>
      <c r="PPK26"/>
      <c r="PPL26"/>
      <c r="PPM26"/>
      <c r="PPN26"/>
      <c r="PPO26"/>
      <c r="PPP26"/>
      <c r="PPQ26"/>
      <c r="PPR26"/>
      <c r="PPS26"/>
      <c r="PPT26"/>
      <c r="PPU26"/>
      <c r="PPV26"/>
      <c r="PPW26"/>
      <c r="PPX26"/>
      <c r="PPY26"/>
      <c r="PPZ26"/>
      <c r="PQA26"/>
      <c r="PQB26"/>
      <c r="PQC26"/>
      <c r="PQD26"/>
      <c r="PQE26"/>
      <c r="PQF26"/>
      <c r="PQG26"/>
      <c r="PQH26"/>
      <c r="PQI26"/>
      <c r="PQJ26"/>
      <c r="PQK26"/>
      <c r="PQL26"/>
      <c r="PQM26"/>
      <c r="PQN26"/>
      <c r="PQO26"/>
      <c r="PQP26"/>
      <c r="PQQ26"/>
      <c r="PQR26"/>
      <c r="PQS26"/>
      <c r="PQT26"/>
      <c r="PQU26"/>
      <c r="PQV26"/>
      <c r="PQW26"/>
      <c r="PQX26"/>
      <c r="PQY26"/>
      <c r="PQZ26"/>
      <c r="PRA26"/>
      <c r="PRB26"/>
      <c r="PRC26"/>
      <c r="PRD26"/>
      <c r="PRE26"/>
      <c r="PRF26"/>
      <c r="PRG26"/>
      <c r="PRH26"/>
      <c r="PRI26"/>
      <c r="PRJ26"/>
      <c r="PRK26"/>
      <c r="PRL26"/>
      <c r="PRM26"/>
      <c r="PRN26"/>
      <c r="PRO26"/>
      <c r="PRP26"/>
      <c r="PRQ26"/>
      <c r="PRR26"/>
      <c r="PRS26"/>
      <c r="PRT26"/>
      <c r="PRU26"/>
      <c r="PRV26"/>
      <c r="PRW26"/>
      <c r="PRX26"/>
      <c r="PRY26"/>
      <c r="PRZ26"/>
      <c r="PSA26"/>
      <c r="PSB26"/>
      <c r="PSC26"/>
      <c r="PSD26"/>
      <c r="PSE26"/>
      <c r="PSF26"/>
      <c r="PSG26"/>
      <c r="PSH26"/>
      <c r="PSI26"/>
      <c r="PSJ26"/>
      <c r="PSK26"/>
      <c r="PSL26"/>
      <c r="PSM26"/>
      <c r="PSN26"/>
      <c r="PSO26"/>
      <c r="PSP26"/>
      <c r="PSQ26"/>
      <c r="PSR26"/>
      <c r="PSS26"/>
      <c r="PST26"/>
      <c r="PSU26"/>
      <c r="PSV26"/>
      <c r="PSW26"/>
      <c r="PSX26"/>
      <c r="PSY26"/>
      <c r="PSZ26"/>
      <c r="PTA26"/>
      <c r="PTB26"/>
      <c r="PTC26"/>
      <c r="PTD26"/>
      <c r="PTE26"/>
      <c r="PTF26"/>
      <c r="PTG26"/>
      <c r="PTH26"/>
      <c r="PTI26"/>
      <c r="PTJ26"/>
      <c r="PTK26"/>
      <c r="PTL26"/>
      <c r="PTM26"/>
      <c r="PTN26"/>
      <c r="PTO26"/>
      <c r="PTP26"/>
      <c r="PTQ26"/>
      <c r="PTR26"/>
      <c r="PTS26"/>
      <c r="PTT26"/>
      <c r="PTU26"/>
      <c r="PTV26"/>
      <c r="PTW26"/>
      <c r="PTX26"/>
      <c r="PTY26"/>
      <c r="PTZ26"/>
      <c r="PUA26"/>
      <c r="PUB26"/>
      <c r="PUC26"/>
      <c r="PUD26"/>
      <c r="PUE26"/>
      <c r="PUF26"/>
      <c r="PUG26"/>
      <c r="PUH26"/>
      <c r="PUI26"/>
      <c r="PUJ26"/>
      <c r="PUK26"/>
      <c r="PUL26"/>
      <c r="PUM26"/>
      <c r="PUN26"/>
      <c r="PUO26"/>
      <c r="PUP26"/>
      <c r="PUQ26"/>
      <c r="PUR26"/>
      <c r="PUS26"/>
      <c r="PUT26"/>
      <c r="PUU26"/>
      <c r="PUV26"/>
      <c r="PUW26"/>
      <c r="PUX26"/>
      <c r="PUY26"/>
      <c r="PUZ26"/>
      <c r="PVA26"/>
      <c r="PVB26"/>
      <c r="PVC26"/>
      <c r="PVD26"/>
      <c r="PVE26"/>
      <c r="PVF26"/>
      <c r="PVG26"/>
      <c r="PVH26"/>
      <c r="PVI26"/>
      <c r="PVJ26"/>
      <c r="PVK26"/>
      <c r="PVL26"/>
      <c r="PVM26"/>
      <c r="PVN26"/>
      <c r="PVO26"/>
      <c r="PVP26"/>
      <c r="PVQ26"/>
      <c r="PVR26"/>
      <c r="PVS26"/>
      <c r="PVT26"/>
      <c r="PVU26"/>
      <c r="PVV26"/>
      <c r="PVW26"/>
      <c r="PVX26"/>
      <c r="PVY26"/>
      <c r="PVZ26"/>
      <c r="PWA26"/>
      <c r="PWB26"/>
      <c r="PWC26"/>
      <c r="PWD26"/>
      <c r="PWE26"/>
      <c r="PWF26"/>
      <c r="PWG26"/>
      <c r="PWH26"/>
      <c r="PWI26"/>
      <c r="PWJ26"/>
      <c r="PWK26"/>
      <c r="PWL26"/>
      <c r="PWM26"/>
      <c r="PWN26"/>
      <c r="PWO26"/>
      <c r="PWP26"/>
      <c r="PWQ26"/>
      <c r="PWR26"/>
      <c r="PWS26"/>
      <c r="PWT26"/>
      <c r="PWU26"/>
      <c r="PWV26"/>
      <c r="PWW26"/>
      <c r="PWX26"/>
      <c r="PWY26"/>
      <c r="PWZ26"/>
      <c r="PXA26"/>
      <c r="PXB26"/>
      <c r="PXC26"/>
      <c r="PXD26"/>
      <c r="PXE26"/>
      <c r="PXF26"/>
      <c r="PXG26"/>
      <c r="PXH26"/>
      <c r="PXI26"/>
      <c r="PXJ26"/>
      <c r="PXK26"/>
      <c r="PXL26"/>
      <c r="PXM26"/>
      <c r="PXN26"/>
      <c r="PXO26"/>
      <c r="PXP26"/>
      <c r="PXQ26"/>
      <c r="PXR26"/>
      <c r="PXS26"/>
      <c r="PXT26"/>
      <c r="PXU26"/>
      <c r="PXV26"/>
      <c r="PXW26"/>
      <c r="PXX26"/>
      <c r="PXY26"/>
      <c r="PXZ26"/>
      <c r="PYA26"/>
      <c r="PYB26"/>
      <c r="PYC26"/>
      <c r="PYD26"/>
      <c r="PYE26"/>
      <c r="PYF26"/>
      <c r="PYG26"/>
      <c r="PYH26"/>
      <c r="PYI26"/>
      <c r="PYJ26"/>
      <c r="PYK26"/>
      <c r="PYL26"/>
      <c r="PYM26"/>
      <c r="PYN26"/>
      <c r="PYO26"/>
      <c r="PYP26"/>
      <c r="PYQ26"/>
      <c r="PYR26"/>
      <c r="PYS26"/>
      <c r="PYT26"/>
      <c r="PYU26"/>
      <c r="PYV26"/>
      <c r="PYW26"/>
      <c r="PYX26"/>
      <c r="PYY26"/>
      <c r="PYZ26"/>
      <c r="PZA26"/>
      <c r="PZB26"/>
      <c r="PZC26"/>
      <c r="PZD26"/>
      <c r="PZE26"/>
      <c r="PZF26"/>
      <c r="PZG26"/>
      <c r="PZH26"/>
      <c r="PZI26"/>
      <c r="PZJ26"/>
      <c r="PZK26"/>
      <c r="PZL26"/>
      <c r="PZM26"/>
      <c r="PZN26"/>
      <c r="PZO26"/>
      <c r="PZP26"/>
      <c r="PZQ26"/>
      <c r="PZR26"/>
      <c r="PZS26"/>
      <c r="PZT26"/>
      <c r="PZU26"/>
      <c r="PZV26"/>
      <c r="PZW26"/>
      <c r="PZX26"/>
      <c r="PZY26"/>
      <c r="PZZ26"/>
      <c r="QAA26"/>
      <c r="QAB26"/>
      <c r="QAC26"/>
      <c r="QAD26"/>
      <c r="QAE26"/>
      <c r="QAF26"/>
      <c r="QAG26"/>
      <c r="QAH26"/>
      <c r="QAI26"/>
      <c r="QAJ26"/>
      <c r="QAK26"/>
      <c r="QAL26"/>
      <c r="QAM26"/>
      <c r="QAN26"/>
      <c r="QAO26"/>
      <c r="QAP26"/>
      <c r="QAQ26"/>
      <c r="QAR26"/>
      <c r="QAS26"/>
      <c r="QAT26"/>
      <c r="QAU26"/>
      <c r="QAV26"/>
      <c r="QAW26"/>
      <c r="QAX26"/>
      <c r="QAY26"/>
      <c r="QAZ26"/>
      <c r="QBA26"/>
      <c r="QBB26"/>
      <c r="QBC26"/>
      <c r="QBD26"/>
      <c r="QBE26"/>
      <c r="QBF26"/>
      <c r="QBG26"/>
      <c r="QBH26"/>
      <c r="QBI26"/>
      <c r="QBJ26"/>
      <c r="QBK26"/>
      <c r="QBL26"/>
      <c r="QBM26"/>
      <c r="QBN26"/>
      <c r="QBO26"/>
      <c r="QBP26"/>
      <c r="QBQ26"/>
      <c r="QBR26"/>
      <c r="QBS26"/>
      <c r="QBT26"/>
      <c r="QBU26"/>
      <c r="QBV26"/>
      <c r="QBW26"/>
      <c r="QBX26"/>
      <c r="QBY26"/>
      <c r="QBZ26"/>
      <c r="QCA26"/>
      <c r="QCB26"/>
      <c r="QCC26"/>
      <c r="QCD26"/>
      <c r="QCE26"/>
      <c r="QCF26"/>
      <c r="QCG26"/>
      <c r="QCH26"/>
      <c r="QCI26"/>
      <c r="QCJ26"/>
      <c r="QCK26"/>
      <c r="QCL26"/>
      <c r="QCM26"/>
      <c r="QCN26"/>
      <c r="QCO26"/>
      <c r="QCP26"/>
      <c r="QCQ26"/>
      <c r="QCR26"/>
      <c r="QCS26"/>
      <c r="QCT26"/>
      <c r="QCU26"/>
      <c r="QCV26"/>
      <c r="QCW26"/>
      <c r="QCX26"/>
      <c r="QCY26"/>
      <c r="QCZ26"/>
      <c r="QDA26"/>
      <c r="QDB26"/>
      <c r="QDC26"/>
      <c r="QDD26"/>
      <c r="QDE26"/>
      <c r="QDF26"/>
      <c r="QDG26"/>
      <c r="QDH26"/>
      <c r="QDI26"/>
      <c r="QDJ26"/>
      <c r="QDK26"/>
      <c r="QDL26"/>
      <c r="QDM26"/>
      <c r="QDN26"/>
      <c r="QDO26"/>
      <c r="QDP26"/>
      <c r="QDQ26"/>
      <c r="QDR26"/>
      <c r="QDS26"/>
      <c r="QDT26"/>
      <c r="QDU26"/>
      <c r="QDV26"/>
      <c r="QDW26"/>
      <c r="QDX26"/>
      <c r="QDY26"/>
      <c r="QDZ26"/>
      <c r="QEA26"/>
      <c r="QEB26"/>
      <c r="QEC26"/>
      <c r="QED26"/>
      <c r="QEE26"/>
      <c r="QEF26"/>
      <c r="QEG26"/>
      <c r="QEH26"/>
      <c r="QEI26"/>
      <c r="QEJ26"/>
      <c r="QEK26"/>
      <c r="QEL26"/>
      <c r="QEM26"/>
      <c r="QEN26"/>
      <c r="QEO26"/>
      <c r="QEP26"/>
      <c r="QEQ26"/>
      <c r="QER26"/>
      <c r="QES26"/>
      <c r="QET26"/>
      <c r="QEU26"/>
      <c r="QEV26"/>
      <c r="QEW26"/>
      <c r="QEX26"/>
      <c r="QEY26"/>
      <c r="QEZ26"/>
      <c r="QFA26"/>
      <c r="QFB26"/>
      <c r="QFC26"/>
      <c r="QFD26"/>
      <c r="QFE26"/>
      <c r="QFF26"/>
      <c r="QFG26"/>
      <c r="QFH26"/>
      <c r="QFI26"/>
      <c r="QFJ26"/>
      <c r="QFK26"/>
      <c r="QFL26"/>
      <c r="QFM26"/>
      <c r="QFN26"/>
      <c r="QFO26"/>
      <c r="QFP26"/>
      <c r="QFQ26"/>
      <c r="QFR26"/>
      <c r="QFS26"/>
      <c r="QFT26"/>
      <c r="QFU26"/>
      <c r="QFV26"/>
      <c r="QFW26"/>
      <c r="QFX26"/>
      <c r="QFY26"/>
      <c r="QFZ26"/>
      <c r="QGA26"/>
      <c r="QGB26"/>
      <c r="QGC26"/>
      <c r="QGD26"/>
      <c r="QGE26"/>
      <c r="QGF26"/>
      <c r="QGG26"/>
      <c r="QGH26"/>
      <c r="QGI26"/>
      <c r="QGJ26"/>
      <c r="QGK26"/>
      <c r="QGL26"/>
      <c r="QGM26"/>
      <c r="QGN26"/>
      <c r="QGO26"/>
      <c r="QGP26"/>
      <c r="QGQ26"/>
      <c r="QGR26"/>
      <c r="QGS26"/>
      <c r="QGT26"/>
      <c r="QGU26"/>
      <c r="QGV26"/>
      <c r="QGW26"/>
      <c r="QGX26"/>
      <c r="QGY26"/>
      <c r="QGZ26"/>
      <c r="QHA26"/>
      <c r="QHB26"/>
      <c r="QHC26"/>
      <c r="QHD26"/>
      <c r="QHE26"/>
      <c r="QHF26"/>
      <c r="QHG26"/>
      <c r="QHH26"/>
      <c r="QHI26"/>
      <c r="QHJ26"/>
      <c r="QHK26"/>
      <c r="QHL26"/>
      <c r="QHM26"/>
      <c r="QHN26"/>
      <c r="QHO26"/>
      <c r="QHP26"/>
      <c r="QHQ26"/>
      <c r="QHR26"/>
      <c r="QHS26"/>
      <c r="QHT26"/>
      <c r="QHU26"/>
      <c r="QHV26"/>
      <c r="QHW26"/>
      <c r="QHX26"/>
      <c r="QHY26"/>
      <c r="QHZ26"/>
      <c r="QIA26"/>
      <c r="QIB26"/>
      <c r="QIC26"/>
      <c r="QID26"/>
      <c r="QIE26"/>
      <c r="QIF26"/>
      <c r="QIG26"/>
      <c r="QIH26"/>
      <c r="QII26"/>
      <c r="QIJ26"/>
      <c r="QIK26"/>
      <c r="QIL26"/>
      <c r="QIM26"/>
      <c r="QIN26"/>
      <c r="QIO26"/>
      <c r="QIP26"/>
      <c r="QIQ26"/>
      <c r="QIR26"/>
      <c r="QIS26"/>
      <c r="QIT26"/>
      <c r="QIU26"/>
      <c r="QIV26"/>
      <c r="QIW26"/>
      <c r="QIX26"/>
      <c r="QIY26"/>
      <c r="QIZ26"/>
      <c r="QJA26"/>
      <c r="QJB26"/>
      <c r="QJC26"/>
      <c r="QJD26"/>
      <c r="QJE26"/>
      <c r="QJF26"/>
      <c r="QJG26"/>
      <c r="QJH26"/>
      <c r="QJI26"/>
      <c r="QJJ26"/>
      <c r="QJK26"/>
      <c r="QJL26"/>
      <c r="QJM26"/>
      <c r="QJN26"/>
      <c r="QJO26"/>
      <c r="QJP26"/>
      <c r="QJQ26"/>
      <c r="QJR26"/>
      <c r="QJS26"/>
      <c r="QJT26"/>
      <c r="QJU26"/>
      <c r="QJV26"/>
      <c r="QJW26"/>
      <c r="QJX26"/>
      <c r="QJY26"/>
      <c r="QJZ26"/>
      <c r="QKA26"/>
      <c r="QKB26"/>
      <c r="QKC26"/>
      <c r="QKD26"/>
      <c r="QKE26"/>
      <c r="QKF26"/>
      <c r="QKG26"/>
      <c r="QKH26"/>
      <c r="QKI26"/>
      <c r="QKJ26"/>
      <c r="QKK26"/>
      <c r="QKL26"/>
      <c r="QKM26"/>
      <c r="QKN26"/>
      <c r="QKO26"/>
      <c r="QKP26"/>
      <c r="QKQ26"/>
      <c r="QKR26"/>
      <c r="QKS26"/>
      <c r="QKT26"/>
      <c r="QKU26"/>
      <c r="QKV26"/>
      <c r="QKW26"/>
      <c r="QKX26"/>
      <c r="QKY26"/>
      <c r="QKZ26"/>
      <c r="QLA26"/>
      <c r="QLB26"/>
      <c r="QLC26"/>
      <c r="QLD26"/>
      <c r="QLE26"/>
      <c r="QLF26"/>
      <c r="QLG26"/>
      <c r="QLH26"/>
      <c r="QLI26"/>
      <c r="QLJ26"/>
      <c r="QLK26"/>
      <c r="QLL26"/>
      <c r="QLM26"/>
      <c r="QLN26"/>
      <c r="QLO26"/>
      <c r="QLP26"/>
      <c r="QLQ26"/>
      <c r="QLR26"/>
      <c r="QLS26"/>
      <c r="QLT26"/>
      <c r="QLU26"/>
      <c r="QLV26"/>
      <c r="QLW26"/>
      <c r="QLX26"/>
      <c r="QLY26"/>
      <c r="QLZ26"/>
      <c r="QMA26"/>
      <c r="QMB26"/>
      <c r="QMC26"/>
      <c r="QMD26"/>
      <c r="QME26"/>
      <c r="QMF26"/>
      <c r="QMG26"/>
      <c r="QMH26"/>
      <c r="QMI26"/>
      <c r="QMJ26"/>
      <c r="QMK26"/>
      <c r="QML26"/>
      <c r="QMM26"/>
      <c r="QMN26"/>
      <c r="QMO26"/>
      <c r="QMP26"/>
      <c r="QMQ26"/>
      <c r="QMR26"/>
      <c r="QMS26"/>
      <c r="QMT26"/>
      <c r="QMU26"/>
      <c r="QMV26"/>
      <c r="QMW26"/>
      <c r="QMX26"/>
      <c r="QMY26"/>
      <c r="QMZ26"/>
      <c r="QNA26"/>
      <c r="QNB26"/>
      <c r="QNC26"/>
      <c r="QND26"/>
      <c r="QNE26"/>
      <c r="QNF26"/>
      <c r="QNG26"/>
      <c r="QNH26"/>
      <c r="QNI26"/>
      <c r="QNJ26"/>
      <c r="QNK26"/>
      <c r="QNL26"/>
      <c r="QNM26"/>
      <c r="QNN26"/>
      <c r="QNO26"/>
      <c r="QNP26"/>
      <c r="QNQ26"/>
      <c r="QNR26"/>
      <c r="QNS26"/>
      <c r="QNT26"/>
      <c r="QNU26"/>
      <c r="QNV26"/>
      <c r="QNW26"/>
      <c r="QNX26"/>
      <c r="QNY26"/>
      <c r="QNZ26"/>
      <c r="QOA26"/>
      <c r="QOB26"/>
      <c r="QOC26"/>
      <c r="QOD26"/>
      <c r="QOE26"/>
      <c r="QOF26"/>
      <c r="QOG26"/>
      <c r="QOH26"/>
      <c r="QOI26"/>
      <c r="QOJ26"/>
      <c r="QOK26"/>
      <c r="QOL26"/>
      <c r="QOM26"/>
      <c r="QON26"/>
      <c r="QOO26"/>
      <c r="QOP26"/>
      <c r="QOQ26"/>
      <c r="QOR26"/>
      <c r="QOS26"/>
      <c r="QOT26"/>
      <c r="QOU26"/>
      <c r="QOV26"/>
      <c r="QOW26"/>
      <c r="QOX26"/>
      <c r="QOY26"/>
      <c r="QOZ26"/>
      <c r="QPA26"/>
      <c r="QPB26"/>
      <c r="QPC26"/>
      <c r="QPD26"/>
      <c r="QPE26"/>
      <c r="QPF26"/>
      <c r="QPG26"/>
      <c r="QPH26"/>
      <c r="QPI26"/>
      <c r="QPJ26"/>
      <c r="QPK26"/>
      <c r="QPL26"/>
      <c r="QPM26"/>
      <c r="QPN26"/>
      <c r="QPO26"/>
      <c r="QPP26"/>
      <c r="QPQ26"/>
      <c r="QPR26"/>
      <c r="QPS26"/>
      <c r="QPT26"/>
      <c r="QPU26"/>
      <c r="QPV26"/>
      <c r="QPW26"/>
      <c r="QPX26"/>
      <c r="QPY26"/>
      <c r="QPZ26"/>
      <c r="QQA26"/>
      <c r="QQB26"/>
      <c r="QQC26"/>
      <c r="QQD26"/>
      <c r="QQE26"/>
      <c r="QQF26"/>
      <c r="QQG26"/>
      <c r="QQH26"/>
      <c r="QQI26"/>
      <c r="QQJ26"/>
      <c r="QQK26"/>
      <c r="QQL26"/>
      <c r="QQM26"/>
      <c r="QQN26"/>
      <c r="QQO26"/>
      <c r="QQP26"/>
      <c r="QQQ26"/>
      <c r="QQR26"/>
      <c r="QQS26"/>
      <c r="QQT26"/>
      <c r="QQU26"/>
      <c r="QQV26"/>
      <c r="QQW26"/>
      <c r="QQX26"/>
      <c r="QQY26"/>
      <c r="QQZ26"/>
      <c r="QRA26"/>
      <c r="QRB26"/>
      <c r="QRC26"/>
      <c r="QRD26"/>
      <c r="QRE26"/>
      <c r="QRF26"/>
      <c r="QRG26"/>
      <c r="QRH26"/>
      <c r="QRI26"/>
      <c r="QRJ26"/>
      <c r="QRK26"/>
      <c r="QRL26"/>
      <c r="QRM26"/>
      <c r="QRN26"/>
      <c r="QRO26"/>
      <c r="QRP26"/>
      <c r="QRQ26"/>
      <c r="QRR26"/>
      <c r="QRS26"/>
      <c r="QRT26"/>
      <c r="QRU26"/>
      <c r="QRV26"/>
      <c r="QRW26"/>
      <c r="QRX26"/>
      <c r="QRY26"/>
      <c r="QRZ26"/>
      <c r="QSA26"/>
      <c r="QSB26"/>
      <c r="QSC26"/>
      <c r="QSD26"/>
      <c r="QSE26"/>
      <c r="QSF26"/>
      <c r="QSG26"/>
      <c r="QSH26"/>
      <c r="QSI26"/>
      <c r="QSJ26"/>
      <c r="QSK26"/>
      <c r="QSL26"/>
      <c r="QSM26"/>
      <c r="QSN26"/>
      <c r="QSO26"/>
      <c r="QSP26"/>
      <c r="QSQ26"/>
      <c r="QSR26"/>
      <c r="QSS26"/>
      <c r="QST26"/>
      <c r="QSU26"/>
      <c r="QSV26"/>
      <c r="QSW26"/>
      <c r="QSX26"/>
      <c r="QSY26"/>
      <c r="QSZ26"/>
      <c r="QTA26"/>
      <c r="QTB26"/>
      <c r="QTC26"/>
      <c r="QTD26"/>
      <c r="QTE26"/>
      <c r="QTF26"/>
      <c r="QTG26"/>
      <c r="QTH26"/>
      <c r="QTI26"/>
      <c r="QTJ26"/>
      <c r="QTK26"/>
      <c r="QTL26"/>
      <c r="QTM26"/>
      <c r="QTN26"/>
      <c r="QTO26"/>
      <c r="QTP26"/>
      <c r="QTQ26"/>
      <c r="QTR26"/>
      <c r="QTS26"/>
      <c r="QTT26"/>
      <c r="QTU26"/>
      <c r="QTV26"/>
      <c r="QTW26"/>
      <c r="QTX26"/>
      <c r="QTY26"/>
      <c r="QTZ26"/>
      <c r="QUA26"/>
      <c r="QUB26"/>
      <c r="QUC26"/>
      <c r="QUD26"/>
      <c r="QUE26"/>
      <c r="QUF26"/>
      <c r="QUG26"/>
      <c r="QUH26"/>
      <c r="QUI26"/>
      <c r="QUJ26"/>
      <c r="QUK26"/>
      <c r="QUL26"/>
      <c r="QUM26"/>
      <c r="QUN26"/>
      <c r="QUO26"/>
      <c r="QUP26"/>
      <c r="QUQ26"/>
      <c r="QUR26"/>
      <c r="QUS26"/>
      <c r="QUT26"/>
      <c r="QUU26"/>
      <c r="QUV26"/>
      <c r="QUW26"/>
      <c r="QUX26"/>
      <c r="QUY26"/>
      <c r="QUZ26"/>
      <c r="QVA26"/>
      <c r="QVB26"/>
      <c r="QVC26"/>
      <c r="QVD26"/>
      <c r="QVE26"/>
      <c r="QVF26"/>
      <c r="QVG26"/>
      <c r="QVH26"/>
      <c r="QVI26"/>
      <c r="QVJ26"/>
      <c r="QVK26"/>
      <c r="QVL26"/>
      <c r="QVM26"/>
      <c r="QVN26"/>
      <c r="QVO26"/>
      <c r="QVP26"/>
      <c r="QVQ26"/>
      <c r="QVR26"/>
      <c r="QVS26"/>
      <c r="QVT26"/>
      <c r="QVU26"/>
      <c r="QVV26"/>
      <c r="QVW26"/>
      <c r="QVX26"/>
      <c r="QVY26"/>
      <c r="QVZ26"/>
      <c r="QWA26"/>
      <c r="QWB26"/>
      <c r="QWC26"/>
      <c r="QWD26"/>
      <c r="QWE26"/>
      <c r="QWF26"/>
      <c r="QWG26"/>
      <c r="QWH26"/>
      <c r="QWI26"/>
      <c r="QWJ26"/>
      <c r="QWK26"/>
      <c r="QWL26"/>
      <c r="QWM26"/>
      <c r="QWN26"/>
      <c r="QWO26"/>
      <c r="QWP26"/>
      <c r="QWQ26"/>
      <c r="QWR26"/>
      <c r="QWS26"/>
      <c r="QWT26"/>
      <c r="QWU26"/>
      <c r="QWV26"/>
      <c r="QWW26"/>
      <c r="QWX26"/>
      <c r="QWY26"/>
      <c r="QWZ26"/>
      <c r="QXA26"/>
      <c r="QXB26"/>
      <c r="QXC26"/>
      <c r="QXD26"/>
      <c r="QXE26"/>
      <c r="QXF26"/>
      <c r="QXG26"/>
      <c r="QXH26"/>
      <c r="QXI26"/>
      <c r="QXJ26"/>
      <c r="QXK26"/>
      <c r="QXL26"/>
      <c r="QXM26"/>
      <c r="QXN26"/>
      <c r="QXO26"/>
      <c r="QXP26"/>
      <c r="QXQ26"/>
      <c r="QXR26"/>
      <c r="QXS26"/>
      <c r="QXT26"/>
      <c r="QXU26"/>
      <c r="QXV26"/>
      <c r="QXW26"/>
      <c r="QXX26"/>
      <c r="QXY26"/>
      <c r="QXZ26"/>
      <c r="QYA26"/>
      <c r="QYB26"/>
      <c r="QYC26"/>
      <c r="QYD26"/>
      <c r="QYE26"/>
      <c r="QYF26"/>
      <c r="QYG26"/>
      <c r="QYH26"/>
      <c r="QYI26"/>
      <c r="QYJ26"/>
      <c r="QYK26"/>
      <c r="QYL26"/>
      <c r="QYM26"/>
      <c r="QYN26"/>
      <c r="QYO26"/>
      <c r="QYP26"/>
      <c r="QYQ26"/>
      <c r="QYR26"/>
      <c r="QYS26"/>
      <c r="QYT26"/>
      <c r="QYU26"/>
      <c r="QYV26"/>
      <c r="QYW26"/>
      <c r="QYX26"/>
      <c r="QYY26"/>
      <c r="QYZ26"/>
      <c r="QZA26"/>
      <c r="QZB26"/>
      <c r="QZC26"/>
      <c r="QZD26"/>
      <c r="QZE26"/>
      <c r="QZF26"/>
      <c r="QZG26"/>
      <c r="QZH26"/>
      <c r="QZI26"/>
      <c r="QZJ26"/>
      <c r="QZK26"/>
      <c r="QZL26"/>
      <c r="QZM26"/>
      <c r="QZN26"/>
      <c r="QZO26"/>
      <c r="QZP26"/>
      <c r="QZQ26"/>
      <c r="QZR26"/>
      <c r="QZS26"/>
      <c r="QZT26"/>
      <c r="QZU26"/>
      <c r="QZV26"/>
      <c r="QZW26"/>
      <c r="QZX26"/>
      <c r="QZY26"/>
      <c r="QZZ26"/>
      <c r="RAA26"/>
      <c r="RAB26"/>
      <c r="RAC26"/>
      <c r="RAD26"/>
      <c r="RAE26"/>
      <c r="RAF26"/>
      <c r="RAG26"/>
      <c r="RAH26"/>
      <c r="RAI26"/>
      <c r="RAJ26"/>
      <c r="RAK26"/>
      <c r="RAL26"/>
      <c r="RAM26"/>
      <c r="RAN26"/>
      <c r="RAO26"/>
      <c r="RAP26"/>
      <c r="RAQ26"/>
      <c r="RAR26"/>
      <c r="RAS26"/>
      <c r="RAT26"/>
      <c r="RAU26"/>
      <c r="RAV26"/>
      <c r="RAW26"/>
      <c r="RAX26"/>
      <c r="RAY26"/>
      <c r="RAZ26"/>
      <c r="RBA26"/>
      <c r="RBB26"/>
      <c r="RBC26"/>
      <c r="RBD26"/>
      <c r="RBE26"/>
      <c r="RBF26"/>
      <c r="RBG26"/>
      <c r="RBH26"/>
      <c r="RBI26"/>
      <c r="RBJ26"/>
      <c r="RBK26"/>
      <c r="RBL26"/>
      <c r="RBM26"/>
      <c r="RBN26"/>
      <c r="RBO26"/>
      <c r="RBP26"/>
      <c r="RBQ26"/>
      <c r="RBR26"/>
      <c r="RBS26"/>
      <c r="RBT26"/>
      <c r="RBU26"/>
      <c r="RBV26"/>
      <c r="RBW26"/>
      <c r="RBX26"/>
      <c r="RBY26"/>
      <c r="RBZ26"/>
      <c r="RCA26"/>
      <c r="RCB26"/>
      <c r="RCC26"/>
      <c r="RCD26"/>
      <c r="RCE26"/>
      <c r="RCF26"/>
      <c r="RCG26"/>
      <c r="RCH26"/>
      <c r="RCI26"/>
      <c r="RCJ26"/>
      <c r="RCK26"/>
      <c r="RCL26"/>
      <c r="RCM26"/>
      <c r="RCN26"/>
      <c r="RCO26"/>
      <c r="RCP26"/>
      <c r="RCQ26"/>
      <c r="RCR26"/>
      <c r="RCS26"/>
      <c r="RCT26"/>
      <c r="RCU26"/>
      <c r="RCV26"/>
      <c r="RCW26"/>
      <c r="RCX26"/>
      <c r="RCY26"/>
      <c r="RCZ26"/>
      <c r="RDA26"/>
      <c r="RDB26"/>
      <c r="RDC26"/>
      <c r="RDD26"/>
      <c r="RDE26"/>
      <c r="RDF26"/>
      <c r="RDG26"/>
      <c r="RDH26"/>
      <c r="RDI26"/>
      <c r="RDJ26"/>
      <c r="RDK26"/>
      <c r="RDL26"/>
      <c r="RDM26"/>
      <c r="RDN26"/>
      <c r="RDO26"/>
      <c r="RDP26"/>
      <c r="RDQ26"/>
      <c r="RDR26"/>
      <c r="RDS26"/>
      <c r="RDT26"/>
      <c r="RDU26"/>
      <c r="RDV26"/>
      <c r="RDW26"/>
      <c r="RDX26"/>
      <c r="RDY26"/>
      <c r="RDZ26"/>
      <c r="REA26"/>
      <c r="REB26"/>
      <c r="REC26"/>
      <c r="RED26"/>
      <c r="REE26"/>
      <c r="REF26"/>
      <c r="REG26"/>
      <c r="REH26"/>
      <c r="REI26"/>
      <c r="REJ26"/>
      <c r="REK26"/>
      <c r="REL26"/>
      <c r="REM26"/>
      <c r="REN26"/>
      <c r="REO26"/>
      <c r="REP26"/>
      <c r="REQ26"/>
      <c r="RER26"/>
      <c r="RES26"/>
      <c r="RET26"/>
      <c r="REU26"/>
      <c r="REV26"/>
      <c r="REW26"/>
      <c r="REX26"/>
      <c r="REY26"/>
      <c r="REZ26"/>
      <c r="RFA26"/>
      <c r="RFB26"/>
      <c r="RFC26"/>
      <c r="RFD26"/>
      <c r="RFE26"/>
      <c r="RFF26"/>
      <c r="RFG26"/>
      <c r="RFH26"/>
      <c r="RFI26"/>
      <c r="RFJ26"/>
      <c r="RFK26"/>
      <c r="RFL26"/>
      <c r="RFM26"/>
      <c r="RFN26"/>
      <c r="RFO26"/>
      <c r="RFP26"/>
      <c r="RFQ26"/>
      <c r="RFR26"/>
      <c r="RFS26"/>
      <c r="RFT26"/>
      <c r="RFU26"/>
      <c r="RFV26"/>
      <c r="RFW26"/>
      <c r="RFX26"/>
      <c r="RFY26"/>
      <c r="RFZ26"/>
      <c r="RGA26"/>
      <c r="RGB26"/>
      <c r="RGC26"/>
      <c r="RGD26"/>
      <c r="RGE26"/>
      <c r="RGF26"/>
      <c r="RGG26"/>
      <c r="RGH26"/>
      <c r="RGI26"/>
      <c r="RGJ26"/>
      <c r="RGK26"/>
      <c r="RGL26"/>
      <c r="RGM26"/>
      <c r="RGN26"/>
      <c r="RGO26"/>
      <c r="RGP26"/>
      <c r="RGQ26"/>
      <c r="RGR26"/>
      <c r="RGS26"/>
      <c r="RGT26"/>
      <c r="RGU26"/>
      <c r="RGV26"/>
      <c r="RGW26"/>
      <c r="RGX26"/>
      <c r="RGY26"/>
      <c r="RGZ26"/>
      <c r="RHA26"/>
      <c r="RHB26"/>
      <c r="RHC26"/>
      <c r="RHD26"/>
      <c r="RHE26"/>
      <c r="RHF26"/>
      <c r="RHG26"/>
      <c r="RHH26"/>
      <c r="RHI26"/>
      <c r="RHJ26"/>
      <c r="RHK26"/>
      <c r="RHL26"/>
      <c r="RHM26"/>
      <c r="RHN26"/>
      <c r="RHO26"/>
      <c r="RHP26"/>
      <c r="RHQ26"/>
      <c r="RHR26"/>
      <c r="RHS26"/>
      <c r="RHT26"/>
      <c r="RHU26"/>
      <c r="RHV26"/>
      <c r="RHW26"/>
      <c r="RHX26"/>
      <c r="RHY26"/>
      <c r="RHZ26"/>
      <c r="RIA26"/>
      <c r="RIB26"/>
      <c r="RIC26"/>
      <c r="RID26"/>
      <c r="RIE26"/>
      <c r="RIF26"/>
      <c r="RIG26"/>
      <c r="RIH26"/>
      <c r="RII26"/>
      <c r="RIJ26"/>
      <c r="RIK26"/>
      <c r="RIL26"/>
      <c r="RIM26"/>
      <c r="RIN26"/>
      <c r="RIO26"/>
      <c r="RIP26"/>
      <c r="RIQ26"/>
      <c r="RIR26"/>
      <c r="RIS26"/>
      <c r="RIT26"/>
      <c r="RIU26"/>
      <c r="RIV26"/>
      <c r="RIW26"/>
      <c r="RIX26"/>
      <c r="RIY26"/>
      <c r="RIZ26"/>
      <c r="RJA26"/>
      <c r="RJB26"/>
      <c r="RJC26"/>
      <c r="RJD26"/>
      <c r="RJE26"/>
      <c r="RJF26"/>
      <c r="RJG26"/>
      <c r="RJH26"/>
      <c r="RJI26"/>
      <c r="RJJ26"/>
      <c r="RJK26"/>
      <c r="RJL26"/>
      <c r="RJM26"/>
      <c r="RJN26"/>
      <c r="RJO26"/>
      <c r="RJP26"/>
      <c r="RJQ26"/>
      <c r="RJR26"/>
      <c r="RJS26"/>
      <c r="RJT26"/>
      <c r="RJU26"/>
      <c r="RJV26"/>
      <c r="RJW26"/>
      <c r="RJX26"/>
      <c r="RJY26"/>
      <c r="RJZ26"/>
      <c r="RKA26"/>
      <c r="RKB26"/>
      <c r="RKC26"/>
      <c r="RKD26"/>
      <c r="RKE26"/>
      <c r="RKF26"/>
      <c r="RKG26"/>
      <c r="RKH26"/>
      <c r="RKI26"/>
      <c r="RKJ26"/>
      <c r="RKK26"/>
      <c r="RKL26"/>
      <c r="RKM26"/>
      <c r="RKN26"/>
      <c r="RKO26"/>
      <c r="RKP26"/>
      <c r="RKQ26"/>
      <c r="RKR26"/>
      <c r="RKS26"/>
      <c r="RKT26"/>
      <c r="RKU26"/>
      <c r="RKV26"/>
      <c r="RKW26"/>
      <c r="RKX26"/>
      <c r="RKY26"/>
      <c r="RKZ26"/>
      <c r="RLA26"/>
      <c r="RLB26"/>
      <c r="RLC26"/>
      <c r="RLD26"/>
      <c r="RLE26"/>
      <c r="RLF26"/>
      <c r="RLG26"/>
      <c r="RLH26"/>
      <c r="RLI26"/>
      <c r="RLJ26"/>
      <c r="RLK26"/>
      <c r="RLL26"/>
      <c r="RLM26"/>
      <c r="RLN26"/>
      <c r="RLO26"/>
      <c r="RLP26"/>
      <c r="RLQ26"/>
      <c r="RLR26"/>
      <c r="RLS26"/>
      <c r="RLT26"/>
      <c r="RLU26"/>
      <c r="RLV26"/>
      <c r="RLW26"/>
      <c r="RLX26"/>
      <c r="RLY26"/>
      <c r="RLZ26"/>
      <c r="RMA26"/>
      <c r="RMB26"/>
      <c r="RMC26"/>
      <c r="RMD26"/>
      <c r="RME26"/>
      <c r="RMF26"/>
      <c r="RMG26"/>
      <c r="RMH26"/>
      <c r="RMI26"/>
      <c r="RMJ26"/>
      <c r="RMK26"/>
      <c r="RML26"/>
      <c r="RMM26"/>
      <c r="RMN26"/>
      <c r="RMO26"/>
      <c r="RMP26"/>
      <c r="RMQ26"/>
      <c r="RMR26"/>
      <c r="RMS26"/>
      <c r="RMT26"/>
      <c r="RMU26"/>
      <c r="RMV26"/>
      <c r="RMW26"/>
      <c r="RMX26"/>
      <c r="RMY26"/>
      <c r="RMZ26"/>
      <c r="RNA26"/>
      <c r="RNB26"/>
      <c r="RNC26"/>
      <c r="RND26"/>
      <c r="RNE26"/>
      <c r="RNF26"/>
      <c r="RNG26"/>
      <c r="RNH26"/>
      <c r="RNI26"/>
      <c r="RNJ26"/>
      <c r="RNK26"/>
      <c r="RNL26"/>
      <c r="RNM26"/>
      <c r="RNN26"/>
      <c r="RNO26"/>
      <c r="RNP26"/>
      <c r="RNQ26"/>
      <c r="RNR26"/>
      <c r="RNS26"/>
      <c r="RNT26"/>
      <c r="RNU26"/>
      <c r="RNV26"/>
      <c r="RNW26"/>
      <c r="RNX26"/>
      <c r="RNY26"/>
      <c r="RNZ26"/>
      <c r="ROA26"/>
      <c r="ROB26"/>
      <c r="ROC26"/>
      <c r="ROD26"/>
      <c r="ROE26"/>
      <c r="ROF26"/>
      <c r="ROG26"/>
      <c r="ROH26"/>
      <c r="ROI26"/>
      <c r="ROJ26"/>
      <c r="ROK26"/>
      <c r="ROL26"/>
      <c r="ROM26"/>
      <c r="RON26"/>
      <c r="ROO26"/>
      <c r="ROP26"/>
      <c r="ROQ26"/>
      <c r="ROR26"/>
      <c r="ROS26"/>
      <c r="ROT26"/>
      <c r="ROU26"/>
      <c r="ROV26"/>
      <c r="ROW26"/>
      <c r="ROX26"/>
      <c r="ROY26"/>
      <c r="ROZ26"/>
      <c r="RPA26"/>
      <c r="RPB26"/>
      <c r="RPC26"/>
      <c r="RPD26"/>
      <c r="RPE26"/>
      <c r="RPF26"/>
      <c r="RPG26"/>
      <c r="RPH26"/>
      <c r="RPI26"/>
      <c r="RPJ26"/>
      <c r="RPK26"/>
      <c r="RPL26"/>
      <c r="RPM26"/>
      <c r="RPN26"/>
      <c r="RPO26"/>
      <c r="RPP26"/>
      <c r="RPQ26"/>
      <c r="RPR26"/>
      <c r="RPS26"/>
      <c r="RPT26"/>
      <c r="RPU26"/>
      <c r="RPV26"/>
      <c r="RPW26"/>
      <c r="RPX26"/>
      <c r="RPY26"/>
      <c r="RPZ26"/>
      <c r="RQA26"/>
      <c r="RQB26"/>
      <c r="RQC26"/>
      <c r="RQD26"/>
      <c r="RQE26"/>
      <c r="RQF26"/>
      <c r="RQG26"/>
      <c r="RQH26"/>
      <c r="RQI26"/>
      <c r="RQJ26"/>
      <c r="RQK26"/>
      <c r="RQL26"/>
      <c r="RQM26"/>
      <c r="RQN26"/>
      <c r="RQO26"/>
      <c r="RQP26"/>
      <c r="RQQ26"/>
      <c r="RQR26"/>
      <c r="RQS26"/>
      <c r="RQT26"/>
      <c r="RQU26"/>
      <c r="RQV26"/>
      <c r="RQW26"/>
      <c r="RQX26"/>
      <c r="RQY26"/>
      <c r="RQZ26"/>
      <c r="RRA26"/>
      <c r="RRB26"/>
      <c r="RRC26"/>
      <c r="RRD26"/>
      <c r="RRE26"/>
      <c r="RRF26"/>
      <c r="RRG26"/>
      <c r="RRH26"/>
      <c r="RRI26"/>
      <c r="RRJ26"/>
      <c r="RRK26"/>
      <c r="RRL26"/>
      <c r="RRM26"/>
      <c r="RRN26"/>
      <c r="RRO26"/>
      <c r="RRP26"/>
      <c r="RRQ26"/>
      <c r="RRR26"/>
      <c r="RRS26"/>
      <c r="RRT26"/>
      <c r="RRU26"/>
      <c r="RRV26"/>
      <c r="RRW26"/>
      <c r="RRX26"/>
      <c r="RRY26"/>
      <c r="RRZ26"/>
      <c r="RSA26"/>
      <c r="RSB26"/>
      <c r="RSC26"/>
      <c r="RSD26"/>
      <c r="RSE26"/>
      <c r="RSF26"/>
      <c r="RSG26"/>
      <c r="RSH26"/>
      <c r="RSI26"/>
      <c r="RSJ26"/>
      <c r="RSK26"/>
      <c r="RSL26"/>
      <c r="RSM26"/>
      <c r="RSN26"/>
      <c r="RSO26"/>
      <c r="RSP26"/>
      <c r="RSQ26"/>
      <c r="RSR26"/>
      <c r="RSS26"/>
      <c r="RST26"/>
      <c r="RSU26"/>
      <c r="RSV26"/>
      <c r="RSW26"/>
      <c r="RSX26"/>
      <c r="RSY26"/>
      <c r="RSZ26"/>
      <c r="RTA26"/>
      <c r="RTB26"/>
      <c r="RTC26"/>
      <c r="RTD26"/>
      <c r="RTE26"/>
      <c r="RTF26"/>
      <c r="RTG26"/>
      <c r="RTH26"/>
      <c r="RTI26"/>
      <c r="RTJ26"/>
      <c r="RTK26"/>
      <c r="RTL26"/>
      <c r="RTM26"/>
      <c r="RTN26"/>
      <c r="RTO26"/>
      <c r="RTP26"/>
      <c r="RTQ26"/>
      <c r="RTR26"/>
      <c r="RTS26"/>
      <c r="RTT26"/>
      <c r="RTU26"/>
      <c r="RTV26"/>
      <c r="RTW26"/>
      <c r="RTX26"/>
      <c r="RTY26"/>
      <c r="RTZ26"/>
      <c r="RUA26"/>
      <c r="RUB26"/>
      <c r="RUC26"/>
      <c r="RUD26"/>
      <c r="RUE26"/>
      <c r="RUF26"/>
      <c r="RUG26"/>
      <c r="RUH26"/>
      <c r="RUI26"/>
      <c r="RUJ26"/>
      <c r="RUK26"/>
      <c r="RUL26"/>
      <c r="RUM26"/>
      <c r="RUN26"/>
      <c r="RUO26"/>
      <c r="RUP26"/>
      <c r="RUQ26"/>
      <c r="RUR26"/>
      <c r="RUS26"/>
      <c r="RUT26"/>
      <c r="RUU26"/>
      <c r="RUV26"/>
      <c r="RUW26"/>
      <c r="RUX26"/>
      <c r="RUY26"/>
      <c r="RUZ26"/>
      <c r="RVA26"/>
      <c r="RVB26"/>
      <c r="RVC26"/>
      <c r="RVD26"/>
      <c r="RVE26"/>
      <c r="RVF26"/>
      <c r="RVG26"/>
      <c r="RVH26"/>
      <c r="RVI26"/>
      <c r="RVJ26"/>
      <c r="RVK26"/>
      <c r="RVL26"/>
      <c r="RVM26"/>
      <c r="RVN26"/>
      <c r="RVO26"/>
      <c r="RVP26"/>
      <c r="RVQ26"/>
      <c r="RVR26"/>
      <c r="RVS26"/>
      <c r="RVT26"/>
      <c r="RVU26"/>
      <c r="RVV26"/>
      <c r="RVW26"/>
      <c r="RVX26"/>
      <c r="RVY26"/>
      <c r="RVZ26"/>
      <c r="RWA26"/>
      <c r="RWB26"/>
      <c r="RWC26"/>
      <c r="RWD26"/>
      <c r="RWE26"/>
      <c r="RWF26"/>
      <c r="RWG26"/>
      <c r="RWH26"/>
      <c r="RWI26"/>
      <c r="RWJ26"/>
      <c r="RWK26"/>
      <c r="RWL26"/>
      <c r="RWM26"/>
      <c r="RWN26"/>
      <c r="RWO26"/>
      <c r="RWP26"/>
      <c r="RWQ26"/>
      <c r="RWR26"/>
      <c r="RWS26"/>
      <c r="RWT26"/>
      <c r="RWU26"/>
      <c r="RWV26"/>
      <c r="RWW26"/>
      <c r="RWX26"/>
      <c r="RWY26"/>
      <c r="RWZ26"/>
      <c r="RXA26"/>
      <c r="RXB26"/>
      <c r="RXC26"/>
      <c r="RXD26"/>
      <c r="RXE26"/>
      <c r="RXF26"/>
      <c r="RXG26"/>
      <c r="RXH26"/>
      <c r="RXI26"/>
      <c r="RXJ26"/>
      <c r="RXK26"/>
      <c r="RXL26"/>
      <c r="RXM26"/>
      <c r="RXN26"/>
      <c r="RXO26"/>
      <c r="RXP26"/>
      <c r="RXQ26"/>
      <c r="RXR26"/>
      <c r="RXS26"/>
      <c r="RXT26"/>
      <c r="RXU26"/>
      <c r="RXV26"/>
      <c r="RXW26"/>
      <c r="RXX26"/>
      <c r="RXY26"/>
      <c r="RXZ26"/>
      <c r="RYA26"/>
      <c r="RYB26"/>
      <c r="RYC26"/>
      <c r="RYD26"/>
      <c r="RYE26"/>
      <c r="RYF26"/>
      <c r="RYG26"/>
      <c r="RYH26"/>
      <c r="RYI26"/>
      <c r="RYJ26"/>
      <c r="RYK26"/>
      <c r="RYL26"/>
      <c r="RYM26"/>
      <c r="RYN26"/>
      <c r="RYO26"/>
      <c r="RYP26"/>
      <c r="RYQ26"/>
      <c r="RYR26"/>
      <c r="RYS26"/>
      <c r="RYT26"/>
      <c r="RYU26"/>
      <c r="RYV26"/>
      <c r="RYW26"/>
      <c r="RYX26"/>
      <c r="RYY26"/>
      <c r="RYZ26"/>
      <c r="RZA26"/>
      <c r="RZB26"/>
      <c r="RZC26"/>
      <c r="RZD26"/>
      <c r="RZE26"/>
      <c r="RZF26"/>
      <c r="RZG26"/>
      <c r="RZH26"/>
      <c r="RZI26"/>
      <c r="RZJ26"/>
      <c r="RZK26"/>
      <c r="RZL26"/>
      <c r="RZM26"/>
      <c r="RZN26"/>
      <c r="RZO26"/>
      <c r="RZP26"/>
      <c r="RZQ26"/>
      <c r="RZR26"/>
      <c r="RZS26"/>
      <c r="RZT26"/>
      <c r="RZU26"/>
      <c r="RZV26"/>
      <c r="RZW26"/>
      <c r="RZX26"/>
      <c r="RZY26"/>
      <c r="RZZ26"/>
      <c r="SAA26"/>
      <c r="SAB26"/>
      <c r="SAC26"/>
      <c r="SAD26"/>
      <c r="SAE26"/>
      <c r="SAF26"/>
      <c r="SAG26"/>
      <c r="SAH26"/>
      <c r="SAI26"/>
      <c r="SAJ26"/>
      <c r="SAK26"/>
      <c r="SAL26"/>
      <c r="SAM26"/>
      <c r="SAN26"/>
      <c r="SAO26"/>
      <c r="SAP26"/>
      <c r="SAQ26"/>
      <c r="SAR26"/>
      <c r="SAS26"/>
      <c r="SAT26"/>
      <c r="SAU26"/>
      <c r="SAV26"/>
      <c r="SAW26"/>
      <c r="SAX26"/>
      <c r="SAY26"/>
      <c r="SAZ26"/>
      <c r="SBA26"/>
      <c r="SBB26"/>
      <c r="SBC26"/>
      <c r="SBD26"/>
      <c r="SBE26"/>
      <c r="SBF26"/>
      <c r="SBG26"/>
      <c r="SBH26"/>
      <c r="SBI26"/>
      <c r="SBJ26"/>
      <c r="SBK26"/>
      <c r="SBL26"/>
      <c r="SBM26"/>
      <c r="SBN26"/>
      <c r="SBO26"/>
      <c r="SBP26"/>
      <c r="SBQ26"/>
      <c r="SBR26"/>
      <c r="SBS26"/>
      <c r="SBT26"/>
      <c r="SBU26"/>
      <c r="SBV26"/>
      <c r="SBW26"/>
      <c r="SBX26"/>
      <c r="SBY26"/>
      <c r="SBZ26"/>
      <c r="SCA26"/>
      <c r="SCB26"/>
      <c r="SCC26"/>
      <c r="SCD26"/>
      <c r="SCE26"/>
      <c r="SCF26"/>
      <c r="SCG26"/>
      <c r="SCH26"/>
      <c r="SCI26"/>
      <c r="SCJ26"/>
      <c r="SCK26"/>
      <c r="SCL26"/>
      <c r="SCM26"/>
      <c r="SCN26"/>
      <c r="SCO26"/>
      <c r="SCP26"/>
      <c r="SCQ26"/>
      <c r="SCR26"/>
      <c r="SCS26"/>
      <c r="SCT26"/>
      <c r="SCU26"/>
      <c r="SCV26"/>
      <c r="SCW26"/>
      <c r="SCX26"/>
      <c r="SCY26"/>
      <c r="SCZ26"/>
      <c r="SDA26"/>
      <c r="SDB26"/>
      <c r="SDC26"/>
      <c r="SDD26"/>
      <c r="SDE26"/>
      <c r="SDF26"/>
      <c r="SDG26"/>
      <c r="SDH26"/>
      <c r="SDI26"/>
      <c r="SDJ26"/>
      <c r="SDK26"/>
      <c r="SDL26"/>
      <c r="SDM26"/>
      <c r="SDN26"/>
      <c r="SDO26"/>
      <c r="SDP26"/>
      <c r="SDQ26"/>
      <c r="SDR26"/>
      <c r="SDS26"/>
      <c r="SDT26"/>
      <c r="SDU26"/>
      <c r="SDV26"/>
      <c r="SDW26"/>
      <c r="SDX26"/>
      <c r="SDY26"/>
      <c r="SDZ26"/>
      <c r="SEA26"/>
      <c r="SEB26"/>
      <c r="SEC26"/>
      <c r="SED26"/>
      <c r="SEE26"/>
      <c r="SEF26"/>
      <c r="SEG26"/>
      <c r="SEH26"/>
      <c r="SEI26"/>
      <c r="SEJ26"/>
      <c r="SEK26"/>
      <c r="SEL26"/>
      <c r="SEM26"/>
      <c r="SEN26"/>
      <c r="SEO26"/>
      <c r="SEP26"/>
      <c r="SEQ26"/>
      <c r="SER26"/>
      <c r="SES26"/>
      <c r="SET26"/>
      <c r="SEU26"/>
      <c r="SEV26"/>
      <c r="SEW26"/>
      <c r="SEX26"/>
      <c r="SEY26"/>
      <c r="SEZ26"/>
      <c r="SFA26"/>
      <c r="SFB26"/>
      <c r="SFC26"/>
      <c r="SFD26"/>
      <c r="SFE26"/>
      <c r="SFF26"/>
      <c r="SFG26"/>
      <c r="SFH26"/>
      <c r="SFI26"/>
      <c r="SFJ26"/>
      <c r="SFK26"/>
      <c r="SFL26"/>
      <c r="SFM26"/>
      <c r="SFN26"/>
      <c r="SFO26"/>
      <c r="SFP26"/>
      <c r="SFQ26"/>
      <c r="SFR26"/>
      <c r="SFS26"/>
      <c r="SFT26"/>
      <c r="SFU26"/>
      <c r="SFV26"/>
      <c r="SFW26"/>
      <c r="SFX26"/>
      <c r="SFY26"/>
      <c r="SFZ26"/>
      <c r="SGA26"/>
      <c r="SGB26"/>
      <c r="SGC26"/>
      <c r="SGD26"/>
      <c r="SGE26"/>
      <c r="SGF26"/>
      <c r="SGG26"/>
      <c r="SGH26"/>
      <c r="SGI26"/>
      <c r="SGJ26"/>
      <c r="SGK26"/>
      <c r="SGL26"/>
      <c r="SGM26"/>
      <c r="SGN26"/>
      <c r="SGO26"/>
      <c r="SGP26"/>
      <c r="SGQ26"/>
      <c r="SGR26"/>
      <c r="SGS26"/>
      <c r="SGT26"/>
      <c r="SGU26"/>
      <c r="SGV26"/>
      <c r="SGW26"/>
      <c r="SGX26"/>
      <c r="SGY26"/>
      <c r="SGZ26"/>
      <c r="SHA26"/>
      <c r="SHB26"/>
      <c r="SHC26"/>
      <c r="SHD26"/>
      <c r="SHE26"/>
      <c r="SHF26"/>
      <c r="SHG26"/>
      <c r="SHH26"/>
      <c r="SHI26"/>
      <c r="SHJ26"/>
      <c r="SHK26"/>
      <c r="SHL26"/>
      <c r="SHM26"/>
      <c r="SHN26"/>
      <c r="SHO26"/>
      <c r="SHP26"/>
      <c r="SHQ26"/>
      <c r="SHR26"/>
      <c r="SHS26"/>
      <c r="SHT26"/>
      <c r="SHU26"/>
      <c r="SHV26"/>
      <c r="SHW26"/>
      <c r="SHX26"/>
      <c r="SHY26"/>
      <c r="SHZ26"/>
      <c r="SIA26"/>
      <c r="SIB26"/>
      <c r="SIC26"/>
      <c r="SID26"/>
      <c r="SIE26"/>
      <c r="SIF26"/>
      <c r="SIG26"/>
      <c r="SIH26"/>
      <c r="SII26"/>
      <c r="SIJ26"/>
      <c r="SIK26"/>
      <c r="SIL26"/>
      <c r="SIM26"/>
      <c r="SIN26"/>
      <c r="SIO26"/>
      <c r="SIP26"/>
      <c r="SIQ26"/>
      <c r="SIR26"/>
      <c r="SIS26"/>
      <c r="SIT26"/>
      <c r="SIU26"/>
      <c r="SIV26"/>
      <c r="SIW26"/>
      <c r="SIX26"/>
      <c r="SIY26"/>
      <c r="SIZ26"/>
      <c r="SJA26"/>
      <c r="SJB26"/>
      <c r="SJC26"/>
      <c r="SJD26"/>
      <c r="SJE26"/>
      <c r="SJF26"/>
      <c r="SJG26"/>
      <c r="SJH26"/>
      <c r="SJI26"/>
      <c r="SJJ26"/>
      <c r="SJK26"/>
      <c r="SJL26"/>
      <c r="SJM26"/>
      <c r="SJN26"/>
      <c r="SJO26"/>
      <c r="SJP26"/>
      <c r="SJQ26"/>
      <c r="SJR26"/>
      <c r="SJS26"/>
      <c r="SJT26"/>
      <c r="SJU26"/>
      <c r="SJV26"/>
      <c r="SJW26"/>
      <c r="SJX26"/>
      <c r="SJY26"/>
      <c r="SJZ26"/>
      <c r="SKA26"/>
      <c r="SKB26"/>
      <c r="SKC26"/>
      <c r="SKD26"/>
      <c r="SKE26"/>
      <c r="SKF26"/>
      <c r="SKG26"/>
      <c r="SKH26"/>
      <c r="SKI26"/>
      <c r="SKJ26"/>
      <c r="SKK26"/>
      <c r="SKL26"/>
      <c r="SKM26"/>
      <c r="SKN26"/>
      <c r="SKO26"/>
      <c r="SKP26"/>
      <c r="SKQ26"/>
      <c r="SKR26"/>
      <c r="SKS26"/>
      <c r="SKT26"/>
      <c r="SKU26"/>
      <c r="SKV26"/>
      <c r="SKW26"/>
      <c r="SKX26"/>
      <c r="SKY26"/>
      <c r="SKZ26"/>
      <c r="SLA26"/>
      <c r="SLB26"/>
      <c r="SLC26"/>
      <c r="SLD26"/>
      <c r="SLE26"/>
      <c r="SLF26"/>
      <c r="SLG26"/>
      <c r="SLH26"/>
      <c r="SLI26"/>
      <c r="SLJ26"/>
      <c r="SLK26"/>
      <c r="SLL26"/>
      <c r="SLM26"/>
      <c r="SLN26"/>
      <c r="SLO26"/>
      <c r="SLP26"/>
      <c r="SLQ26"/>
      <c r="SLR26"/>
      <c r="SLS26"/>
      <c r="SLT26"/>
      <c r="SLU26"/>
      <c r="SLV26"/>
      <c r="SLW26"/>
      <c r="SLX26"/>
      <c r="SLY26"/>
      <c r="SLZ26"/>
      <c r="SMA26"/>
      <c r="SMB26"/>
      <c r="SMC26"/>
      <c r="SMD26"/>
      <c r="SME26"/>
      <c r="SMF26"/>
      <c r="SMG26"/>
      <c r="SMH26"/>
      <c r="SMI26"/>
      <c r="SMJ26"/>
      <c r="SMK26"/>
      <c r="SML26"/>
      <c r="SMM26"/>
      <c r="SMN26"/>
      <c r="SMO26"/>
      <c r="SMP26"/>
      <c r="SMQ26"/>
      <c r="SMR26"/>
      <c r="SMS26"/>
      <c r="SMT26"/>
      <c r="SMU26"/>
      <c r="SMV26"/>
      <c r="SMW26"/>
      <c r="SMX26"/>
      <c r="SMY26"/>
      <c r="SMZ26"/>
      <c r="SNA26"/>
      <c r="SNB26"/>
      <c r="SNC26"/>
      <c r="SND26"/>
      <c r="SNE26"/>
      <c r="SNF26"/>
      <c r="SNG26"/>
      <c r="SNH26"/>
      <c r="SNI26"/>
      <c r="SNJ26"/>
      <c r="SNK26"/>
      <c r="SNL26"/>
      <c r="SNM26"/>
      <c r="SNN26"/>
      <c r="SNO26"/>
      <c r="SNP26"/>
      <c r="SNQ26"/>
      <c r="SNR26"/>
      <c r="SNS26"/>
      <c r="SNT26"/>
      <c r="SNU26"/>
      <c r="SNV26"/>
      <c r="SNW26"/>
      <c r="SNX26"/>
      <c r="SNY26"/>
      <c r="SNZ26"/>
      <c r="SOA26"/>
      <c r="SOB26"/>
      <c r="SOC26"/>
      <c r="SOD26"/>
      <c r="SOE26"/>
      <c r="SOF26"/>
      <c r="SOG26"/>
      <c r="SOH26"/>
      <c r="SOI26"/>
      <c r="SOJ26"/>
      <c r="SOK26"/>
      <c r="SOL26"/>
      <c r="SOM26"/>
      <c r="SON26"/>
      <c r="SOO26"/>
      <c r="SOP26"/>
      <c r="SOQ26"/>
      <c r="SOR26"/>
      <c r="SOS26"/>
      <c r="SOT26"/>
      <c r="SOU26"/>
      <c r="SOV26"/>
      <c r="SOW26"/>
      <c r="SOX26"/>
      <c r="SOY26"/>
      <c r="SOZ26"/>
      <c r="SPA26"/>
      <c r="SPB26"/>
      <c r="SPC26"/>
      <c r="SPD26"/>
      <c r="SPE26"/>
      <c r="SPF26"/>
      <c r="SPG26"/>
      <c r="SPH26"/>
      <c r="SPI26"/>
      <c r="SPJ26"/>
      <c r="SPK26"/>
      <c r="SPL26"/>
      <c r="SPM26"/>
      <c r="SPN26"/>
      <c r="SPO26"/>
      <c r="SPP26"/>
      <c r="SPQ26"/>
      <c r="SPR26"/>
      <c r="SPS26"/>
      <c r="SPT26"/>
      <c r="SPU26"/>
      <c r="SPV26"/>
      <c r="SPW26"/>
      <c r="SPX26"/>
      <c r="SPY26"/>
      <c r="SPZ26"/>
      <c r="SQA26"/>
      <c r="SQB26"/>
      <c r="SQC26"/>
      <c r="SQD26"/>
      <c r="SQE26"/>
      <c r="SQF26"/>
      <c r="SQG26"/>
      <c r="SQH26"/>
      <c r="SQI26"/>
      <c r="SQJ26"/>
      <c r="SQK26"/>
      <c r="SQL26"/>
      <c r="SQM26"/>
      <c r="SQN26"/>
      <c r="SQO26"/>
      <c r="SQP26"/>
      <c r="SQQ26"/>
      <c r="SQR26"/>
      <c r="SQS26"/>
      <c r="SQT26"/>
      <c r="SQU26"/>
      <c r="SQV26"/>
      <c r="SQW26"/>
      <c r="SQX26"/>
      <c r="SQY26"/>
      <c r="SQZ26"/>
      <c r="SRA26"/>
      <c r="SRB26"/>
      <c r="SRC26"/>
      <c r="SRD26"/>
      <c r="SRE26"/>
      <c r="SRF26"/>
      <c r="SRG26"/>
      <c r="SRH26"/>
      <c r="SRI26"/>
      <c r="SRJ26"/>
      <c r="SRK26"/>
      <c r="SRL26"/>
      <c r="SRM26"/>
      <c r="SRN26"/>
      <c r="SRO26"/>
      <c r="SRP26"/>
      <c r="SRQ26"/>
      <c r="SRR26"/>
      <c r="SRS26"/>
      <c r="SRT26"/>
      <c r="SRU26"/>
      <c r="SRV26"/>
      <c r="SRW26"/>
      <c r="SRX26"/>
      <c r="SRY26"/>
      <c r="SRZ26"/>
      <c r="SSA26"/>
      <c r="SSB26"/>
      <c r="SSC26"/>
      <c r="SSD26"/>
      <c r="SSE26"/>
      <c r="SSF26"/>
      <c r="SSG26"/>
      <c r="SSH26"/>
      <c r="SSI26"/>
      <c r="SSJ26"/>
      <c r="SSK26"/>
      <c r="SSL26"/>
      <c r="SSM26"/>
      <c r="SSN26"/>
      <c r="SSO26"/>
      <c r="SSP26"/>
      <c r="SSQ26"/>
      <c r="SSR26"/>
      <c r="SSS26"/>
      <c r="SST26"/>
      <c r="SSU26"/>
      <c r="SSV26"/>
      <c r="SSW26"/>
      <c r="SSX26"/>
      <c r="SSY26"/>
      <c r="SSZ26"/>
      <c r="STA26"/>
      <c r="STB26"/>
      <c r="STC26"/>
      <c r="STD26"/>
      <c r="STE26"/>
      <c r="STF26"/>
      <c r="STG26"/>
      <c r="STH26"/>
      <c r="STI26"/>
      <c r="STJ26"/>
      <c r="STK26"/>
      <c r="STL26"/>
      <c r="STM26"/>
      <c r="STN26"/>
      <c r="STO26"/>
      <c r="STP26"/>
      <c r="STQ26"/>
      <c r="STR26"/>
      <c r="STS26"/>
      <c r="STT26"/>
      <c r="STU26"/>
      <c r="STV26"/>
      <c r="STW26"/>
      <c r="STX26"/>
      <c r="STY26"/>
      <c r="STZ26"/>
      <c r="SUA26"/>
      <c r="SUB26"/>
      <c r="SUC26"/>
      <c r="SUD26"/>
      <c r="SUE26"/>
      <c r="SUF26"/>
      <c r="SUG26"/>
      <c r="SUH26"/>
      <c r="SUI26"/>
      <c r="SUJ26"/>
      <c r="SUK26"/>
      <c r="SUL26"/>
      <c r="SUM26"/>
      <c r="SUN26"/>
      <c r="SUO26"/>
      <c r="SUP26"/>
      <c r="SUQ26"/>
      <c r="SUR26"/>
      <c r="SUS26"/>
      <c r="SUT26"/>
      <c r="SUU26"/>
      <c r="SUV26"/>
      <c r="SUW26"/>
      <c r="SUX26"/>
      <c r="SUY26"/>
      <c r="SUZ26"/>
      <c r="SVA26"/>
      <c r="SVB26"/>
      <c r="SVC26"/>
      <c r="SVD26"/>
      <c r="SVE26"/>
      <c r="SVF26"/>
      <c r="SVG26"/>
      <c r="SVH26"/>
      <c r="SVI26"/>
      <c r="SVJ26"/>
      <c r="SVK26"/>
      <c r="SVL26"/>
      <c r="SVM26"/>
      <c r="SVN26"/>
      <c r="SVO26"/>
      <c r="SVP26"/>
      <c r="SVQ26"/>
      <c r="SVR26"/>
      <c r="SVS26"/>
      <c r="SVT26"/>
      <c r="SVU26"/>
      <c r="SVV26"/>
      <c r="SVW26"/>
      <c r="SVX26"/>
      <c r="SVY26"/>
      <c r="SVZ26"/>
      <c r="SWA26"/>
      <c r="SWB26"/>
      <c r="SWC26"/>
      <c r="SWD26"/>
      <c r="SWE26"/>
      <c r="SWF26"/>
      <c r="SWG26"/>
      <c r="SWH26"/>
      <c r="SWI26"/>
      <c r="SWJ26"/>
      <c r="SWK26"/>
      <c r="SWL26"/>
      <c r="SWM26"/>
      <c r="SWN26"/>
      <c r="SWO26"/>
      <c r="SWP26"/>
      <c r="SWQ26"/>
      <c r="SWR26"/>
      <c r="SWS26"/>
      <c r="SWT26"/>
      <c r="SWU26"/>
      <c r="SWV26"/>
      <c r="SWW26"/>
      <c r="SWX26"/>
      <c r="SWY26"/>
      <c r="SWZ26"/>
      <c r="SXA26"/>
      <c r="SXB26"/>
      <c r="SXC26"/>
      <c r="SXD26"/>
      <c r="SXE26"/>
      <c r="SXF26"/>
      <c r="SXG26"/>
      <c r="SXH26"/>
      <c r="SXI26"/>
      <c r="SXJ26"/>
      <c r="SXK26"/>
      <c r="SXL26"/>
      <c r="SXM26"/>
      <c r="SXN26"/>
      <c r="SXO26"/>
      <c r="SXP26"/>
      <c r="SXQ26"/>
      <c r="SXR26"/>
      <c r="SXS26"/>
      <c r="SXT26"/>
      <c r="SXU26"/>
      <c r="SXV26"/>
      <c r="SXW26"/>
      <c r="SXX26"/>
      <c r="SXY26"/>
      <c r="SXZ26"/>
      <c r="SYA26"/>
      <c r="SYB26"/>
      <c r="SYC26"/>
      <c r="SYD26"/>
      <c r="SYE26"/>
      <c r="SYF26"/>
      <c r="SYG26"/>
      <c r="SYH26"/>
      <c r="SYI26"/>
      <c r="SYJ26"/>
      <c r="SYK26"/>
      <c r="SYL26"/>
      <c r="SYM26"/>
      <c r="SYN26"/>
      <c r="SYO26"/>
      <c r="SYP26"/>
      <c r="SYQ26"/>
      <c r="SYR26"/>
      <c r="SYS26"/>
      <c r="SYT26"/>
      <c r="SYU26"/>
      <c r="SYV26"/>
      <c r="SYW26"/>
      <c r="SYX26"/>
      <c r="SYY26"/>
      <c r="SYZ26"/>
      <c r="SZA26"/>
      <c r="SZB26"/>
      <c r="SZC26"/>
      <c r="SZD26"/>
      <c r="SZE26"/>
      <c r="SZF26"/>
      <c r="SZG26"/>
      <c r="SZH26"/>
      <c r="SZI26"/>
      <c r="SZJ26"/>
      <c r="SZK26"/>
      <c r="SZL26"/>
      <c r="SZM26"/>
      <c r="SZN26"/>
      <c r="SZO26"/>
      <c r="SZP26"/>
      <c r="SZQ26"/>
      <c r="SZR26"/>
      <c r="SZS26"/>
      <c r="SZT26"/>
      <c r="SZU26"/>
      <c r="SZV26"/>
      <c r="SZW26"/>
      <c r="SZX26"/>
      <c r="SZY26"/>
      <c r="SZZ26"/>
      <c r="TAA26"/>
      <c r="TAB26"/>
      <c r="TAC26"/>
      <c r="TAD26"/>
      <c r="TAE26"/>
      <c r="TAF26"/>
      <c r="TAG26"/>
      <c r="TAH26"/>
      <c r="TAI26"/>
      <c r="TAJ26"/>
      <c r="TAK26"/>
      <c r="TAL26"/>
      <c r="TAM26"/>
      <c r="TAN26"/>
      <c r="TAO26"/>
      <c r="TAP26"/>
      <c r="TAQ26"/>
      <c r="TAR26"/>
      <c r="TAS26"/>
      <c r="TAT26"/>
      <c r="TAU26"/>
      <c r="TAV26"/>
      <c r="TAW26"/>
      <c r="TAX26"/>
      <c r="TAY26"/>
      <c r="TAZ26"/>
      <c r="TBA26"/>
      <c r="TBB26"/>
      <c r="TBC26"/>
      <c r="TBD26"/>
      <c r="TBE26"/>
      <c r="TBF26"/>
      <c r="TBG26"/>
      <c r="TBH26"/>
      <c r="TBI26"/>
      <c r="TBJ26"/>
      <c r="TBK26"/>
      <c r="TBL26"/>
      <c r="TBM26"/>
      <c r="TBN26"/>
      <c r="TBO26"/>
      <c r="TBP26"/>
      <c r="TBQ26"/>
      <c r="TBR26"/>
      <c r="TBS26"/>
      <c r="TBT26"/>
      <c r="TBU26"/>
      <c r="TBV26"/>
      <c r="TBW26"/>
      <c r="TBX26"/>
      <c r="TBY26"/>
      <c r="TBZ26"/>
      <c r="TCA26"/>
      <c r="TCB26"/>
      <c r="TCC26"/>
      <c r="TCD26"/>
      <c r="TCE26"/>
      <c r="TCF26"/>
      <c r="TCG26"/>
      <c r="TCH26"/>
      <c r="TCI26"/>
      <c r="TCJ26"/>
      <c r="TCK26"/>
      <c r="TCL26"/>
      <c r="TCM26"/>
      <c r="TCN26"/>
      <c r="TCO26"/>
      <c r="TCP26"/>
      <c r="TCQ26"/>
      <c r="TCR26"/>
      <c r="TCS26"/>
      <c r="TCT26"/>
      <c r="TCU26"/>
      <c r="TCV26"/>
      <c r="TCW26"/>
      <c r="TCX26"/>
      <c r="TCY26"/>
      <c r="TCZ26"/>
      <c r="TDA26"/>
      <c r="TDB26"/>
      <c r="TDC26"/>
      <c r="TDD26"/>
      <c r="TDE26"/>
      <c r="TDF26"/>
      <c r="TDG26"/>
      <c r="TDH26"/>
      <c r="TDI26"/>
      <c r="TDJ26"/>
      <c r="TDK26"/>
      <c r="TDL26"/>
      <c r="TDM26"/>
      <c r="TDN26"/>
      <c r="TDO26"/>
      <c r="TDP26"/>
      <c r="TDQ26"/>
      <c r="TDR26"/>
      <c r="TDS26"/>
      <c r="TDT26"/>
      <c r="TDU26"/>
      <c r="TDV26"/>
      <c r="TDW26"/>
      <c r="TDX26"/>
      <c r="TDY26"/>
      <c r="TDZ26"/>
      <c r="TEA26"/>
      <c r="TEB26"/>
      <c r="TEC26"/>
      <c r="TED26"/>
      <c r="TEE26"/>
      <c r="TEF26"/>
      <c r="TEG26"/>
      <c r="TEH26"/>
      <c r="TEI26"/>
      <c r="TEJ26"/>
      <c r="TEK26"/>
      <c r="TEL26"/>
      <c r="TEM26"/>
      <c r="TEN26"/>
      <c r="TEO26"/>
      <c r="TEP26"/>
      <c r="TEQ26"/>
      <c r="TER26"/>
      <c r="TES26"/>
      <c r="TET26"/>
      <c r="TEU26"/>
      <c r="TEV26"/>
      <c r="TEW26"/>
      <c r="TEX26"/>
      <c r="TEY26"/>
      <c r="TEZ26"/>
      <c r="TFA26"/>
      <c r="TFB26"/>
      <c r="TFC26"/>
      <c r="TFD26"/>
      <c r="TFE26"/>
      <c r="TFF26"/>
      <c r="TFG26"/>
      <c r="TFH26"/>
      <c r="TFI26"/>
      <c r="TFJ26"/>
      <c r="TFK26"/>
      <c r="TFL26"/>
      <c r="TFM26"/>
      <c r="TFN26"/>
      <c r="TFO26"/>
      <c r="TFP26"/>
      <c r="TFQ26"/>
      <c r="TFR26"/>
      <c r="TFS26"/>
      <c r="TFT26"/>
      <c r="TFU26"/>
      <c r="TFV26"/>
      <c r="TFW26"/>
      <c r="TFX26"/>
      <c r="TFY26"/>
      <c r="TFZ26"/>
      <c r="TGA26"/>
      <c r="TGB26"/>
      <c r="TGC26"/>
      <c r="TGD26"/>
      <c r="TGE26"/>
      <c r="TGF26"/>
      <c r="TGG26"/>
      <c r="TGH26"/>
      <c r="TGI26"/>
      <c r="TGJ26"/>
      <c r="TGK26"/>
      <c r="TGL26"/>
      <c r="TGM26"/>
      <c r="TGN26"/>
      <c r="TGO26"/>
      <c r="TGP26"/>
      <c r="TGQ26"/>
      <c r="TGR26"/>
      <c r="TGS26"/>
      <c r="TGT26"/>
      <c r="TGU26"/>
      <c r="TGV26"/>
      <c r="TGW26"/>
      <c r="TGX26"/>
      <c r="TGY26"/>
      <c r="TGZ26"/>
      <c r="THA26"/>
      <c r="THB26"/>
      <c r="THC26"/>
      <c r="THD26"/>
      <c r="THE26"/>
      <c r="THF26"/>
      <c r="THG26"/>
      <c r="THH26"/>
      <c r="THI26"/>
      <c r="THJ26"/>
      <c r="THK26"/>
      <c r="THL26"/>
      <c r="THM26"/>
      <c r="THN26"/>
      <c r="THO26"/>
      <c r="THP26"/>
      <c r="THQ26"/>
      <c r="THR26"/>
      <c r="THS26"/>
      <c r="THT26"/>
      <c r="THU26"/>
      <c r="THV26"/>
      <c r="THW26"/>
      <c r="THX26"/>
      <c r="THY26"/>
      <c r="THZ26"/>
      <c r="TIA26"/>
      <c r="TIB26"/>
      <c r="TIC26"/>
      <c r="TID26"/>
      <c r="TIE26"/>
      <c r="TIF26"/>
      <c r="TIG26"/>
      <c r="TIH26"/>
      <c r="TII26"/>
      <c r="TIJ26"/>
      <c r="TIK26"/>
      <c r="TIL26"/>
      <c r="TIM26"/>
      <c r="TIN26"/>
      <c r="TIO26"/>
      <c r="TIP26"/>
      <c r="TIQ26"/>
      <c r="TIR26"/>
      <c r="TIS26"/>
      <c r="TIT26"/>
      <c r="TIU26"/>
      <c r="TIV26"/>
      <c r="TIW26"/>
      <c r="TIX26"/>
      <c r="TIY26"/>
      <c r="TIZ26"/>
      <c r="TJA26"/>
      <c r="TJB26"/>
      <c r="TJC26"/>
      <c r="TJD26"/>
      <c r="TJE26"/>
      <c r="TJF26"/>
      <c r="TJG26"/>
      <c r="TJH26"/>
      <c r="TJI26"/>
      <c r="TJJ26"/>
      <c r="TJK26"/>
      <c r="TJL26"/>
      <c r="TJM26"/>
      <c r="TJN26"/>
      <c r="TJO26"/>
      <c r="TJP26"/>
      <c r="TJQ26"/>
      <c r="TJR26"/>
      <c r="TJS26"/>
      <c r="TJT26"/>
      <c r="TJU26"/>
      <c r="TJV26"/>
      <c r="TJW26"/>
      <c r="TJX26"/>
      <c r="TJY26"/>
      <c r="TJZ26"/>
      <c r="TKA26"/>
      <c r="TKB26"/>
      <c r="TKC26"/>
      <c r="TKD26"/>
      <c r="TKE26"/>
      <c r="TKF26"/>
      <c r="TKG26"/>
      <c r="TKH26"/>
      <c r="TKI26"/>
      <c r="TKJ26"/>
      <c r="TKK26"/>
      <c r="TKL26"/>
      <c r="TKM26"/>
      <c r="TKN26"/>
      <c r="TKO26"/>
      <c r="TKP26"/>
      <c r="TKQ26"/>
      <c r="TKR26"/>
      <c r="TKS26"/>
      <c r="TKT26"/>
      <c r="TKU26"/>
      <c r="TKV26"/>
      <c r="TKW26"/>
      <c r="TKX26"/>
      <c r="TKY26"/>
      <c r="TKZ26"/>
      <c r="TLA26"/>
      <c r="TLB26"/>
      <c r="TLC26"/>
      <c r="TLD26"/>
      <c r="TLE26"/>
      <c r="TLF26"/>
      <c r="TLG26"/>
      <c r="TLH26"/>
      <c r="TLI26"/>
      <c r="TLJ26"/>
      <c r="TLK26"/>
      <c r="TLL26"/>
      <c r="TLM26"/>
      <c r="TLN26"/>
      <c r="TLO26"/>
      <c r="TLP26"/>
      <c r="TLQ26"/>
      <c r="TLR26"/>
      <c r="TLS26"/>
      <c r="TLT26"/>
      <c r="TLU26"/>
      <c r="TLV26"/>
      <c r="TLW26"/>
      <c r="TLX26"/>
      <c r="TLY26"/>
      <c r="TLZ26"/>
      <c r="TMA26"/>
      <c r="TMB26"/>
      <c r="TMC26"/>
      <c r="TMD26"/>
      <c r="TME26"/>
      <c r="TMF26"/>
      <c r="TMG26"/>
      <c r="TMH26"/>
      <c r="TMI26"/>
      <c r="TMJ26"/>
      <c r="TMK26"/>
      <c r="TML26"/>
      <c r="TMM26"/>
      <c r="TMN26"/>
      <c r="TMO26"/>
      <c r="TMP26"/>
      <c r="TMQ26"/>
      <c r="TMR26"/>
      <c r="TMS26"/>
      <c r="TMT26"/>
      <c r="TMU26"/>
      <c r="TMV26"/>
      <c r="TMW26"/>
      <c r="TMX26"/>
      <c r="TMY26"/>
      <c r="TMZ26"/>
      <c r="TNA26"/>
      <c r="TNB26"/>
      <c r="TNC26"/>
      <c r="TND26"/>
      <c r="TNE26"/>
      <c r="TNF26"/>
      <c r="TNG26"/>
      <c r="TNH26"/>
      <c r="TNI26"/>
      <c r="TNJ26"/>
      <c r="TNK26"/>
      <c r="TNL26"/>
      <c r="TNM26"/>
      <c r="TNN26"/>
      <c r="TNO26"/>
      <c r="TNP26"/>
      <c r="TNQ26"/>
      <c r="TNR26"/>
      <c r="TNS26"/>
      <c r="TNT26"/>
      <c r="TNU26"/>
      <c r="TNV26"/>
      <c r="TNW26"/>
      <c r="TNX26"/>
      <c r="TNY26"/>
      <c r="TNZ26"/>
      <c r="TOA26"/>
      <c r="TOB26"/>
      <c r="TOC26"/>
      <c r="TOD26"/>
      <c r="TOE26"/>
      <c r="TOF26"/>
      <c r="TOG26"/>
      <c r="TOH26"/>
      <c r="TOI26"/>
      <c r="TOJ26"/>
      <c r="TOK26"/>
      <c r="TOL26"/>
      <c r="TOM26"/>
      <c r="TON26"/>
      <c r="TOO26"/>
      <c r="TOP26"/>
      <c r="TOQ26"/>
      <c r="TOR26"/>
      <c r="TOS26"/>
      <c r="TOT26"/>
      <c r="TOU26"/>
      <c r="TOV26"/>
      <c r="TOW26"/>
      <c r="TOX26"/>
      <c r="TOY26"/>
      <c r="TOZ26"/>
      <c r="TPA26"/>
      <c r="TPB26"/>
      <c r="TPC26"/>
      <c r="TPD26"/>
      <c r="TPE26"/>
      <c r="TPF26"/>
      <c r="TPG26"/>
      <c r="TPH26"/>
      <c r="TPI26"/>
      <c r="TPJ26"/>
      <c r="TPK26"/>
      <c r="TPL26"/>
      <c r="TPM26"/>
      <c r="TPN26"/>
      <c r="TPO26"/>
      <c r="TPP26"/>
      <c r="TPQ26"/>
      <c r="TPR26"/>
      <c r="TPS26"/>
      <c r="TPT26"/>
      <c r="TPU26"/>
      <c r="TPV26"/>
      <c r="TPW26"/>
      <c r="TPX26"/>
      <c r="TPY26"/>
      <c r="TPZ26"/>
      <c r="TQA26"/>
      <c r="TQB26"/>
      <c r="TQC26"/>
      <c r="TQD26"/>
      <c r="TQE26"/>
      <c r="TQF26"/>
      <c r="TQG26"/>
      <c r="TQH26"/>
      <c r="TQI26"/>
      <c r="TQJ26"/>
      <c r="TQK26"/>
      <c r="TQL26"/>
      <c r="TQM26"/>
      <c r="TQN26"/>
      <c r="TQO26"/>
      <c r="TQP26"/>
      <c r="TQQ26"/>
      <c r="TQR26"/>
      <c r="TQS26"/>
      <c r="TQT26"/>
      <c r="TQU26"/>
      <c r="TQV26"/>
      <c r="TQW26"/>
      <c r="TQX26"/>
      <c r="TQY26"/>
      <c r="TQZ26"/>
      <c r="TRA26"/>
      <c r="TRB26"/>
      <c r="TRC26"/>
      <c r="TRD26"/>
      <c r="TRE26"/>
      <c r="TRF26"/>
      <c r="TRG26"/>
      <c r="TRH26"/>
      <c r="TRI26"/>
      <c r="TRJ26"/>
      <c r="TRK26"/>
      <c r="TRL26"/>
      <c r="TRM26"/>
      <c r="TRN26"/>
      <c r="TRO26"/>
      <c r="TRP26"/>
      <c r="TRQ26"/>
      <c r="TRR26"/>
      <c r="TRS26"/>
      <c r="TRT26"/>
      <c r="TRU26"/>
      <c r="TRV26"/>
      <c r="TRW26"/>
      <c r="TRX26"/>
      <c r="TRY26"/>
      <c r="TRZ26"/>
      <c r="TSA26"/>
      <c r="TSB26"/>
      <c r="TSC26"/>
      <c r="TSD26"/>
      <c r="TSE26"/>
      <c r="TSF26"/>
      <c r="TSG26"/>
      <c r="TSH26"/>
      <c r="TSI26"/>
      <c r="TSJ26"/>
      <c r="TSK26"/>
      <c r="TSL26"/>
      <c r="TSM26"/>
      <c r="TSN26"/>
      <c r="TSO26"/>
      <c r="TSP26"/>
      <c r="TSQ26"/>
      <c r="TSR26"/>
      <c r="TSS26"/>
      <c r="TST26"/>
      <c r="TSU26"/>
      <c r="TSV26"/>
      <c r="TSW26"/>
      <c r="TSX26"/>
      <c r="TSY26"/>
      <c r="TSZ26"/>
      <c r="TTA26"/>
      <c r="TTB26"/>
      <c r="TTC26"/>
      <c r="TTD26"/>
      <c r="TTE26"/>
      <c r="TTF26"/>
      <c r="TTG26"/>
      <c r="TTH26"/>
      <c r="TTI26"/>
      <c r="TTJ26"/>
      <c r="TTK26"/>
      <c r="TTL26"/>
      <c r="TTM26"/>
      <c r="TTN26"/>
      <c r="TTO26"/>
      <c r="TTP26"/>
      <c r="TTQ26"/>
      <c r="TTR26"/>
      <c r="TTS26"/>
      <c r="TTT26"/>
      <c r="TTU26"/>
      <c r="TTV26"/>
      <c r="TTW26"/>
      <c r="TTX26"/>
      <c r="TTY26"/>
      <c r="TTZ26"/>
      <c r="TUA26"/>
      <c r="TUB26"/>
      <c r="TUC26"/>
      <c r="TUD26"/>
      <c r="TUE26"/>
      <c r="TUF26"/>
      <c r="TUG26"/>
      <c r="TUH26"/>
      <c r="TUI26"/>
      <c r="TUJ26"/>
      <c r="TUK26"/>
      <c r="TUL26"/>
      <c r="TUM26"/>
      <c r="TUN26"/>
      <c r="TUO26"/>
      <c r="TUP26"/>
      <c r="TUQ26"/>
      <c r="TUR26"/>
      <c r="TUS26"/>
      <c r="TUT26"/>
      <c r="TUU26"/>
      <c r="TUV26"/>
      <c r="TUW26"/>
      <c r="TUX26"/>
      <c r="TUY26"/>
      <c r="TUZ26"/>
      <c r="TVA26"/>
      <c r="TVB26"/>
      <c r="TVC26"/>
      <c r="TVD26"/>
      <c r="TVE26"/>
      <c r="TVF26"/>
      <c r="TVG26"/>
      <c r="TVH26"/>
      <c r="TVI26"/>
      <c r="TVJ26"/>
      <c r="TVK26"/>
      <c r="TVL26"/>
      <c r="TVM26"/>
      <c r="TVN26"/>
      <c r="TVO26"/>
      <c r="TVP26"/>
      <c r="TVQ26"/>
      <c r="TVR26"/>
      <c r="TVS26"/>
      <c r="TVT26"/>
      <c r="TVU26"/>
      <c r="TVV26"/>
      <c r="TVW26"/>
      <c r="TVX26"/>
      <c r="TVY26"/>
      <c r="TVZ26"/>
      <c r="TWA26"/>
      <c r="TWB26"/>
      <c r="TWC26"/>
      <c r="TWD26"/>
      <c r="TWE26"/>
      <c r="TWF26"/>
      <c r="TWG26"/>
      <c r="TWH26"/>
      <c r="TWI26"/>
      <c r="TWJ26"/>
      <c r="TWK26"/>
      <c r="TWL26"/>
      <c r="TWM26"/>
      <c r="TWN26"/>
      <c r="TWO26"/>
      <c r="TWP26"/>
      <c r="TWQ26"/>
      <c r="TWR26"/>
      <c r="TWS26"/>
      <c r="TWT26"/>
      <c r="TWU26"/>
      <c r="TWV26"/>
      <c r="TWW26"/>
      <c r="TWX26"/>
      <c r="TWY26"/>
      <c r="TWZ26"/>
      <c r="TXA26"/>
      <c r="TXB26"/>
      <c r="TXC26"/>
      <c r="TXD26"/>
      <c r="TXE26"/>
      <c r="TXF26"/>
      <c r="TXG26"/>
      <c r="TXH26"/>
      <c r="TXI26"/>
      <c r="TXJ26"/>
      <c r="TXK26"/>
      <c r="TXL26"/>
      <c r="TXM26"/>
      <c r="TXN26"/>
      <c r="TXO26"/>
      <c r="TXP26"/>
      <c r="TXQ26"/>
      <c r="TXR26"/>
      <c r="TXS26"/>
      <c r="TXT26"/>
      <c r="TXU26"/>
      <c r="TXV26"/>
      <c r="TXW26"/>
      <c r="TXX26"/>
      <c r="TXY26"/>
      <c r="TXZ26"/>
      <c r="TYA26"/>
      <c r="TYB26"/>
      <c r="TYC26"/>
      <c r="TYD26"/>
      <c r="TYE26"/>
      <c r="TYF26"/>
      <c r="TYG26"/>
      <c r="TYH26"/>
      <c r="TYI26"/>
      <c r="TYJ26"/>
      <c r="TYK26"/>
      <c r="TYL26"/>
      <c r="TYM26"/>
      <c r="TYN26"/>
      <c r="TYO26"/>
      <c r="TYP26"/>
      <c r="TYQ26"/>
      <c r="TYR26"/>
      <c r="TYS26"/>
      <c r="TYT26"/>
      <c r="TYU26"/>
      <c r="TYV26"/>
      <c r="TYW26"/>
      <c r="TYX26"/>
      <c r="TYY26"/>
      <c r="TYZ26"/>
      <c r="TZA26"/>
      <c r="TZB26"/>
      <c r="TZC26"/>
      <c r="TZD26"/>
      <c r="TZE26"/>
      <c r="TZF26"/>
      <c r="TZG26"/>
      <c r="TZH26"/>
      <c r="TZI26"/>
      <c r="TZJ26"/>
      <c r="TZK26"/>
      <c r="TZL26"/>
      <c r="TZM26"/>
      <c r="TZN26"/>
      <c r="TZO26"/>
      <c r="TZP26"/>
      <c r="TZQ26"/>
      <c r="TZR26"/>
      <c r="TZS26"/>
      <c r="TZT26"/>
      <c r="TZU26"/>
      <c r="TZV26"/>
      <c r="TZW26"/>
      <c r="TZX26"/>
      <c r="TZY26"/>
      <c r="TZZ26"/>
      <c r="UAA26"/>
      <c r="UAB26"/>
      <c r="UAC26"/>
      <c r="UAD26"/>
      <c r="UAE26"/>
      <c r="UAF26"/>
      <c r="UAG26"/>
      <c r="UAH26"/>
      <c r="UAI26"/>
      <c r="UAJ26"/>
      <c r="UAK26"/>
      <c r="UAL26"/>
      <c r="UAM26"/>
      <c r="UAN26"/>
      <c r="UAO26"/>
      <c r="UAP26"/>
      <c r="UAQ26"/>
      <c r="UAR26"/>
      <c r="UAS26"/>
      <c r="UAT26"/>
      <c r="UAU26"/>
      <c r="UAV26"/>
      <c r="UAW26"/>
      <c r="UAX26"/>
      <c r="UAY26"/>
      <c r="UAZ26"/>
      <c r="UBA26"/>
      <c r="UBB26"/>
      <c r="UBC26"/>
      <c r="UBD26"/>
      <c r="UBE26"/>
      <c r="UBF26"/>
      <c r="UBG26"/>
      <c r="UBH26"/>
      <c r="UBI26"/>
      <c r="UBJ26"/>
      <c r="UBK26"/>
      <c r="UBL26"/>
      <c r="UBM26"/>
      <c r="UBN26"/>
      <c r="UBO26"/>
      <c r="UBP26"/>
      <c r="UBQ26"/>
      <c r="UBR26"/>
      <c r="UBS26"/>
      <c r="UBT26"/>
      <c r="UBU26"/>
      <c r="UBV26"/>
      <c r="UBW26"/>
      <c r="UBX26"/>
      <c r="UBY26"/>
      <c r="UBZ26"/>
      <c r="UCA26"/>
      <c r="UCB26"/>
      <c r="UCC26"/>
      <c r="UCD26"/>
      <c r="UCE26"/>
      <c r="UCF26"/>
      <c r="UCG26"/>
      <c r="UCH26"/>
      <c r="UCI26"/>
      <c r="UCJ26"/>
      <c r="UCK26"/>
      <c r="UCL26"/>
      <c r="UCM26"/>
      <c r="UCN26"/>
      <c r="UCO26"/>
      <c r="UCP26"/>
      <c r="UCQ26"/>
      <c r="UCR26"/>
      <c r="UCS26"/>
      <c r="UCT26"/>
      <c r="UCU26"/>
      <c r="UCV26"/>
      <c r="UCW26"/>
      <c r="UCX26"/>
      <c r="UCY26"/>
      <c r="UCZ26"/>
      <c r="UDA26"/>
      <c r="UDB26"/>
      <c r="UDC26"/>
      <c r="UDD26"/>
      <c r="UDE26"/>
      <c r="UDF26"/>
      <c r="UDG26"/>
      <c r="UDH26"/>
      <c r="UDI26"/>
      <c r="UDJ26"/>
      <c r="UDK26"/>
      <c r="UDL26"/>
      <c r="UDM26"/>
      <c r="UDN26"/>
      <c r="UDO26"/>
      <c r="UDP26"/>
      <c r="UDQ26"/>
      <c r="UDR26"/>
      <c r="UDS26"/>
      <c r="UDT26"/>
      <c r="UDU26"/>
      <c r="UDV26"/>
      <c r="UDW26"/>
      <c r="UDX26"/>
      <c r="UDY26"/>
      <c r="UDZ26"/>
      <c r="UEA26"/>
      <c r="UEB26"/>
      <c r="UEC26"/>
      <c r="UED26"/>
      <c r="UEE26"/>
      <c r="UEF26"/>
      <c r="UEG26"/>
      <c r="UEH26"/>
      <c r="UEI26"/>
      <c r="UEJ26"/>
      <c r="UEK26"/>
      <c r="UEL26"/>
      <c r="UEM26"/>
      <c r="UEN26"/>
      <c r="UEO26"/>
      <c r="UEP26"/>
      <c r="UEQ26"/>
      <c r="UER26"/>
      <c r="UES26"/>
      <c r="UET26"/>
      <c r="UEU26"/>
      <c r="UEV26"/>
      <c r="UEW26"/>
      <c r="UEX26"/>
      <c r="UEY26"/>
      <c r="UEZ26"/>
      <c r="UFA26"/>
      <c r="UFB26"/>
      <c r="UFC26"/>
      <c r="UFD26"/>
      <c r="UFE26"/>
      <c r="UFF26"/>
      <c r="UFG26"/>
      <c r="UFH26"/>
      <c r="UFI26"/>
      <c r="UFJ26"/>
      <c r="UFK26"/>
      <c r="UFL26"/>
      <c r="UFM26"/>
      <c r="UFN26"/>
      <c r="UFO26"/>
      <c r="UFP26"/>
      <c r="UFQ26"/>
      <c r="UFR26"/>
      <c r="UFS26"/>
      <c r="UFT26"/>
      <c r="UFU26"/>
      <c r="UFV26"/>
      <c r="UFW26"/>
      <c r="UFX26"/>
      <c r="UFY26"/>
      <c r="UFZ26"/>
      <c r="UGA26"/>
      <c r="UGB26"/>
      <c r="UGC26"/>
      <c r="UGD26"/>
      <c r="UGE26"/>
      <c r="UGF26"/>
      <c r="UGG26"/>
      <c r="UGH26"/>
      <c r="UGI26"/>
      <c r="UGJ26"/>
      <c r="UGK26"/>
      <c r="UGL26"/>
      <c r="UGM26"/>
      <c r="UGN26"/>
      <c r="UGO26"/>
      <c r="UGP26"/>
      <c r="UGQ26"/>
      <c r="UGR26"/>
      <c r="UGS26"/>
      <c r="UGT26"/>
      <c r="UGU26"/>
      <c r="UGV26"/>
      <c r="UGW26"/>
      <c r="UGX26"/>
      <c r="UGY26"/>
      <c r="UGZ26"/>
      <c r="UHA26"/>
      <c r="UHB26"/>
      <c r="UHC26"/>
      <c r="UHD26"/>
      <c r="UHE26"/>
      <c r="UHF26"/>
      <c r="UHG26"/>
      <c r="UHH26"/>
      <c r="UHI26"/>
      <c r="UHJ26"/>
      <c r="UHK26"/>
      <c r="UHL26"/>
      <c r="UHM26"/>
      <c r="UHN26"/>
      <c r="UHO26"/>
      <c r="UHP26"/>
      <c r="UHQ26"/>
      <c r="UHR26"/>
      <c r="UHS26"/>
      <c r="UHT26"/>
      <c r="UHU26"/>
      <c r="UHV26"/>
      <c r="UHW26"/>
      <c r="UHX26"/>
      <c r="UHY26"/>
      <c r="UHZ26"/>
      <c r="UIA26"/>
      <c r="UIB26"/>
      <c r="UIC26"/>
      <c r="UID26"/>
      <c r="UIE26"/>
      <c r="UIF26"/>
      <c r="UIG26"/>
      <c r="UIH26"/>
      <c r="UII26"/>
      <c r="UIJ26"/>
      <c r="UIK26"/>
      <c r="UIL26"/>
      <c r="UIM26"/>
      <c r="UIN26"/>
      <c r="UIO26"/>
      <c r="UIP26"/>
      <c r="UIQ26"/>
      <c r="UIR26"/>
      <c r="UIS26"/>
      <c r="UIT26"/>
      <c r="UIU26"/>
      <c r="UIV26"/>
      <c r="UIW26"/>
      <c r="UIX26"/>
      <c r="UIY26"/>
      <c r="UIZ26"/>
      <c r="UJA26"/>
      <c r="UJB26"/>
      <c r="UJC26"/>
      <c r="UJD26"/>
      <c r="UJE26"/>
      <c r="UJF26"/>
      <c r="UJG26"/>
      <c r="UJH26"/>
      <c r="UJI26"/>
      <c r="UJJ26"/>
      <c r="UJK26"/>
      <c r="UJL26"/>
      <c r="UJM26"/>
      <c r="UJN26"/>
      <c r="UJO26"/>
      <c r="UJP26"/>
      <c r="UJQ26"/>
      <c r="UJR26"/>
      <c r="UJS26"/>
      <c r="UJT26"/>
      <c r="UJU26"/>
      <c r="UJV26"/>
      <c r="UJW26"/>
      <c r="UJX26"/>
      <c r="UJY26"/>
      <c r="UJZ26"/>
      <c r="UKA26"/>
      <c r="UKB26"/>
      <c r="UKC26"/>
      <c r="UKD26"/>
      <c r="UKE26"/>
      <c r="UKF26"/>
      <c r="UKG26"/>
      <c r="UKH26"/>
      <c r="UKI26"/>
      <c r="UKJ26"/>
      <c r="UKK26"/>
      <c r="UKL26"/>
      <c r="UKM26"/>
      <c r="UKN26"/>
      <c r="UKO26"/>
      <c r="UKP26"/>
      <c r="UKQ26"/>
      <c r="UKR26"/>
      <c r="UKS26"/>
      <c r="UKT26"/>
      <c r="UKU26"/>
      <c r="UKV26"/>
      <c r="UKW26"/>
      <c r="UKX26"/>
      <c r="UKY26"/>
      <c r="UKZ26"/>
      <c r="ULA26"/>
      <c r="ULB26"/>
      <c r="ULC26"/>
      <c r="ULD26"/>
      <c r="ULE26"/>
      <c r="ULF26"/>
      <c r="ULG26"/>
      <c r="ULH26"/>
      <c r="ULI26"/>
      <c r="ULJ26"/>
      <c r="ULK26"/>
      <c r="ULL26"/>
      <c r="ULM26"/>
      <c r="ULN26"/>
      <c r="ULO26"/>
      <c r="ULP26"/>
      <c r="ULQ26"/>
      <c r="ULR26"/>
      <c r="ULS26"/>
      <c r="ULT26"/>
      <c r="ULU26"/>
      <c r="ULV26"/>
      <c r="ULW26"/>
      <c r="ULX26"/>
      <c r="ULY26"/>
      <c r="ULZ26"/>
      <c r="UMA26"/>
      <c r="UMB26"/>
      <c r="UMC26"/>
      <c r="UMD26"/>
      <c r="UME26"/>
      <c r="UMF26"/>
      <c r="UMG26"/>
      <c r="UMH26"/>
      <c r="UMI26"/>
      <c r="UMJ26"/>
      <c r="UMK26"/>
      <c r="UML26"/>
      <c r="UMM26"/>
      <c r="UMN26"/>
      <c r="UMO26"/>
      <c r="UMP26"/>
      <c r="UMQ26"/>
      <c r="UMR26"/>
      <c r="UMS26"/>
      <c r="UMT26"/>
      <c r="UMU26"/>
      <c r="UMV26"/>
      <c r="UMW26"/>
      <c r="UMX26"/>
      <c r="UMY26"/>
      <c r="UMZ26"/>
      <c r="UNA26"/>
      <c r="UNB26"/>
      <c r="UNC26"/>
      <c r="UND26"/>
      <c r="UNE26"/>
      <c r="UNF26"/>
      <c r="UNG26"/>
      <c r="UNH26"/>
      <c r="UNI26"/>
      <c r="UNJ26"/>
      <c r="UNK26"/>
      <c r="UNL26"/>
      <c r="UNM26"/>
      <c r="UNN26"/>
      <c r="UNO26"/>
      <c r="UNP26"/>
      <c r="UNQ26"/>
      <c r="UNR26"/>
      <c r="UNS26"/>
      <c r="UNT26"/>
      <c r="UNU26"/>
      <c r="UNV26"/>
      <c r="UNW26"/>
      <c r="UNX26"/>
      <c r="UNY26"/>
      <c r="UNZ26"/>
      <c r="UOA26"/>
      <c r="UOB26"/>
      <c r="UOC26"/>
      <c r="UOD26"/>
      <c r="UOE26"/>
      <c r="UOF26"/>
      <c r="UOG26"/>
      <c r="UOH26"/>
      <c r="UOI26"/>
      <c r="UOJ26"/>
      <c r="UOK26"/>
      <c r="UOL26"/>
      <c r="UOM26"/>
      <c r="UON26"/>
      <c r="UOO26"/>
      <c r="UOP26"/>
      <c r="UOQ26"/>
      <c r="UOR26"/>
      <c r="UOS26"/>
      <c r="UOT26"/>
      <c r="UOU26"/>
      <c r="UOV26"/>
      <c r="UOW26"/>
      <c r="UOX26"/>
      <c r="UOY26"/>
      <c r="UOZ26"/>
      <c r="UPA26"/>
      <c r="UPB26"/>
      <c r="UPC26"/>
      <c r="UPD26"/>
      <c r="UPE26"/>
      <c r="UPF26"/>
      <c r="UPG26"/>
      <c r="UPH26"/>
      <c r="UPI26"/>
      <c r="UPJ26"/>
      <c r="UPK26"/>
      <c r="UPL26"/>
      <c r="UPM26"/>
      <c r="UPN26"/>
      <c r="UPO26"/>
      <c r="UPP26"/>
      <c r="UPQ26"/>
      <c r="UPR26"/>
      <c r="UPS26"/>
      <c r="UPT26"/>
      <c r="UPU26"/>
      <c r="UPV26"/>
      <c r="UPW26"/>
      <c r="UPX26"/>
      <c r="UPY26"/>
      <c r="UPZ26"/>
      <c r="UQA26"/>
      <c r="UQB26"/>
      <c r="UQC26"/>
      <c r="UQD26"/>
      <c r="UQE26"/>
      <c r="UQF26"/>
      <c r="UQG26"/>
      <c r="UQH26"/>
      <c r="UQI26"/>
      <c r="UQJ26"/>
      <c r="UQK26"/>
      <c r="UQL26"/>
      <c r="UQM26"/>
      <c r="UQN26"/>
      <c r="UQO26"/>
      <c r="UQP26"/>
      <c r="UQQ26"/>
      <c r="UQR26"/>
      <c r="UQS26"/>
      <c r="UQT26"/>
      <c r="UQU26"/>
      <c r="UQV26"/>
      <c r="UQW26"/>
      <c r="UQX26"/>
      <c r="UQY26"/>
      <c r="UQZ26"/>
      <c r="URA26"/>
      <c r="URB26"/>
      <c r="URC26"/>
      <c r="URD26"/>
      <c r="URE26"/>
      <c r="URF26"/>
      <c r="URG26"/>
      <c r="URH26"/>
      <c r="URI26"/>
      <c r="URJ26"/>
      <c r="URK26"/>
      <c r="URL26"/>
      <c r="URM26"/>
      <c r="URN26"/>
      <c r="URO26"/>
      <c r="URP26"/>
      <c r="URQ26"/>
      <c r="URR26"/>
      <c r="URS26"/>
      <c r="URT26"/>
      <c r="URU26"/>
      <c r="URV26"/>
      <c r="URW26"/>
      <c r="URX26"/>
      <c r="URY26"/>
      <c r="URZ26"/>
      <c r="USA26"/>
      <c r="USB26"/>
      <c r="USC26"/>
      <c r="USD26"/>
      <c r="USE26"/>
      <c r="USF26"/>
      <c r="USG26"/>
      <c r="USH26"/>
      <c r="USI26"/>
      <c r="USJ26"/>
      <c r="USK26"/>
      <c r="USL26"/>
      <c r="USM26"/>
      <c r="USN26"/>
      <c r="USO26"/>
      <c r="USP26"/>
      <c r="USQ26"/>
      <c r="USR26"/>
      <c r="USS26"/>
      <c r="UST26"/>
      <c r="USU26"/>
      <c r="USV26"/>
      <c r="USW26"/>
      <c r="USX26"/>
      <c r="USY26"/>
      <c r="USZ26"/>
      <c r="UTA26"/>
      <c r="UTB26"/>
      <c r="UTC26"/>
      <c r="UTD26"/>
      <c r="UTE26"/>
      <c r="UTF26"/>
      <c r="UTG26"/>
      <c r="UTH26"/>
      <c r="UTI26"/>
      <c r="UTJ26"/>
      <c r="UTK26"/>
      <c r="UTL26"/>
      <c r="UTM26"/>
      <c r="UTN26"/>
      <c r="UTO26"/>
      <c r="UTP26"/>
      <c r="UTQ26"/>
      <c r="UTR26"/>
      <c r="UTS26"/>
      <c r="UTT26"/>
      <c r="UTU26"/>
      <c r="UTV26"/>
      <c r="UTW26"/>
      <c r="UTX26"/>
      <c r="UTY26"/>
      <c r="UTZ26"/>
      <c r="UUA26"/>
      <c r="UUB26"/>
      <c r="UUC26"/>
      <c r="UUD26"/>
      <c r="UUE26"/>
      <c r="UUF26"/>
      <c r="UUG26"/>
      <c r="UUH26"/>
      <c r="UUI26"/>
      <c r="UUJ26"/>
      <c r="UUK26"/>
      <c r="UUL26"/>
      <c r="UUM26"/>
      <c r="UUN26"/>
      <c r="UUO26"/>
      <c r="UUP26"/>
      <c r="UUQ26"/>
      <c r="UUR26"/>
      <c r="UUS26"/>
      <c r="UUT26"/>
      <c r="UUU26"/>
      <c r="UUV26"/>
      <c r="UUW26"/>
      <c r="UUX26"/>
      <c r="UUY26"/>
      <c r="UUZ26"/>
      <c r="UVA26"/>
      <c r="UVB26"/>
      <c r="UVC26"/>
      <c r="UVD26"/>
      <c r="UVE26"/>
      <c r="UVF26"/>
      <c r="UVG26"/>
      <c r="UVH26"/>
      <c r="UVI26"/>
      <c r="UVJ26"/>
      <c r="UVK26"/>
      <c r="UVL26"/>
      <c r="UVM26"/>
      <c r="UVN26"/>
      <c r="UVO26"/>
      <c r="UVP26"/>
      <c r="UVQ26"/>
      <c r="UVR26"/>
      <c r="UVS26"/>
      <c r="UVT26"/>
      <c r="UVU26"/>
      <c r="UVV26"/>
      <c r="UVW26"/>
      <c r="UVX26"/>
      <c r="UVY26"/>
      <c r="UVZ26"/>
      <c r="UWA26"/>
      <c r="UWB26"/>
      <c r="UWC26"/>
      <c r="UWD26"/>
      <c r="UWE26"/>
      <c r="UWF26"/>
      <c r="UWG26"/>
      <c r="UWH26"/>
      <c r="UWI26"/>
      <c r="UWJ26"/>
      <c r="UWK26"/>
      <c r="UWL26"/>
      <c r="UWM26"/>
      <c r="UWN26"/>
      <c r="UWO26"/>
      <c r="UWP26"/>
      <c r="UWQ26"/>
      <c r="UWR26"/>
      <c r="UWS26"/>
      <c r="UWT26"/>
      <c r="UWU26"/>
      <c r="UWV26"/>
      <c r="UWW26"/>
      <c r="UWX26"/>
      <c r="UWY26"/>
      <c r="UWZ26"/>
      <c r="UXA26"/>
      <c r="UXB26"/>
      <c r="UXC26"/>
      <c r="UXD26"/>
      <c r="UXE26"/>
      <c r="UXF26"/>
      <c r="UXG26"/>
      <c r="UXH26"/>
      <c r="UXI26"/>
      <c r="UXJ26"/>
      <c r="UXK26"/>
      <c r="UXL26"/>
      <c r="UXM26"/>
      <c r="UXN26"/>
      <c r="UXO26"/>
      <c r="UXP26"/>
      <c r="UXQ26"/>
      <c r="UXR26"/>
      <c r="UXS26"/>
      <c r="UXT26"/>
      <c r="UXU26"/>
      <c r="UXV26"/>
      <c r="UXW26"/>
      <c r="UXX26"/>
      <c r="UXY26"/>
      <c r="UXZ26"/>
      <c r="UYA26"/>
      <c r="UYB26"/>
      <c r="UYC26"/>
      <c r="UYD26"/>
      <c r="UYE26"/>
      <c r="UYF26"/>
      <c r="UYG26"/>
      <c r="UYH26"/>
      <c r="UYI26"/>
      <c r="UYJ26"/>
      <c r="UYK26"/>
      <c r="UYL26"/>
      <c r="UYM26"/>
      <c r="UYN26"/>
      <c r="UYO26"/>
      <c r="UYP26"/>
      <c r="UYQ26"/>
      <c r="UYR26"/>
      <c r="UYS26"/>
      <c r="UYT26"/>
      <c r="UYU26"/>
      <c r="UYV26"/>
      <c r="UYW26"/>
      <c r="UYX26"/>
      <c r="UYY26"/>
      <c r="UYZ26"/>
      <c r="UZA26"/>
      <c r="UZB26"/>
      <c r="UZC26"/>
      <c r="UZD26"/>
      <c r="UZE26"/>
      <c r="UZF26"/>
      <c r="UZG26"/>
      <c r="UZH26"/>
      <c r="UZI26"/>
      <c r="UZJ26"/>
      <c r="UZK26"/>
      <c r="UZL26"/>
      <c r="UZM26"/>
      <c r="UZN26"/>
      <c r="UZO26"/>
      <c r="UZP26"/>
      <c r="UZQ26"/>
      <c r="UZR26"/>
      <c r="UZS26"/>
      <c r="UZT26"/>
      <c r="UZU26"/>
      <c r="UZV26"/>
      <c r="UZW26"/>
      <c r="UZX26"/>
      <c r="UZY26"/>
      <c r="UZZ26"/>
      <c r="VAA26"/>
      <c r="VAB26"/>
      <c r="VAC26"/>
      <c r="VAD26"/>
      <c r="VAE26"/>
      <c r="VAF26"/>
      <c r="VAG26"/>
      <c r="VAH26"/>
      <c r="VAI26"/>
      <c r="VAJ26"/>
      <c r="VAK26"/>
      <c r="VAL26"/>
      <c r="VAM26"/>
      <c r="VAN26"/>
      <c r="VAO26"/>
      <c r="VAP26"/>
      <c r="VAQ26"/>
      <c r="VAR26"/>
      <c r="VAS26"/>
      <c r="VAT26"/>
      <c r="VAU26"/>
      <c r="VAV26"/>
      <c r="VAW26"/>
      <c r="VAX26"/>
      <c r="VAY26"/>
      <c r="VAZ26"/>
      <c r="VBA26"/>
      <c r="VBB26"/>
      <c r="VBC26"/>
      <c r="VBD26"/>
      <c r="VBE26"/>
      <c r="VBF26"/>
      <c r="VBG26"/>
      <c r="VBH26"/>
      <c r="VBI26"/>
      <c r="VBJ26"/>
      <c r="VBK26"/>
      <c r="VBL26"/>
      <c r="VBM26"/>
      <c r="VBN26"/>
      <c r="VBO26"/>
      <c r="VBP26"/>
      <c r="VBQ26"/>
      <c r="VBR26"/>
      <c r="VBS26"/>
      <c r="VBT26"/>
      <c r="VBU26"/>
      <c r="VBV26"/>
      <c r="VBW26"/>
      <c r="VBX26"/>
      <c r="VBY26"/>
      <c r="VBZ26"/>
      <c r="VCA26"/>
      <c r="VCB26"/>
      <c r="VCC26"/>
      <c r="VCD26"/>
      <c r="VCE26"/>
      <c r="VCF26"/>
      <c r="VCG26"/>
      <c r="VCH26"/>
      <c r="VCI26"/>
      <c r="VCJ26"/>
      <c r="VCK26"/>
      <c r="VCL26"/>
      <c r="VCM26"/>
      <c r="VCN26"/>
      <c r="VCO26"/>
      <c r="VCP26"/>
      <c r="VCQ26"/>
      <c r="VCR26"/>
      <c r="VCS26"/>
      <c r="VCT26"/>
      <c r="VCU26"/>
      <c r="VCV26"/>
      <c r="VCW26"/>
      <c r="VCX26"/>
      <c r="VCY26"/>
      <c r="VCZ26"/>
      <c r="VDA26"/>
      <c r="VDB26"/>
      <c r="VDC26"/>
      <c r="VDD26"/>
      <c r="VDE26"/>
      <c r="VDF26"/>
      <c r="VDG26"/>
      <c r="VDH26"/>
      <c r="VDI26"/>
      <c r="VDJ26"/>
      <c r="VDK26"/>
      <c r="VDL26"/>
      <c r="VDM26"/>
      <c r="VDN26"/>
      <c r="VDO26"/>
      <c r="VDP26"/>
      <c r="VDQ26"/>
      <c r="VDR26"/>
      <c r="VDS26"/>
      <c r="VDT26"/>
      <c r="VDU26"/>
      <c r="VDV26"/>
      <c r="VDW26"/>
      <c r="VDX26"/>
      <c r="VDY26"/>
      <c r="VDZ26"/>
      <c r="VEA26"/>
      <c r="VEB26"/>
      <c r="VEC26"/>
      <c r="VED26"/>
      <c r="VEE26"/>
      <c r="VEF26"/>
      <c r="VEG26"/>
      <c r="VEH26"/>
      <c r="VEI26"/>
      <c r="VEJ26"/>
      <c r="VEK26"/>
      <c r="VEL26"/>
      <c r="VEM26"/>
      <c r="VEN26"/>
      <c r="VEO26"/>
      <c r="VEP26"/>
      <c r="VEQ26"/>
      <c r="VER26"/>
      <c r="VES26"/>
      <c r="VET26"/>
      <c r="VEU26"/>
      <c r="VEV26"/>
      <c r="VEW26"/>
      <c r="VEX26"/>
      <c r="VEY26"/>
      <c r="VEZ26"/>
      <c r="VFA26"/>
      <c r="VFB26"/>
      <c r="VFC26"/>
      <c r="VFD26"/>
      <c r="VFE26"/>
      <c r="VFF26"/>
      <c r="VFG26"/>
      <c r="VFH26"/>
      <c r="VFI26"/>
      <c r="VFJ26"/>
      <c r="VFK26"/>
      <c r="VFL26"/>
      <c r="VFM26"/>
      <c r="VFN26"/>
      <c r="VFO26"/>
      <c r="VFP26"/>
      <c r="VFQ26"/>
      <c r="VFR26"/>
      <c r="VFS26"/>
      <c r="VFT26"/>
      <c r="VFU26"/>
      <c r="VFV26"/>
      <c r="VFW26"/>
      <c r="VFX26"/>
      <c r="VFY26"/>
      <c r="VFZ26"/>
      <c r="VGA26"/>
      <c r="VGB26"/>
      <c r="VGC26"/>
      <c r="VGD26"/>
      <c r="VGE26"/>
      <c r="VGF26"/>
      <c r="VGG26"/>
      <c r="VGH26"/>
      <c r="VGI26"/>
      <c r="VGJ26"/>
      <c r="VGK26"/>
      <c r="VGL26"/>
      <c r="VGM26"/>
      <c r="VGN26"/>
      <c r="VGO26"/>
      <c r="VGP26"/>
      <c r="VGQ26"/>
      <c r="VGR26"/>
      <c r="VGS26"/>
      <c r="VGT26"/>
      <c r="VGU26"/>
      <c r="VGV26"/>
      <c r="VGW26"/>
      <c r="VGX26"/>
      <c r="VGY26"/>
      <c r="VGZ26"/>
      <c r="VHA26"/>
      <c r="VHB26"/>
      <c r="VHC26"/>
      <c r="VHD26"/>
      <c r="VHE26"/>
      <c r="VHF26"/>
      <c r="VHG26"/>
      <c r="VHH26"/>
      <c r="VHI26"/>
      <c r="VHJ26"/>
      <c r="VHK26"/>
      <c r="VHL26"/>
      <c r="VHM26"/>
      <c r="VHN26"/>
      <c r="VHO26"/>
      <c r="VHP26"/>
      <c r="VHQ26"/>
      <c r="VHR26"/>
      <c r="VHS26"/>
      <c r="VHT26"/>
      <c r="VHU26"/>
      <c r="VHV26"/>
      <c r="VHW26"/>
      <c r="VHX26"/>
      <c r="VHY26"/>
      <c r="VHZ26"/>
      <c r="VIA26"/>
      <c r="VIB26"/>
      <c r="VIC26"/>
      <c r="VID26"/>
      <c r="VIE26"/>
      <c r="VIF26"/>
      <c r="VIG26"/>
      <c r="VIH26"/>
      <c r="VII26"/>
      <c r="VIJ26"/>
      <c r="VIK26"/>
      <c r="VIL26"/>
      <c r="VIM26"/>
      <c r="VIN26"/>
      <c r="VIO26"/>
      <c r="VIP26"/>
      <c r="VIQ26"/>
      <c r="VIR26"/>
      <c r="VIS26"/>
      <c r="VIT26"/>
      <c r="VIU26"/>
      <c r="VIV26"/>
      <c r="VIW26"/>
      <c r="VIX26"/>
      <c r="VIY26"/>
      <c r="VIZ26"/>
      <c r="VJA26"/>
      <c r="VJB26"/>
      <c r="VJC26"/>
      <c r="VJD26"/>
      <c r="VJE26"/>
      <c r="VJF26"/>
      <c r="VJG26"/>
      <c r="VJH26"/>
      <c r="VJI26"/>
      <c r="VJJ26"/>
      <c r="VJK26"/>
      <c r="VJL26"/>
      <c r="VJM26"/>
      <c r="VJN26"/>
      <c r="VJO26"/>
      <c r="VJP26"/>
      <c r="VJQ26"/>
      <c r="VJR26"/>
      <c r="VJS26"/>
      <c r="VJT26"/>
      <c r="VJU26"/>
      <c r="VJV26"/>
      <c r="VJW26"/>
      <c r="VJX26"/>
      <c r="VJY26"/>
      <c r="VJZ26"/>
      <c r="VKA26"/>
      <c r="VKB26"/>
      <c r="VKC26"/>
      <c r="VKD26"/>
      <c r="VKE26"/>
      <c r="VKF26"/>
      <c r="VKG26"/>
      <c r="VKH26"/>
      <c r="VKI26"/>
      <c r="VKJ26"/>
      <c r="VKK26"/>
      <c r="VKL26"/>
      <c r="VKM26"/>
      <c r="VKN26"/>
      <c r="VKO26"/>
      <c r="VKP26"/>
      <c r="VKQ26"/>
      <c r="VKR26"/>
      <c r="VKS26"/>
      <c r="VKT26"/>
      <c r="VKU26"/>
      <c r="VKV26"/>
      <c r="VKW26"/>
      <c r="VKX26"/>
      <c r="VKY26"/>
      <c r="VKZ26"/>
      <c r="VLA26"/>
      <c r="VLB26"/>
      <c r="VLC26"/>
      <c r="VLD26"/>
      <c r="VLE26"/>
      <c r="VLF26"/>
      <c r="VLG26"/>
      <c r="VLH26"/>
      <c r="VLI26"/>
      <c r="VLJ26"/>
      <c r="VLK26"/>
      <c r="VLL26"/>
      <c r="VLM26"/>
      <c r="VLN26"/>
      <c r="VLO26"/>
      <c r="VLP26"/>
      <c r="VLQ26"/>
      <c r="VLR26"/>
      <c r="VLS26"/>
      <c r="VLT26"/>
      <c r="VLU26"/>
      <c r="VLV26"/>
      <c r="VLW26"/>
      <c r="VLX26"/>
      <c r="VLY26"/>
      <c r="VLZ26"/>
      <c r="VMA26"/>
      <c r="VMB26"/>
      <c r="VMC26"/>
      <c r="VMD26"/>
      <c r="VME26"/>
      <c r="VMF26"/>
      <c r="VMG26"/>
      <c r="VMH26"/>
      <c r="VMI26"/>
      <c r="VMJ26"/>
      <c r="VMK26"/>
      <c r="VML26"/>
      <c r="VMM26"/>
      <c r="VMN26"/>
      <c r="VMO26"/>
      <c r="VMP26"/>
      <c r="VMQ26"/>
      <c r="VMR26"/>
      <c r="VMS26"/>
      <c r="VMT26"/>
      <c r="VMU26"/>
      <c r="VMV26"/>
      <c r="VMW26"/>
      <c r="VMX26"/>
      <c r="VMY26"/>
      <c r="VMZ26"/>
      <c r="VNA26"/>
      <c r="VNB26"/>
      <c r="VNC26"/>
      <c r="VND26"/>
      <c r="VNE26"/>
      <c r="VNF26"/>
      <c r="VNG26"/>
      <c r="VNH26"/>
      <c r="VNI26"/>
      <c r="VNJ26"/>
      <c r="VNK26"/>
      <c r="VNL26"/>
      <c r="VNM26"/>
      <c r="VNN26"/>
      <c r="VNO26"/>
      <c r="VNP26"/>
      <c r="VNQ26"/>
      <c r="VNR26"/>
      <c r="VNS26"/>
      <c r="VNT26"/>
      <c r="VNU26"/>
      <c r="VNV26"/>
      <c r="VNW26"/>
      <c r="VNX26"/>
      <c r="VNY26"/>
      <c r="VNZ26"/>
      <c r="VOA26"/>
      <c r="VOB26"/>
      <c r="VOC26"/>
      <c r="VOD26"/>
      <c r="VOE26"/>
      <c r="VOF26"/>
      <c r="VOG26"/>
      <c r="VOH26"/>
      <c r="VOI26"/>
      <c r="VOJ26"/>
      <c r="VOK26"/>
      <c r="VOL26"/>
      <c r="VOM26"/>
      <c r="VON26"/>
      <c r="VOO26"/>
      <c r="VOP26"/>
      <c r="VOQ26"/>
      <c r="VOR26"/>
      <c r="VOS26"/>
      <c r="VOT26"/>
      <c r="VOU26"/>
      <c r="VOV26"/>
      <c r="VOW26"/>
      <c r="VOX26"/>
      <c r="VOY26"/>
      <c r="VOZ26"/>
      <c r="VPA26"/>
      <c r="VPB26"/>
      <c r="VPC26"/>
      <c r="VPD26"/>
      <c r="VPE26"/>
      <c r="VPF26"/>
      <c r="VPG26"/>
      <c r="VPH26"/>
      <c r="VPI26"/>
      <c r="VPJ26"/>
      <c r="VPK26"/>
      <c r="VPL26"/>
      <c r="VPM26"/>
      <c r="VPN26"/>
      <c r="VPO26"/>
      <c r="VPP26"/>
      <c r="VPQ26"/>
      <c r="VPR26"/>
      <c r="VPS26"/>
      <c r="VPT26"/>
      <c r="VPU26"/>
      <c r="VPV26"/>
      <c r="VPW26"/>
      <c r="VPX26"/>
      <c r="VPY26"/>
      <c r="VPZ26"/>
      <c r="VQA26"/>
      <c r="VQB26"/>
      <c r="VQC26"/>
      <c r="VQD26"/>
      <c r="VQE26"/>
      <c r="VQF26"/>
      <c r="VQG26"/>
      <c r="VQH26"/>
      <c r="VQI26"/>
      <c r="VQJ26"/>
      <c r="VQK26"/>
      <c r="VQL26"/>
      <c r="VQM26"/>
      <c r="VQN26"/>
      <c r="VQO26"/>
      <c r="VQP26"/>
      <c r="VQQ26"/>
      <c r="VQR26"/>
      <c r="VQS26"/>
      <c r="VQT26"/>
      <c r="VQU26"/>
      <c r="VQV26"/>
      <c r="VQW26"/>
      <c r="VQX26"/>
      <c r="VQY26"/>
      <c r="VQZ26"/>
      <c r="VRA26"/>
      <c r="VRB26"/>
      <c r="VRC26"/>
      <c r="VRD26"/>
      <c r="VRE26"/>
      <c r="VRF26"/>
      <c r="VRG26"/>
      <c r="VRH26"/>
      <c r="VRI26"/>
      <c r="VRJ26"/>
      <c r="VRK26"/>
      <c r="VRL26"/>
      <c r="VRM26"/>
      <c r="VRN26"/>
      <c r="VRO26"/>
      <c r="VRP26"/>
      <c r="VRQ26"/>
      <c r="VRR26"/>
      <c r="VRS26"/>
      <c r="VRT26"/>
      <c r="VRU26"/>
      <c r="VRV26"/>
      <c r="VRW26"/>
      <c r="VRX26"/>
      <c r="VRY26"/>
      <c r="VRZ26"/>
      <c r="VSA26"/>
      <c r="VSB26"/>
      <c r="VSC26"/>
      <c r="VSD26"/>
      <c r="VSE26"/>
      <c r="VSF26"/>
      <c r="VSG26"/>
      <c r="VSH26"/>
      <c r="VSI26"/>
      <c r="VSJ26"/>
      <c r="VSK26"/>
      <c r="VSL26"/>
      <c r="VSM26"/>
      <c r="VSN26"/>
      <c r="VSO26"/>
      <c r="VSP26"/>
      <c r="VSQ26"/>
      <c r="VSR26"/>
      <c r="VSS26"/>
      <c r="VST26"/>
      <c r="VSU26"/>
      <c r="VSV26"/>
      <c r="VSW26"/>
      <c r="VSX26"/>
      <c r="VSY26"/>
      <c r="VSZ26"/>
      <c r="VTA26"/>
      <c r="VTB26"/>
      <c r="VTC26"/>
      <c r="VTD26"/>
      <c r="VTE26"/>
      <c r="VTF26"/>
      <c r="VTG26"/>
      <c r="VTH26"/>
      <c r="VTI26"/>
      <c r="VTJ26"/>
      <c r="VTK26"/>
      <c r="VTL26"/>
      <c r="VTM26"/>
      <c r="VTN26"/>
      <c r="VTO26"/>
      <c r="VTP26"/>
      <c r="VTQ26"/>
      <c r="VTR26"/>
      <c r="VTS26"/>
      <c r="VTT26"/>
      <c r="VTU26"/>
      <c r="VTV26"/>
      <c r="VTW26"/>
      <c r="VTX26"/>
      <c r="VTY26"/>
      <c r="VTZ26"/>
      <c r="VUA26"/>
      <c r="VUB26"/>
      <c r="VUC26"/>
      <c r="VUD26"/>
      <c r="VUE26"/>
      <c r="VUF26"/>
      <c r="VUG26"/>
      <c r="VUH26"/>
      <c r="VUI26"/>
      <c r="VUJ26"/>
      <c r="VUK26"/>
      <c r="VUL26"/>
      <c r="VUM26"/>
      <c r="VUN26"/>
      <c r="VUO26"/>
      <c r="VUP26"/>
      <c r="VUQ26"/>
      <c r="VUR26"/>
      <c r="VUS26"/>
      <c r="VUT26"/>
      <c r="VUU26"/>
      <c r="VUV26"/>
      <c r="VUW26"/>
      <c r="VUX26"/>
      <c r="VUY26"/>
      <c r="VUZ26"/>
      <c r="VVA26"/>
      <c r="VVB26"/>
      <c r="VVC26"/>
      <c r="VVD26"/>
      <c r="VVE26"/>
      <c r="VVF26"/>
      <c r="VVG26"/>
      <c r="VVH26"/>
      <c r="VVI26"/>
      <c r="VVJ26"/>
      <c r="VVK26"/>
      <c r="VVL26"/>
      <c r="VVM26"/>
      <c r="VVN26"/>
      <c r="VVO26"/>
      <c r="VVP26"/>
      <c r="VVQ26"/>
      <c r="VVR26"/>
      <c r="VVS26"/>
      <c r="VVT26"/>
      <c r="VVU26"/>
      <c r="VVV26"/>
      <c r="VVW26"/>
      <c r="VVX26"/>
      <c r="VVY26"/>
      <c r="VVZ26"/>
      <c r="VWA26"/>
      <c r="VWB26"/>
      <c r="VWC26"/>
      <c r="VWD26"/>
      <c r="VWE26"/>
      <c r="VWF26"/>
      <c r="VWG26"/>
      <c r="VWH26"/>
      <c r="VWI26"/>
      <c r="VWJ26"/>
      <c r="VWK26"/>
      <c r="VWL26"/>
      <c r="VWM26"/>
      <c r="VWN26"/>
      <c r="VWO26"/>
      <c r="VWP26"/>
      <c r="VWQ26"/>
      <c r="VWR26"/>
      <c r="VWS26"/>
      <c r="VWT26"/>
      <c r="VWU26"/>
      <c r="VWV26"/>
      <c r="VWW26"/>
      <c r="VWX26"/>
      <c r="VWY26"/>
      <c r="VWZ26"/>
      <c r="VXA26"/>
      <c r="VXB26"/>
      <c r="VXC26"/>
      <c r="VXD26"/>
      <c r="VXE26"/>
      <c r="VXF26"/>
      <c r="VXG26"/>
      <c r="VXH26"/>
      <c r="VXI26"/>
      <c r="VXJ26"/>
      <c r="VXK26"/>
      <c r="VXL26"/>
      <c r="VXM26"/>
      <c r="VXN26"/>
      <c r="VXO26"/>
      <c r="VXP26"/>
      <c r="VXQ26"/>
      <c r="VXR26"/>
      <c r="VXS26"/>
      <c r="VXT26"/>
      <c r="VXU26"/>
      <c r="VXV26"/>
      <c r="VXW26"/>
      <c r="VXX26"/>
      <c r="VXY26"/>
      <c r="VXZ26"/>
      <c r="VYA26"/>
      <c r="VYB26"/>
      <c r="VYC26"/>
      <c r="VYD26"/>
      <c r="VYE26"/>
      <c r="VYF26"/>
      <c r="VYG26"/>
      <c r="VYH26"/>
      <c r="VYI26"/>
      <c r="VYJ26"/>
      <c r="VYK26"/>
      <c r="VYL26"/>
      <c r="VYM26"/>
      <c r="VYN26"/>
      <c r="VYO26"/>
      <c r="VYP26"/>
      <c r="VYQ26"/>
      <c r="VYR26"/>
      <c r="VYS26"/>
      <c r="VYT26"/>
      <c r="VYU26"/>
      <c r="VYV26"/>
      <c r="VYW26"/>
      <c r="VYX26"/>
      <c r="VYY26"/>
      <c r="VYZ26"/>
      <c r="VZA26"/>
      <c r="VZB26"/>
      <c r="VZC26"/>
      <c r="VZD26"/>
      <c r="VZE26"/>
      <c r="VZF26"/>
      <c r="VZG26"/>
      <c r="VZH26"/>
      <c r="VZI26"/>
      <c r="VZJ26"/>
      <c r="VZK26"/>
      <c r="VZL26"/>
      <c r="VZM26"/>
      <c r="VZN26"/>
      <c r="VZO26"/>
      <c r="VZP26"/>
      <c r="VZQ26"/>
      <c r="VZR26"/>
      <c r="VZS26"/>
      <c r="VZT26"/>
      <c r="VZU26"/>
      <c r="VZV26"/>
      <c r="VZW26"/>
      <c r="VZX26"/>
      <c r="VZY26"/>
      <c r="VZZ26"/>
      <c r="WAA26"/>
      <c r="WAB26"/>
      <c r="WAC26"/>
      <c r="WAD26"/>
      <c r="WAE26"/>
      <c r="WAF26"/>
      <c r="WAG26"/>
      <c r="WAH26"/>
      <c r="WAI26"/>
      <c r="WAJ26"/>
      <c r="WAK26"/>
      <c r="WAL26"/>
      <c r="WAM26"/>
      <c r="WAN26"/>
      <c r="WAO26"/>
      <c r="WAP26"/>
      <c r="WAQ26"/>
      <c r="WAR26"/>
      <c r="WAS26"/>
      <c r="WAT26"/>
      <c r="WAU26"/>
      <c r="WAV26"/>
      <c r="WAW26"/>
      <c r="WAX26"/>
      <c r="WAY26"/>
      <c r="WAZ26"/>
      <c r="WBA26"/>
      <c r="WBB26"/>
      <c r="WBC26"/>
      <c r="WBD26"/>
      <c r="WBE26"/>
      <c r="WBF26"/>
      <c r="WBG26"/>
      <c r="WBH26"/>
      <c r="WBI26"/>
      <c r="WBJ26"/>
      <c r="WBK26"/>
      <c r="WBL26"/>
      <c r="WBM26"/>
      <c r="WBN26"/>
      <c r="WBO26"/>
      <c r="WBP26"/>
      <c r="WBQ26"/>
      <c r="WBR26"/>
      <c r="WBS26"/>
      <c r="WBT26"/>
      <c r="WBU26"/>
      <c r="WBV26"/>
      <c r="WBW26"/>
      <c r="WBX26"/>
      <c r="WBY26"/>
      <c r="WBZ26"/>
      <c r="WCA26"/>
      <c r="WCB26"/>
      <c r="WCC26"/>
      <c r="WCD26"/>
      <c r="WCE26"/>
      <c r="WCF26"/>
      <c r="WCG26"/>
      <c r="WCH26"/>
      <c r="WCI26"/>
      <c r="WCJ26"/>
      <c r="WCK26"/>
      <c r="WCL26"/>
      <c r="WCM26"/>
      <c r="WCN26"/>
      <c r="WCO26"/>
      <c r="WCP26"/>
      <c r="WCQ26"/>
      <c r="WCR26"/>
      <c r="WCS26"/>
      <c r="WCT26"/>
      <c r="WCU26"/>
      <c r="WCV26"/>
      <c r="WCW26"/>
      <c r="WCX26"/>
      <c r="WCY26"/>
      <c r="WCZ26"/>
      <c r="WDA26"/>
      <c r="WDB26"/>
      <c r="WDC26"/>
      <c r="WDD26"/>
      <c r="WDE26"/>
      <c r="WDF26"/>
      <c r="WDG26"/>
      <c r="WDH26"/>
      <c r="WDI26"/>
      <c r="WDJ26"/>
      <c r="WDK26"/>
      <c r="WDL26"/>
      <c r="WDM26"/>
      <c r="WDN26"/>
      <c r="WDO26"/>
      <c r="WDP26"/>
      <c r="WDQ26"/>
      <c r="WDR26"/>
      <c r="WDS26"/>
      <c r="WDT26"/>
      <c r="WDU26"/>
      <c r="WDV26"/>
      <c r="WDW26"/>
      <c r="WDX26"/>
      <c r="WDY26"/>
      <c r="WDZ26"/>
      <c r="WEA26"/>
      <c r="WEB26"/>
      <c r="WEC26"/>
      <c r="WED26"/>
      <c r="WEE26"/>
      <c r="WEF26"/>
      <c r="WEG26"/>
      <c r="WEH26"/>
      <c r="WEI26"/>
      <c r="WEJ26"/>
      <c r="WEK26"/>
      <c r="WEL26"/>
      <c r="WEM26"/>
      <c r="WEN26"/>
      <c r="WEO26"/>
      <c r="WEP26"/>
      <c r="WEQ26"/>
      <c r="WER26"/>
      <c r="WES26"/>
      <c r="WET26"/>
      <c r="WEU26"/>
      <c r="WEV26"/>
      <c r="WEW26"/>
      <c r="WEX26"/>
      <c r="WEY26"/>
      <c r="WEZ26"/>
      <c r="WFA26"/>
      <c r="WFB26"/>
      <c r="WFC26"/>
      <c r="WFD26"/>
      <c r="WFE26"/>
      <c r="WFF26"/>
      <c r="WFG26"/>
      <c r="WFH26"/>
      <c r="WFI26"/>
      <c r="WFJ26"/>
      <c r="WFK26"/>
      <c r="WFL26"/>
      <c r="WFM26"/>
      <c r="WFN26"/>
      <c r="WFO26"/>
      <c r="WFP26"/>
      <c r="WFQ26"/>
      <c r="WFR26"/>
      <c r="WFS26"/>
      <c r="WFT26"/>
      <c r="WFU26"/>
      <c r="WFV26"/>
      <c r="WFW26"/>
      <c r="WFX26"/>
      <c r="WFY26"/>
      <c r="WFZ26"/>
      <c r="WGA26"/>
      <c r="WGB26"/>
      <c r="WGC26"/>
      <c r="WGD26"/>
      <c r="WGE26"/>
      <c r="WGF26"/>
      <c r="WGG26"/>
      <c r="WGH26"/>
      <c r="WGI26"/>
      <c r="WGJ26"/>
      <c r="WGK26"/>
      <c r="WGL26"/>
      <c r="WGM26"/>
      <c r="WGN26"/>
      <c r="WGO26"/>
      <c r="WGP26"/>
      <c r="WGQ26"/>
      <c r="WGR26"/>
      <c r="WGS26"/>
      <c r="WGT26"/>
      <c r="WGU26"/>
      <c r="WGV26"/>
      <c r="WGW26"/>
      <c r="WGX26"/>
      <c r="WGY26"/>
      <c r="WGZ26"/>
      <c r="WHA26"/>
      <c r="WHB26"/>
      <c r="WHC26"/>
      <c r="WHD26"/>
      <c r="WHE26"/>
      <c r="WHF26"/>
      <c r="WHG26"/>
      <c r="WHH26"/>
      <c r="WHI26"/>
      <c r="WHJ26"/>
      <c r="WHK26"/>
      <c r="WHL26"/>
      <c r="WHM26"/>
      <c r="WHN26"/>
      <c r="WHO26"/>
      <c r="WHP26"/>
      <c r="WHQ26"/>
      <c r="WHR26"/>
      <c r="WHS26"/>
      <c r="WHT26"/>
      <c r="WHU26"/>
      <c r="WHV26"/>
      <c r="WHW26"/>
      <c r="WHX26"/>
      <c r="WHY26"/>
      <c r="WHZ26"/>
      <c r="WIA26"/>
      <c r="WIB26"/>
      <c r="WIC26"/>
      <c r="WID26"/>
      <c r="WIE26"/>
      <c r="WIF26"/>
      <c r="WIG26"/>
      <c r="WIH26"/>
      <c r="WII26"/>
      <c r="WIJ26"/>
      <c r="WIK26"/>
      <c r="WIL26"/>
      <c r="WIM26"/>
      <c r="WIN26"/>
      <c r="WIO26"/>
      <c r="WIP26"/>
      <c r="WIQ26"/>
      <c r="WIR26"/>
      <c r="WIS26"/>
      <c r="WIT26"/>
      <c r="WIU26"/>
      <c r="WIV26"/>
      <c r="WIW26"/>
      <c r="WIX26"/>
      <c r="WIY26"/>
      <c r="WIZ26"/>
      <c r="WJA26"/>
      <c r="WJB26"/>
      <c r="WJC26"/>
      <c r="WJD26"/>
      <c r="WJE26"/>
      <c r="WJF26"/>
      <c r="WJG26"/>
      <c r="WJH26"/>
      <c r="WJI26"/>
      <c r="WJJ26"/>
      <c r="WJK26"/>
      <c r="WJL26"/>
      <c r="WJM26"/>
      <c r="WJN26"/>
      <c r="WJO26"/>
      <c r="WJP26"/>
      <c r="WJQ26"/>
      <c r="WJR26"/>
      <c r="WJS26"/>
      <c r="WJT26"/>
      <c r="WJU26"/>
      <c r="WJV26"/>
      <c r="WJW26"/>
      <c r="WJX26"/>
      <c r="WJY26"/>
      <c r="WJZ26"/>
      <c r="WKA26"/>
      <c r="WKB26"/>
      <c r="WKC26"/>
      <c r="WKD26"/>
      <c r="WKE26"/>
      <c r="WKF26"/>
      <c r="WKG26"/>
      <c r="WKH26"/>
      <c r="WKI26"/>
      <c r="WKJ26"/>
      <c r="WKK26"/>
      <c r="WKL26"/>
      <c r="WKM26"/>
      <c r="WKN26"/>
      <c r="WKO26"/>
      <c r="WKP26"/>
      <c r="WKQ26"/>
      <c r="WKR26"/>
      <c r="WKS26"/>
      <c r="WKT26"/>
      <c r="WKU26"/>
      <c r="WKV26"/>
      <c r="WKW26"/>
      <c r="WKX26"/>
      <c r="WKY26"/>
      <c r="WKZ26"/>
      <c r="WLA26"/>
      <c r="WLB26"/>
      <c r="WLC26"/>
      <c r="WLD26"/>
      <c r="WLE26"/>
      <c r="WLF26"/>
      <c r="WLG26"/>
      <c r="WLH26"/>
      <c r="WLI26"/>
      <c r="WLJ26"/>
      <c r="WLK26"/>
      <c r="WLL26"/>
      <c r="WLM26"/>
      <c r="WLN26"/>
      <c r="WLO26"/>
      <c r="WLP26"/>
      <c r="WLQ26"/>
      <c r="WLR26"/>
      <c r="WLS26"/>
      <c r="WLT26"/>
      <c r="WLU26"/>
      <c r="WLV26"/>
      <c r="WLW26"/>
      <c r="WLX26"/>
      <c r="WLY26"/>
      <c r="WLZ26"/>
      <c r="WMA26"/>
      <c r="WMB26"/>
      <c r="WMC26"/>
      <c r="WMD26"/>
      <c r="WME26"/>
      <c r="WMF26"/>
      <c r="WMG26"/>
      <c r="WMH26"/>
      <c r="WMI26"/>
      <c r="WMJ26"/>
      <c r="WMK26"/>
      <c r="WML26"/>
      <c r="WMM26"/>
      <c r="WMN26"/>
      <c r="WMO26"/>
      <c r="WMP26"/>
      <c r="WMQ26"/>
      <c r="WMR26"/>
      <c r="WMS26"/>
      <c r="WMT26"/>
      <c r="WMU26"/>
      <c r="WMV26"/>
      <c r="WMW26"/>
      <c r="WMX26"/>
      <c r="WMY26"/>
      <c r="WMZ26"/>
      <c r="WNA26"/>
      <c r="WNB26"/>
      <c r="WNC26"/>
      <c r="WND26"/>
      <c r="WNE26"/>
      <c r="WNF26"/>
      <c r="WNG26"/>
      <c r="WNH26"/>
      <c r="WNI26"/>
      <c r="WNJ26"/>
      <c r="WNK26"/>
      <c r="WNL26"/>
      <c r="WNM26"/>
      <c r="WNN26"/>
      <c r="WNO26"/>
      <c r="WNP26"/>
      <c r="WNQ26"/>
      <c r="WNR26"/>
      <c r="WNS26"/>
      <c r="WNT26"/>
      <c r="WNU26"/>
      <c r="WNV26"/>
      <c r="WNW26"/>
      <c r="WNX26"/>
      <c r="WNY26"/>
      <c r="WNZ26"/>
      <c r="WOA26"/>
      <c r="WOB26"/>
      <c r="WOC26"/>
      <c r="WOD26"/>
      <c r="WOE26"/>
      <c r="WOF26"/>
      <c r="WOG26"/>
      <c r="WOH26"/>
      <c r="WOI26"/>
      <c r="WOJ26"/>
      <c r="WOK26"/>
      <c r="WOL26"/>
      <c r="WOM26"/>
      <c r="WON26"/>
      <c r="WOO26"/>
      <c r="WOP26"/>
      <c r="WOQ26"/>
      <c r="WOR26"/>
      <c r="WOS26"/>
      <c r="WOT26"/>
      <c r="WOU26"/>
      <c r="WOV26"/>
      <c r="WOW26"/>
      <c r="WOX26"/>
      <c r="WOY26"/>
      <c r="WOZ26"/>
      <c r="WPA26"/>
      <c r="WPB26"/>
      <c r="WPC26"/>
      <c r="WPD26"/>
      <c r="WPE26"/>
      <c r="WPF26"/>
      <c r="WPG26"/>
      <c r="WPH26"/>
      <c r="WPI26"/>
      <c r="WPJ26"/>
      <c r="WPK26"/>
      <c r="WPL26"/>
      <c r="WPM26"/>
      <c r="WPN26"/>
      <c r="WPO26"/>
      <c r="WPP26"/>
      <c r="WPQ26"/>
      <c r="WPR26"/>
      <c r="WPS26"/>
      <c r="WPT26"/>
      <c r="WPU26"/>
      <c r="WPV26"/>
      <c r="WPW26"/>
      <c r="WPX26"/>
      <c r="WPY26"/>
      <c r="WPZ26"/>
      <c r="WQA26"/>
      <c r="WQB26"/>
      <c r="WQC26"/>
      <c r="WQD26"/>
      <c r="WQE26"/>
      <c r="WQF26"/>
      <c r="WQG26"/>
      <c r="WQH26"/>
      <c r="WQI26"/>
      <c r="WQJ26"/>
      <c r="WQK26"/>
      <c r="WQL26"/>
      <c r="WQM26"/>
      <c r="WQN26"/>
      <c r="WQO26"/>
      <c r="WQP26"/>
      <c r="WQQ26"/>
      <c r="WQR26"/>
      <c r="WQS26"/>
      <c r="WQT26"/>
      <c r="WQU26"/>
      <c r="WQV26"/>
      <c r="WQW26"/>
      <c r="WQX26"/>
      <c r="WQY26"/>
      <c r="WQZ26"/>
      <c r="WRA26"/>
      <c r="WRB26"/>
      <c r="WRC26"/>
      <c r="WRD26"/>
      <c r="WRE26"/>
      <c r="WRF26"/>
      <c r="WRG26"/>
      <c r="WRH26"/>
      <c r="WRI26"/>
      <c r="WRJ26"/>
      <c r="WRK26"/>
      <c r="WRL26"/>
      <c r="WRM26"/>
      <c r="WRN26"/>
      <c r="WRO26"/>
      <c r="WRP26"/>
      <c r="WRQ26"/>
      <c r="WRR26"/>
      <c r="WRS26"/>
      <c r="WRT26"/>
      <c r="WRU26"/>
      <c r="WRV26"/>
      <c r="WRW26"/>
      <c r="WRX26"/>
      <c r="WRY26"/>
      <c r="WRZ26"/>
      <c r="WSA26"/>
      <c r="WSB26"/>
      <c r="WSC26"/>
      <c r="WSD26"/>
      <c r="WSE26"/>
      <c r="WSF26"/>
      <c r="WSG26"/>
      <c r="WSH26"/>
      <c r="WSI26"/>
      <c r="WSJ26"/>
      <c r="WSK26"/>
      <c r="WSL26"/>
      <c r="WSM26"/>
      <c r="WSN26"/>
      <c r="WSO26"/>
      <c r="WSP26"/>
      <c r="WSQ26"/>
      <c r="WSR26"/>
      <c r="WSS26"/>
      <c r="WST26"/>
      <c r="WSU26"/>
      <c r="WSV26"/>
      <c r="WSW26"/>
      <c r="WSX26"/>
      <c r="WSY26"/>
      <c r="WSZ26"/>
      <c r="WTA26"/>
      <c r="WTB26"/>
      <c r="WTC26"/>
      <c r="WTD26"/>
      <c r="WTE26"/>
      <c r="WTF26"/>
      <c r="WTG26"/>
      <c r="WTH26"/>
      <c r="WTI26"/>
      <c r="WTJ26"/>
      <c r="WTK26"/>
      <c r="WTL26"/>
      <c r="WTM26"/>
      <c r="WTN26"/>
      <c r="WTO26"/>
      <c r="WTP26"/>
      <c r="WTQ26"/>
      <c r="WTR26"/>
      <c r="WTS26"/>
      <c r="WTT26"/>
      <c r="WTU26"/>
      <c r="WTV26"/>
      <c r="WTW26"/>
      <c r="WTX26"/>
      <c r="WTY26"/>
      <c r="WTZ26"/>
      <c r="WUA26"/>
      <c r="WUB26"/>
      <c r="WUC26"/>
      <c r="WUD26"/>
      <c r="WUE26"/>
      <c r="WUF26"/>
      <c r="WUG26"/>
      <c r="WUH26"/>
      <c r="WUI26"/>
      <c r="WUJ26"/>
      <c r="WUK26"/>
      <c r="WUL26"/>
      <c r="WUM26"/>
      <c r="WUN26"/>
      <c r="WUO26"/>
      <c r="WUP26"/>
      <c r="WUQ26"/>
      <c r="WUR26"/>
      <c r="WUS26"/>
      <c r="WUT26"/>
      <c r="WUU26"/>
      <c r="WUV26"/>
      <c r="WUW26"/>
      <c r="WUX26"/>
      <c r="WUY26"/>
      <c r="WUZ26"/>
      <c r="WVA26"/>
      <c r="WVB26"/>
      <c r="WVC26"/>
      <c r="WVD26"/>
      <c r="WVE26"/>
      <c r="WVF26"/>
      <c r="WVG26"/>
      <c r="WVH26"/>
      <c r="WVI26"/>
      <c r="WVJ26"/>
      <c r="WVK26"/>
      <c r="WVL26"/>
      <c r="WVM26"/>
      <c r="WVN26"/>
      <c r="WVO26"/>
      <c r="WVP26"/>
      <c r="WVQ26"/>
      <c r="WVR26"/>
      <c r="WVS26"/>
      <c r="WVT26"/>
      <c r="WVU26"/>
      <c r="WVV26"/>
      <c r="WVW26"/>
      <c r="WVX26"/>
      <c r="WVY26"/>
      <c r="WVZ26"/>
      <c r="WWA26"/>
      <c r="WWB26"/>
      <c r="WWC26"/>
      <c r="WWD26"/>
      <c r="WWE26"/>
      <c r="WWF26"/>
      <c r="WWG26"/>
      <c r="WWH26"/>
      <c r="WWI26"/>
      <c r="WWJ26"/>
      <c r="WWK26"/>
      <c r="WWL26"/>
      <c r="WWM26"/>
      <c r="WWN26"/>
      <c r="WWO26"/>
      <c r="WWP26"/>
      <c r="WWQ26"/>
      <c r="WWR26"/>
      <c r="WWS26"/>
      <c r="WWT26"/>
      <c r="WWU26"/>
      <c r="WWV26"/>
      <c r="WWW26"/>
      <c r="WWX26"/>
      <c r="WWY26"/>
      <c r="WWZ26"/>
      <c r="WXA26"/>
      <c r="WXB26"/>
      <c r="WXC26"/>
      <c r="WXD26"/>
      <c r="WXE26"/>
      <c r="WXF26"/>
      <c r="WXG26"/>
      <c r="WXH26"/>
      <c r="WXI26"/>
      <c r="WXJ26"/>
      <c r="WXK26"/>
      <c r="WXL26"/>
      <c r="WXM26"/>
      <c r="WXN26"/>
      <c r="WXO26"/>
      <c r="WXP26"/>
      <c r="WXQ26"/>
      <c r="WXR26"/>
      <c r="WXS26"/>
      <c r="WXT26"/>
      <c r="WXU26"/>
      <c r="WXV26"/>
      <c r="WXW26"/>
      <c r="WXX26"/>
      <c r="WXY26"/>
      <c r="WXZ26"/>
      <c r="WYA26"/>
      <c r="WYB26"/>
      <c r="WYC26"/>
      <c r="WYD26"/>
      <c r="WYE26"/>
      <c r="WYF26"/>
      <c r="WYG26"/>
      <c r="WYH26"/>
      <c r="WYI26"/>
      <c r="WYJ26"/>
      <c r="WYK26"/>
      <c r="WYL26"/>
      <c r="WYM26"/>
      <c r="WYN26"/>
      <c r="WYO26"/>
      <c r="WYP26"/>
      <c r="WYQ26"/>
      <c r="WYR26"/>
      <c r="WYS26"/>
      <c r="WYT26"/>
      <c r="WYU26"/>
      <c r="WYV26"/>
      <c r="WYW26"/>
      <c r="WYX26"/>
      <c r="WYY26"/>
      <c r="WYZ26"/>
      <c r="WZA26"/>
      <c r="WZB26"/>
      <c r="WZC26"/>
      <c r="WZD26"/>
      <c r="WZE26"/>
      <c r="WZF26"/>
      <c r="WZG26"/>
      <c r="WZH26"/>
      <c r="WZI26"/>
      <c r="WZJ26"/>
      <c r="WZK26"/>
      <c r="WZL26"/>
      <c r="WZM26"/>
      <c r="WZN26"/>
      <c r="WZO26"/>
      <c r="WZP26"/>
      <c r="WZQ26"/>
      <c r="WZR26"/>
      <c r="WZS26"/>
      <c r="WZT26"/>
      <c r="WZU26"/>
      <c r="WZV26"/>
      <c r="WZW26"/>
      <c r="WZX26"/>
      <c r="WZY26"/>
      <c r="WZZ26"/>
      <c r="XAA26"/>
      <c r="XAB26"/>
      <c r="XAC26"/>
      <c r="XAD26"/>
      <c r="XAE26"/>
      <c r="XAF26"/>
      <c r="XAG26"/>
      <c r="XAH26"/>
      <c r="XAI26"/>
      <c r="XAJ26"/>
      <c r="XAK26"/>
      <c r="XAL26"/>
      <c r="XAM26"/>
      <c r="XAN26"/>
      <c r="XAO26"/>
      <c r="XAP26"/>
      <c r="XAQ26"/>
      <c r="XAR26"/>
      <c r="XAS26"/>
      <c r="XAT26"/>
      <c r="XAU26"/>
      <c r="XAV26"/>
      <c r="XAW26"/>
      <c r="XAX26"/>
      <c r="XAY26"/>
      <c r="XAZ26"/>
      <c r="XBA26"/>
      <c r="XBB26"/>
      <c r="XBC26"/>
      <c r="XBD26"/>
      <c r="XBE26"/>
      <c r="XBF26"/>
      <c r="XBG26"/>
      <c r="XBH26"/>
      <c r="XBI26"/>
      <c r="XBJ26"/>
      <c r="XBK26"/>
      <c r="XBL26"/>
      <c r="XBM26"/>
      <c r="XBN26"/>
      <c r="XBO26"/>
      <c r="XBP26"/>
      <c r="XBQ26"/>
      <c r="XBR26"/>
      <c r="XBS26"/>
      <c r="XBT26"/>
      <c r="XBU26"/>
      <c r="XBV26"/>
      <c r="XBW26"/>
      <c r="XBX26"/>
      <c r="XBY26"/>
      <c r="XBZ26"/>
      <c r="XCA26"/>
      <c r="XCB26"/>
      <c r="XCC26"/>
      <c r="XCD26"/>
      <c r="XCE26"/>
      <c r="XCF26"/>
      <c r="XCG26"/>
      <c r="XCH26"/>
      <c r="XCI26"/>
      <c r="XCJ26"/>
      <c r="XCK26"/>
      <c r="XCL26"/>
      <c r="XCM26"/>
      <c r="XCN26"/>
      <c r="XCO26"/>
      <c r="XCP26"/>
      <c r="XCQ26"/>
      <c r="XCR26"/>
      <c r="XCS26"/>
      <c r="XCT26"/>
      <c r="XCU26"/>
      <c r="XCV26"/>
      <c r="XCW26"/>
      <c r="XCX26"/>
      <c r="XCY26"/>
      <c r="XCZ26"/>
      <c r="XDA26"/>
      <c r="XDB26"/>
      <c r="XDC26"/>
      <c r="XDD26"/>
      <c r="XDE26"/>
      <c r="XDF26"/>
      <c r="XDG26"/>
      <c r="XDH26"/>
      <c r="XDI26"/>
      <c r="XDJ26"/>
      <c r="XDK26"/>
      <c r="XDL26"/>
      <c r="XDM26"/>
      <c r="XDN26"/>
      <c r="XDO26"/>
      <c r="XDP26"/>
      <c r="XDQ26"/>
      <c r="XDR26"/>
      <c r="XDS26"/>
      <c r="XDT26"/>
      <c r="XDU26"/>
      <c r="XDV26"/>
      <c r="XDW26"/>
      <c r="XDX26"/>
      <c r="XDY26"/>
      <c r="XDZ26"/>
      <c r="XEA26"/>
      <c r="XEB26"/>
      <c r="XEC26"/>
      <c r="XED26"/>
      <c r="XEE26"/>
      <c r="XEF26"/>
      <c r="XEG26"/>
      <c r="XEH26"/>
      <c r="XEI26"/>
      <c r="XEJ26"/>
      <c r="XEK26"/>
      <c r="XEL26"/>
      <c r="XEM26"/>
      <c r="XEN26"/>
      <c r="XEO26"/>
      <c r="XEP26"/>
      <c r="XEQ26"/>
      <c r="XER26"/>
      <c r="XES26"/>
      <c r="XET26"/>
      <c r="XEU26" s="96"/>
      <c r="XEV26" s="97"/>
    </row>
    <row r="27" spans="1:16376" x14ac:dyDescent="0.2">
      <c r="B27" s="138"/>
      <c r="C27" s="139"/>
      <c r="D27" s="187"/>
      <c r="E27" s="188"/>
      <c r="F27" s="189"/>
      <c r="G27" s="190"/>
      <c r="H27" s="190"/>
      <c r="I27" s="191"/>
      <c r="J27" s="187"/>
      <c r="K27" s="187"/>
      <c r="L27" s="98">
        <f t="shared" si="0"/>
        <v>0</v>
      </c>
      <c r="M27" s="98">
        <f t="shared" si="1"/>
        <v>0</v>
      </c>
      <c r="N27" s="227"/>
      <c r="O27" s="307">
        <f t="array" ref="O27">SUM(IF('6. Class A Consumption Data'!$B$492:$B$791=B27,'6. Class A Consumption Data'!$E$492:$E$791))</f>
        <v>0</v>
      </c>
      <c r="P27" s="307">
        <f t="array" ref="P27">SUM(IF('6. Class A Consumption Data'!$B$492:$B$791=B27,'6. Class A Consumption Data'!$D$492:$D$791))</f>
        <v>0</v>
      </c>
      <c r="Q27" s="103">
        <f t="shared" si="2"/>
        <v>0</v>
      </c>
      <c r="R27" s="258"/>
      <c r="S27" s="98">
        <f t="shared" si="3"/>
        <v>0</v>
      </c>
      <c r="T27" s="98">
        <f t="shared" si="4"/>
        <v>0</v>
      </c>
      <c r="U27" s="258"/>
      <c r="V27" s="258"/>
      <c r="W27" s="108"/>
      <c r="X27" s="108"/>
      <c r="Y27" s="50"/>
      <c r="Z27" s="50"/>
      <c r="AA27" s="50"/>
      <c r="AB27" s="50"/>
      <c r="AC27" s="192"/>
      <c r="AD27" s="192"/>
    </row>
    <row r="28" spans="1:16376" x14ac:dyDescent="0.2">
      <c r="B28" s="138"/>
      <c r="C28" s="139"/>
      <c r="D28" s="187"/>
      <c r="E28" s="188"/>
      <c r="F28" s="189"/>
      <c r="G28" s="190"/>
      <c r="H28" s="190"/>
      <c r="I28" s="191"/>
      <c r="J28" s="187"/>
      <c r="K28" s="187"/>
      <c r="L28" s="98">
        <f t="shared" si="0"/>
        <v>0</v>
      </c>
      <c r="M28" s="98">
        <f t="shared" si="1"/>
        <v>0</v>
      </c>
      <c r="N28" s="227"/>
      <c r="O28" s="307">
        <f t="array" ref="O28">SUM(IF('6. Class A Consumption Data'!$B$492:$B$791=B28,'6. Class A Consumption Data'!$E$492:$E$791))</f>
        <v>0</v>
      </c>
      <c r="P28" s="307">
        <f t="array" ref="P28">SUM(IF('6. Class A Consumption Data'!$B$492:$B$791=B28,'6. Class A Consumption Data'!$D$492:$D$791))</f>
        <v>0</v>
      </c>
      <c r="Q28" s="103">
        <f t="shared" si="2"/>
        <v>0</v>
      </c>
      <c r="R28" s="258"/>
      <c r="S28" s="98">
        <f t="shared" si="3"/>
        <v>0</v>
      </c>
      <c r="T28" s="98">
        <f t="shared" si="4"/>
        <v>0</v>
      </c>
      <c r="U28" s="258"/>
      <c r="V28" s="258"/>
      <c r="W28" s="108"/>
      <c r="X28" s="108"/>
      <c r="Y28" s="50"/>
      <c r="Z28" s="50"/>
      <c r="AA28" s="50"/>
      <c r="AB28" s="50"/>
      <c r="AC28" s="192"/>
      <c r="AD28" s="192"/>
    </row>
    <row r="29" spans="1:16376" x14ac:dyDescent="0.2">
      <c r="B29" s="138"/>
      <c r="C29" s="139"/>
      <c r="D29" s="187"/>
      <c r="E29" s="188"/>
      <c r="F29" s="189"/>
      <c r="G29" s="190"/>
      <c r="H29" s="190"/>
      <c r="I29" s="191"/>
      <c r="J29" s="187"/>
      <c r="K29" s="187"/>
      <c r="L29" s="98">
        <f t="shared" si="0"/>
        <v>0</v>
      </c>
      <c r="M29" s="98">
        <f t="shared" si="1"/>
        <v>0</v>
      </c>
      <c r="N29" s="228"/>
      <c r="O29" s="307">
        <f t="array" ref="O29">SUM(IF('6. Class A Consumption Data'!$B$492:$B$791=B29,'6. Class A Consumption Data'!$E$492:$E$791))</f>
        <v>0</v>
      </c>
      <c r="P29" s="307">
        <f t="array" ref="P29">SUM(IF('6. Class A Consumption Data'!$B$492:$B$791=B29,'6. Class A Consumption Data'!$D$492:$D$791))</f>
        <v>0</v>
      </c>
      <c r="Q29" s="103">
        <f t="shared" si="2"/>
        <v>0</v>
      </c>
      <c r="R29" s="108"/>
      <c r="S29" s="98">
        <f t="shared" si="3"/>
        <v>0</v>
      </c>
      <c r="T29" s="98">
        <f t="shared" si="4"/>
        <v>0</v>
      </c>
      <c r="U29" s="50"/>
      <c r="V29" s="108"/>
      <c r="W29" s="108"/>
      <c r="X29" s="108"/>
      <c r="Y29" s="50"/>
      <c r="Z29" s="50"/>
      <c r="AA29" s="50"/>
      <c r="AB29" s="50"/>
      <c r="AC29" s="192"/>
      <c r="AD29" s="192"/>
    </row>
    <row r="30" spans="1:16376" s="99" customFormat="1" x14ac:dyDescent="0.2">
      <c r="A30"/>
      <c r="B30" s="138"/>
      <c r="C30" s="139"/>
      <c r="D30" s="187"/>
      <c r="E30" s="188"/>
      <c r="F30" s="189"/>
      <c r="G30" s="190"/>
      <c r="H30" s="190"/>
      <c r="I30" s="191"/>
      <c r="J30" s="49"/>
      <c r="K30" s="49"/>
      <c r="L30" s="98">
        <f t="shared" si="0"/>
        <v>0</v>
      </c>
      <c r="M30" s="98">
        <f t="shared" si="1"/>
        <v>0</v>
      </c>
      <c r="N30" s="228"/>
      <c r="O30" s="307">
        <f t="array" ref="O30">SUM(IF('6. Class A Consumption Data'!$B$492:$B$791=B30,'6. Class A Consumption Data'!$E$492:$E$791))</f>
        <v>0</v>
      </c>
      <c r="P30" s="307">
        <f t="array" ref="P30">SUM(IF('6. Class A Consumption Data'!$B$492:$B$791=B30,'6. Class A Consumption Data'!$D$492:$D$791))</f>
        <v>0</v>
      </c>
      <c r="Q30" s="103">
        <f t="shared" si="2"/>
        <v>0</v>
      </c>
      <c r="R30" s="108"/>
      <c r="S30" s="98">
        <f t="shared" si="3"/>
        <v>0</v>
      </c>
      <c r="T30" s="98">
        <f t="shared" si="4"/>
        <v>0</v>
      </c>
      <c r="U30" s="50"/>
      <c r="V30" s="108"/>
      <c r="W30" s="108"/>
      <c r="X30" s="108"/>
      <c r="Y30" s="50"/>
      <c r="Z30" s="50"/>
      <c r="AA30" s="50"/>
      <c r="AB30" s="50"/>
      <c r="AC30" s="192"/>
      <c r="AD30" s="192"/>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c r="CDV30"/>
      <c r="CDW30"/>
      <c r="CDX30"/>
      <c r="CDY30"/>
      <c r="CDZ30"/>
      <c r="CEA30"/>
      <c r="CEB30"/>
      <c r="CEC30"/>
      <c r="CED30"/>
      <c r="CEE30"/>
      <c r="CEF30"/>
      <c r="CEG30"/>
      <c r="CEH30"/>
      <c r="CEI30"/>
      <c r="CEJ30"/>
      <c r="CEK30"/>
      <c r="CEL30"/>
      <c r="CEM30"/>
      <c r="CEN30"/>
      <c r="CEO30"/>
      <c r="CEP30"/>
      <c r="CEQ30"/>
      <c r="CER30"/>
      <c r="CES30"/>
      <c r="CET30"/>
      <c r="CEU30"/>
      <c r="CEV30"/>
      <c r="CEW30"/>
      <c r="CEX30"/>
      <c r="CEY30"/>
      <c r="CEZ30"/>
      <c r="CFA30"/>
      <c r="CFB30"/>
      <c r="CFC30"/>
      <c r="CFD30"/>
      <c r="CFE30"/>
      <c r="CFF30"/>
      <c r="CFG30"/>
      <c r="CFH30"/>
      <c r="CFI30"/>
      <c r="CFJ30"/>
      <c r="CFK30"/>
      <c r="CFL30"/>
      <c r="CFM30"/>
      <c r="CFN30"/>
      <c r="CFO30"/>
      <c r="CFP30"/>
      <c r="CFQ30"/>
      <c r="CFR30"/>
      <c r="CFS30"/>
      <c r="CFT30"/>
      <c r="CFU30"/>
      <c r="CFV30"/>
      <c r="CFW30"/>
      <c r="CFX30"/>
      <c r="CFY30"/>
      <c r="CFZ30"/>
      <c r="CGA30"/>
      <c r="CGB30"/>
      <c r="CGC30"/>
      <c r="CGD30"/>
      <c r="CGE30"/>
      <c r="CGF30"/>
      <c r="CGG30"/>
      <c r="CGH30"/>
      <c r="CGI30"/>
      <c r="CGJ30"/>
      <c r="CGK30"/>
      <c r="CGL30"/>
      <c r="CGM30"/>
      <c r="CGN30"/>
      <c r="CGO30"/>
      <c r="CGP30"/>
      <c r="CGQ30"/>
      <c r="CGR30"/>
      <c r="CGS30"/>
      <c r="CGT30"/>
      <c r="CGU30"/>
      <c r="CGV30"/>
      <c r="CGW30"/>
      <c r="CGX30"/>
      <c r="CGY30"/>
      <c r="CGZ30"/>
      <c r="CHA30"/>
      <c r="CHB30"/>
      <c r="CHC30"/>
      <c r="CHD30"/>
      <c r="CHE30"/>
      <c r="CHF30"/>
      <c r="CHG30"/>
      <c r="CHH30"/>
      <c r="CHI30"/>
      <c r="CHJ30"/>
      <c r="CHK30"/>
      <c r="CHL30"/>
      <c r="CHM30"/>
      <c r="CHN30"/>
      <c r="CHO30"/>
      <c r="CHP30"/>
      <c r="CHQ30"/>
      <c r="CHR30"/>
      <c r="CHS30"/>
      <c r="CHT30"/>
      <c r="CHU30"/>
      <c r="CHV30"/>
      <c r="CHW30"/>
      <c r="CHX30"/>
      <c r="CHY30"/>
      <c r="CHZ30"/>
      <c r="CIA30"/>
      <c r="CIB30"/>
      <c r="CIC30"/>
      <c r="CID30"/>
      <c r="CIE30"/>
      <c r="CIF30"/>
      <c r="CIG30"/>
      <c r="CIH30"/>
      <c r="CII30"/>
      <c r="CIJ30"/>
      <c r="CIK30"/>
      <c r="CIL30"/>
      <c r="CIM30"/>
      <c r="CIN30"/>
      <c r="CIO30"/>
      <c r="CIP30"/>
      <c r="CIQ30"/>
      <c r="CIR30"/>
      <c r="CIS30"/>
      <c r="CIT30"/>
      <c r="CIU30"/>
      <c r="CIV30"/>
      <c r="CIW30"/>
      <c r="CIX30"/>
      <c r="CIY30"/>
      <c r="CIZ30"/>
      <c r="CJA30"/>
      <c r="CJB30"/>
      <c r="CJC30"/>
      <c r="CJD30"/>
      <c r="CJE30"/>
      <c r="CJF30"/>
      <c r="CJG30"/>
      <c r="CJH30"/>
      <c r="CJI30"/>
      <c r="CJJ30"/>
      <c r="CJK30"/>
      <c r="CJL30"/>
      <c r="CJM30"/>
      <c r="CJN30"/>
      <c r="CJO30"/>
      <c r="CJP30"/>
      <c r="CJQ30"/>
      <c r="CJR30"/>
      <c r="CJS30"/>
      <c r="CJT30"/>
      <c r="CJU30"/>
      <c r="CJV30"/>
      <c r="CJW30"/>
      <c r="CJX30"/>
      <c r="CJY30"/>
      <c r="CJZ30"/>
      <c r="CKA30"/>
      <c r="CKB30"/>
      <c r="CKC30"/>
      <c r="CKD30"/>
      <c r="CKE30"/>
      <c r="CKF30"/>
      <c r="CKG30"/>
      <c r="CKH30"/>
      <c r="CKI30"/>
      <c r="CKJ30"/>
      <c r="CKK30"/>
      <c r="CKL30"/>
      <c r="CKM30"/>
      <c r="CKN30"/>
      <c r="CKO30"/>
      <c r="CKP30"/>
      <c r="CKQ30"/>
      <c r="CKR30"/>
      <c r="CKS30"/>
      <c r="CKT30"/>
      <c r="CKU30"/>
      <c r="CKV30"/>
      <c r="CKW30"/>
      <c r="CKX30"/>
      <c r="CKY30"/>
      <c r="CKZ30"/>
      <c r="CLA30"/>
      <c r="CLB30"/>
      <c r="CLC30"/>
      <c r="CLD30"/>
      <c r="CLE30"/>
      <c r="CLF30"/>
      <c r="CLG30"/>
      <c r="CLH30"/>
      <c r="CLI30"/>
      <c r="CLJ30"/>
      <c r="CLK30"/>
      <c r="CLL30"/>
      <c r="CLM30"/>
      <c r="CLN30"/>
      <c r="CLO30"/>
      <c r="CLP30"/>
      <c r="CLQ30"/>
      <c r="CLR30"/>
      <c r="CLS30"/>
      <c r="CLT30"/>
      <c r="CLU30"/>
      <c r="CLV30"/>
      <c r="CLW30"/>
      <c r="CLX30"/>
      <c r="CLY30"/>
      <c r="CLZ30"/>
      <c r="CMA30"/>
      <c r="CMB30"/>
      <c r="CMC30"/>
      <c r="CMD30"/>
      <c r="CME30"/>
      <c r="CMF30"/>
      <c r="CMG30"/>
      <c r="CMH30"/>
      <c r="CMI30"/>
      <c r="CMJ30"/>
      <c r="CMK30"/>
      <c r="CML30"/>
      <c r="CMM30"/>
      <c r="CMN30"/>
      <c r="CMO30"/>
      <c r="CMP30"/>
      <c r="CMQ30"/>
      <c r="CMR30"/>
      <c r="CMS30"/>
      <c r="CMT30"/>
      <c r="CMU30"/>
      <c r="CMV30"/>
      <c r="CMW30"/>
      <c r="CMX30"/>
      <c r="CMY30"/>
      <c r="CMZ30"/>
      <c r="CNA30"/>
      <c r="CNB30"/>
      <c r="CNC30"/>
      <c r="CND30"/>
      <c r="CNE30"/>
      <c r="CNF30"/>
      <c r="CNG30"/>
      <c r="CNH30"/>
      <c r="CNI30"/>
      <c r="CNJ30"/>
      <c r="CNK30"/>
      <c r="CNL30"/>
      <c r="CNM30"/>
      <c r="CNN30"/>
      <c r="CNO30"/>
      <c r="CNP30"/>
      <c r="CNQ30"/>
      <c r="CNR30"/>
      <c r="CNS30"/>
      <c r="CNT30"/>
      <c r="CNU30"/>
      <c r="CNV30"/>
      <c r="CNW30"/>
      <c r="CNX30"/>
      <c r="CNY30"/>
      <c r="CNZ30"/>
      <c r="COA30"/>
      <c r="COB30"/>
      <c r="COC30"/>
      <c r="COD30"/>
      <c r="COE30"/>
      <c r="COF30"/>
      <c r="COG30"/>
      <c r="COH30"/>
      <c r="COI30"/>
      <c r="COJ30"/>
      <c r="COK30"/>
      <c r="COL30"/>
      <c r="COM30"/>
      <c r="CON30"/>
      <c r="COO30"/>
      <c r="COP30"/>
      <c r="COQ30"/>
      <c r="COR30"/>
      <c r="COS30"/>
      <c r="COT30"/>
      <c r="COU30"/>
      <c r="COV30"/>
      <c r="COW30"/>
      <c r="COX30"/>
      <c r="COY30"/>
      <c r="COZ30"/>
      <c r="CPA30"/>
      <c r="CPB30"/>
      <c r="CPC30"/>
      <c r="CPD30"/>
      <c r="CPE30"/>
      <c r="CPF30"/>
      <c r="CPG30"/>
      <c r="CPH30"/>
      <c r="CPI30"/>
      <c r="CPJ30"/>
      <c r="CPK30"/>
      <c r="CPL30"/>
      <c r="CPM30"/>
      <c r="CPN30"/>
      <c r="CPO30"/>
      <c r="CPP30"/>
      <c r="CPQ30"/>
      <c r="CPR30"/>
      <c r="CPS30"/>
      <c r="CPT30"/>
      <c r="CPU30"/>
      <c r="CPV30"/>
      <c r="CPW30"/>
      <c r="CPX30"/>
      <c r="CPY30"/>
      <c r="CPZ30"/>
      <c r="CQA30"/>
      <c r="CQB30"/>
      <c r="CQC30"/>
      <c r="CQD30"/>
      <c r="CQE30"/>
      <c r="CQF30"/>
      <c r="CQG30"/>
      <c r="CQH30"/>
      <c r="CQI30"/>
      <c r="CQJ30"/>
      <c r="CQK30"/>
      <c r="CQL30"/>
      <c r="CQM30"/>
      <c r="CQN30"/>
      <c r="CQO30"/>
      <c r="CQP30"/>
      <c r="CQQ30"/>
      <c r="CQR30"/>
      <c r="CQS30"/>
      <c r="CQT30"/>
      <c r="CQU30"/>
      <c r="CQV30"/>
      <c r="CQW30"/>
      <c r="CQX30"/>
      <c r="CQY30"/>
      <c r="CQZ30"/>
      <c r="CRA30"/>
      <c r="CRB30"/>
      <c r="CRC30"/>
      <c r="CRD30"/>
      <c r="CRE30"/>
      <c r="CRF30"/>
      <c r="CRG30"/>
      <c r="CRH30"/>
      <c r="CRI30"/>
      <c r="CRJ30"/>
      <c r="CRK30"/>
      <c r="CRL30"/>
      <c r="CRM30"/>
      <c r="CRN30"/>
      <c r="CRO30"/>
      <c r="CRP30"/>
      <c r="CRQ30"/>
      <c r="CRR30"/>
      <c r="CRS30"/>
      <c r="CRT30"/>
      <c r="CRU30"/>
      <c r="CRV30"/>
      <c r="CRW30"/>
      <c r="CRX30"/>
      <c r="CRY30"/>
      <c r="CRZ30"/>
      <c r="CSA30"/>
      <c r="CSB30"/>
      <c r="CSC30"/>
      <c r="CSD30"/>
      <c r="CSE30"/>
      <c r="CSF30"/>
      <c r="CSG30"/>
      <c r="CSH30"/>
      <c r="CSI30"/>
      <c r="CSJ30"/>
      <c r="CSK30"/>
      <c r="CSL30"/>
      <c r="CSM30"/>
      <c r="CSN30"/>
      <c r="CSO30"/>
      <c r="CSP30"/>
      <c r="CSQ30"/>
      <c r="CSR30"/>
      <c r="CSS30"/>
      <c r="CST30"/>
      <c r="CSU30"/>
      <c r="CSV30"/>
      <c r="CSW30"/>
      <c r="CSX30"/>
      <c r="CSY30"/>
      <c r="CSZ30"/>
      <c r="CTA30"/>
      <c r="CTB30"/>
      <c r="CTC30"/>
      <c r="CTD30"/>
      <c r="CTE30"/>
      <c r="CTF30"/>
      <c r="CTG30"/>
      <c r="CTH30"/>
      <c r="CTI30"/>
      <c r="CTJ30"/>
      <c r="CTK30"/>
      <c r="CTL30"/>
      <c r="CTM30"/>
      <c r="CTN30"/>
      <c r="CTO30"/>
      <c r="CTP30"/>
      <c r="CTQ30"/>
      <c r="CTR30"/>
      <c r="CTS30"/>
      <c r="CTT30"/>
      <c r="CTU30"/>
      <c r="CTV30"/>
      <c r="CTW30"/>
      <c r="CTX30"/>
      <c r="CTY30"/>
      <c r="CTZ30"/>
      <c r="CUA30"/>
      <c r="CUB30"/>
      <c r="CUC30"/>
      <c r="CUD30"/>
      <c r="CUE30"/>
      <c r="CUF30"/>
      <c r="CUG30"/>
      <c r="CUH30"/>
      <c r="CUI30"/>
      <c r="CUJ30"/>
      <c r="CUK30"/>
      <c r="CUL30"/>
      <c r="CUM30"/>
      <c r="CUN30"/>
      <c r="CUO30"/>
      <c r="CUP30"/>
      <c r="CUQ30"/>
      <c r="CUR30"/>
      <c r="CUS30"/>
      <c r="CUT30"/>
      <c r="CUU30"/>
      <c r="CUV30"/>
      <c r="CUW30"/>
      <c r="CUX30"/>
      <c r="CUY30"/>
      <c r="CUZ30"/>
      <c r="CVA30"/>
      <c r="CVB30"/>
      <c r="CVC30"/>
      <c r="CVD30"/>
      <c r="CVE30"/>
      <c r="CVF30"/>
      <c r="CVG30"/>
      <c r="CVH30"/>
      <c r="CVI30"/>
      <c r="CVJ30"/>
      <c r="CVK30"/>
      <c r="CVL30"/>
      <c r="CVM30"/>
      <c r="CVN30"/>
      <c r="CVO30"/>
      <c r="CVP30"/>
      <c r="CVQ30"/>
      <c r="CVR30"/>
      <c r="CVS30"/>
      <c r="CVT30"/>
      <c r="CVU30"/>
      <c r="CVV30"/>
      <c r="CVW30"/>
      <c r="CVX30"/>
      <c r="CVY30"/>
      <c r="CVZ30"/>
      <c r="CWA30"/>
      <c r="CWB30"/>
      <c r="CWC30"/>
      <c r="CWD30"/>
      <c r="CWE30"/>
      <c r="CWF30"/>
      <c r="CWG30"/>
      <c r="CWH30"/>
      <c r="CWI30"/>
      <c r="CWJ30"/>
      <c r="CWK30"/>
      <c r="CWL30"/>
      <c r="CWM30"/>
      <c r="CWN30"/>
      <c r="CWO30"/>
      <c r="CWP30"/>
      <c r="CWQ30"/>
      <c r="CWR30"/>
      <c r="CWS30"/>
      <c r="CWT30"/>
      <c r="CWU30"/>
      <c r="CWV30"/>
      <c r="CWW30"/>
      <c r="CWX30"/>
      <c r="CWY30"/>
      <c r="CWZ30"/>
      <c r="CXA30"/>
      <c r="CXB30"/>
      <c r="CXC30"/>
      <c r="CXD30"/>
      <c r="CXE30"/>
      <c r="CXF30"/>
      <c r="CXG30"/>
      <c r="CXH30"/>
      <c r="CXI30"/>
      <c r="CXJ30"/>
      <c r="CXK30"/>
      <c r="CXL30"/>
      <c r="CXM30"/>
      <c r="CXN30"/>
      <c r="CXO30"/>
      <c r="CXP30"/>
      <c r="CXQ30"/>
      <c r="CXR30"/>
      <c r="CXS30"/>
      <c r="CXT30"/>
      <c r="CXU30"/>
      <c r="CXV30"/>
      <c r="CXW30"/>
      <c r="CXX30"/>
      <c r="CXY30"/>
      <c r="CXZ30"/>
      <c r="CYA30"/>
      <c r="CYB30"/>
      <c r="CYC30"/>
      <c r="CYD30"/>
      <c r="CYE30"/>
      <c r="CYF30"/>
      <c r="CYG30"/>
      <c r="CYH30"/>
      <c r="CYI30"/>
      <c r="CYJ30"/>
      <c r="CYK30"/>
      <c r="CYL30"/>
      <c r="CYM30"/>
      <c r="CYN30"/>
      <c r="CYO30"/>
      <c r="CYP30"/>
      <c r="CYQ30"/>
      <c r="CYR30"/>
      <c r="CYS30"/>
      <c r="CYT30"/>
      <c r="CYU30"/>
      <c r="CYV30"/>
      <c r="CYW30"/>
      <c r="CYX30"/>
      <c r="CYY30"/>
      <c r="CYZ30"/>
      <c r="CZA30"/>
      <c r="CZB30"/>
      <c r="CZC30"/>
      <c r="CZD30"/>
      <c r="CZE30"/>
      <c r="CZF30"/>
      <c r="CZG30"/>
      <c r="CZH30"/>
      <c r="CZI30"/>
      <c r="CZJ30"/>
      <c r="CZK30"/>
      <c r="CZL30"/>
      <c r="CZM30"/>
      <c r="CZN30"/>
      <c r="CZO30"/>
      <c r="CZP30"/>
      <c r="CZQ30"/>
      <c r="CZR30"/>
      <c r="CZS30"/>
      <c r="CZT30"/>
      <c r="CZU30"/>
      <c r="CZV30"/>
      <c r="CZW30"/>
      <c r="CZX30"/>
      <c r="CZY30"/>
      <c r="CZZ30"/>
      <c r="DAA30"/>
      <c r="DAB30"/>
      <c r="DAC30"/>
      <c r="DAD30"/>
      <c r="DAE30"/>
      <c r="DAF30"/>
      <c r="DAG30"/>
      <c r="DAH30"/>
      <c r="DAI30"/>
      <c r="DAJ30"/>
      <c r="DAK30"/>
      <c r="DAL30"/>
      <c r="DAM30"/>
      <c r="DAN30"/>
      <c r="DAO30"/>
      <c r="DAP30"/>
      <c r="DAQ30"/>
      <c r="DAR30"/>
      <c r="DAS30"/>
      <c r="DAT30"/>
      <c r="DAU30"/>
      <c r="DAV30"/>
      <c r="DAW30"/>
      <c r="DAX30"/>
      <c r="DAY30"/>
      <c r="DAZ30"/>
      <c r="DBA30"/>
      <c r="DBB30"/>
      <c r="DBC30"/>
      <c r="DBD30"/>
      <c r="DBE30"/>
      <c r="DBF30"/>
      <c r="DBG30"/>
      <c r="DBH30"/>
      <c r="DBI30"/>
      <c r="DBJ30"/>
      <c r="DBK30"/>
      <c r="DBL30"/>
      <c r="DBM30"/>
      <c r="DBN30"/>
      <c r="DBO30"/>
      <c r="DBP30"/>
      <c r="DBQ30"/>
      <c r="DBR30"/>
      <c r="DBS30"/>
      <c r="DBT30"/>
      <c r="DBU30"/>
      <c r="DBV30"/>
      <c r="DBW30"/>
      <c r="DBX30"/>
      <c r="DBY30"/>
      <c r="DBZ30"/>
      <c r="DCA30"/>
      <c r="DCB30"/>
      <c r="DCC30"/>
      <c r="DCD30"/>
      <c r="DCE30"/>
      <c r="DCF30"/>
      <c r="DCG30"/>
      <c r="DCH30"/>
      <c r="DCI30"/>
      <c r="DCJ30"/>
      <c r="DCK30"/>
      <c r="DCL30"/>
      <c r="DCM30"/>
      <c r="DCN30"/>
      <c r="DCO30"/>
      <c r="DCP30"/>
      <c r="DCQ30"/>
      <c r="DCR30"/>
      <c r="DCS30"/>
      <c r="DCT30"/>
      <c r="DCU30"/>
      <c r="DCV30"/>
      <c r="DCW30"/>
      <c r="DCX30"/>
      <c r="DCY30"/>
      <c r="DCZ30"/>
      <c r="DDA30"/>
      <c r="DDB30"/>
      <c r="DDC30"/>
      <c r="DDD30"/>
      <c r="DDE30"/>
      <c r="DDF30"/>
      <c r="DDG30"/>
      <c r="DDH30"/>
      <c r="DDI30"/>
      <c r="DDJ30"/>
      <c r="DDK30"/>
      <c r="DDL30"/>
      <c r="DDM30"/>
      <c r="DDN30"/>
      <c r="DDO30"/>
      <c r="DDP30"/>
      <c r="DDQ30"/>
      <c r="DDR30"/>
      <c r="DDS30"/>
      <c r="DDT30"/>
      <c r="DDU30"/>
      <c r="DDV30"/>
      <c r="DDW30"/>
      <c r="DDX30"/>
      <c r="DDY30"/>
      <c r="DDZ30"/>
      <c r="DEA30"/>
      <c r="DEB30"/>
      <c r="DEC30"/>
      <c r="DED30"/>
      <c r="DEE30"/>
      <c r="DEF30"/>
      <c r="DEG30"/>
      <c r="DEH30"/>
      <c r="DEI30"/>
      <c r="DEJ30"/>
      <c r="DEK30"/>
      <c r="DEL30"/>
      <c r="DEM30"/>
      <c r="DEN30"/>
      <c r="DEO30"/>
      <c r="DEP30"/>
      <c r="DEQ30"/>
      <c r="DER30"/>
      <c r="DES30"/>
      <c r="DET30"/>
      <c r="DEU30"/>
      <c r="DEV30"/>
      <c r="DEW30"/>
      <c r="DEX30"/>
      <c r="DEY30"/>
      <c r="DEZ30"/>
      <c r="DFA30"/>
      <c r="DFB30"/>
      <c r="DFC30"/>
      <c r="DFD30"/>
      <c r="DFE30"/>
      <c r="DFF30"/>
      <c r="DFG30"/>
      <c r="DFH30"/>
      <c r="DFI30"/>
      <c r="DFJ30"/>
      <c r="DFK30"/>
      <c r="DFL30"/>
      <c r="DFM30"/>
      <c r="DFN30"/>
      <c r="DFO30"/>
      <c r="DFP30"/>
      <c r="DFQ30"/>
      <c r="DFR30"/>
      <c r="DFS30"/>
      <c r="DFT30"/>
      <c r="DFU30"/>
      <c r="DFV30"/>
      <c r="DFW30"/>
      <c r="DFX30"/>
      <c r="DFY30"/>
      <c r="DFZ30"/>
      <c r="DGA30"/>
      <c r="DGB30"/>
      <c r="DGC30"/>
      <c r="DGD30"/>
      <c r="DGE30"/>
      <c r="DGF30"/>
      <c r="DGG30"/>
      <c r="DGH30"/>
      <c r="DGI30"/>
      <c r="DGJ30"/>
      <c r="DGK30"/>
      <c r="DGL30"/>
      <c r="DGM30"/>
      <c r="DGN30"/>
      <c r="DGO30"/>
      <c r="DGP30"/>
      <c r="DGQ30"/>
      <c r="DGR30"/>
      <c r="DGS30"/>
      <c r="DGT30"/>
      <c r="DGU30"/>
      <c r="DGV30"/>
      <c r="DGW30"/>
      <c r="DGX30"/>
      <c r="DGY30"/>
      <c r="DGZ30"/>
      <c r="DHA30"/>
      <c r="DHB30"/>
      <c r="DHC30"/>
      <c r="DHD30"/>
      <c r="DHE30"/>
      <c r="DHF30"/>
      <c r="DHG30"/>
      <c r="DHH30"/>
      <c r="DHI30"/>
      <c r="DHJ30"/>
      <c r="DHK30"/>
      <c r="DHL30"/>
      <c r="DHM30"/>
      <c r="DHN30"/>
      <c r="DHO30"/>
      <c r="DHP30"/>
      <c r="DHQ30"/>
      <c r="DHR30"/>
      <c r="DHS30"/>
      <c r="DHT30"/>
      <c r="DHU30"/>
      <c r="DHV30"/>
      <c r="DHW30"/>
      <c r="DHX30"/>
      <c r="DHY30"/>
      <c r="DHZ30"/>
      <c r="DIA30"/>
      <c r="DIB30"/>
      <c r="DIC30"/>
      <c r="DID30"/>
      <c r="DIE30"/>
      <c r="DIF30"/>
      <c r="DIG30"/>
      <c r="DIH30"/>
      <c r="DII30"/>
      <c r="DIJ30"/>
      <c r="DIK30"/>
      <c r="DIL30"/>
      <c r="DIM30"/>
      <c r="DIN30"/>
      <c r="DIO30"/>
      <c r="DIP30"/>
      <c r="DIQ30"/>
      <c r="DIR30"/>
      <c r="DIS30"/>
      <c r="DIT30"/>
      <c r="DIU30"/>
      <c r="DIV30"/>
      <c r="DIW30"/>
      <c r="DIX30"/>
      <c r="DIY30"/>
      <c r="DIZ30"/>
      <c r="DJA30"/>
      <c r="DJB30"/>
      <c r="DJC30"/>
      <c r="DJD30"/>
      <c r="DJE30"/>
      <c r="DJF30"/>
      <c r="DJG30"/>
      <c r="DJH30"/>
      <c r="DJI30"/>
      <c r="DJJ30"/>
      <c r="DJK30"/>
      <c r="DJL30"/>
      <c r="DJM30"/>
      <c r="DJN30"/>
      <c r="DJO30"/>
      <c r="DJP30"/>
      <c r="DJQ30"/>
      <c r="DJR30"/>
      <c r="DJS30"/>
      <c r="DJT30"/>
      <c r="DJU30"/>
      <c r="DJV30"/>
      <c r="DJW30"/>
      <c r="DJX30"/>
      <c r="DJY30"/>
      <c r="DJZ30"/>
      <c r="DKA30"/>
      <c r="DKB30"/>
      <c r="DKC30"/>
      <c r="DKD30"/>
      <c r="DKE30"/>
      <c r="DKF30"/>
      <c r="DKG30"/>
      <c r="DKH30"/>
      <c r="DKI30"/>
      <c r="DKJ30"/>
      <c r="DKK30"/>
      <c r="DKL30"/>
      <c r="DKM30"/>
      <c r="DKN30"/>
      <c r="DKO30"/>
      <c r="DKP30"/>
      <c r="DKQ30"/>
      <c r="DKR30"/>
      <c r="DKS30"/>
      <c r="DKT30"/>
      <c r="DKU30"/>
      <c r="DKV30"/>
      <c r="DKW30"/>
      <c r="DKX30"/>
      <c r="DKY30"/>
      <c r="DKZ30"/>
      <c r="DLA30"/>
      <c r="DLB30"/>
      <c r="DLC30"/>
      <c r="DLD30"/>
      <c r="DLE30"/>
      <c r="DLF30"/>
      <c r="DLG30"/>
      <c r="DLH30"/>
      <c r="DLI30"/>
      <c r="DLJ30"/>
      <c r="DLK30"/>
      <c r="DLL30"/>
      <c r="DLM30"/>
      <c r="DLN30"/>
      <c r="DLO30"/>
      <c r="DLP30"/>
      <c r="DLQ30"/>
      <c r="DLR30"/>
      <c r="DLS30"/>
      <c r="DLT30"/>
      <c r="DLU30"/>
      <c r="DLV30"/>
      <c r="DLW30"/>
      <c r="DLX30"/>
      <c r="DLY30"/>
      <c r="DLZ30"/>
      <c r="DMA30"/>
      <c r="DMB30"/>
      <c r="DMC30"/>
      <c r="DMD30"/>
      <c r="DME30"/>
      <c r="DMF30"/>
      <c r="DMG30"/>
      <c r="DMH30"/>
      <c r="DMI30"/>
      <c r="DMJ30"/>
      <c r="DMK30"/>
      <c r="DML30"/>
      <c r="DMM30"/>
      <c r="DMN30"/>
      <c r="DMO30"/>
      <c r="DMP30"/>
      <c r="DMQ30"/>
      <c r="DMR30"/>
      <c r="DMS30"/>
      <c r="DMT30"/>
      <c r="DMU30"/>
      <c r="DMV30"/>
      <c r="DMW30"/>
      <c r="DMX30"/>
      <c r="DMY30"/>
      <c r="DMZ30"/>
      <c r="DNA30"/>
      <c r="DNB30"/>
      <c r="DNC30"/>
      <c r="DND30"/>
      <c r="DNE30"/>
      <c r="DNF30"/>
      <c r="DNG30"/>
      <c r="DNH30"/>
      <c r="DNI30"/>
      <c r="DNJ30"/>
      <c r="DNK30"/>
      <c r="DNL30"/>
      <c r="DNM30"/>
      <c r="DNN30"/>
      <c r="DNO30"/>
      <c r="DNP30"/>
      <c r="DNQ30"/>
      <c r="DNR30"/>
      <c r="DNS30"/>
      <c r="DNT30"/>
      <c r="DNU30"/>
      <c r="DNV30"/>
      <c r="DNW30"/>
      <c r="DNX30"/>
      <c r="DNY30"/>
      <c r="DNZ30"/>
      <c r="DOA30"/>
      <c r="DOB30"/>
      <c r="DOC30"/>
      <c r="DOD30"/>
      <c r="DOE30"/>
      <c r="DOF30"/>
      <c r="DOG30"/>
      <c r="DOH30"/>
      <c r="DOI30"/>
      <c r="DOJ30"/>
      <c r="DOK30"/>
      <c r="DOL30"/>
      <c r="DOM30"/>
      <c r="DON30"/>
      <c r="DOO30"/>
      <c r="DOP30"/>
      <c r="DOQ30"/>
      <c r="DOR30"/>
      <c r="DOS30"/>
      <c r="DOT30"/>
      <c r="DOU30"/>
      <c r="DOV30"/>
      <c r="DOW30"/>
      <c r="DOX30"/>
      <c r="DOY30"/>
      <c r="DOZ30"/>
      <c r="DPA30"/>
      <c r="DPB30"/>
      <c r="DPC30"/>
      <c r="DPD30"/>
      <c r="DPE30"/>
      <c r="DPF30"/>
      <c r="DPG30"/>
      <c r="DPH30"/>
      <c r="DPI30"/>
      <c r="DPJ30"/>
      <c r="DPK30"/>
      <c r="DPL30"/>
      <c r="DPM30"/>
      <c r="DPN30"/>
      <c r="DPO30"/>
      <c r="DPP30"/>
      <c r="DPQ30"/>
      <c r="DPR30"/>
      <c r="DPS30"/>
      <c r="DPT30"/>
      <c r="DPU30"/>
      <c r="DPV30"/>
      <c r="DPW30"/>
      <c r="DPX30"/>
      <c r="DPY30"/>
      <c r="DPZ30"/>
      <c r="DQA30"/>
      <c r="DQB30"/>
      <c r="DQC30"/>
      <c r="DQD30"/>
      <c r="DQE30"/>
      <c r="DQF30"/>
      <c r="DQG30"/>
      <c r="DQH30"/>
      <c r="DQI30"/>
      <c r="DQJ30"/>
      <c r="DQK30"/>
      <c r="DQL30"/>
      <c r="DQM30"/>
      <c r="DQN30"/>
      <c r="DQO30"/>
      <c r="DQP30"/>
      <c r="DQQ30"/>
      <c r="DQR30"/>
      <c r="DQS30"/>
      <c r="DQT30"/>
      <c r="DQU30"/>
      <c r="DQV30"/>
      <c r="DQW30"/>
      <c r="DQX30"/>
      <c r="DQY30"/>
      <c r="DQZ30"/>
      <c r="DRA30"/>
      <c r="DRB30"/>
      <c r="DRC30"/>
      <c r="DRD30"/>
      <c r="DRE30"/>
      <c r="DRF30"/>
      <c r="DRG30"/>
      <c r="DRH30"/>
      <c r="DRI30"/>
      <c r="DRJ30"/>
      <c r="DRK30"/>
      <c r="DRL30"/>
      <c r="DRM30"/>
      <c r="DRN30"/>
      <c r="DRO30"/>
      <c r="DRP30"/>
      <c r="DRQ30"/>
      <c r="DRR30"/>
      <c r="DRS30"/>
      <c r="DRT30"/>
      <c r="DRU30"/>
      <c r="DRV30"/>
      <c r="DRW30"/>
      <c r="DRX30"/>
      <c r="DRY30"/>
      <c r="DRZ30"/>
      <c r="DSA30"/>
      <c r="DSB30"/>
      <c r="DSC30"/>
      <c r="DSD30"/>
      <c r="DSE30"/>
      <c r="DSF30"/>
      <c r="DSG30"/>
      <c r="DSH30"/>
      <c r="DSI30"/>
      <c r="DSJ30"/>
      <c r="DSK30"/>
      <c r="DSL30"/>
      <c r="DSM30"/>
      <c r="DSN30"/>
      <c r="DSO30"/>
      <c r="DSP30"/>
      <c r="DSQ30"/>
      <c r="DSR30"/>
      <c r="DSS30"/>
      <c r="DST30"/>
      <c r="DSU30"/>
      <c r="DSV30"/>
      <c r="DSW30"/>
      <c r="DSX30"/>
      <c r="DSY30"/>
      <c r="DSZ30"/>
      <c r="DTA30"/>
      <c r="DTB30"/>
      <c r="DTC30"/>
      <c r="DTD30"/>
      <c r="DTE30"/>
      <c r="DTF30"/>
      <c r="DTG30"/>
      <c r="DTH30"/>
      <c r="DTI30"/>
      <c r="DTJ30"/>
      <c r="DTK30"/>
      <c r="DTL30"/>
      <c r="DTM30"/>
      <c r="DTN30"/>
      <c r="DTO30"/>
      <c r="DTP30"/>
      <c r="DTQ30"/>
      <c r="DTR30"/>
      <c r="DTS30"/>
      <c r="DTT30"/>
      <c r="DTU30"/>
      <c r="DTV30"/>
      <c r="DTW30"/>
      <c r="DTX30"/>
      <c r="DTY30"/>
      <c r="DTZ30"/>
      <c r="DUA30"/>
      <c r="DUB30"/>
      <c r="DUC30"/>
      <c r="DUD30"/>
      <c r="DUE30"/>
      <c r="DUF30"/>
      <c r="DUG30"/>
      <c r="DUH30"/>
      <c r="DUI30"/>
      <c r="DUJ30"/>
      <c r="DUK30"/>
      <c r="DUL30"/>
      <c r="DUM30"/>
      <c r="DUN30"/>
      <c r="DUO30"/>
      <c r="DUP30"/>
      <c r="DUQ30"/>
      <c r="DUR30"/>
      <c r="DUS30"/>
      <c r="DUT30"/>
      <c r="DUU30"/>
      <c r="DUV30"/>
      <c r="DUW30"/>
      <c r="DUX30"/>
      <c r="DUY30"/>
      <c r="DUZ30"/>
      <c r="DVA30"/>
      <c r="DVB30"/>
      <c r="DVC30"/>
      <c r="DVD30"/>
      <c r="DVE30"/>
      <c r="DVF30"/>
      <c r="DVG30"/>
      <c r="DVH30"/>
      <c r="DVI30"/>
      <c r="DVJ30"/>
      <c r="DVK30"/>
      <c r="DVL30"/>
      <c r="DVM30"/>
      <c r="DVN30"/>
      <c r="DVO30"/>
      <c r="DVP30"/>
      <c r="DVQ30"/>
      <c r="DVR30"/>
      <c r="DVS30"/>
      <c r="DVT30"/>
      <c r="DVU30"/>
      <c r="DVV30"/>
      <c r="DVW30"/>
      <c r="DVX30"/>
      <c r="DVY30"/>
      <c r="DVZ30"/>
      <c r="DWA30"/>
      <c r="DWB30"/>
      <c r="DWC30"/>
      <c r="DWD30"/>
      <c r="DWE30"/>
      <c r="DWF30"/>
      <c r="DWG30"/>
      <c r="DWH30"/>
      <c r="DWI30"/>
      <c r="DWJ30"/>
      <c r="DWK30"/>
      <c r="DWL30"/>
      <c r="DWM30"/>
      <c r="DWN30"/>
      <c r="DWO30"/>
      <c r="DWP30"/>
      <c r="DWQ30"/>
      <c r="DWR30"/>
      <c r="DWS30"/>
      <c r="DWT30"/>
      <c r="DWU30"/>
      <c r="DWV30"/>
      <c r="DWW30"/>
      <c r="DWX30"/>
      <c r="DWY30"/>
      <c r="DWZ30"/>
      <c r="DXA30"/>
      <c r="DXB30"/>
      <c r="DXC30"/>
      <c r="DXD30"/>
      <c r="DXE30"/>
      <c r="DXF30"/>
      <c r="DXG30"/>
      <c r="DXH30"/>
      <c r="DXI30"/>
      <c r="DXJ30"/>
      <c r="DXK30"/>
      <c r="DXL30"/>
      <c r="DXM30"/>
      <c r="DXN30"/>
      <c r="DXO30"/>
      <c r="DXP30"/>
      <c r="DXQ30"/>
      <c r="DXR30"/>
      <c r="DXS30"/>
      <c r="DXT30"/>
      <c r="DXU30"/>
      <c r="DXV30"/>
      <c r="DXW30"/>
      <c r="DXX30"/>
      <c r="DXY30"/>
      <c r="DXZ30"/>
      <c r="DYA30"/>
      <c r="DYB30"/>
      <c r="DYC30"/>
      <c r="DYD30"/>
      <c r="DYE30"/>
      <c r="DYF30"/>
      <c r="DYG30"/>
      <c r="DYH30"/>
      <c r="DYI30"/>
      <c r="DYJ30"/>
      <c r="DYK30"/>
      <c r="DYL30"/>
      <c r="DYM30"/>
      <c r="DYN30"/>
      <c r="DYO30"/>
      <c r="DYP30"/>
      <c r="DYQ30"/>
      <c r="DYR30"/>
      <c r="DYS30"/>
      <c r="DYT30"/>
      <c r="DYU30"/>
      <c r="DYV30"/>
      <c r="DYW30"/>
      <c r="DYX30"/>
      <c r="DYY30"/>
      <c r="DYZ30"/>
      <c r="DZA30"/>
      <c r="DZB30"/>
      <c r="DZC30"/>
      <c r="DZD30"/>
      <c r="DZE30"/>
      <c r="DZF30"/>
      <c r="DZG30"/>
      <c r="DZH30"/>
      <c r="DZI30"/>
      <c r="DZJ30"/>
      <c r="DZK30"/>
      <c r="DZL30"/>
      <c r="DZM30"/>
      <c r="DZN30"/>
      <c r="DZO30"/>
      <c r="DZP30"/>
      <c r="DZQ30"/>
      <c r="DZR30"/>
      <c r="DZS30"/>
      <c r="DZT30"/>
      <c r="DZU30"/>
      <c r="DZV30"/>
      <c r="DZW30"/>
      <c r="DZX30"/>
      <c r="DZY30"/>
      <c r="DZZ30"/>
      <c r="EAA30"/>
      <c r="EAB30"/>
      <c r="EAC30"/>
      <c r="EAD30"/>
      <c r="EAE30"/>
      <c r="EAF30"/>
      <c r="EAG30"/>
      <c r="EAH30"/>
      <c r="EAI30"/>
      <c r="EAJ30"/>
      <c r="EAK30"/>
      <c r="EAL30"/>
      <c r="EAM30"/>
      <c r="EAN30"/>
      <c r="EAO30"/>
      <c r="EAP30"/>
      <c r="EAQ30"/>
      <c r="EAR30"/>
      <c r="EAS30"/>
      <c r="EAT30"/>
      <c r="EAU30"/>
      <c r="EAV30"/>
      <c r="EAW30"/>
      <c r="EAX30"/>
      <c r="EAY30"/>
      <c r="EAZ30"/>
      <c r="EBA30"/>
      <c r="EBB30"/>
      <c r="EBC30"/>
      <c r="EBD30"/>
      <c r="EBE30"/>
      <c r="EBF30"/>
      <c r="EBG30"/>
      <c r="EBH30"/>
      <c r="EBI30"/>
      <c r="EBJ30"/>
      <c r="EBK30"/>
      <c r="EBL30"/>
      <c r="EBM30"/>
      <c r="EBN30"/>
      <c r="EBO30"/>
      <c r="EBP30"/>
      <c r="EBQ30"/>
      <c r="EBR30"/>
      <c r="EBS30"/>
      <c r="EBT30"/>
      <c r="EBU30"/>
      <c r="EBV30"/>
      <c r="EBW30"/>
      <c r="EBX30"/>
      <c r="EBY30"/>
      <c r="EBZ30"/>
      <c r="ECA30"/>
      <c r="ECB30"/>
      <c r="ECC30"/>
      <c r="ECD30"/>
      <c r="ECE30"/>
      <c r="ECF30"/>
      <c r="ECG30"/>
      <c r="ECH30"/>
      <c r="ECI30"/>
      <c r="ECJ30"/>
      <c r="ECK30"/>
      <c r="ECL30"/>
      <c r="ECM30"/>
      <c r="ECN30"/>
      <c r="ECO30"/>
      <c r="ECP30"/>
      <c r="ECQ30"/>
      <c r="ECR30"/>
      <c r="ECS30"/>
      <c r="ECT30"/>
      <c r="ECU30"/>
      <c r="ECV30"/>
      <c r="ECW30"/>
      <c r="ECX30"/>
      <c r="ECY30"/>
      <c r="ECZ30"/>
      <c r="EDA30"/>
      <c r="EDB30"/>
      <c r="EDC30"/>
      <c r="EDD30"/>
      <c r="EDE30"/>
      <c r="EDF30"/>
      <c r="EDG30"/>
      <c r="EDH30"/>
      <c r="EDI30"/>
      <c r="EDJ30"/>
      <c r="EDK30"/>
      <c r="EDL30"/>
      <c r="EDM30"/>
      <c r="EDN30"/>
      <c r="EDO30"/>
      <c r="EDP30"/>
      <c r="EDQ30"/>
      <c r="EDR30"/>
      <c r="EDS30"/>
      <c r="EDT30"/>
      <c r="EDU30"/>
      <c r="EDV30"/>
      <c r="EDW30"/>
      <c r="EDX30"/>
      <c r="EDY30"/>
      <c r="EDZ30"/>
      <c r="EEA30"/>
      <c r="EEB30"/>
      <c r="EEC30"/>
      <c r="EED30"/>
      <c r="EEE30"/>
      <c r="EEF30"/>
      <c r="EEG30"/>
      <c r="EEH30"/>
      <c r="EEI30"/>
      <c r="EEJ30"/>
      <c r="EEK30"/>
      <c r="EEL30"/>
      <c r="EEM30"/>
      <c r="EEN30"/>
      <c r="EEO30"/>
      <c r="EEP30"/>
      <c r="EEQ30"/>
      <c r="EER30"/>
      <c r="EES30"/>
      <c r="EET30"/>
      <c r="EEU30"/>
      <c r="EEV30"/>
      <c r="EEW30"/>
      <c r="EEX30"/>
      <c r="EEY30"/>
      <c r="EEZ30"/>
      <c r="EFA30"/>
      <c r="EFB30"/>
      <c r="EFC30"/>
      <c r="EFD30"/>
      <c r="EFE30"/>
      <c r="EFF30"/>
      <c r="EFG30"/>
      <c r="EFH30"/>
      <c r="EFI30"/>
      <c r="EFJ30"/>
      <c r="EFK30"/>
      <c r="EFL30"/>
      <c r="EFM30"/>
      <c r="EFN30"/>
      <c r="EFO30"/>
      <c r="EFP30"/>
      <c r="EFQ30"/>
      <c r="EFR30"/>
      <c r="EFS30"/>
      <c r="EFT30"/>
      <c r="EFU30"/>
      <c r="EFV30"/>
      <c r="EFW30"/>
      <c r="EFX30"/>
      <c r="EFY30"/>
      <c r="EFZ30"/>
      <c r="EGA30"/>
      <c r="EGB30"/>
      <c r="EGC30"/>
      <c r="EGD30"/>
      <c r="EGE30"/>
      <c r="EGF30"/>
      <c r="EGG30"/>
      <c r="EGH30"/>
      <c r="EGI30"/>
      <c r="EGJ30"/>
      <c r="EGK30"/>
      <c r="EGL30"/>
      <c r="EGM30"/>
      <c r="EGN30"/>
      <c r="EGO30"/>
      <c r="EGP30"/>
      <c r="EGQ30"/>
      <c r="EGR30"/>
      <c r="EGS30"/>
      <c r="EGT30"/>
      <c r="EGU30"/>
      <c r="EGV30"/>
      <c r="EGW30"/>
      <c r="EGX30"/>
      <c r="EGY30"/>
      <c r="EGZ30"/>
      <c r="EHA30"/>
      <c r="EHB30"/>
      <c r="EHC30"/>
      <c r="EHD30"/>
      <c r="EHE30"/>
      <c r="EHF30"/>
      <c r="EHG30"/>
      <c r="EHH30"/>
      <c r="EHI30"/>
      <c r="EHJ30"/>
      <c r="EHK30"/>
      <c r="EHL30"/>
      <c r="EHM30"/>
      <c r="EHN30"/>
      <c r="EHO30"/>
      <c r="EHP30"/>
      <c r="EHQ30"/>
      <c r="EHR30"/>
      <c r="EHS30"/>
      <c r="EHT30"/>
      <c r="EHU30"/>
      <c r="EHV30"/>
      <c r="EHW30"/>
      <c r="EHX30"/>
      <c r="EHY30"/>
      <c r="EHZ30"/>
      <c r="EIA30"/>
      <c r="EIB30"/>
      <c r="EIC30"/>
      <c r="EID30"/>
      <c r="EIE30"/>
      <c r="EIF30"/>
      <c r="EIG30"/>
      <c r="EIH30"/>
      <c r="EII30"/>
      <c r="EIJ30"/>
      <c r="EIK30"/>
      <c r="EIL30"/>
      <c r="EIM30"/>
      <c r="EIN30"/>
      <c r="EIO30"/>
      <c r="EIP30"/>
      <c r="EIQ30"/>
      <c r="EIR30"/>
      <c r="EIS30"/>
      <c r="EIT30"/>
      <c r="EIU30"/>
      <c r="EIV30"/>
      <c r="EIW30"/>
      <c r="EIX30"/>
      <c r="EIY30"/>
      <c r="EIZ30"/>
      <c r="EJA30"/>
      <c r="EJB30"/>
      <c r="EJC30"/>
      <c r="EJD30"/>
      <c r="EJE30"/>
      <c r="EJF30"/>
      <c r="EJG30"/>
      <c r="EJH30"/>
      <c r="EJI30"/>
      <c r="EJJ30"/>
      <c r="EJK30"/>
      <c r="EJL30"/>
      <c r="EJM30"/>
      <c r="EJN30"/>
      <c r="EJO30"/>
      <c r="EJP30"/>
      <c r="EJQ30"/>
      <c r="EJR30"/>
      <c r="EJS30"/>
      <c r="EJT30"/>
      <c r="EJU30"/>
      <c r="EJV30"/>
      <c r="EJW30"/>
      <c r="EJX30"/>
      <c r="EJY30"/>
      <c r="EJZ30"/>
      <c r="EKA30"/>
      <c r="EKB30"/>
      <c r="EKC30"/>
      <c r="EKD30"/>
      <c r="EKE30"/>
      <c r="EKF30"/>
      <c r="EKG30"/>
      <c r="EKH30"/>
      <c r="EKI30"/>
      <c r="EKJ30"/>
      <c r="EKK30"/>
      <c r="EKL30"/>
      <c r="EKM30"/>
      <c r="EKN30"/>
      <c r="EKO30"/>
      <c r="EKP30"/>
      <c r="EKQ30"/>
      <c r="EKR30"/>
      <c r="EKS30"/>
      <c r="EKT30"/>
      <c r="EKU30"/>
      <c r="EKV30"/>
      <c r="EKW30"/>
      <c r="EKX30"/>
      <c r="EKY30"/>
      <c r="EKZ30"/>
      <c r="ELA30"/>
      <c r="ELB30"/>
      <c r="ELC30"/>
      <c r="ELD30"/>
      <c r="ELE30"/>
      <c r="ELF30"/>
      <c r="ELG30"/>
      <c r="ELH30"/>
      <c r="ELI30"/>
      <c r="ELJ30"/>
      <c r="ELK30"/>
      <c r="ELL30"/>
      <c r="ELM30"/>
      <c r="ELN30"/>
      <c r="ELO30"/>
      <c r="ELP30"/>
      <c r="ELQ30"/>
      <c r="ELR30"/>
      <c r="ELS30"/>
      <c r="ELT30"/>
      <c r="ELU30"/>
      <c r="ELV30"/>
      <c r="ELW30"/>
      <c r="ELX30"/>
      <c r="ELY30"/>
      <c r="ELZ30"/>
      <c r="EMA30"/>
      <c r="EMB30"/>
      <c r="EMC30"/>
      <c r="EMD30"/>
      <c r="EME30"/>
      <c r="EMF30"/>
      <c r="EMG30"/>
      <c r="EMH30"/>
      <c r="EMI30"/>
      <c r="EMJ30"/>
      <c r="EMK30"/>
      <c r="EML30"/>
      <c r="EMM30"/>
      <c r="EMN30"/>
      <c r="EMO30"/>
      <c r="EMP30"/>
      <c r="EMQ30"/>
      <c r="EMR30"/>
      <c r="EMS30"/>
      <c r="EMT30"/>
      <c r="EMU30"/>
      <c r="EMV30"/>
      <c r="EMW30"/>
      <c r="EMX30"/>
      <c r="EMY30"/>
      <c r="EMZ30"/>
      <c r="ENA30"/>
      <c r="ENB30"/>
      <c r="ENC30"/>
      <c r="END30"/>
      <c r="ENE30"/>
      <c r="ENF30"/>
      <c r="ENG30"/>
      <c r="ENH30"/>
      <c r="ENI30"/>
      <c r="ENJ30"/>
      <c r="ENK30"/>
      <c r="ENL30"/>
      <c r="ENM30"/>
      <c r="ENN30"/>
      <c r="ENO30"/>
      <c r="ENP30"/>
      <c r="ENQ30"/>
      <c r="ENR30"/>
      <c r="ENS30"/>
      <c r="ENT30"/>
      <c r="ENU30"/>
      <c r="ENV30"/>
      <c r="ENW30"/>
      <c r="ENX30"/>
      <c r="ENY30"/>
      <c r="ENZ30"/>
      <c r="EOA30"/>
      <c r="EOB30"/>
      <c r="EOC30"/>
      <c r="EOD30"/>
      <c r="EOE30"/>
      <c r="EOF30"/>
      <c r="EOG30"/>
      <c r="EOH30"/>
      <c r="EOI30"/>
      <c r="EOJ30"/>
      <c r="EOK30"/>
      <c r="EOL30"/>
      <c r="EOM30"/>
      <c r="EON30"/>
      <c r="EOO30"/>
      <c r="EOP30"/>
      <c r="EOQ30"/>
      <c r="EOR30"/>
      <c r="EOS30"/>
      <c r="EOT30"/>
      <c r="EOU30"/>
      <c r="EOV30"/>
      <c r="EOW30"/>
      <c r="EOX30"/>
      <c r="EOY30"/>
      <c r="EOZ30"/>
      <c r="EPA30"/>
      <c r="EPB30"/>
      <c r="EPC30"/>
      <c r="EPD30"/>
      <c r="EPE30"/>
      <c r="EPF30"/>
      <c r="EPG30"/>
      <c r="EPH30"/>
      <c r="EPI30"/>
      <c r="EPJ30"/>
      <c r="EPK30"/>
      <c r="EPL30"/>
      <c r="EPM30"/>
      <c r="EPN30"/>
      <c r="EPO30"/>
      <c r="EPP30"/>
      <c r="EPQ30"/>
      <c r="EPR30"/>
      <c r="EPS30"/>
      <c r="EPT30"/>
      <c r="EPU30"/>
      <c r="EPV30"/>
      <c r="EPW30"/>
      <c r="EPX30"/>
      <c r="EPY30"/>
      <c r="EPZ30"/>
      <c r="EQA30"/>
      <c r="EQB30"/>
      <c r="EQC30"/>
      <c r="EQD30"/>
      <c r="EQE30"/>
      <c r="EQF30"/>
      <c r="EQG30"/>
      <c r="EQH30"/>
      <c r="EQI30"/>
      <c r="EQJ30"/>
      <c r="EQK30"/>
      <c r="EQL30"/>
      <c r="EQM30"/>
      <c r="EQN30"/>
      <c r="EQO30"/>
      <c r="EQP30"/>
      <c r="EQQ30"/>
      <c r="EQR30"/>
      <c r="EQS30"/>
      <c r="EQT30"/>
      <c r="EQU30"/>
      <c r="EQV30"/>
      <c r="EQW30"/>
      <c r="EQX30"/>
      <c r="EQY30"/>
      <c r="EQZ30"/>
      <c r="ERA30"/>
      <c r="ERB30"/>
      <c r="ERC30"/>
      <c r="ERD30"/>
      <c r="ERE30"/>
      <c r="ERF30"/>
      <c r="ERG30"/>
      <c r="ERH30"/>
      <c r="ERI30"/>
      <c r="ERJ30"/>
      <c r="ERK30"/>
      <c r="ERL30"/>
      <c r="ERM30"/>
      <c r="ERN30"/>
      <c r="ERO30"/>
      <c r="ERP30"/>
      <c r="ERQ30"/>
      <c r="ERR30"/>
      <c r="ERS30"/>
      <c r="ERT30"/>
      <c r="ERU30"/>
      <c r="ERV30"/>
      <c r="ERW30"/>
      <c r="ERX30"/>
      <c r="ERY30"/>
      <c r="ERZ30"/>
      <c r="ESA30"/>
      <c r="ESB30"/>
      <c r="ESC30"/>
      <c r="ESD30"/>
      <c r="ESE30"/>
      <c r="ESF30"/>
      <c r="ESG30"/>
      <c r="ESH30"/>
      <c r="ESI30"/>
      <c r="ESJ30"/>
      <c r="ESK30"/>
      <c r="ESL30"/>
      <c r="ESM30"/>
      <c r="ESN30"/>
      <c r="ESO30"/>
      <c r="ESP30"/>
      <c r="ESQ30"/>
      <c r="ESR30"/>
      <c r="ESS30"/>
      <c r="EST30"/>
      <c r="ESU30"/>
      <c r="ESV30"/>
      <c r="ESW30"/>
      <c r="ESX30"/>
      <c r="ESY30"/>
      <c r="ESZ30"/>
      <c r="ETA30"/>
      <c r="ETB30"/>
      <c r="ETC30"/>
      <c r="ETD30"/>
      <c r="ETE30"/>
      <c r="ETF30"/>
      <c r="ETG30"/>
      <c r="ETH30"/>
      <c r="ETI30"/>
      <c r="ETJ30"/>
      <c r="ETK30"/>
      <c r="ETL30"/>
      <c r="ETM30"/>
      <c r="ETN30"/>
      <c r="ETO30"/>
      <c r="ETP30"/>
      <c r="ETQ30"/>
      <c r="ETR30"/>
      <c r="ETS30"/>
      <c r="ETT30"/>
      <c r="ETU30"/>
      <c r="ETV30"/>
      <c r="ETW30"/>
      <c r="ETX30"/>
      <c r="ETY30"/>
      <c r="ETZ30"/>
      <c r="EUA30"/>
      <c r="EUB30"/>
      <c r="EUC30"/>
      <c r="EUD30"/>
      <c r="EUE30"/>
      <c r="EUF30"/>
      <c r="EUG30"/>
      <c r="EUH30"/>
      <c r="EUI30"/>
      <c r="EUJ30"/>
      <c r="EUK30"/>
      <c r="EUL30"/>
      <c r="EUM30"/>
      <c r="EUN30"/>
      <c r="EUO30"/>
      <c r="EUP30"/>
      <c r="EUQ30"/>
      <c r="EUR30"/>
      <c r="EUS30"/>
      <c r="EUT30"/>
      <c r="EUU30"/>
      <c r="EUV30"/>
      <c r="EUW30"/>
      <c r="EUX30"/>
      <c r="EUY30"/>
      <c r="EUZ30"/>
      <c r="EVA30"/>
      <c r="EVB30"/>
      <c r="EVC30"/>
      <c r="EVD30"/>
      <c r="EVE30"/>
      <c r="EVF30"/>
      <c r="EVG30"/>
      <c r="EVH30"/>
      <c r="EVI30"/>
      <c r="EVJ30"/>
      <c r="EVK30"/>
      <c r="EVL30"/>
      <c r="EVM30"/>
      <c r="EVN30"/>
      <c r="EVO30"/>
      <c r="EVP30"/>
      <c r="EVQ30"/>
      <c r="EVR30"/>
      <c r="EVS30"/>
      <c r="EVT30"/>
      <c r="EVU30"/>
      <c r="EVV30"/>
      <c r="EVW30"/>
      <c r="EVX30"/>
      <c r="EVY30"/>
      <c r="EVZ30"/>
      <c r="EWA30"/>
      <c r="EWB30"/>
      <c r="EWC30"/>
      <c r="EWD30"/>
      <c r="EWE30"/>
      <c r="EWF30"/>
      <c r="EWG30"/>
      <c r="EWH30"/>
      <c r="EWI30"/>
      <c r="EWJ30"/>
      <c r="EWK30"/>
      <c r="EWL30"/>
      <c r="EWM30"/>
      <c r="EWN30"/>
      <c r="EWO30"/>
      <c r="EWP30"/>
      <c r="EWQ30"/>
      <c r="EWR30"/>
      <c r="EWS30"/>
      <c r="EWT30"/>
      <c r="EWU30"/>
      <c r="EWV30"/>
      <c r="EWW30"/>
      <c r="EWX30"/>
      <c r="EWY30"/>
      <c r="EWZ30"/>
      <c r="EXA30"/>
      <c r="EXB30"/>
      <c r="EXC30"/>
      <c r="EXD30"/>
      <c r="EXE30"/>
      <c r="EXF30"/>
      <c r="EXG30"/>
      <c r="EXH30"/>
      <c r="EXI30"/>
      <c r="EXJ30"/>
      <c r="EXK30"/>
      <c r="EXL30"/>
      <c r="EXM30"/>
      <c r="EXN30"/>
      <c r="EXO30"/>
      <c r="EXP30"/>
      <c r="EXQ30"/>
      <c r="EXR30"/>
      <c r="EXS30"/>
      <c r="EXT30"/>
      <c r="EXU30"/>
      <c r="EXV30"/>
      <c r="EXW30"/>
      <c r="EXX30"/>
      <c r="EXY30"/>
      <c r="EXZ30"/>
      <c r="EYA30"/>
      <c r="EYB30"/>
      <c r="EYC30"/>
      <c r="EYD30"/>
      <c r="EYE30"/>
      <c r="EYF30"/>
      <c r="EYG30"/>
      <c r="EYH30"/>
      <c r="EYI30"/>
      <c r="EYJ30"/>
      <c r="EYK30"/>
      <c r="EYL30"/>
      <c r="EYM30"/>
      <c r="EYN30"/>
      <c r="EYO30"/>
      <c r="EYP30"/>
      <c r="EYQ30"/>
      <c r="EYR30"/>
      <c r="EYS30"/>
      <c r="EYT30"/>
      <c r="EYU30"/>
      <c r="EYV30"/>
      <c r="EYW30"/>
      <c r="EYX30"/>
      <c r="EYY30"/>
      <c r="EYZ30"/>
      <c r="EZA30"/>
      <c r="EZB30"/>
      <c r="EZC30"/>
      <c r="EZD30"/>
      <c r="EZE30"/>
      <c r="EZF30"/>
      <c r="EZG30"/>
      <c r="EZH30"/>
      <c r="EZI30"/>
      <c r="EZJ30"/>
      <c r="EZK30"/>
      <c r="EZL30"/>
      <c r="EZM30"/>
      <c r="EZN30"/>
      <c r="EZO30"/>
      <c r="EZP30"/>
      <c r="EZQ30"/>
      <c r="EZR30"/>
      <c r="EZS30"/>
      <c r="EZT30"/>
      <c r="EZU30"/>
      <c r="EZV30"/>
      <c r="EZW30"/>
      <c r="EZX30"/>
      <c r="EZY30"/>
      <c r="EZZ30"/>
      <c r="FAA30"/>
      <c r="FAB30"/>
      <c r="FAC30"/>
      <c r="FAD30"/>
      <c r="FAE30"/>
      <c r="FAF30"/>
      <c r="FAG30"/>
      <c r="FAH30"/>
      <c r="FAI30"/>
      <c r="FAJ30"/>
      <c r="FAK30"/>
      <c r="FAL30"/>
      <c r="FAM30"/>
      <c r="FAN30"/>
      <c r="FAO30"/>
      <c r="FAP30"/>
      <c r="FAQ30"/>
      <c r="FAR30"/>
      <c r="FAS30"/>
      <c r="FAT30"/>
      <c r="FAU30"/>
      <c r="FAV30"/>
      <c r="FAW30"/>
      <c r="FAX30"/>
      <c r="FAY30"/>
      <c r="FAZ30"/>
      <c r="FBA30"/>
      <c r="FBB30"/>
      <c r="FBC30"/>
      <c r="FBD30"/>
      <c r="FBE30"/>
      <c r="FBF30"/>
      <c r="FBG30"/>
      <c r="FBH30"/>
      <c r="FBI30"/>
      <c r="FBJ30"/>
      <c r="FBK30"/>
      <c r="FBL30"/>
      <c r="FBM30"/>
      <c r="FBN30"/>
      <c r="FBO30"/>
      <c r="FBP30"/>
      <c r="FBQ30"/>
      <c r="FBR30"/>
      <c r="FBS30"/>
      <c r="FBT30"/>
      <c r="FBU30"/>
      <c r="FBV30"/>
      <c r="FBW30"/>
      <c r="FBX30"/>
      <c r="FBY30"/>
      <c r="FBZ30"/>
      <c r="FCA30"/>
      <c r="FCB30"/>
      <c r="FCC30"/>
      <c r="FCD30"/>
      <c r="FCE30"/>
      <c r="FCF30"/>
      <c r="FCG30"/>
      <c r="FCH30"/>
      <c r="FCI30"/>
      <c r="FCJ30"/>
      <c r="FCK30"/>
      <c r="FCL30"/>
      <c r="FCM30"/>
      <c r="FCN30"/>
      <c r="FCO30"/>
      <c r="FCP30"/>
      <c r="FCQ30"/>
      <c r="FCR30"/>
      <c r="FCS30"/>
      <c r="FCT30"/>
      <c r="FCU30"/>
      <c r="FCV30"/>
      <c r="FCW30"/>
      <c r="FCX30"/>
      <c r="FCY30"/>
      <c r="FCZ30"/>
      <c r="FDA30"/>
      <c r="FDB30"/>
      <c r="FDC30"/>
      <c r="FDD30"/>
      <c r="FDE30"/>
      <c r="FDF30"/>
      <c r="FDG30"/>
      <c r="FDH30"/>
      <c r="FDI30"/>
      <c r="FDJ30"/>
      <c r="FDK30"/>
      <c r="FDL30"/>
      <c r="FDM30"/>
      <c r="FDN30"/>
      <c r="FDO30"/>
      <c r="FDP30"/>
      <c r="FDQ30"/>
      <c r="FDR30"/>
      <c r="FDS30"/>
      <c r="FDT30"/>
      <c r="FDU30"/>
      <c r="FDV30"/>
      <c r="FDW30"/>
      <c r="FDX30"/>
      <c r="FDY30"/>
      <c r="FDZ30"/>
      <c r="FEA30"/>
      <c r="FEB30"/>
      <c r="FEC30"/>
      <c r="FED30"/>
      <c r="FEE30"/>
      <c r="FEF30"/>
      <c r="FEG30"/>
      <c r="FEH30"/>
      <c r="FEI30"/>
      <c r="FEJ30"/>
      <c r="FEK30"/>
      <c r="FEL30"/>
      <c r="FEM30"/>
      <c r="FEN30"/>
      <c r="FEO30"/>
      <c r="FEP30"/>
      <c r="FEQ30"/>
      <c r="FER30"/>
      <c r="FES30"/>
      <c r="FET30"/>
      <c r="FEU30"/>
      <c r="FEV30"/>
      <c r="FEW30"/>
      <c r="FEX30"/>
      <c r="FEY30"/>
      <c r="FEZ30"/>
      <c r="FFA30"/>
      <c r="FFB30"/>
      <c r="FFC30"/>
      <c r="FFD30"/>
      <c r="FFE30"/>
      <c r="FFF30"/>
      <c r="FFG30"/>
      <c r="FFH30"/>
      <c r="FFI30"/>
      <c r="FFJ30"/>
      <c r="FFK30"/>
      <c r="FFL30"/>
      <c r="FFM30"/>
      <c r="FFN30"/>
      <c r="FFO30"/>
      <c r="FFP30"/>
      <c r="FFQ30"/>
      <c r="FFR30"/>
      <c r="FFS30"/>
      <c r="FFT30"/>
      <c r="FFU30"/>
      <c r="FFV30"/>
      <c r="FFW30"/>
      <c r="FFX30"/>
      <c r="FFY30"/>
      <c r="FFZ30"/>
      <c r="FGA30"/>
      <c r="FGB30"/>
      <c r="FGC30"/>
      <c r="FGD30"/>
      <c r="FGE30"/>
      <c r="FGF30"/>
      <c r="FGG30"/>
      <c r="FGH30"/>
      <c r="FGI30"/>
      <c r="FGJ30"/>
      <c r="FGK30"/>
      <c r="FGL30"/>
      <c r="FGM30"/>
      <c r="FGN30"/>
      <c r="FGO30"/>
      <c r="FGP30"/>
      <c r="FGQ30"/>
      <c r="FGR30"/>
      <c r="FGS30"/>
      <c r="FGT30"/>
      <c r="FGU30"/>
      <c r="FGV30"/>
      <c r="FGW30"/>
      <c r="FGX30"/>
      <c r="FGY30"/>
      <c r="FGZ30"/>
      <c r="FHA30"/>
      <c r="FHB30"/>
      <c r="FHC30"/>
      <c r="FHD30"/>
      <c r="FHE30"/>
      <c r="FHF30"/>
      <c r="FHG30"/>
      <c r="FHH30"/>
      <c r="FHI30"/>
      <c r="FHJ30"/>
      <c r="FHK30"/>
      <c r="FHL30"/>
      <c r="FHM30"/>
      <c r="FHN30"/>
      <c r="FHO30"/>
      <c r="FHP30"/>
      <c r="FHQ30"/>
      <c r="FHR30"/>
      <c r="FHS30"/>
      <c r="FHT30"/>
      <c r="FHU30"/>
      <c r="FHV30"/>
      <c r="FHW30"/>
      <c r="FHX30"/>
      <c r="FHY30"/>
      <c r="FHZ30"/>
      <c r="FIA30"/>
      <c r="FIB30"/>
      <c r="FIC30"/>
      <c r="FID30"/>
      <c r="FIE30"/>
      <c r="FIF30"/>
      <c r="FIG30"/>
      <c r="FIH30"/>
      <c r="FII30"/>
      <c r="FIJ30"/>
      <c r="FIK30"/>
      <c r="FIL30"/>
      <c r="FIM30"/>
      <c r="FIN30"/>
      <c r="FIO30"/>
      <c r="FIP30"/>
      <c r="FIQ30"/>
      <c r="FIR30"/>
      <c r="FIS30"/>
      <c r="FIT30"/>
      <c r="FIU30"/>
      <c r="FIV30"/>
      <c r="FIW30"/>
      <c r="FIX30"/>
      <c r="FIY30"/>
      <c r="FIZ30"/>
      <c r="FJA30"/>
      <c r="FJB30"/>
      <c r="FJC30"/>
      <c r="FJD30"/>
      <c r="FJE30"/>
      <c r="FJF30"/>
      <c r="FJG30"/>
      <c r="FJH30"/>
      <c r="FJI30"/>
      <c r="FJJ30"/>
      <c r="FJK30"/>
      <c r="FJL30"/>
      <c r="FJM30"/>
      <c r="FJN30"/>
      <c r="FJO30"/>
      <c r="FJP30"/>
      <c r="FJQ30"/>
      <c r="FJR30"/>
      <c r="FJS30"/>
      <c r="FJT30"/>
      <c r="FJU30"/>
      <c r="FJV30"/>
      <c r="FJW30"/>
      <c r="FJX30"/>
      <c r="FJY30"/>
      <c r="FJZ30"/>
      <c r="FKA30"/>
      <c r="FKB30"/>
      <c r="FKC30"/>
      <c r="FKD30"/>
      <c r="FKE30"/>
      <c r="FKF30"/>
      <c r="FKG30"/>
      <c r="FKH30"/>
      <c r="FKI30"/>
      <c r="FKJ30"/>
      <c r="FKK30"/>
      <c r="FKL30"/>
      <c r="FKM30"/>
      <c r="FKN30"/>
      <c r="FKO30"/>
      <c r="FKP30"/>
      <c r="FKQ30"/>
      <c r="FKR30"/>
      <c r="FKS30"/>
      <c r="FKT30"/>
      <c r="FKU30"/>
      <c r="FKV30"/>
      <c r="FKW30"/>
      <c r="FKX30"/>
      <c r="FKY30"/>
      <c r="FKZ30"/>
      <c r="FLA30"/>
      <c r="FLB30"/>
      <c r="FLC30"/>
      <c r="FLD30"/>
      <c r="FLE30"/>
      <c r="FLF30"/>
      <c r="FLG30"/>
      <c r="FLH30"/>
      <c r="FLI30"/>
      <c r="FLJ30"/>
      <c r="FLK30"/>
      <c r="FLL30"/>
      <c r="FLM30"/>
      <c r="FLN30"/>
      <c r="FLO30"/>
      <c r="FLP30"/>
      <c r="FLQ30"/>
      <c r="FLR30"/>
      <c r="FLS30"/>
      <c r="FLT30"/>
      <c r="FLU30"/>
      <c r="FLV30"/>
      <c r="FLW30"/>
      <c r="FLX30"/>
      <c r="FLY30"/>
      <c r="FLZ30"/>
      <c r="FMA30"/>
      <c r="FMB30"/>
      <c r="FMC30"/>
      <c r="FMD30"/>
      <c r="FME30"/>
      <c r="FMF30"/>
      <c r="FMG30"/>
      <c r="FMH30"/>
      <c r="FMI30"/>
      <c r="FMJ30"/>
      <c r="FMK30"/>
      <c r="FML30"/>
      <c r="FMM30"/>
      <c r="FMN30"/>
      <c r="FMO30"/>
      <c r="FMP30"/>
      <c r="FMQ30"/>
      <c r="FMR30"/>
      <c r="FMS30"/>
      <c r="FMT30"/>
      <c r="FMU30"/>
      <c r="FMV30"/>
      <c r="FMW30"/>
      <c r="FMX30"/>
      <c r="FMY30"/>
      <c r="FMZ30"/>
      <c r="FNA30"/>
      <c r="FNB30"/>
      <c r="FNC30"/>
      <c r="FND30"/>
      <c r="FNE30"/>
      <c r="FNF30"/>
      <c r="FNG30"/>
      <c r="FNH30"/>
      <c r="FNI30"/>
      <c r="FNJ30"/>
      <c r="FNK30"/>
      <c r="FNL30"/>
      <c r="FNM30"/>
      <c r="FNN30"/>
      <c r="FNO30"/>
      <c r="FNP30"/>
      <c r="FNQ30"/>
      <c r="FNR30"/>
      <c r="FNS30"/>
      <c r="FNT30"/>
      <c r="FNU30"/>
      <c r="FNV30"/>
      <c r="FNW30"/>
      <c r="FNX30"/>
      <c r="FNY30"/>
      <c r="FNZ30"/>
      <c r="FOA30"/>
      <c r="FOB30"/>
      <c r="FOC30"/>
      <c r="FOD30"/>
      <c r="FOE30"/>
      <c r="FOF30"/>
      <c r="FOG30"/>
      <c r="FOH30"/>
      <c r="FOI30"/>
      <c r="FOJ30"/>
      <c r="FOK30"/>
      <c r="FOL30"/>
      <c r="FOM30"/>
      <c r="FON30"/>
      <c r="FOO30"/>
      <c r="FOP30"/>
      <c r="FOQ30"/>
      <c r="FOR30"/>
      <c r="FOS30"/>
      <c r="FOT30"/>
      <c r="FOU30"/>
      <c r="FOV30"/>
      <c r="FOW30"/>
      <c r="FOX30"/>
      <c r="FOY30"/>
      <c r="FOZ30"/>
      <c r="FPA30"/>
      <c r="FPB30"/>
      <c r="FPC30"/>
      <c r="FPD30"/>
      <c r="FPE30"/>
      <c r="FPF30"/>
      <c r="FPG30"/>
      <c r="FPH30"/>
      <c r="FPI30"/>
      <c r="FPJ30"/>
      <c r="FPK30"/>
      <c r="FPL30"/>
      <c r="FPM30"/>
      <c r="FPN30"/>
      <c r="FPO30"/>
      <c r="FPP30"/>
      <c r="FPQ30"/>
      <c r="FPR30"/>
      <c r="FPS30"/>
      <c r="FPT30"/>
      <c r="FPU30"/>
      <c r="FPV30"/>
      <c r="FPW30"/>
      <c r="FPX30"/>
      <c r="FPY30"/>
      <c r="FPZ30"/>
      <c r="FQA30"/>
      <c r="FQB30"/>
      <c r="FQC30"/>
      <c r="FQD30"/>
      <c r="FQE30"/>
      <c r="FQF30"/>
      <c r="FQG30"/>
      <c r="FQH30"/>
      <c r="FQI30"/>
      <c r="FQJ30"/>
      <c r="FQK30"/>
      <c r="FQL30"/>
      <c r="FQM30"/>
      <c r="FQN30"/>
      <c r="FQO30"/>
      <c r="FQP30"/>
      <c r="FQQ30"/>
      <c r="FQR30"/>
      <c r="FQS30"/>
      <c r="FQT30"/>
      <c r="FQU30"/>
      <c r="FQV30"/>
      <c r="FQW30"/>
      <c r="FQX30"/>
      <c r="FQY30"/>
      <c r="FQZ30"/>
      <c r="FRA30"/>
      <c r="FRB30"/>
      <c r="FRC30"/>
      <c r="FRD30"/>
      <c r="FRE30"/>
      <c r="FRF30"/>
      <c r="FRG30"/>
      <c r="FRH30"/>
      <c r="FRI30"/>
      <c r="FRJ30"/>
      <c r="FRK30"/>
      <c r="FRL30"/>
      <c r="FRM30"/>
      <c r="FRN30"/>
      <c r="FRO30"/>
      <c r="FRP30"/>
      <c r="FRQ30"/>
      <c r="FRR30"/>
      <c r="FRS30"/>
      <c r="FRT30"/>
      <c r="FRU30"/>
      <c r="FRV30"/>
      <c r="FRW30"/>
      <c r="FRX30"/>
      <c r="FRY30"/>
      <c r="FRZ30"/>
      <c r="FSA30"/>
      <c r="FSB30"/>
      <c r="FSC30"/>
      <c r="FSD30"/>
      <c r="FSE30"/>
      <c r="FSF30"/>
      <c r="FSG30"/>
      <c r="FSH30"/>
      <c r="FSI30"/>
      <c r="FSJ30"/>
      <c r="FSK30"/>
      <c r="FSL30"/>
      <c r="FSM30"/>
      <c r="FSN30"/>
      <c r="FSO30"/>
      <c r="FSP30"/>
      <c r="FSQ30"/>
      <c r="FSR30"/>
      <c r="FSS30"/>
      <c r="FST30"/>
      <c r="FSU30"/>
      <c r="FSV30"/>
      <c r="FSW30"/>
      <c r="FSX30"/>
      <c r="FSY30"/>
      <c r="FSZ30"/>
      <c r="FTA30"/>
      <c r="FTB30"/>
      <c r="FTC30"/>
      <c r="FTD30"/>
      <c r="FTE30"/>
      <c r="FTF30"/>
      <c r="FTG30"/>
      <c r="FTH30"/>
      <c r="FTI30"/>
      <c r="FTJ30"/>
      <c r="FTK30"/>
      <c r="FTL30"/>
      <c r="FTM30"/>
      <c r="FTN30"/>
      <c r="FTO30"/>
      <c r="FTP30"/>
      <c r="FTQ30"/>
      <c r="FTR30"/>
      <c r="FTS30"/>
      <c r="FTT30"/>
      <c r="FTU30"/>
      <c r="FTV30"/>
      <c r="FTW30"/>
      <c r="FTX30"/>
      <c r="FTY30"/>
      <c r="FTZ30"/>
      <c r="FUA30"/>
      <c r="FUB30"/>
      <c r="FUC30"/>
      <c r="FUD30"/>
      <c r="FUE30"/>
      <c r="FUF30"/>
      <c r="FUG30"/>
      <c r="FUH30"/>
      <c r="FUI30"/>
      <c r="FUJ30"/>
      <c r="FUK30"/>
      <c r="FUL30"/>
      <c r="FUM30"/>
      <c r="FUN30"/>
      <c r="FUO30"/>
      <c r="FUP30"/>
      <c r="FUQ30"/>
      <c r="FUR30"/>
      <c r="FUS30"/>
      <c r="FUT30"/>
      <c r="FUU30"/>
      <c r="FUV30"/>
      <c r="FUW30"/>
      <c r="FUX30"/>
      <c r="FUY30"/>
      <c r="FUZ30"/>
      <c r="FVA30"/>
      <c r="FVB30"/>
      <c r="FVC30"/>
      <c r="FVD30"/>
      <c r="FVE30"/>
      <c r="FVF30"/>
      <c r="FVG30"/>
      <c r="FVH30"/>
      <c r="FVI30"/>
      <c r="FVJ30"/>
      <c r="FVK30"/>
      <c r="FVL30"/>
      <c r="FVM30"/>
      <c r="FVN30"/>
      <c r="FVO30"/>
      <c r="FVP30"/>
      <c r="FVQ30"/>
      <c r="FVR30"/>
      <c r="FVS30"/>
      <c r="FVT30"/>
      <c r="FVU30"/>
      <c r="FVV30"/>
      <c r="FVW30"/>
      <c r="FVX30"/>
      <c r="FVY30"/>
      <c r="FVZ30"/>
      <c r="FWA30"/>
      <c r="FWB30"/>
      <c r="FWC30"/>
      <c r="FWD30"/>
      <c r="FWE30"/>
      <c r="FWF30"/>
      <c r="FWG30"/>
      <c r="FWH30"/>
      <c r="FWI30"/>
      <c r="FWJ30"/>
      <c r="FWK30"/>
      <c r="FWL30"/>
      <c r="FWM30"/>
      <c r="FWN30"/>
      <c r="FWO30"/>
      <c r="FWP30"/>
      <c r="FWQ30"/>
      <c r="FWR30"/>
      <c r="FWS30"/>
      <c r="FWT30"/>
      <c r="FWU30"/>
      <c r="FWV30"/>
      <c r="FWW30"/>
      <c r="FWX30"/>
      <c r="FWY30"/>
      <c r="FWZ30"/>
      <c r="FXA30"/>
      <c r="FXB30"/>
      <c r="FXC30"/>
      <c r="FXD30"/>
      <c r="FXE30"/>
      <c r="FXF30"/>
      <c r="FXG30"/>
      <c r="FXH30"/>
      <c r="FXI30"/>
      <c r="FXJ30"/>
      <c r="FXK30"/>
      <c r="FXL30"/>
      <c r="FXM30"/>
      <c r="FXN30"/>
      <c r="FXO30"/>
      <c r="FXP30"/>
      <c r="FXQ30"/>
      <c r="FXR30"/>
      <c r="FXS30"/>
      <c r="FXT30"/>
      <c r="FXU30"/>
      <c r="FXV30"/>
      <c r="FXW30"/>
      <c r="FXX30"/>
      <c r="FXY30"/>
      <c r="FXZ30"/>
      <c r="FYA30"/>
      <c r="FYB30"/>
      <c r="FYC30"/>
      <c r="FYD30"/>
      <c r="FYE30"/>
      <c r="FYF30"/>
      <c r="FYG30"/>
      <c r="FYH30"/>
      <c r="FYI30"/>
      <c r="FYJ30"/>
      <c r="FYK30"/>
      <c r="FYL30"/>
      <c r="FYM30"/>
      <c r="FYN30"/>
      <c r="FYO30"/>
      <c r="FYP30"/>
      <c r="FYQ30"/>
      <c r="FYR30"/>
      <c r="FYS30"/>
      <c r="FYT30"/>
      <c r="FYU30"/>
      <c r="FYV30"/>
      <c r="FYW30"/>
      <c r="FYX30"/>
      <c r="FYY30"/>
      <c r="FYZ30"/>
      <c r="FZA30"/>
      <c r="FZB30"/>
      <c r="FZC30"/>
      <c r="FZD30"/>
      <c r="FZE30"/>
      <c r="FZF30"/>
      <c r="FZG30"/>
      <c r="FZH30"/>
      <c r="FZI30"/>
      <c r="FZJ30"/>
      <c r="FZK30"/>
      <c r="FZL30"/>
      <c r="FZM30"/>
      <c r="FZN30"/>
      <c r="FZO30"/>
      <c r="FZP30"/>
      <c r="FZQ30"/>
      <c r="FZR30"/>
      <c r="FZS30"/>
      <c r="FZT30"/>
      <c r="FZU30"/>
      <c r="FZV30"/>
      <c r="FZW30"/>
      <c r="FZX30"/>
      <c r="FZY30"/>
      <c r="FZZ30"/>
      <c r="GAA30"/>
      <c r="GAB30"/>
      <c r="GAC30"/>
      <c r="GAD30"/>
      <c r="GAE30"/>
      <c r="GAF30"/>
      <c r="GAG30"/>
      <c r="GAH30"/>
      <c r="GAI30"/>
      <c r="GAJ30"/>
      <c r="GAK30"/>
      <c r="GAL30"/>
      <c r="GAM30"/>
      <c r="GAN30"/>
      <c r="GAO30"/>
      <c r="GAP30"/>
      <c r="GAQ30"/>
      <c r="GAR30"/>
      <c r="GAS30"/>
      <c r="GAT30"/>
      <c r="GAU30"/>
      <c r="GAV30"/>
      <c r="GAW30"/>
      <c r="GAX30"/>
      <c r="GAY30"/>
      <c r="GAZ30"/>
      <c r="GBA30"/>
      <c r="GBB30"/>
      <c r="GBC30"/>
      <c r="GBD30"/>
      <c r="GBE30"/>
      <c r="GBF30"/>
      <c r="GBG30"/>
      <c r="GBH30"/>
      <c r="GBI30"/>
      <c r="GBJ30"/>
      <c r="GBK30"/>
      <c r="GBL30"/>
      <c r="GBM30"/>
      <c r="GBN30"/>
      <c r="GBO30"/>
      <c r="GBP30"/>
      <c r="GBQ30"/>
      <c r="GBR30"/>
      <c r="GBS30"/>
      <c r="GBT30"/>
      <c r="GBU30"/>
      <c r="GBV30"/>
      <c r="GBW30"/>
      <c r="GBX30"/>
      <c r="GBY30"/>
      <c r="GBZ30"/>
      <c r="GCA30"/>
      <c r="GCB30"/>
      <c r="GCC30"/>
      <c r="GCD30"/>
      <c r="GCE30"/>
      <c r="GCF30"/>
      <c r="GCG30"/>
      <c r="GCH30"/>
      <c r="GCI30"/>
      <c r="GCJ30"/>
      <c r="GCK30"/>
      <c r="GCL30"/>
      <c r="GCM30"/>
      <c r="GCN30"/>
      <c r="GCO30"/>
      <c r="GCP30"/>
      <c r="GCQ30"/>
      <c r="GCR30"/>
      <c r="GCS30"/>
      <c r="GCT30"/>
      <c r="GCU30"/>
      <c r="GCV30"/>
      <c r="GCW30"/>
      <c r="GCX30"/>
      <c r="GCY30"/>
      <c r="GCZ30"/>
      <c r="GDA30"/>
      <c r="GDB30"/>
      <c r="GDC30"/>
      <c r="GDD30"/>
      <c r="GDE30"/>
      <c r="GDF30"/>
      <c r="GDG30"/>
      <c r="GDH30"/>
      <c r="GDI30"/>
      <c r="GDJ30"/>
      <c r="GDK30"/>
      <c r="GDL30"/>
      <c r="GDM30"/>
      <c r="GDN30"/>
      <c r="GDO30"/>
      <c r="GDP30"/>
      <c r="GDQ30"/>
      <c r="GDR30"/>
      <c r="GDS30"/>
      <c r="GDT30"/>
      <c r="GDU30"/>
      <c r="GDV30"/>
      <c r="GDW30"/>
      <c r="GDX30"/>
      <c r="GDY30"/>
      <c r="GDZ30"/>
      <c r="GEA30"/>
      <c r="GEB30"/>
      <c r="GEC30"/>
      <c r="GED30"/>
      <c r="GEE30"/>
      <c r="GEF30"/>
      <c r="GEG30"/>
      <c r="GEH30"/>
      <c r="GEI30"/>
      <c r="GEJ30"/>
      <c r="GEK30"/>
      <c r="GEL30"/>
      <c r="GEM30"/>
      <c r="GEN30"/>
      <c r="GEO30"/>
      <c r="GEP30"/>
      <c r="GEQ30"/>
      <c r="GER30"/>
      <c r="GES30"/>
      <c r="GET30"/>
      <c r="GEU30"/>
      <c r="GEV30"/>
      <c r="GEW30"/>
      <c r="GEX30"/>
      <c r="GEY30"/>
      <c r="GEZ30"/>
      <c r="GFA30"/>
      <c r="GFB30"/>
      <c r="GFC30"/>
      <c r="GFD30"/>
      <c r="GFE30"/>
      <c r="GFF30"/>
      <c r="GFG30"/>
      <c r="GFH30"/>
      <c r="GFI30"/>
      <c r="GFJ30"/>
      <c r="GFK30"/>
      <c r="GFL30"/>
      <c r="GFM30"/>
      <c r="GFN30"/>
      <c r="GFO30"/>
      <c r="GFP30"/>
      <c r="GFQ30"/>
      <c r="GFR30"/>
      <c r="GFS30"/>
      <c r="GFT30"/>
      <c r="GFU30"/>
      <c r="GFV30"/>
      <c r="GFW30"/>
      <c r="GFX30"/>
      <c r="GFY30"/>
      <c r="GFZ30"/>
      <c r="GGA30"/>
      <c r="GGB30"/>
      <c r="GGC30"/>
      <c r="GGD30"/>
      <c r="GGE30"/>
      <c r="GGF30"/>
      <c r="GGG30"/>
      <c r="GGH30"/>
      <c r="GGI30"/>
      <c r="GGJ30"/>
      <c r="GGK30"/>
      <c r="GGL30"/>
      <c r="GGM30"/>
      <c r="GGN30"/>
      <c r="GGO30"/>
      <c r="GGP30"/>
      <c r="GGQ30"/>
      <c r="GGR30"/>
      <c r="GGS30"/>
      <c r="GGT30"/>
      <c r="GGU30"/>
      <c r="GGV30"/>
      <c r="GGW30"/>
      <c r="GGX30"/>
      <c r="GGY30"/>
      <c r="GGZ30"/>
      <c r="GHA30"/>
      <c r="GHB30"/>
      <c r="GHC30"/>
      <c r="GHD30"/>
      <c r="GHE30"/>
      <c r="GHF30"/>
      <c r="GHG30"/>
      <c r="GHH30"/>
      <c r="GHI30"/>
      <c r="GHJ30"/>
      <c r="GHK30"/>
      <c r="GHL30"/>
      <c r="GHM30"/>
      <c r="GHN30"/>
      <c r="GHO30"/>
      <c r="GHP30"/>
      <c r="GHQ30"/>
      <c r="GHR30"/>
      <c r="GHS30"/>
      <c r="GHT30"/>
      <c r="GHU30"/>
      <c r="GHV30"/>
      <c r="GHW30"/>
      <c r="GHX30"/>
      <c r="GHY30"/>
      <c r="GHZ30"/>
      <c r="GIA30"/>
      <c r="GIB30"/>
      <c r="GIC30"/>
      <c r="GID30"/>
      <c r="GIE30"/>
      <c r="GIF30"/>
      <c r="GIG30"/>
      <c r="GIH30"/>
      <c r="GII30"/>
      <c r="GIJ30"/>
      <c r="GIK30"/>
      <c r="GIL30"/>
      <c r="GIM30"/>
      <c r="GIN30"/>
      <c r="GIO30"/>
      <c r="GIP30"/>
      <c r="GIQ30"/>
      <c r="GIR30"/>
      <c r="GIS30"/>
      <c r="GIT30"/>
      <c r="GIU30"/>
      <c r="GIV30"/>
      <c r="GIW30"/>
      <c r="GIX30"/>
      <c r="GIY30"/>
      <c r="GIZ30"/>
      <c r="GJA30"/>
      <c r="GJB30"/>
      <c r="GJC30"/>
      <c r="GJD30"/>
      <c r="GJE30"/>
      <c r="GJF30"/>
      <c r="GJG30"/>
      <c r="GJH30"/>
      <c r="GJI30"/>
      <c r="GJJ30"/>
      <c r="GJK30"/>
      <c r="GJL30"/>
      <c r="GJM30"/>
      <c r="GJN30"/>
      <c r="GJO30"/>
      <c r="GJP30"/>
      <c r="GJQ30"/>
      <c r="GJR30"/>
      <c r="GJS30"/>
      <c r="GJT30"/>
      <c r="GJU30"/>
      <c r="GJV30"/>
      <c r="GJW30"/>
      <c r="GJX30"/>
      <c r="GJY30"/>
      <c r="GJZ30"/>
      <c r="GKA30"/>
      <c r="GKB30"/>
      <c r="GKC30"/>
      <c r="GKD30"/>
      <c r="GKE30"/>
      <c r="GKF30"/>
      <c r="GKG30"/>
      <c r="GKH30"/>
      <c r="GKI30"/>
      <c r="GKJ30"/>
      <c r="GKK30"/>
      <c r="GKL30"/>
      <c r="GKM30"/>
      <c r="GKN30"/>
      <c r="GKO30"/>
      <c r="GKP30"/>
      <c r="GKQ30"/>
      <c r="GKR30"/>
      <c r="GKS30"/>
      <c r="GKT30"/>
      <c r="GKU30"/>
      <c r="GKV30"/>
      <c r="GKW30"/>
      <c r="GKX30"/>
      <c r="GKY30"/>
      <c r="GKZ30"/>
      <c r="GLA30"/>
      <c r="GLB30"/>
      <c r="GLC30"/>
      <c r="GLD30"/>
      <c r="GLE30"/>
      <c r="GLF30"/>
      <c r="GLG30"/>
      <c r="GLH30"/>
      <c r="GLI30"/>
      <c r="GLJ30"/>
      <c r="GLK30"/>
      <c r="GLL30"/>
      <c r="GLM30"/>
      <c r="GLN30"/>
      <c r="GLO30"/>
      <c r="GLP30"/>
      <c r="GLQ30"/>
      <c r="GLR30"/>
      <c r="GLS30"/>
      <c r="GLT30"/>
      <c r="GLU30"/>
      <c r="GLV30"/>
      <c r="GLW30"/>
      <c r="GLX30"/>
      <c r="GLY30"/>
      <c r="GLZ30"/>
      <c r="GMA30"/>
      <c r="GMB30"/>
      <c r="GMC30"/>
      <c r="GMD30"/>
      <c r="GME30"/>
      <c r="GMF30"/>
      <c r="GMG30"/>
      <c r="GMH30"/>
      <c r="GMI30"/>
      <c r="GMJ30"/>
      <c r="GMK30"/>
      <c r="GML30"/>
      <c r="GMM30"/>
      <c r="GMN30"/>
      <c r="GMO30"/>
      <c r="GMP30"/>
      <c r="GMQ30"/>
      <c r="GMR30"/>
      <c r="GMS30"/>
      <c r="GMT30"/>
      <c r="GMU30"/>
      <c r="GMV30"/>
      <c r="GMW30"/>
      <c r="GMX30"/>
      <c r="GMY30"/>
      <c r="GMZ30"/>
      <c r="GNA30"/>
      <c r="GNB30"/>
      <c r="GNC30"/>
      <c r="GND30"/>
      <c r="GNE30"/>
      <c r="GNF30"/>
      <c r="GNG30"/>
      <c r="GNH30"/>
      <c r="GNI30"/>
      <c r="GNJ30"/>
      <c r="GNK30"/>
      <c r="GNL30"/>
      <c r="GNM30"/>
      <c r="GNN30"/>
      <c r="GNO30"/>
      <c r="GNP30"/>
      <c r="GNQ30"/>
      <c r="GNR30"/>
      <c r="GNS30"/>
      <c r="GNT30"/>
      <c r="GNU30"/>
      <c r="GNV30"/>
      <c r="GNW30"/>
      <c r="GNX30"/>
      <c r="GNY30"/>
      <c r="GNZ30"/>
      <c r="GOA30"/>
      <c r="GOB30"/>
      <c r="GOC30"/>
      <c r="GOD30"/>
      <c r="GOE30"/>
      <c r="GOF30"/>
      <c r="GOG30"/>
      <c r="GOH30"/>
      <c r="GOI30"/>
      <c r="GOJ30"/>
      <c r="GOK30"/>
      <c r="GOL30"/>
      <c r="GOM30"/>
      <c r="GON30"/>
      <c r="GOO30"/>
      <c r="GOP30"/>
      <c r="GOQ30"/>
      <c r="GOR30"/>
      <c r="GOS30"/>
      <c r="GOT30"/>
      <c r="GOU30"/>
      <c r="GOV30"/>
      <c r="GOW30"/>
      <c r="GOX30"/>
      <c r="GOY30"/>
      <c r="GOZ30"/>
      <c r="GPA30"/>
      <c r="GPB30"/>
      <c r="GPC30"/>
      <c r="GPD30"/>
      <c r="GPE30"/>
      <c r="GPF30"/>
      <c r="GPG30"/>
      <c r="GPH30"/>
      <c r="GPI30"/>
      <c r="GPJ30"/>
      <c r="GPK30"/>
      <c r="GPL30"/>
      <c r="GPM30"/>
      <c r="GPN30"/>
      <c r="GPO30"/>
      <c r="GPP30"/>
      <c r="GPQ30"/>
      <c r="GPR30"/>
      <c r="GPS30"/>
      <c r="GPT30"/>
      <c r="GPU30"/>
      <c r="GPV30"/>
      <c r="GPW30"/>
      <c r="GPX30"/>
      <c r="GPY30"/>
      <c r="GPZ30"/>
      <c r="GQA30"/>
      <c r="GQB30"/>
      <c r="GQC30"/>
      <c r="GQD30"/>
      <c r="GQE30"/>
      <c r="GQF30"/>
      <c r="GQG30"/>
      <c r="GQH30"/>
      <c r="GQI30"/>
      <c r="GQJ30"/>
      <c r="GQK30"/>
      <c r="GQL30"/>
      <c r="GQM30"/>
      <c r="GQN30"/>
      <c r="GQO30"/>
      <c r="GQP30"/>
      <c r="GQQ30"/>
      <c r="GQR30"/>
      <c r="GQS30"/>
      <c r="GQT30"/>
      <c r="GQU30"/>
      <c r="GQV30"/>
      <c r="GQW30"/>
      <c r="GQX30"/>
      <c r="GQY30"/>
      <c r="GQZ30"/>
      <c r="GRA30"/>
      <c r="GRB30"/>
      <c r="GRC30"/>
      <c r="GRD30"/>
      <c r="GRE30"/>
      <c r="GRF30"/>
      <c r="GRG30"/>
      <c r="GRH30"/>
      <c r="GRI30"/>
      <c r="GRJ30"/>
      <c r="GRK30"/>
      <c r="GRL30"/>
      <c r="GRM30"/>
      <c r="GRN30"/>
      <c r="GRO30"/>
      <c r="GRP30"/>
      <c r="GRQ30"/>
      <c r="GRR30"/>
      <c r="GRS30"/>
      <c r="GRT30"/>
      <c r="GRU30"/>
      <c r="GRV30"/>
      <c r="GRW30"/>
      <c r="GRX30"/>
      <c r="GRY30"/>
      <c r="GRZ30"/>
      <c r="GSA30"/>
      <c r="GSB30"/>
      <c r="GSC30"/>
      <c r="GSD30"/>
      <c r="GSE30"/>
      <c r="GSF30"/>
      <c r="GSG30"/>
      <c r="GSH30"/>
      <c r="GSI30"/>
      <c r="GSJ30"/>
      <c r="GSK30"/>
      <c r="GSL30"/>
      <c r="GSM30"/>
      <c r="GSN30"/>
      <c r="GSO30"/>
      <c r="GSP30"/>
      <c r="GSQ30"/>
      <c r="GSR30"/>
      <c r="GSS30"/>
      <c r="GST30"/>
      <c r="GSU30"/>
      <c r="GSV30"/>
      <c r="GSW30"/>
      <c r="GSX30"/>
      <c r="GSY30"/>
      <c r="GSZ30"/>
      <c r="GTA30"/>
      <c r="GTB30"/>
      <c r="GTC30"/>
      <c r="GTD30"/>
      <c r="GTE30"/>
      <c r="GTF30"/>
      <c r="GTG30"/>
      <c r="GTH30"/>
      <c r="GTI30"/>
      <c r="GTJ30"/>
      <c r="GTK30"/>
      <c r="GTL30"/>
      <c r="GTM30"/>
      <c r="GTN30"/>
      <c r="GTO30"/>
      <c r="GTP30"/>
      <c r="GTQ30"/>
      <c r="GTR30"/>
      <c r="GTS30"/>
      <c r="GTT30"/>
      <c r="GTU30"/>
      <c r="GTV30"/>
      <c r="GTW30"/>
      <c r="GTX30"/>
      <c r="GTY30"/>
      <c r="GTZ30"/>
      <c r="GUA30"/>
      <c r="GUB30"/>
      <c r="GUC30"/>
      <c r="GUD30"/>
      <c r="GUE30"/>
      <c r="GUF30"/>
      <c r="GUG30"/>
      <c r="GUH30"/>
      <c r="GUI30"/>
      <c r="GUJ30"/>
      <c r="GUK30"/>
      <c r="GUL30"/>
      <c r="GUM30"/>
      <c r="GUN30"/>
      <c r="GUO30"/>
      <c r="GUP30"/>
      <c r="GUQ30"/>
      <c r="GUR30"/>
      <c r="GUS30"/>
      <c r="GUT30"/>
      <c r="GUU30"/>
      <c r="GUV30"/>
      <c r="GUW30"/>
      <c r="GUX30"/>
      <c r="GUY30"/>
      <c r="GUZ30"/>
      <c r="GVA30"/>
      <c r="GVB30"/>
      <c r="GVC30"/>
      <c r="GVD30"/>
      <c r="GVE30"/>
      <c r="GVF30"/>
      <c r="GVG30"/>
      <c r="GVH30"/>
      <c r="GVI30"/>
      <c r="GVJ30"/>
      <c r="GVK30"/>
      <c r="GVL30"/>
      <c r="GVM30"/>
      <c r="GVN30"/>
      <c r="GVO30"/>
      <c r="GVP30"/>
      <c r="GVQ30"/>
      <c r="GVR30"/>
      <c r="GVS30"/>
      <c r="GVT30"/>
      <c r="GVU30"/>
      <c r="GVV30"/>
      <c r="GVW30"/>
      <c r="GVX30"/>
      <c r="GVY30"/>
      <c r="GVZ30"/>
      <c r="GWA30"/>
      <c r="GWB30"/>
      <c r="GWC30"/>
      <c r="GWD30"/>
      <c r="GWE30"/>
      <c r="GWF30"/>
      <c r="GWG30"/>
      <c r="GWH30"/>
      <c r="GWI30"/>
      <c r="GWJ30"/>
      <c r="GWK30"/>
      <c r="GWL30"/>
      <c r="GWM30"/>
      <c r="GWN30"/>
      <c r="GWO30"/>
      <c r="GWP30"/>
      <c r="GWQ30"/>
      <c r="GWR30"/>
      <c r="GWS30"/>
      <c r="GWT30"/>
      <c r="GWU30"/>
      <c r="GWV30"/>
      <c r="GWW30"/>
      <c r="GWX30"/>
      <c r="GWY30"/>
      <c r="GWZ30"/>
      <c r="GXA30"/>
      <c r="GXB30"/>
      <c r="GXC30"/>
      <c r="GXD30"/>
      <c r="GXE30"/>
      <c r="GXF30"/>
      <c r="GXG30"/>
      <c r="GXH30"/>
      <c r="GXI30"/>
      <c r="GXJ30"/>
      <c r="GXK30"/>
      <c r="GXL30"/>
      <c r="GXM30"/>
      <c r="GXN30"/>
      <c r="GXO30"/>
      <c r="GXP30"/>
      <c r="GXQ30"/>
      <c r="GXR30"/>
      <c r="GXS30"/>
      <c r="GXT30"/>
      <c r="GXU30"/>
      <c r="GXV30"/>
      <c r="GXW30"/>
      <c r="GXX30"/>
      <c r="GXY30"/>
      <c r="GXZ30"/>
      <c r="GYA30"/>
      <c r="GYB30"/>
      <c r="GYC30"/>
      <c r="GYD30"/>
      <c r="GYE30"/>
      <c r="GYF30"/>
      <c r="GYG30"/>
      <c r="GYH30"/>
      <c r="GYI30"/>
      <c r="GYJ30"/>
      <c r="GYK30"/>
      <c r="GYL30"/>
      <c r="GYM30"/>
      <c r="GYN30"/>
      <c r="GYO30"/>
      <c r="GYP30"/>
      <c r="GYQ30"/>
      <c r="GYR30"/>
      <c r="GYS30"/>
      <c r="GYT30"/>
      <c r="GYU30"/>
      <c r="GYV30"/>
      <c r="GYW30"/>
      <c r="GYX30"/>
      <c r="GYY30"/>
      <c r="GYZ30"/>
      <c r="GZA30"/>
      <c r="GZB30"/>
      <c r="GZC30"/>
      <c r="GZD30"/>
      <c r="GZE30"/>
      <c r="GZF30"/>
      <c r="GZG30"/>
      <c r="GZH30"/>
      <c r="GZI30"/>
      <c r="GZJ30"/>
      <c r="GZK30"/>
      <c r="GZL30"/>
      <c r="GZM30"/>
      <c r="GZN30"/>
      <c r="GZO30"/>
      <c r="GZP30"/>
      <c r="GZQ30"/>
      <c r="GZR30"/>
      <c r="GZS30"/>
      <c r="GZT30"/>
      <c r="GZU30"/>
      <c r="GZV30"/>
      <c r="GZW30"/>
      <c r="GZX30"/>
      <c r="GZY30"/>
      <c r="GZZ30"/>
      <c r="HAA30"/>
      <c r="HAB30"/>
      <c r="HAC30"/>
      <c r="HAD30"/>
      <c r="HAE30"/>
      <c r="HAF30"/>
      <c r="HAG30"/>
      <c r="HAH30"/>
      <c r="HAI30"/>
      <c r="HAJ30"/>
      <c r="HAK30"/>
      <c r="HAL30"/>
      <c r="HAM30"/>
      <c r="HAN30"/>
      <c r="HAO30"/>
      <c r="HAP30"/>
      <c r="HAQ30"/>
      <c r="HAR30"/>
      <c r="HAS30"/>
      <c r="HAT30"/>
      <c r="HAU30"/>
      <c r="HAV30"/>
      <c r="HAW30"/>
      <c r="HAX30"/>
      <c r="HAY30"/>
      <c r="HAZ30"/>
      <c r="HBA30"/>
      <c r="HBB30"/>
      <c r="HBC30"/>
      <c r="HBD30"/>
      <c r="HBE30"/>
      <c r="HBF30"/>
      <c r="HBG30"/>
      <c r="HBH30"/>
      <c r="HBI30"/>
      <c r="HBJ30"/>
      <c r="HBK30"/>
      <c r="HBL30"/>
      <c r="HBM30"/>
      <c r="HBN30"/>
      <c r="HBO30"/>
      <c r="HBP30"/>
      <c r="HBQ30"/>
      <c r="HBR30"/>
      <c r="HBS30"/>
      <c r="HBT30"/>
      <c r="HBU30"/>
      <c r="HBV30"/>
      <c r="HBW30"/>
      <c r="HBX30"/>
      <c r="HBY30"/>
      <c r="HBZ30"/>
      <c r="HCA30"/>
      <c r="HCB30"/>
      <c r="HCC30"/>
      <c r="HCD30"/>
      <c r="HCE30"/>
      <c r="HCF30"/>
      <c r="HCG30"/>
      <c r="HCH30"/>
      <c r="HCI30"/>
      <c r="HCJ30"/>
      <c r="HCK30"/>
      <c r="HCL30"/>
      <c r="HCM30"/>
      <c r="HCN30"/>
      <c r="HCO30"/>
      <c r="HCP30"/>
      <c r="HCQ30"/>
      <c r="HCR30"/>
      <c r="HCS30"/>
      <c r="HCT30"/>
      <c r="HCU30"/>
      <c r="HCV30"/>
      <c r="HCW30"/>
      <c r="HCX30"/>
      <c r="HCY30"/>
      <c r="HCZ30"/>
      <c r="HDA30"/>
      <c r="HDB30"/>
      <c r="HDC30"/>
      <c r="HDD30"/>
      <c r="HDE30"/>
      <c r="HDF30"/>
      <c r="HDG30"/>
      <c r="HDH30"/>
      <c r="HDI30"/>
      <c r="HDJ30"/>
      <c r="HDK30"/>
      <c r="HDL30"/>
      <c r="HDM30"/>
      <c r="HDN30"/>
      <c r="HDO30"/>
      <c r="HDP30"/>
      <c r="HDQ30"/>
      <c r="HDR30"/>
      <c r="HDS30"/>
      <c r="HDT30"/>
      <c r="HDU30"/>
      <c r="HDV30"/>
      <c r="HDW30"/>
      <c r="HDX30"/>
      <c r="HDY30"/>
      <c r="HDZ30"/>
      <c r="HEA30"/>
      <c r="HEB30"/>
      <c r="HEC30"/>
      <c r="HED30"/>
      <c r="HEE30"/>
      <c r="HEF30"/>
      <c r="HEG30"/>
      <c r="HEH30"/>
      <c r="HEI30"/>
      <c r="HEJ30"/>
      <c r="HEK30"/>
      <c r="HEL30"/>
      <c r="HEM30"/>
      <c r="HEN30"/>
      <c r="HEO30"/>
      <c r="HEP30"/>
      <c r="HEQ30"/>
      <c r="HER30"/>
      <c r="HES30"/>
      <c r="HET30"/>
      <c r="HEU30"/>
      <c r="HEV30"/>
      <c r="HEW30"/>
      <c r="HEX30"/>
      <c r="HEY30"/>
      <c r="HEZ30"/>
      <c r="HFA30"/>
      <c r="HFB30"/>
      <c r="HFC30"/>
      <c r="HFD30"/>
      <c r="HFE30"/>
      <c r="HFF30"/>
      <c r="HFG30"/>
      <c r="HFH30"/>
      <c r="HFI30"/>
      <c r="HFJ30"/>
      <c r="HFK30"/>
      <c r="HFL30"/>
      <c r="HFM30"/>
      <c r="HFN30"/>
      <c r="HFO30"/>
      <c r="HFP30"/>
      <c r="HFQ30"/>
      <c r="HFR30"/>
      <c r="HFS30"/>
      <c r="HFT30"/>
      <c r="HFU30"/>
      <c r="HFV30"/>
      <c r="HFW30"/>
      <c r="HFX30"/>
      <c r="HFY30"/>
      <c r="HFZ30"/>
      <c r="HGA30"/>
      <c r="HGB30"/>
      <c r="HGC30"/>
      <c r="HGD30"/>
      <c r="HGE30"/>
      <c r="HGF30"/>
      <c r="HGG30"/>
      <c r="HGH30"/>
      <c r="HGI30"/>
      <c r="HGJ30"/>
      <c r="HGK30"/>
      <c r="HGL30"/>
      <c r="HGM30"/>
      <c r="HGN30"/>
      <c r="HGO30"/>
      <c r="HGP30"/>
      <c r="HGQ30"/>
      <c r="HGR30"/>
      <c r="HGS30"/>
      <c r="HGT30"/>
      <c r="HGU30"/>
      <c r="HGV30"/>
      <c r="HGW30"/>
      <c r="HGX30"/>
      <c r="HGY30"/>
      <c r="HGZ30"/>
      <c r="HHA30"/>
      <c r="HHB30"/>
      <c r="HHC30"/>
      <c r="HHD30"/>
      <c r="HHE30"/>
      <c r="HHF30"/>
      <c r="HHG30"/>
      <c r="HHH30"/>
      <c r="HHI30"/>
      <c r="HHJ30"/>
      <c r="HHK30"/>
      <c r="HHL30"/>
      <c r="HHM30"/>
      <c r="HHN30"/>
      <c r="HHO30"/>
      <c r="HHP30"/>
      <c r="HHQ30"/>
      <c r="HHR30"/>
      <c r="HHS30"/>
      <c r="HHT30"/>
      <c r="HHU30"/>
      <c r="HHV30"/>
      <c r="HHW30"/>
      <c r="HHX30"/>
      <c r="HHY30"/>
      <c r="HHZ30"/>
      <c r="HIA30"/>
      <c r="HIB30"/>
      <c r="HIC30"/>
      <c r="HID30"/>
      <c r="HIE30"/>
      <c r="HIF30"/>
      <c r="HIG30"/>
      <c r="HIH30"/>
      <c r="HII30"/>
      <c r="HIJ30"/>
      <c r="HIK30"/>
      <c r="HIL30"/>
      <c r="HIM30"/>
      <c r="HIN30"/>
      <c r="HIO30"/>
      <c r="HIP30"/>
      <c r="HIQ30"/>
      <c r="HIR30"/>
      <c r="HIS30"/>
      <c r="HIT30"/>
      <c r="HIU30"/>
      <c r="HIV30"/>
      <c r="HIW30"/>
      <c r="HIX30"/>
      <c r="HIY30"/>
      <c r="HIZ30"/>
      <c r="HJA30"/>
      <c r="HJB30"/>
      <c r="HJC30"/>
      <c r="HJD30"/>
      <c r="HJE30"/>
      <c r="HJF30"/>
      <c r="HJG30"/>
      <c r="HJH30"/>
      <c r="HJI30"/>
      <c r="HJJ30"/>
      <c r="HJK30"/>
      <c r="HJL30"/>
      <c r="HJM30"/>
      <c r="HJN30"/>
      <c r="HJO30"/>
      <c r="HJP30"/>
      <c r="HJQ30"/>
      <c r="HJR30"/>
      <c r="HJS30"/>
      <c r="HJT30"/>
      <c r="HJU30"/>
      <c r="HJV30"/>
      <c r="HJW30"/>
      <c r="HJX30"/>
      <c r="HJY30"/>
      <c r="HJZ30"/>
      <c r="HKA30"/>
      <c r="HKB30"/>
      <c r="HKC30"/>
      <c r="HKD30"/>
      <c r="HKE30"/>
      <c r="HKF30"/>
      <c r="HKG30"/>
      <c r="HKH30"/>
      <c r="HKI30"/>
      <c r="HKJ30"/>
      <c r="HKK30"/>
      <c r="HKL30"/>
      <c r="HKM30"/>
      <c r="HKN30"/>
      <c r="HKO30"/>
      <c r="HKP30"/>
      <c r="HKQ30"/>
      <c r="HKR30"/>
      <c r="HKS30"/>
      <c r="HKT30"/>
      <c r="HKU30"/>
      <c r="HKV30"/>
      <c r="HKW30"/>
      <c r="HKX30"/>
      <c r="HKY30"/>
      <c r="HKZ30"/>
      <c r="HLA30"/>
      <c r="HLB30"/>
      <c r="HLC30"/>
      <c r="HLD30"/>
      <c r="HLE30"/>
      <c r="HLF30"/>
      <c r="HLG30"/>
      <c r="HLH30"/>
      <c r="HLI30"/>
      <c r="HLJ30"/>
      <c r="HLK30"/>
      <c r="HLL30"/>
      <c r="HLM30"/>
      <c r="HLN30"/>
      <c r="HLO30"/>
      <c r="HLP30"/>
      <c r="HLQ30"/>
      <c r="HLR30"/>
      <c r="HLS30"/>
      <c r="HLT30"/>
      <c r="HLU30"/>
      <c r="HLV30"/>
      <c r="HLW30"/>
      <c r="HLX30"/>
      <c r="HLY30"/>
      <c r="HLZ30"/>
      <c r="HMA30"/>
      <c r="HMB30"/>
      <c r="HMC30"/>
      <c r="HMD30"/>
      <c r="HME30"/>
      <c r="HMF30"/>
      <c r="HMG30"/>
      <c r="HMH30"/>
      <c r="HMI30"/>
      <c r="HMJ30"/>
      <c r="HMK30"/>
      <c r="HML30"/>
      <c r="HMM30"/>
      <c r="HMN30"/>
      <c r="HMO30"/>
      <c r="HMP30"/>
      <c r="HMQ30"/>
      <c r="HMR30"/>
      <c r="HMS30"/>
      <c r="HMT30"/>
      <c r="HMU30"/>
      <c r="HMV30"/>
      <c r="HMW30"/>
      <c r="HMX30"/>
      <c r="HMY30"/>
      <c r="HMZ30"/>
      <c r="HNA30"/>
      <c r="HNB30"/>
      <c r="HNC30"/>
      <c r="HND30"/>
      <c r="HNE30"/>
      <c r="HNF30"/>
      <c r="HNG30"/>
      <c r="HNH30"/>
      <c r="HNI30"/>
      <c r="HNJ30"/>
      <c r="HNK30"/>
      <c r="HNL30"/>
      <c r="HNM30"/>
      <c r="HNN30"/>
      <c r="HNO30"/>
      <c r="HNP30"/>
      <c r="HNQ30"/>
      <c r="HNR30"/>
      <c r="HNS30"/>
      <c r="HNT30"/>
      <c r="HNU30"/>
      <c r="HNV30"/>
      <c r="HNW30"/>
      <c r="HNX30"/>
      <c r="HNY30"/>
      <c r="HNZ30"/>
      <c r="HOA30"/>
      <c r="HOB30"/>
      <c r="HOC30"/>
      <c r="HOD30"/>
      <c r="HOE30"/>
      <c r="HOF30"/>
      <c r="HOG30"/>
      <c r="HOH30"/>
      <c r="HOI30"/>
      <c r="HOJ30"/>
      <c r="HOK30"/>
      <c r="HOL30"/>
      <c r="HOM30"/>
      <c r="HON30"/>
      <c r="HOO30"/>
      <c r="HOP30"/>
      <c r="HOQ30"/>
      <c r="HOR30"/>
      <c r="HOS30"/>
      <c r="HOT30"/>
      <c r="HOU30"/>
      <c r="HOV30"/>
      <c r="HOW30"/>
      <c r="HOX30"/>
      <c r="HOY30"/>
      <c r="HOZ30"/>
      <c r="HPA30"/>
      <c r="HPB30"/>
      <c r="HPC30"/>
      <c r="HPD30"/>
      <c r="HPE30"/>
      <c r="HPF30"/>
      <c r="HPG30"/>
      <c r="HPH30"/>
      <c r="HPI30"/>
      <c r="HPJ30"/>
      <c r="HPK30"/>
      <c r="HPL30"/>
      <c r="HPM30"/>
      <c r="HPN30"/>
      <c r="HPO30"/>
      <c r="HPP30"/>
      <c r="HPQ30"/>
      <c r="HPR30"/>
      <c r="HPS30"/>
      <c r="HPT30"/>
      <c r="HPU30"/>
      <c r="HPV30"/>
      <c r="HPW30"/>
      <c r="HPX30"/>
      <c r="HPY30"/>
      <c r="HPZ30"/>
      <c r="HQA30"/>
      <c r="HQB30"/>
      <c r="HQC30"/>
      <c r="HQD30"/>
      <c r="HQE30"/>
      <c r="HQF30"/>
      <c r="HQG30"/>
      <c r="HQH30"/>
      <c r="HQI30"/>
      <c r="HQJ30"/>
      <c r="HQK30"/>
      <c r="HQL30"/>
      <c r="HQM30"/>
      <c r="HQN30"/>
      <c r="HQO30"/>
      <c r="HQP30"/>
      <c r="HQQ30"/>
      <c r="HQR30"/>
      <c r="HQS30"/>
      <c r="HQT30"/>
      <c r="HQU30"/>
      <c r="HQV30"/>
      <c r="HQW30"/>
      <c r="HQX30"/>
      <c r="HQY30"/>
      <c r="HQZ30"/>
      <c r="HRA30"/>
      <c r="HRB30"/>
      <c r="HRC30"/>
      <c r="HRD30"/>
      <c r="HRE30"/>
      <c r="HRF30"/>
      <c r="HRG30"/>
      <c r="HRH30"/>
      <c r="HRI30"/>
      <c r="HRJ30"/>
      <c r="HRK30"/>
      <c r="HRL30"/>
      <c r="HRM30"/>
      <c r="HRN30"/>
      <c r="HRO30"/>
      <c r="HRP30"/>
      <c r="HRQ30"/>
      <c r="HRR30"/>
      <c r="HRS30"/>
      <c r="HRT30"/>
      <c r="HRU30"/>
      <c r="HRV30"/>
      <c r="HRW30"/>
      <c r="HRX30"/>
      <c r="HRY30"/>
      <c r="HRZ30"/>
      <c r="HSA30"/>
      <c r="HSB30"/>
      <c r="HSC30"/>
      <c r="HSD30"/>
      <c r="HSE30"/>
      <c r="HSF30"/>
      <c r="HSG30"/>
      <c r="HSH30"/>
      <c r="HSI30"/>
      <c r="HSJ30"/>
      <c r="HSK30"/>
      <c r="HSL30"/>
      <c r="HSM30"/>
      <c r="HSN30"/>
      <c r="HSO30"/>
      <c r="HSP30"/>
      <c r="HSQ30"/>
      <c r="HSR30"/>
      <c r="HSS30"/>
      <c r="HST30"/>
      <c r="HSU30"/>
      <c r="HSV30"/>
      <c r="HSW30"/>
      <c r="HSX30"/>
      <c r="HSY30"/>
      <c r="HSZ30"/>
      <c r="HTA30"/>
      <c r="HTB30"/>
      <c r="HTC30"/>
      <c r="HTD30"/>
      <c r="HTE30"/>
      <c r="HTF30"/>
      <c r="HTG30"/>
      <c r="HTH30"/>
      <c r="HTI30"/>
      <c r="HTJ30"/>
      <c r="HTK30"/>
      <c r="HTL30"/>
      <c r="HTM30"/>
      <c r="HTN30"/>
      <c r="HTO30"/>
      <c r="HTP30"/>
      <c r="HTQ30"/>
      <c r="HTR30"/>
      <c r="HTS30"/>
      <c r="HTT30"/>
      <c r="HTU30"/>
      <c r="HTV30"/>
      <c r="HTW30"/>
      <c r="HTX30"/>
      <c r="HTY30"/>
      <c r="HTZ30"/>
      <c r="HUA30"/>
      <c r="HUB30"/>
      <c r="HUC30"/>
      <c r="HUD30"/>
      <c r="HUE30"/>
      <c r="HUF30"/>
      <c r="HUG30"/>
      <c r="HUH30"/>
      <c r="HUI30"/>
      <c r="HUJ30"/>
      <c r="HUK30"/>
      <c r="HUL30"/>
      <c r="HUM30"/>
      <c r="HUN30"/>
      <c r="HUO30"/>
      <c r="HUP30"/>
      <c r="HUQ30"/>
      <c r="HUR30"/>
      <c r="HUS30"/>
      <c r="HUT30"/>
      <c r="HUU30"/>
      <c r="HUV30"/>
      <c r="HUW30"/>
      <c r="HUX30"/>
      <c r="HUY30"/>
      <c r="HUZ30"/>
      <c r="HVA30"/>
      <c r="HVB30"/>
      <c r="HVC30"/>
      <c r="HVD30"/>
      <c r="HVE30"/>
      <c r="HVF30"/>
      <c r="HVG30"/>
      <c r="HVH30"/>
      <c r="HVI30"/>
      <c r="HVJ30"/>
      <c r="HVK30"/>
      <c r="HVL30"/>
      <c r="HVM30"/>
      <c r="HVN30"/>
      <c r="HVO30"/>
      <c r="HVP30"/>
      <c r="HVQ30"/>
      <c r="HVR30"/>
      <c r="HVS30"/>
      <c r="HVT30"/>
      <c r="HVU30"/>
      <c r="HVV30"/>
      <c r="HVW30"/>
      <c r="HVX30"/>
      <c r="HVY30"/>
      <c r="HVZ30"/>
      <c r="HWA30"/>
      <c r="HWB30"/>
      <c r="HWC30"/>
      <c r="HWD30"/>
      <c r="HWE30"/>
      <c r="HWF30"/>
      <c r="HWG30"/>
      <c r="HWH30"/>
      <c r="HWI30"/>
      <c r="HWJ30"/>
      <c r="HWK30"/>
      <c r="HWL30"/>
      <c r="HWM30"/>
      <c r="HWN30"/>
      <c r="HWO30"/>
      <c r="HWP30"/>
      <c r="HWQ30"/>
      <c r="HWR30"/>
      <c r="HWS30"/>
      <c r="HWT30"/>
      <c r="HWU30"/>
      <c r="HWV30"/>
      <c r="HWW30"/>
      <c r="HWX30"/>
      <c r="HWY30"/>
      <c r="HWZ30"/>
      <c r="HXA30"/>
      <c r="HXB30"/>
      <c r="HXC30"/>
      <c r="HXD30"/>
      <c r="HXE30"/>
      <c r="HXF30"/>
      <c r="HXG30"/>
      <c r="HXH30"/>
      <c r="HXI30"/>
      <c r="HXJ30"/>
      <c r="HXK30"/>
      <c r="HXL30"/>
      <c r="HXM30"/>
      <c r="HXN30"/>
      <c r="HXO30"/>
      <c r="HXP30"/>
      <c r="HXQ30"/>
      <c r="HXR30"/>
      <c r="HXS30"/>
      <c r="HXT30"/>
      <c r="HXU30"/>
      <c r="HXV30"/>
      <c r="HXW30"/>
      <c r="HXX30"/>
      <c r="HXY30"/>
      <c r="HXZ30"/>
      <c r="HYA30"/>
      <c r="HYB30"/>
      <c r="HYC30"/>
      <c r="HYD30"/>
      <c r="HYE30"/>
      <c r="HYF30"/>
      <c r="HYG30"/>
      <c r="HYH30"/>
      <c r="HYI30"/>
      <c r="HYJ30"/>
      <c r="HYK30"/>
      <c r="HYL30"/>
      <c r="HYM30"/>
      <c r="HYN30"/>
      <c r="HYO30"/>
      <c r="HYP30"/>
      <c r="HYQ30"/>
      <c r="HYR30"/>
      <c r="HYS30"/>
      <c r="HYT30"/>
      <c r="HYU30"/>
      <c r="HYV30"/>
      <c r="HYW30"/>
      <c r="HYX30"/>
      <c r="HYY30"/>
      <c r="HYZ30"/>
      <c r="HZA30"/>
      <c r="HZB30"/>
      <c r="HZC30"/>
      <c r="HZD30"/>
      <c r="HZE30"/>
      <c r="HZF30"/>
      <c r="HZG30"/>
      <c r="HZH30"/>
      <c r="HZI30"/>
      <c r="HZJ30"/>
      <c r="HZK30"/>
      <c r="HZL30"/>
      <c r="HZM30"/>
      <c r="HZN30"/>
      <c r="HZO30"/>
      <c r="HZP30"/>
      <c r="HZQ30"/>
      <c r="HZR30"/>
      <c r="HZS30"/>
      <c r="HZT30"/>
      <c r="HZU30"/>
      <c r="HZV30"/>
      <c r="HZW30"/>
      <c r="HZX30"/>
      <c r="HZY30"/>
      <c r="HZZ30"/>
      <c r="IAA30"/>
      <c r="IAB30"/>
      <c r="IAC30"/>
      <c r="IAD30"/>
      <c r="IAE30"/>
      <c r="IAF30"/>
      <c r="IAG30"/>
      <c r="IAH30"/>
      <c r="IAI30"/>
      <c r="IAJ30"/>
      <c r="IAK30"/>
      <c r="IAL30"/>
      <c r="IAM30"/>
      <c r="IAN30"/>
      <c r="IAO30"/>
      <c r="IAP30"/>
      <c r="IAQ30"/>
      <c r="IAR30"/>
      <c r="IAS30"/>
      <c r="IAT30"/>
      <c r="IAU30"/>
      <c r="IAV30"/>
      <c r="IAW30"/>
      <c r="IAX30"/>
      <c r="IAY30"/>
      <c r="IAZ30"/>
      <c r="IBA30"/>
      <c r="IBB30"/>
      <c r="IBC30"/>
      <c r="IBD30"/>
      <c r="IBE30"/>
      <c r="IBF30"/>
      <c r="IBG30"/>
      <c r="IBH30"/>
      <c r="IBI30"/>
      <c r="IBJ30"/>
      <c r="IBK30"/>
      <c r="IBL30"/>
      <c r="IBM30"/>
      <c r="IBN30"/>
      <c r="IBO30"/>
      <c r="IBP30"/>
      <c r="IBQ30"/>
      <c r="IBR30"/>
      <c r="IBS30"/>
      <c r="IBT30"/>
      <c r="IBU30"/>
      <c r="IBV30"/>
      <c r="IBW30"/>
      <c r="IBX30"/>
      <c r="IBY30"/>
      <c r="IBZ30"/>
      <c r="ICA30"/>
      <c r="ICB30"/>
      <c r="ICC30"/>
      <c r="ICD30"/>
      <c r="ICE30"/>
      <c r="ICF30"/>
      <c r="ICG30"/>
      <c r="ICH30"/>
      <c r="ICI30"/>
      <c r="ICJ30"/>
      <c r="ICK30"/>
      <c r="ICL30"/>
      <c r="ICM30"/>
      <c r="ICN30"/>
      <c r="ICO30"/>
      <c r="ICP30"/>
      <c r="ICQ30"/>
      <c r="ICR30"/>
      <c r="ICS30"/>
      <c r="ICT30"/>
      <c r="ICU30"/>
      <c r="ICV30"/>
      <c r="ICW30"/>
      <c r="ICX30"/>
      <c r="ICY30"/>
      <c r="ICZ30"/>
      <c r="IDA30"/>
      <c r="IDB30"/>
      <c r="IDC30"/>
      <c r="IDD30"/>
      <c r="IDE30"/>
      <c r="IDF30"/>
      <c r="IDG30"/>
      <c r="IDH30"/>
      <c r="IDI30"/>
      <c r="IDJ30"/>
      <c r="IDK30"/>
      <c r="IDL30"/>
      <c r="IDM30"/>
      <c r="IDN30"/>
      <c r="IDO30"/>
      <c r="IDP30"/>
      <c r="IDQ30"/>
      <c r="IDR30"/>
      <c r="IDS30"/>
      <c r="IDT30"/>
      <c r="IDU30"/>
      <c r="IDV30"/>
      <c r="IDW30"/>
      <c r="IDX30"/>
      <c r="IDY30"/>
      <c r="IDZ30"/>
      <c r="IEA30"/>
      <c r="IEB30"/>
      <c r="IEC30"/>
      <c r="IED30"/>
      <c r="IEE30"/>
      <c r="IEF30"/>
      <c r="IEG30"/>
      <c r="IEH30"/>
      <c r="IEI30"/>
      <c r="IEJ30"/>
      <c r="IEK30"/>
      <c r="IEL30"/>
      <c r="IEM30"/>
      <c r="IEN30"/>
      <c r="IEO30"/>
      <c r="IEP30"/>
      <c r="IEQ30"/>
      <c r="IER30"/>
      <c r="IES30"/>
      <c r="IET30"/>
      <c r="IEU30"/>
      <c r="IEV30"/>
      <c r="IEW30"/>
      <c r="IEX30"/>
      <c r="IEY30"/>
      <c r="IEZ30"/>
      <c r="IFA30"/>
      <c r="IFB30"/>
      <c r="IFC30"/>
      <c r="IFD30"/>
      <c r="IFE30"/>
      <c r="IFF30"/>
      <c r="IFG30"/>
      <c r="IFH30"/>
      <c r="IFI30"/>
      <c r="IFJ30"/>
      <c r="IFK30"/>
      <c r="IFL30"/>
      <c r="IFM30"/>
      <c r="IFN30"/>
      <c r="IFO30"/>
      <c r="IFP30"/>
      <c r="IFQ30"/>
      <c r="IFR30"/>
      <c r="IFS30"/>
      <c r="IFT30"/>
      <c r="IFU30"/>
      <c r="IFV30"/>
      <c r="IFW30"/>
      <c r="IFX30"/>
      <c r="IFY30"/>
      <c r="IFZ30"/>
      <c r="IGA30"/>
      <c r="IGB30"/>
      <c r="IGC30"/>
      <c r="IGD30"/>
      <c r="IGE30"/>
      <c r="IGF30"/>
      <c r="IGG30"/>
      <c r="IGH30"/>
      <c r="IGI30"/>
      <c r="IGJ30"/>
      <c r="IGK30"/>
      <c r="IGL30"/>
      <c r="IGM30"/>
      <c r="IGN30"/>
      <c r="IGO30"/>
      <c r="IGP30"/>
      <c r="IGQ30"/>
      <c r="IGR30"/>
      <c r="IGS30"/>
      <c r="IGT30"/>
      <c r="IGU30"/>
      <c r="IGV30"/>
      <c r="IGW30"/>
      <c r="IGX30"/>
      <c r="IGY30"/>
      <c r="IGZ30"/>
      <c r="IHA30"/>
      <c r="IHB30"/>
      <c r="IHC30"/>
      <c r="IHD30"/>
      <c r="IHE30"/>
      <c r="IHF30"/>
      <c r="IHG30"/>
      <c r="IHH30"/>
      <c r="IHI30"/>
      <c r="IHJ30"/>
      <c r="IHK30"/>
      <c r="IHL30"/>
      <c r="IHM30"/>
      <c r="IHN30"/>
      <c r="IHO30"/>
      <c r="IHP30"/>
      <c r="IHQ30"/>
      <c r="IHR30"/>
      <c r="IHS30"/>
      <c r="IHT30"/>
      <c r="IHU30"/>
      <c r="IHV30"/>
      <c r="IHW30"/>
      <c r="IHX30"/>
      <c r="IHY30"/>
      <c r="IHZ30"/>
      <c r="IIA30"/>
      <c r="IIB30"/>
      <c r="IIC30"/>
      <c r="IID30"/>
      <c r="IIE30"/>
      <c r="IIF30"/>
      <c r="IIG30"/>
      <c r="IIH30"/>
      <c r="III30"/>
      <c r="IIJ30"/>
      <c r="IIK30"/>
      <c r="IIL30"/>
      <c r="IIM30"/>
      <c r="IIN30"/>
      <c r="IIO30"/>
      <c r="IIP30"/>
      <c r="IIQ30"/>
      <c r="IIR30"/>
      <c r="IIS30"/>
      <c r="IIT30"/>
      <c r="IIU30"/>
      <c r="IIV30"/>
      <c r="IIW30"/>
      <c r="IIX30"/>
      <c r="IIY30"/>
      <c r="IIZ30"/>
      <c r="IJA30"/>
      <c r="IJB30"/>
      <c r="IJC30"/>
      <c r="IJD30"/>
      <c r="IJE30"/>
      <c r="IJF30"/>
      <c r="IJG30"/>
      <c r="IJH30"/>
      <c r="IJI30"/>
      <c r="IJJ30"/>
      <c r="IJK30"/>
      <c r="IJL30"/>
      <c r="IJM30"/>
      <c r="IJN30"/>
      <c r="IJO30"/>
      <c r="IJP30"/>
      <c r="IJQ30"/>
      <c r="IJR30"/>
      <c r="IJS30"/>
      <c r="IJT30"/>
      <c r="IJU30"/>
      <c r="IJV30"/>
      <c r="IJW30"/>
      <c r="IJX30"/>
      <c r="IJY30"/>
      <c r="IJZ30"/>
      <c r="IKA30"/>
      <c r="IKB30"/>
      <c r="IKC30"/>
      <c r="IKD30"/>
      <c r="IKE30"/>
      <c r="IKF30"/>
      <c r="IKG30"/>
      <c r="IKH30"/>
      <c r="IKI30"/>
      <c r="IKJ30"/>
      <c r="IKK30"/>
      <c r="IKL30"/>
      <c r="IKM30"/>
      <c r="IKN30"/>
      <c r="IKO30"/>
      <c r="IKP30"/>
      <c r="IKQ30"/>
      <c r="IKR30"/>
      <c r="IKS30"/>
      <c r="IKT30"/>
      <c r="IKU30"/>
      <c r="IKV30"/>
      <c r="IKW30"/>
      <c r="IKX30"/>
      <c r="IKY30"/>
      <c r="IKZ30"/>
      <c r="ILA30"/>
      <c r="ILB30"/>
      <c r="ILC30"/>
      <c r="ILD30"/>
      <c r="ILE30"/>
      <c r="ILF30"/>
      <c r="ILG30"/>
      <c r="ILH30"/>
      <c r="ILI30"/>
      <c r="ILJ30"/>
      <c r="ILK30"/>
      <c r="ILL30"/>
      <c r="ILM30"/>
      <c r="ILN30"/>
      <c r="ILO30"/>
      <c r="ILP30"/>
      <c r="ILQ30"/>
      <c r="ILR30"/>
      <c r="ILS30"/>
      <c r="ILT30"/>
      <c r="ILU30"/>
      <c r="ILV30"/>
      <c r="ILW30"/>
      <c r="ILX30"/>
      <c r="ILY30"/>
      <c r="ILZ30"/>
      <c r="IMA30"/>
      <c r="IMB30"/>
      <c r="IMC30"/>
      <c r="IMD30"/>
      <c r="IME30"/>
      <c r="IMF30"/>
      <c r="IMG30"/>
      <c r="IMH30"/>
      <c r="IMI30"/>
      <c r="IMJ30"/>
      <c r="IMK30"/>
      <c r="IML30"/>
      <c r="IMM30"/>
      <c r="IMN30"/>
      <c r="IMO30"/>
      <c r="IMP30"/>
      <c r="IMQ30"/>
      <c r="IMR30"/>
      <c r="IMS30"/>
      <c r="IMT30"/>
      <c r="IMU30"/>
      <c r="IMV30"/>
      <c r="IMW30"/>
      <c r="IMX30"/>
      <c r="IMY30"/>
      <c r="IMZ30"/>
      <c r="INA30"/>
      <c r="INB30"/>
      <c r="INC30"/>
      <c r="IND30"/>
      <c r="INE30"/>
      <c r="INF30"/>
      <c r="ING30"/>
      <c r="INH30"/>
      <c r="INI30"/>
      <c r="INJ30"/>
      <c r="INK30"/>
      <c r="INL30"/>
      <c r="INM30"/>
      <c r="INN30"/>
      <c r="INO30"/>
      <c r="INP30"/>
      <c r="INQ30"/>
      <c r="INR30"/>
      <c r="INS30"/>
      <c r="INT30"/>
      <c r="INU30"/>
      <c r="INV30"/>
      <c r="INW30"/>
      <c r="INX30"/>
      <c r="INY30"/>
      <c r="INZ30"/>
      <c r="IOA30"/>
      <c r="IOB30"/>
      <c r="IOC30"/>
      <c r="IOD30"/>
      <c r="IOE30"/>
      <c r="IOF30"/>
      <c r="IOG30"/>
      <c r="IOH30"/>
      <c r="IOI30"/>
      <c r="IOJ30"/>
      <c r="IOK30"/>
      <c r="IOL30"/>
      <c r="IOM30"/>
      <c r="ION30"/>
      <c r="IOO30"/>
      <c r="IOP30"/>
      <c r="IOQ30"/>
      <c r="IOR30"/>
      <c r="IOS30"/>
      <c r="IOT30"/>
      <c r="IOU30"/>
      <c r="IOV30"/>
      <c r="IOW30"/>
      <c r="IOX30"/>
      <c r="IOY30"/>
      <c r="IOZ30"/>
      <c r="IPA30"/>
      <c r="IPB30"/>
      <c r="IPC30"/>
      <c r="IPD30"/>
      <c r="IPE30"/>
      <c r="IPF30"/>
      <c r="IPG30"/>
      <c r="IPH30"/>
      <c r="IPI30"/>
      <c r="IPJ30"/>
      <c r="IPK30"/>
      <c r="IPL30"/>
      <c r="IPM30"/>
      <c r="IPN30"/>
      <c r="IPO30"/>
      <c r="IPP30"/>
      <c r="IPQ30"/>
      <c r="IPR30"/>
      <c r="IPS30"/>
      <c r="IPT30"/>
      <c r="IPU30"/>
      <c r="IPV30"/>
      <c r="IPW30"/>
      <c r="IPX30"/>
      <c r="IPY30"/>
      <c r="IPZ30"/>
      <c r="IQA30"/>
      <c r="IQB30"/>
      <c r="IQC30"/>
      <c r="IQD30"/>
      <c r="IQE30"/>
      <c r="IQF30"/>
      <c r="IQG30"/>
      <c r="IQH30"/>
      <c r="IQI30"/>
      <c r="IQJ30"/>
      <c r="IQK30"/>
      <c r="IQL30"/>
      <c r="IQM30"/>
      <c r="IQN30"/>
      <c r="IQO30"/>
      <c r="IQP30"/>
      <c r="IQQ30"/>
      <c r="IQR30"/>
      <c r="IQS30"/>
      <c r="IQT30"/>
      <c r="IQU30"/>
      <c r="IQV30"/>
      <c r="IQW30"/>
      <c r="IQX30"/>
      <c r="IQY30"/>
      <c r="IQZ30"/>
      <c r="IRA30"/>
      <c r="IRB30"/>
      <c r="IRC30"/>
      <c r="IRD30"/>
      <c r="IRE30"/>
      <c r="IRF30"/>
      <c r="IRG30"/>
      <c r="IRH30"/>
      <c r="IRI30"/>
      <c r="IRJ30"/>
      <c r="IRK30"/>
      <c r="IRL30"/>
      <c r="IRM30"/>
      <c r="IRN30"/>
      <c r="IRO30"/>
      <c r="IRP30"/>
      <c r="IRQ30"/>
      <c r="IRR30"/>
      <c r="IRS30"/>
      <c r="IRT30"/>
      <c r="IRU30"/>
      <c r="IRV30"/>
      <c r="IRW30"/>
      <c r="IRX30"/>
      <c r="IRY30"/>
      <c r="IRZ30"/>
      <c r="ISA30"/>
      <c r="ISB30"/>
      <c r="ISC30"/>
      <c r="ISD30"/>
      <c r="ISE30"/>
      <c r="ISF30"/>
      <c r="ISG30"/>
      <c r="ISH30"/>
      <c r="ISI30"/>
      <c r="ISJ30"/>
      <c r="ISK30"/>
      <c r="ISL30"/>
      <c r="ISM30"/>
      <c r="ISN30"/>
      <c r="ISO30"/>
      <c r="ISP30"/>
      <c r="ISQ30"/>
      <c r="ISR30"/>
      <c r="ISS30"/>
      <c r="IST30"/>
      <c r="ISU30"/>
      <c r="ISV30"/>
      <c r="ISW30"/>
      <c r="ISX30"/>
      <c r="ISY30"/>
      <c r="ISZ30"/>
      <c r="ITA30"/>
      <c r="ITB30"/>
      <c r="ITC30"/>
      <c r="ITD30"/>
      <c r="ITE30"/>
      <c r="ITF30"/>
      <c r="ITG30"/>
      <c r="ITH30"/>
      <c r="ITI30"/>
      <c r="ITJ30"/>
      <c r="ITK30"/>
      <c r="ITL30"/>
      <c r="ITM30"/>
      <c r="ITN30"/>
      <c r="ITO30"/>
      <c r="ITP30"/>
      <c r="ITQ30"/>
      <c r="ITR30"/>
      <c r="ITS30"/>
      <c r="ITT30"/>
      <c r="ITU30"/>
      <c r="ITV30"/>
      <c r="ITW30"/>
      <c r="ITX30"/>
      <c r="ITY30"/>
      <c r="ITZ30"/>
      <c r="IUA30"/>
      <c r="IUB30"/>
      <c r="IUC30"/>
      <c r="IUD30"/>
      <c r="IUE30"/>
      <c r="IUF30"/>
      <c r="IUG30"/>
      <c r="IUH30"/>
      <c r="IUI30"/>
      <c r="IUJ30"/>
      <c r="IUK30"/>
      <c r="IUL30"/>
      <c r="IUM30"/>
      <c r="IUN30"/>
      <c r="IUO30"/>
      <c r="IUP30"/>
      <c r="IUQ30"/>
      <c r="IUR30"/>
      <c r="IUS30"/>
      <c r="IUT30"/>
      <c r="IUU30"/>
      <c r="IUV30"/>
      <c r="IUW30"/>
      <c r="IUX30"/>
      <c r="IUY30"/>
      <c r="IUZ30"/>
      <c r="IVA30"/>
      <c r="IVB30"/>
      <c r="IVC30"/>
      <c r="IVD30"/>
      <c r="IVE30"/>
      <c r="IVF30"/>
      <c r="IVG30"/>
      <c r="IVH30"/>
      <c r="IVI30"/>
      <c r="IVJ30"/>
      <c r="IVK30"/>
      <c r="IVL30"/>
      <c r="IVM30"/>
      <c r="IVN30"/>
      <c r="IVO30"/>
      <c r="IVP30"/>
      <c r="IVQ30"/>
      <c r="IVR30"/>
      <c r="IVS30"/>
      <c r="IVT30"/>
      <c r="IVU30"/>
      <c r="IVV30"/>
      <c r="IVW30"/>
      <c r="IVX30"/>
      <c r="IVY30"/>
      <c r="IVZ30"/>
      <c r="IWA30"/>
      <c r="IWB30"/>
      <c r="IWC30"/>
      <c r="IWD30"/>
      <c r="IWE30"/>
      <c r="IWF30"/>
      <c r="IWG30"/>
      <c r="IWH30"/>
      <c r="IWI30"/>
      <c r="IWJ30"/>
      <c r="IWK30"/>
      <c r="IWL30"/>
      <c r="IWM30"/>
      <c r="IWN30"/>
      <c r="IWO30"/>
      <c r="IWP30"/>
      <c r="IWQ30"/>
      <c r="IWR30"/>
      <c r="IWS30"/>
      <c r="IWT30"/>
      <c r="IWU30"/>
      <c r="IWV30"/>
      <c r="IWW30"/>
      <c r="IWX30"/>
      <c r="IWY30"/>
      <c r="IWZ30"/>
      <c r="IXA30"/>
      <c r="IXB30"/>
      <c r="IXC30"/>
      <c r="IXD30"/>
      <c r="IXE30"/>
      <c r="IXF30"/>
      <c r="IXG30"/>
      <c r="IXH30"/>
      <c r="IXI30"/>
      <c r="IXJ30"/>
      <c r="IXK30"/>
      <c r="IXL30"/>
      <c r="IXM30"/>
      <c r="IXN30"/>
      <c r="IXO30"/>
      <c r="IXP30"/>
      <c r="IXQ30"/>
      <c r="IXR30"/>
      <c r="IXS30"/>
      <c r="IXT30"/>
      <c r="IXU30"/>
      <c r="IXV30"/>
      <c r="IXW30"/>
      <c r="IXX30"/>
      <c r="IXY30"/>
      <c r="IXZ30"/>
      <c r="IYA30"/>
      <c r="IYB30"/>
      <c r="IYC30"/>
      <c r="IYD30"/>
      <c r="IYE30"/>
      <c r="IYF30"/>
      <c r="IYG30"/>
      <c r="IYH30"/>
      <c r="IYI30"/>
      <c r="IYJ30"/>
      <c r="IYK30"/>
      <c r="IYL30"/>
      <c r="IYM30"/>
      <c r="IYN30"/>
      <c r="IYO30"/>
      <c r="IYP30"/>
      <c r="IYQ30"/>
      <c r="IYR30"/>
      <c r="IYS30"/>
      <c r="IYT30"/>
      <c r="IYU30"/>
      <c r="IYV30"/>
      <c r="IYW30"/>
      <c r="IYX30"/>
      <c r="IYY30"/>
      <c r="IYZ30"/>
      <c r="IZA30"/>
      <c r="IZB30"/>
      <c r="IZC30"/>
      <c r="IZD30"/>
      <c r="IZE30"/>
      <c r="IZF30"/>
      <c r="IZG30"/>
      <c r="IZH30"/>
      <c r="IZI30"/>
      <c r="IZJ30"/>
      <c r="IZK30"/>
      <c r="IZL30"/>
      <c r="IZM30"/>
      <c r="IZN30"/>
      <c r="IZO30"/>
      <c r="IZP30"/>
      <c r="IZQ30"/>
      <c r="IZR30"/>
      <c r="IZS30"/>
      <c r="IZT30"/>
      <c r="IZU30"/>
      <c r="IZV30"/>
      <c r="IZW30"/>
      <c r="IZX30"/>
      <c r="IZY30"/>
      <c r="IZZ30"/>
      <c r="JAA30"/>
      <c r="JAB30"/>
      <c r="JAC30"/>
      <c r="JAD30"/>
      <c r="JAE30"/>
      <c r="JAF30"/>
      <c r="JAG30"/>
      <c r="JAH30"/>
      <c r="JAI30"/>
      <c r="JAJ30"/>
      <c r="JAK30"/>
      <c r="JAL30"/>
      <c r="JAM30"/>
      <c r="JAN30"/>
      <c r="JAO30"/>
      <c r="JAP30"/>
      <c r="JAQ30"/>
      <c r="JAR30"/>
      <c r="JAS30"/>
      <c r="JAT30"/>
      <c r="JAU30"/>
      <c r="JAV30"/>
      <c r="JAW30"/>
      <c r="JAX30"/>
      <c r="JAY30"/>
      <c r="JAZ30"/>
      <c r="JBA30"/>
      <c r="JBB30"/>
      <c r="JBC30"/>
      <c r="JBD30"/>
      <c r="JBE30"/>
      <c r="JBF30"/>
      <c r="JBG30"/>
      <c r="JBH30"/>
      <c r="JBI30"/>
      <c r="JBJ30"/>
      <c r="JBK30"/>
      <c r="JBL30"/>
      <c r="JBM30"/>
      <c r="JBN30"/>
      <c r="JBO30"/>
      <c r="JBP30"/>
      <c r="JBQ30"/>
      <c r="JBR30"/>
      <c r="JBS30"/>
      <c r="JBT30"/>
      <c r="JBU30"/>
      <c r="JBV30"/>
      <c r="JBW30"/>
      <c r="JBX30"/>
      <c r="JBY30"/>
      <c r="JBZ30"/>
      <c r="JCA30"/>
      <c r="JCB30"/>
      <c r="JCC30"/>
      <c r="JCD30"/>
      <c r="JCE30"/>
      <c r="JCF30"/>
      <c r="JCG30"/>
      <c r="JCH30"/>
      <c r="JCI30"/>
      <c r="JCJ30"/>
      <c r="JCK30"/>
      <c r="JCL30"/>
      <c r="JCM30"/>
      <c r="JCN30"/>
      <c r="JCO30"/>
      <c r="JCP30"/>
      <c r="JCQ30"/>
      <c r="JCR30"/>
      <c r="JCS30"/>
      <c r="JCT30"/>
      <c r="JCU30"/>
      <c r="JCV30"/>
      <c r="JCW30"/>
      <c r="JCX30"/>
      <c r="JCY30"/>
      <c r="JCZ30"/>
      <c r="JDA30"/>
      <c r="JDB30"/>
      <c r="JDC30"/>
      <c r="JDD30"/>
      <c r="JDE30"/>
      <c r="JDF30"/>
      <c r="JDG30"/>
      <c r="JDH30"/>
      <c r="JDI30"/>
      <c r="JDJ30"/>
      <c r="JDK30"/>
      <c r="JDL30"/>
      <c r="JDM30"/>
      <c r="JDN30"/>
      <c r="JDO30"/>
      <c r="JDP30"/>
      <c r="JDQ30"/>
      <c r="JDR30"/>
      <c r="JDS30"/>
      <c r="JDT30"/>
      <c r="JDU30"/>
      <c r="JDV30"/>
      <c r="JDW30"/>
      <c r="JDX30"/>
      <c r="JDY30"/>
      <c r="JDZ30"/>
      <c r="JEA30"/>
      <c r="JEB30"/>
      <c r="JEC30"/>
      <c r="JED30"/>
      <c r="JEE30"/>
      <c r="JEF30"/>
      <c r="JEG30"/>
      <c r="JEH30"/>
      <c r="JEI30"/>
      <c r="JEJ30"/>
      <c r="JEK30"/>
      <c r="JEL30"/>
      <c r="JEM30"/>
      <c r="JEN30"/>
      <c r="JEO30"/>
      <c r="JEP30"/>
      <c r="JEQ30"/>
      <c r="JER30"/>
      <c r="JES30"/>
      <c r="JET30"/>
      <c r="JEU30"/>
      <c r="JEV30"/>
      <c r="JEW30"/>
      <c r="JEX30"/>
      <c r="JEY30"/>
      <c r="JEZ30"/>
      <c r="JFA30"/>
      <c r="JFB30"/>
      <c r="JFC30"/>
      <c r="JFD30"/>
      <c r="JFE30"/>
      <c r="JFF30"/>
      <c r="JFG30"/>
      <c r="JFH30"/>
      <c r="JFI30"/>
      <c r="JFJ30"/>
      <c r="JFK30"/>
      <c r="JFL30"/>
      <c r="JFM30"/>
      <c r="JFN30"/>
      <c r="JFO30"/>
      <c r="JFP30"/>
      <c r="JFQ30"/>
      <c r="JFR30"/>
      <c r="JFS30"/>
      <c r="JFT30"/>
      <c r="JFU30"/>
      <c r="JFV30"/>
      <c r="JFW30"/>
      <c r="JFX30"/>
      <c r="JFY30"/>
      <c r="JFZ30"/>
      <c r="JGA30"/>
      <c r="JGB30"/>
      <c r="JGC30"/>
      <c r="JGD30"/>
      <c r="JGE30"/>
      <c r="JGF30"/>
      <c r="JGG30"/>
      <c r="JGH30"/>
      <c r="JGI30"/>
      <c r="JGJ30"/>
      <c r="JGK30"/>
      <c r="JGL30"/>
      <c r="JGM30"/>
      <c r="JGN30"/>
      <c r="JGO30"/>
      <c r="JGP30"/>
      <c r="JGQ30"/>
      <c r="JGR30"/>
      <c r="JGS30"/>
      <c r="JGT30"/>
      <c r="JGU30"/>
      <c r="JGV30"/>
      <c r="JGW30"/>
      <c r="JGX30"/>
      <c r="JGY30"/>
      <c r="JGZ30"/>
      <c r="JHA30"/>
      <c r="JHB30"/>
      <c r="JHC30"/>
      <c r="JHD30"/>
      <c r="JHE30"/>
      <c r="JHF30"/>
      <c r="JHG30"/>
      <c r="JHH30"/>
      <c r="JHI30"/>
      <c r="JHJ30"/>
      <c r="JHK30"/>
      <c r="JHL30"/>
      <c r="JHM30"/>
      <c r="JHN30"/>
      <c r="JHO30"/>
      <c r="JHP30"/>
      <c r="JHQ30"/>
      <c r="JHR30"/>
      <c r="JHS30"/>
      <c r="JHT30"/>
      <c r="JHU30"/>
      <c r="JHV30"/>
      <c r="JHW30"/>
      <c r="JHX30"/>
      <c r="JHY30"/>
      <c r="JHZ30"/>
      <c r="JIA30"/>
      <c r="JIB30"/>
      <c r="JIC30"/>
      <c r="JID30"/>
      <c r="JIE30"/>
      <c r="JIF30"/>
      <c r="JIG30"/>
      <c r="JIH30"/>
      <c r="JII30"/>
      <c r="JIJ30"/>
      <c r="JIK30"/>
      <c r="JIL30"/>
      <c r="JIM30"/>
      <c r="JIN30"/>
      <c r="JIO30"/>
      <c r="JIP30"/>
      <c r="JIQ30"/>
      <c r="JIR30"/>
      <c r="JIS30"/>
      <c r="JIT30"/>
      <c r="JIU30"/>
      <c r="JIV30"/>
      <c r="JIW30"/>
      <c r="JIX30"/>
      <c r="JIY30"/>
      <c r="JIZ30"/>
      <c r="JJA30"/>
      <c r="JJB30"/>
      <c r="JJC30"/>
      <c r="JJD30"/>
      <c r="JJE30"/>
      <c r="JJF30"/>
      <c r="JJG30"/>
      <c r="JJH30"/>
      <c r="JJI30"/>
      <c r="JJJ30"/>
      <c r="JJK30"/>
      <c r="JJL30"/>
      <c r="JJM30"/>
      <c r="JJN30"/>
      <c r="JJO30"/>
      <c r="JJP30"/>
      <c r="JJQ30"/>
      <c r="JJR30"/>
      <c r="JJS30"/>
      <c r="JJT30"/>
      <c r="JJU30"/>
      <c r="JJV30"/>
      <c r="JJW30"/>
      <c r="JJX30"/>
      <c r="JJY30"/>
      <c r="JJZ30"/>
      <c r="JKA30"/>
      <c r="JKB30"/>
      <c r="JKC30"/>
      <c r="JKD30"/>
      <c r="JKE30"/>
      <c r="JKF30"/>
      <c r="JKG30"/>
      <c r="JKH30"/>
      <c r="JKI30"/>
      <c r="JKJ30"/>
      <c r="JKK30"/>
      <c r="JKL30"/>
      <c r="JKM30"/>
      <c r="JKN30"/>
      <c r="JKO30"/>
      <c r="JKP30"/>
      <c r="JKQ30"/>
      <c r="JKR30"/>
      <c r="JKS30"/>
      <c r="JKT30"/>
      <c r="JKU30"/>
      <c r="JKV30"/>
      <c r="JKW30"/>
      <c r="JKX30"/>
      <c r="JKY30"/>
      <c r="JKZ30"/>
      <c r="JLA30"/>
      <c r="JLB30"/>
      <c r="JLC30"/>
      <c r="JLD30"/>
      <c r="JLE30"/>
      <c r="JLF30"/>
      <c r="JLG30"/>
      <c r="JLH30"/>
      <c r="JLI30"/>
      <c r="JLJ30"/>
      <c r="JLK30"/>
      <c r="JLL30"/>
      <c r="JLM30"/>
      <c r="JLN30"/>
      <c r="JLO30"/>
      <c r="JLP30"/>
      <c r="JLQ30"/>
      <c r="JLR30"/>
      <c r="JLS30"/>
      <c r="JLT30"/>
      <c r="JLU30"/>
      <c r="JLV30"/>
      <c r="JLW30"/>
      <c r="JLX30"/>
      <c r="JLY30"/>
      <c r="JLZ30"/>
      <c r="JMA30"/>
      <c r="JMB30"/>
      <c r="JMC30"/>
      <c r="JMD30"/>
      <c r="JME30"/>
      <c r="JMF30"/>
      <c r="JMG30"/>
      <c r="JMH30"/>
      <c r="JMI30"/>
      <c r="JMJ30"/>
      <c r="JMK30"/>
      <c r="JML30"/>
      <c r="JMM30"/>
      <c r="JMN30"/>
      <c r="JMO30"/>
      <c r="JMP30"/>
      <c r="JMQ30"/>
      <c r="JMR30"/>
      <c r="JMS30"/>
      <c r="JMT30"/>
      <c r="JMU30"/>
      <c r="JMV30"/>
      <c r="JMW30"/>
      <c r="JMX30"/>
      <c r="JMY30"/>
      <c r="JMZ30"/>
      <c r="JNA30"/>
      <c r="JNB30"/>
      <c r="JNC30"/>
      <c r="JND30"/>
      <c r="JNE30"/>
      <c r="JNF30"/>
      <c r="JNG30"/>
      <c r="JNH30"/>
      <c r="JNI30"/>
      <c r="JNJ30"/>
      <c r="JNK30"/>
      <c r="JNL30"/>
      <c r="JNM30"/>
      <c r="JNN30"/>
      <c r="JNO30"/>
      <c r="JNP30"/>
      <c r="JNQ30"/>
      <c r="JNR30"/>
      <c r="JNS30"/>
      <c r="JNT30"/>
      <c r="JNU30"/>
      <c r="JNV30"/>
      <c r="JNW30"/>
      <c r="JNX30"/>
      <c r="JNY30"/>
      <c r="JNZ30"/>
      <c r="JOA30"/>
      <c r="JOB30"/>
      <c r="JOC30"/>
      <c r="JOD30"/>
      <c r="JOE30"/>
      <c r="JOF30"/>
      <c r="JOG30"/>
      <c r="JOH30"/>
      <c r="JOI30"/>
      <c r="JOJ30"/>
      <c r="JOK30"/>
      <c r="JOL30"/>
      <c r="JOM30"/>
      <c r="JON30"/>
      <c r="JOO30"/>
      <c r="JOP30"/>
      <c r="JOQ30"/>
      <c r="JOR30"/>
      <c r="JOS30"/>
      <c r="JOT30"/>
      <c r="JOU30"/>
      <c r="JOV30"/>
      <c r="JOW30"/>
      <c r="JOX30"/>
      <c r="JOY30"/>
      <c r="JOZ30"/>
      <c r="JPA30"/>
      <c r="JPB30"/>
      <c r="JPC30"/>
      <c r="JPD30"/>
      <c r="JPE30"/>
      <c r="JPF30"/>
      <c r="JPG30"/>
      <c r="JPH30"/>
      <c r="JPI30"/>
      <c r="JPJ30"/>
      <c r="JPK30"/>
      <c r="JPL30"/>
      <c r="JPM30"/>
      <c r="JPN30"/>
      <c r="JPO30"/>
      <c r="JPP30"/>
      <c r="JPQ30"/>
      <c r="JPR30"/>
      <c r="JPS30"/>
      <c r="JPT30"/>
      <c r="JPU30"/>
      <c r="JPV30"/>
      <c r="JPW30"/>
      <c r="JPX30"/>
      <c r="JPY30"/>
      <c r="JPZ30"/>
      <c r="JQA30"/>
      <c r="JQB30"/>
      <c r="JQC30"/>
      <c r="JQD30"/>
      <c r="JQE30"/>
      <c r="JQF30"/>
      <c r="JQG30"/>
      <c r="JQH30"/>
      <c r="JQI30"/>
      <c r="JQJ30"/>
      <c r="JQK30"/>
      <c r="JQL30"/>
      <c r="JQM30"/>
      <c r="JQN30"/>
      <c r="JQO30"/>
      <c r="JQP30"/>
      <c r="JQQ30"/>
      <c r="JQR30"/>
      <c r="JQS30"/>
      <c r="JQT30"/>
      <c r="JQU30"/>
      <c r="JQV30"/>
      <c r="JQW30"/>
      <c r="JQX30"/>
      <c r="JQY30"/>
      <c r="JQZ30"/>
      <c r="JRA30"/>
      <c r="JRB30"/>
      <c r="JRC30"/>
      <c r="JRD30"/>
      <c r="JRE30"/>
      <c r="JRF30"/>
      <c r="JRG30"/>
      <c r="JRH30"/>
      <c r="JRI30"/>
      <c r="JRJ30"/>
      <c r="JRK30"/>
      <c r="JRL30"/>
      <c r="JRM30"/>
      <c r="JRN30"/>
      <c r="JRO30"/>
      <c r="JRP30"/>
      <c r="JRQ30"/>
      <c r="JRR30"/>
      <c r="JRS30"/>
      <c r="JRT30"/>
      <c r="JRU30"/>
      <c r="JRV30"/>
      <c r="JRW30"/>
      <c r="JRX30"/>
      <c r="JRY30"/>
      <c r="JRZ30"/>
      <c r="JSA30"/>
      <c r="JSB30"/>
      <c r="JSC30"/>
      <c r="JSD30"/>
      <c r="JSE30"/>
      <c r="JSF30"/>
      <c r="JSG30"/>
      <c r="JSH30"/>
      <c r="JSI30"/>
      <c r="JSJ30"/>
      <c r="JSK30"/>
      <c r="JSL30"/>
      <c r="JSM30"/>
      <c r="JSN30"/>
      <c r="JSO30"/>
      <c r="JSP30"/>
      <c r="JSQ30"/>
      <c r="JSR30"/>
      <c r="JSS30"/>
      <c r="JST30"/>
      <c r="JSU30"/>
      <c r="JSV30"/>
      <c r="JSW30"/>
      <c r="JSX30"/>
      <c r="JSY30"/>
      <c r="JSZ30"/>
      <c r="JTA30"/>
      <c r="JTB30"/>
      <c r="JTC30"/>
      <c r="JTD30"/>
      <c r="JTE30"/>
      <c r="JTF30"/>
      <c r="JTG30"/>
      <c r="JTH30"/>
      <c r="JTI30"/>
      <c r="JTJ30"/>
      <c r="JTK30"/>
      <c r="JTL30"/>
      <c r="JTM30"/>
      <c r="JTN30"/>
      <c r="JTO30"/>
      <c r="JTP30"/>
      <c r="JTQ30"/>
      <c r="JTR30"/>
      <c r="JTS30"/>
      <c r="JTT30"/>
      <c r="JTU30"/>
      <c r="JTV30"/>
      <c r="JTW30"/>
      <c r="JTX30"/>
      <c r="JTY30"/>
      <c r="JTZ30"/>
      <c r="JUA30"/>
      <c r="JUB30"/>
      <c r="JUC30"/>
      <c r="JUD30"/>
      <c r="JUE30"/>
      <c r="JUF30"/>
      <c r="JUG30"/>
      <c r="JUH30"/>
      <c r="JUI30"/>
      <c r="JUJ30"/>
      <c r="JUK30"/>
      <c r="JUL30"/>
      <c r="JUM30"/>
      <c r="JUN30"/>
      <c r="JUO30"/>
      <c r="JUP30"/>
      <c r="JUQ30"/>
      <c r="JUR30"/>
      <c r="JUS30"/>
      <c r="JUT30"/>
      <c r="JUU30"/>
      <c r="JUV30"/>
      <c r="JUW30"/>
      <c r="JUX30"/>
      <c r="JUY30"/>
      <c r="JUZ30"/>
      <c r="JVA30"/>
      <c r="JVB30"/>
      <c r="JVC30"/>
      <c r="JVD30"/>
      <c r="JVE30"/>
      <c r="JVF30"/>
      <c r="JVG30"/>
      <c r="JVH30"/>
      <c r="JVI30"/>
      <c r="JVJ30"/>
      <c r="JVK30"/>
      <c r="JVL30"/>
      <c r="JVM30"/>
      <c r="JVN30"/>
      <c r="JVO30"/>
      <c r="JVP30"/>
      <c r="JVQ30"/>
      <c r="JVR30"/>
      <c r="JVS30"/>
      <c r="JVT30"/>
      <c r="JVU30"/>
      <c r="JVV30"/>
      <c r="JVW30"/>
      <c r="JVX30"/>
      <c r="JVY30"/>
      <c r="JVZ30"/>
      <c r="JWA30"/>
      <c r="JWB30"/>
      <c r="JWC30"/>
      <c r="JWD30"/>
      <c r="JWE30"/>
      <c r="JWF30"/>
      <c r="JWG30"/>
      <c r="JWH30"/>
      <c r="JWI30"/>
      <c r="JWJ30"/>
      <c r="JWK30"/>
      <c r="JWL30"/>
      <c r="JWM30"/>
      <c r="JWN30"/>
      <c r="JWO30"/>
      <c r="JWP30"/>
      <c r="JWQ30"/>
      <c r="JWR30"/>
      <c r="JWS30"/>
      <c r="JWT30"/>
      <c r="JWU30"/>
      <c r="JWV30"/>
      <c r="JWW30"/>
      <c r="JWX30"/>
      <c r="JWY30"/>
      <c r="JWZ30"/>
      <c r="JXA30"/>
      <c r="JXB30"/>
      <c r="JXC30"/>
      <c r="JXD30"/>
      <c r="JXE30"/>
      <c r="JXF30"/>
      <c r="JXG30"/>
      <c r="JXH30"/>
      <c r="JXI30"/>
      <c r="JXJ30"/>
      <c r="JXK30"/>
      <c r="JXL30"/>
      <c r="JXM30"/>
      <c r="JXN30"/>
      <c r="JXO30"/>
      <c r="JXP30"/>
      <c r="JXQ30"/>
      <c r="JXR30"/>
      <c r="JXS30"/>
      <c r="JXT30"/>
      <c r="JXU30"/>
      <c r="JXV30"/>
      <c r="JXW30"/>
      <c r="JXX30"/>
      <c r="JXY30"/>
      <c r="JXZ30"/>
      <c r="JYA30"/>
      <c r="JYB30"/>
      <c r="JYC30"/>
      <c r="JYD30"/>
      <c r="JYE30"/>
      <c r="JYF30"/>
      <c r="JYG30"/>
      <c r="JYH30"/>
      <c r="JYI30"/>
      <c r="JYJ30"/>
      <c r="JYK30"/>
      <c r="JYL30"/>
      <c r="JYM30"/>
      <c r="JYN30"/>
      <c r="JYO30"/>
      <c r="JYP30"/>
      <c r="JYQ30"/>
      <c r="JYR30"/>
      <c r="JYS30"/>
      <c r="JYT30"/>
      <c r="JYU30"/>
      <c r="JYV30"/>
      <c r="JYW30"/>
      <c r="JYX30"/>
      <c r="JYY30"/>
      <c r="JYZ30"/>
      <c r="JZA30"/>
      <c r="JZB30"/>
      <c r="JZC30"/>
      <c r="JZD30"/>
      <c r="JZE30"/>
      <c r="JZF30"/>
      <c r="JZG30"/>
      <c r="JZH30"/>
      <c r="JZI30"/>
      <c r="JZJ30"/>
      <c r="JZK30"/>
      <c r="JZL30"/>
      <c r="JZM30"/>
      <c r="JZN30"/>
      <c r="JZO30"/>
      <c r="JZP30"/>
      <c r="JZQ30"/>
      <c r="JZR30"/>
      <c r="JZS30"/>
      <c r="JZT30"/>
      <c r="JZU30"/>
      <c r="JZV30"/>
      <c r="JZW30"/>
      <c r="JZX30"/>
      <c r="JZY30"/>
      <c r="JZZ30"/>
      <c r="KAA30"/>
      <c r="KAB30"/>
      <c r="KAC30"/>
      <c r="KAD30"/>
      <c r="KAE30"/>
      <c r="KAF30"/>
      <c r="KAG30"/>
      <c r="KAH30"/>
      <c r="KAI30"/>
      <c r="KAJ30"/>
      <c r="KAK30"/>
      <c r="KAL30"/>
      <c r="KAM30"/>
      <c r="KAN30"/>
      <c r="KAO30"/>
      <c r="KAP30"/>
      <c r="KAQ30"/>
      <c r="KAR30"/>
      <c r="KAS30"/>
      <c r="KAT30"/>
      <c r="KAU30"/>
      <c r="KAV30"/>
      <c r="KAW30"/>
      <c r="KAX30"/>
      <c r="KAY30"/>
      <c r="KAZ30"/>
      <c r="KBA30"/>
      <c r="KBB30"/>
      <c r="KBC30"/>
      <c r="KBD30"/>
      <c r="KBE30"/>
      <c r="KBF30"/>
      <c r="KBG30"/>
      <c r="KBH30"/>
      <c r="KBI30"/>
      <c r="KBJ30"/>
      <c r="KBK30"/>
      <c r="KBL30"/>
      <c r="KBM30"/>
      <c r="KBN30"/>
      <c r="KBO30"/>
      <c r="KBP30"/>
      <c r="KBQ30"/>
      <c r="KBR30"/>
      <c r="KBS30"/>
      <c r="KBT30"/>
      <c r="KBU30"/>
      <c r="KBV30"/>
      <c r="KBW30"/>
      <c r="KBX30"/>
      <c r="KBY30"/>
      <c r="KBZ30"/>
      <c r="KCA30"/>
      <c r="KCB30"/>
      <c r="KCC30"/>
      <c r="KCD30"/>
      <c r="KCE30"/>
      <c r="KCF30"/>
      <c r="KCG30"/>
      <c r="KCH30"/>
      <c r="KCI30"/>
      <c r="KCJ30"/>
      <c r="KCK30"/>
      <c r="KCL30"/>
      <c r="KCM30"/>
      <c r="KCN30"/>
      <c r="KCO30"/>
      <c r="KCP30"/>
      <c r="KCQ30"/>
      <c r="KCR30"/>
      <c r="KCS30"/>
      <c r="KCT30"/>
      <c r="KCU30"/>
      <c r="KCV30"/>
      <c r="KCW30"/>
      <c r="KCX30"/>
      <c r="KCY30"/>
      <c r="KCZ30"/>
      <c r="KDA30"/>
      <c r="KDB30"/>
      <c r="KDC30"/>
      <c r="KDD30"/>
      <c r="KDE30"/>
      <c r="KDF30"/>
      <c r="KDG30"/>
      <c r="KDH30"/>
      <c r="KDI30"/>
      <c r="KDJ30"/>
      <c r="KDK30"/>
      <c r="KDL30"/>
      <c r="KDM30"/>
      <c r="KDN30"/>
      <c r="KDO30"/>
      <c r="KDP30"/>
      <c r="KDQ30"/>
      <c r="KDR30"/>
      <c r="KDS30"/>
      <c r="KDT30"/>
      <c r="KDU30"/>
      <c r="KDV30"/>
      <c r="KDW30"/>
      <c r="KDX30"/>
      <c r="KDY30"/>
      <c r="KDZ30"/>
      <c r="KEA30"/>
      <c r="KEB30"/>
      <c r="KEC30"/>
      <c r="KED30"/>
      <c r="KEE30"/>
      <c r="KEF30"/>
      <c r="KEG30"/>
      <c r="KEH30"/>
      <c r="KEI30"/>
      <c r="KEJ30"/>
      <c r="KEK30"/>
      <c r="KEL30"/>
      <c r="KEM30"/>
      <c r="KEN30"/>
      <c r="KEO30"/>
      <c r="KEP30"/>
      <c r="KEQ30"/>
      <c r="KER30"/>
      <c r="KES30"/>
      <c r="KET30"/>
      <c r="KEU30"/>
      <c r="KEV30"/>
      <c r="KEW30"/>
      <c r="KEX30"/>
      <c r="KEY30"/>
      <c r="KEZ30"/>
      <c r="KFA30"/>
      <c r="KFB30"/>
      <c r="KFC30"/>
      <c r="KFD30"/>
      <c r="KFE30"/>
      <c r="KFF30"/>
      <c r="KFG30"/>
      <c r="KFH30"/>
      <c r="KFI30"/>
      <c r="KFJ30"/>
      <c r="KFK30"/>
      <c r="KFL30"/>
      <c r="KFM30"/>
      <c r="KFN30"/>
      <c r="KFO30"/>
      <c r="KFP30"/>
      <c r="KFQ30"/>
      <c r="KFR30"/>
      <c r="KFS30"/>
      <c r="KFT30"/>
      <c r="KFU30"/>
      <c r="KFV30"/>
      <c r="KFW30"/>
      <c r="KFX30"/>
      <c r="KFY30"/>
      <c r="KFZ30"/>
      <c r="KGA30"/>
      <c r="KGB30"/>
      <c r="KGC30"/>
      <c r="KGD30"/>
      <c r="KGE30"/>
      <c r="KGF30"/>
      <c r="KGG30"/>
      <c r="KGH30"/>
      <c r="KGI30"/>
      <c r="KGJ30"/>
      <c r="KGK30"/>
      <c r="KGL30"/>
      <c r="KGM30"/>
      <c r="KGN30"/>
      <c r="KGO30"/>
      <c r="KGP30"/>
      <c r="KGQ30"/>
      <c r="KGR30"/>
      <c r="KGS30"/>
      <c r="KGT30"/>
      <c r="KGU30"/>
      <c r="KGV30"/>
      <c r="KGW30"/>
      <c r="KGX30"/>
      <c r="KGY30"/>
      <c r="KGZ30"/>
      <c r="KHA30"/>
      <c r="KHB30"/>
      <c r="KHC30"/>
      <c r="KHD30"/>
      <c r="KHE30"/>
      <c r="KHF30"/>
      <c r="KHG30"/>
      <c r="KHH30"/>
      <c r="KHI30"/>
      <c r="KHJ30"/>
      <c r="KHK30"/>
      <c r="KHL30"/>
      <c r="KHM30"/>
      <c r="KHN30"/>
      <c r="KHO30"/>
      <c r="KHP30"/>
      <c r="KHQ30"/>
      <c r="KHR30"/>
      <c r="KHS30"/>
      <c r="KHT30"/>
      <c r="KHU30"/>
      <c r="KHV30"/>
      <c r="KHW30"/>
      <c r="KHX30"/>
      <c r="KHY30"/>
      <c r="KHZ30"/>
      <c r="KIA30"/>
      <c r="KIB30"/>
      <c r="KIC30"/>
      <c r="KID30"/>
      <c r="KIE30"/>
      <c r="KIF30"/>
      <c r="KIG30"/>
      <c r="KIH30"/>
      <c r="KII30"/>
      <c r="KIJ30"/>
      <c r="KIK30"/>
      <c r="KIL30"/>
      <c r="KIM30"/>
      <c r="KIN30"/>
      <c r="KIO30"/>
      <c r="KIP30"/>
      <c r="KIQ30"/>
      <c r="KIR30"/>
      <c r="KIS30"/>
      <c r="KIT30"/>
      <c r="KIU30"/>
      <c r="KIV30"/>
      <c r="KIW30"/>
      <c r="KIX30"/>
      <c r="KIY30"/>
      <c r="KIZ30"/>
      <c r="KJA30"/>
      <c r="KJB30"/>
      <c r="KJC30"/>
      <c r="KJD30"/>
      <c r="KJE30"/>
      <c r="KJF30"/>
      <c r="KJG30"/>
      <c r="KJH30"/>
      <c r="KJI30"/>
      <c r="KJJ30"/>
      <c r="KJK30"/>
      <c r="KJL30"/>
      <c r="KJM30"/>
      <c r="KJN30"/>
      <c r="KJO30"/>
      <c r="KJP30"/>
      <c r="KJQ30"/>
      <c r="KJR30"/>
      <c r="KJS30"/>
      <c r="KJT30"/>
      <c r="KJU30"/>
      <c r="KJV30"/>
      <c r="KJW30"/>
      <c r="KJX30"/>
      <c r="KJY30"/>
      <c r="KJZ30"/>
      <c r="KKA30"/>
      <c r="KKB30"/>
      <c r="KKC30"/>
      <c r="KKD30"/>
      <c r="KKE30"/>
      <c r="KKF30"/>
      <c r="KKG30"/>
      <c r="KKH30"/>
      <c r="KKI30"/>
      <c r="KKJ30"/>
      <c r="KKK30"/>
      <c r="KKL30"/>
      <c r="KKM30"/>
      <c r="KKN30"/>
      <c r="KKO30"/>
      <c r="KKP30"/>
      <c r="KKQ30"/>
      <c r="KKR30"/>
      <c r="KKS30"/>
      <c r="KKT30"/>
      <c r="KKU30"/>
      <c r="KKV30"/>
      <c r="KKW30"/>
      <c r="KKX30"/>
      <c r="KKY30"/>
      <c r="KKZ30"/>
      <c r="KLA30"/>
      <c r="KLB30"/>
      <c r="KLC30"/>
      <c r="KLD30"/>
      <c r="KLE30"/>
      <c r="KLF30"/>
      <c r="KLG30"/>
      <c r="KLH30"/>
      <c r="KLI30"/>
      <c r="KLJ30"/>
      <c r="KLK30"/>
      <c r="KLL30"/>
      <c r="KLM30"/>
      <c r="KLN30"/>
      <c r="KLO30"/>
      <c r="KLP30"/>
      <c r="KLQ30"/>
      <c r="KLR30"/>
      <c r="KLS30"/>
      <c r="KLT30"/>
      <c r="KLU30"/>
      <c r="KLV30"/>
      <c r="KLW30"/>
      <c r="KLX30"/>
      <c r="KLY30"/>
      <c r="KLZ30"/>
      <c r="KMA30"/>
      <c r="KMB30"/>
      <c r="KMC30"/>
      <c r="KMD30"/>
      <c r="KME30"/>
      <c r="KMF30"/>
      <c r="KMG30"/>
      <c r="KMH30"/>
      <c r="KMI30"/>
      <c r="KMJ30"/>
      <c r="KMK30"/>
      <c r="KML30"/>
      <c r="KMM30"/>
      <c r="KMN30"/>
      <c r="KMO30"/>
      <c r="KMP30"/>
      <c r="KMQ30"/>
      <c r="KMR30"/>
      <c r="KMS30"/>
      <c r="KMT30"/>
      <c r="KMU30"/>
      <c r="KMV30"/>
      <c r="KMW30"/>
      <c r="KMX30"/>
      <c r="KMY30"/>
      <c r="KMZ30"/>
      <c r="KNA30"/>
      <c r="KNB30"/>
      <c r="KNC30"/>
      <c r="KND30"/>
      <c r="KNE30"/>
      <c r="KNF30"/>
      <c r="KNG30"/>
      <c r="KNH30"/>
      <c r="KNI30"/>
      <c r="KNJ30"/>
      <c r="KNK30"/>
      <c r="KNL30"/>
      <c r="KNM30"/>
      <c r="KNN30"/>
      <c r="KNO30"/>
      <c r="KNP30"/>
      <c r="KNQ30"/>
      <c r="KNR30"/>
      <c r="KNS30"/>
      <c r="KNT30"/>
      <c r="KNU30"/>
      <c r="KNV30"/>
      <c r="KNW30"/>
      <c r="KNX30"/>
      <c r="KNY30"/>
      <c r="KNZ30"/>
      <c r="KOA30"/>
      <c r="KOB30"/>
      <c r="KOC30"/>
      <c r="KOD30"/>
      <c r="KOE30"/>
      <c r="KOF30"/>
      <c r="KOG30"/>
      <c r="KOH30"/>
      <c r="KOI30"/>
      <c r="KOJ30"/>
      <c r="KOK30"/>
      <c r="KOL30"/>
      <c r="KOM30"/>
      <c r="KON30"/>
      <c r="KOO30"/>
      <c r="KOP30"/>
      <c r="KOQ30"/>
      <c r="KOR30"/>
      <c r="KOS30"/>
      <c r="KOT30"/>
      <c r="KOU30"/>
      <c r="KOV30"/>
      <c r="KOW30"/>
      <c r="KOX30"/>
      <c r="KOY30"/>
      <c r="KOZ30"/>
      <c r="KPA30"/>
      <c r="KPB30"/>
      <c r="KPC30"/>
      <c r="KPD30"/>
      <c r="KPE30"/>
      <c r="KPF30"/>
      <c r="KPG30"/>
      <c r="KPH30"/>
      <c r="KPI30"/>
      <c r="KPJ30"/>
      <c r="KPK30"/>
      <c r="KPL30"/>
      <c r="KPM30"/>
      <c r="KPN30"/>
      <c r="KPO30"/>
      <c r="KPP30"/>
      <c r="KPQ30"/>
      <c r="KPR30"/>
      <c r="KPS30"/>
      <c r="KPT30"/>
      <c r="KPU30"/>
      <c r="KPV30"/>
      <c r="KPW30"/>
      <c r="KPX30"/>
      <c r="KPY30"/>
      <c r="KPZ30"/>
      <c r="KQA30"/>
      <c r="KQB30"/>
      <c r="KQC30"/>
      <c r="KQD30"/>
      <c r="KQE30"/>
      <c r="KQF30"/>
      <c r="KQG30"/>
      <c r="KQH30"/>
      <c r="KQI30"/>
      <c r="KQJ30"/>
      <c r="KQK30"/>
      <c r="KQL30"/>
      <c r="KQM30"/>
      <c r="KQN30"/>
      <c r="KQO30"/>
      <c r="KQP30"/>
      <c r="KQQ30"/>
      <c r="KQR30"/>
      <c r="KQS30"/>
      <c r="KQT30"/>
      <c r="KQU30"/>
      <c r="KQV30"/>
      <c r="KQW30"/>
      <c r="KQX30"/>
      <c r="KQY30"/>
      <c r="KQZ30"/>
      <c r="KRA30"/>
      <c r="KRB30"/>
      <c r="KRC30"/>
      <c r="KRD30"/>
      <c r="KRE30"/>
      <c r="KRF30"/>
      <c r="KRG30"/>
      <c r="KRH30"/>
      <c r="KRI30"/>
      <c r="KRJ30"/>
      <c r="KRK30"/>
      <c r="KRL30"/>
      <c r="KRM30"/>
      <c r="KRN30"/>
      <c r="KRO30"/>
      <c r="KRP30"/>
      <c r="KRQ30"/>
      <c r="KRR30"/>
      <c r="KRS30"/>
      <c r="KRT30"/>
      <c r="KRU30"/>
      <c r="KRV30"/>
      <c r="KRW30"/>
      <c r="KRX30"/>
      <c r="KRY30"/>
      <c r="KRZ30"/>
      <c r="KSA30"/>
      <c r="KSB30"/>
      <c r="KSC30"/>
      <c r="KSD30"/>
      <c r="KSE30"/>
      <c r="KSF30"/>
      <c r="KSG30"/>
      <c r="KSH30"/>
      <c r="KSI30"/>
      <c r="KSJ30"/>
      <c r="KSK30"/>
      <c r="KSL30"/>
      <c r="KSM30"/>
      <c r="KSN30"/>
      <c r="KSO30"/>
      <c r="KSP30"/>
      <c r="KSQ30"/>
      <c r="KSR30"/>
      <c r="KSS30"/>
      <c r="KST30"/>
      <c r="KSU30"/>
      <c r="KSV30"/>
      <c r="KSW30"/>
      <c r="KSX30"/>
      <c r="KSY30"/>
      <c r="KSZ30"/>
      <c r="KTA30"/>
      <c r="KTB30"/>
      <c r="KTC30"/>
      <c r="KTD30"/>
      <c r="KTE30"/>
      <c r="KTF30"/>
      <c r="KTG30"/>
      <c r="KTH30"/>
      <c r="KTI30"/>
      <c r="KTJ30"/>
      <c r="KTK30"/>
      <c r="KTL30"/>
      <c r="KTM30"/>
      <c r="KTN30"/>
      <c r="KTO30"/>
      <c r="KTP30"/>
      <c r="KTQ30"/>
      <c r="KTR30"/>
      <c r="KTS30"/>
      <c r="KTT30"/>
      <c r="KTU30"/>
      <c r="KTV30"/>
      <c r="KTW30"/>
      <c r="KTX30"/>
      <c r="KTY30"/>
      <c r="KTZ30"/>
      <c r="KUA30"/>
      <c r="KUB30"/>
      <c r="KUC30"/>
      <c r="KUD30"/>
      <c r="KUE30"/>
      <c r="KUF30"/>
      <c r="KUG30"/>
      <c r="KUH30"/>
      <c r="KUI30"/>
      <c r="KUJ30"/>
      <c r="KUK30"/>
      <c r="KUL30"/>
      <c r="KUM30"/>
      <c r="KUN30"/>
      <c r="KUO30"/>
      <c r="KUP30"/>
      <c r="KUQ30"/>
      <c r="KUR30"/>
      <c r="KUS30"/>
      <c r="KUT30"/>
      <c r="KUU30"/>
      <c r="KUV30"/>
      <c r="KUW30"/>
      <c r="KUX30"/>
      <c r="KUY30"/>
      <c r="KUZ30"/>
      <c r="KVA30"/>
      <c r="KVB30"/>
      <c r="KVC30"/>
      <c r="KVD30"/>
      <c r="KVE30"/>
      <c r="KVF30"/>
      <c r="KVG30"/>
      <c r="KVH30"/>
      <c r="KVI30"/>
      <c r="KVJ30"/>
      <c r="KVK30"/>
      <c r="KVL30"/>
      <c r="KVM30"/>
      <c r="KVN30"/>
      <c r="KVO30"/>
      <c r="KVP30"/>
      <c r="KVQ30"/>
      <c r="KVR30"/>
      <c r="KVS30"/>
      <c r="KVT30"/>
      <c r="KVU30"/>
      <c r="KVV30"/>
      <c r="KVW30"/>
      <c r="KVX30"/>
      <c r="KVY30"/>
      <c r="KVZ30"/>
      <c r="KWA30"/>
      <c r="KWB30"/>
      <c r="KWC30"/>
      <c r="KWD30"/>
      <c r="KWE30"/>
      <c r="KWF30"/>
      <c r="KWG30"/>
      <c r="KWH30"/>
      <c r="KWI30"/>
      <c r="KWJ30"/>
      <c r="KWK30"/>
      <c r="KWL30"/>
      <c r="KWM30"/>
      <c r="KWN30"/>
      <c r="KWO30"/>
      <c r="KWP30"/>
      <c r="KWQ30"/>
      <c r="KWR30"/>
      <c r="KWS30"/>
      <c r="KWT30"/>
      <c r="KWU30"/>
      <c r="KWV30"/>
      <c r="KWW30"/>
      <c r="KWX30"/>
      <c r="KWY30"/>
      <c r="KWZ30"/>
      <c r="KXA30"/>
      <c r="KXB30"/>
      <c r="KXC30"/>
      <c r="KXD30"/>
      <c r="KXE30"/>
      <c r="KXF30"/>
      <c r="KXG30"/>
      <c r="KXH30"/>
      <c r="KXI30"/>
      <c r="KXJ30"/>
      <c r="KXK30"/>
      <c r="KXL30"/>
      <c r="KXM30"/>
      <c r="KXN30"/>
      <c r="KXO30"/>
      <c r="KXP30"/>
      <c r="KXQ30"/>
      <c r="KXR30"/>
      <c r="KXS30"/>
      <c r="KXT30"/>
      <c r="KXU30"/>
      <c r="KXV30"/>
      <c r="KXW30"/>
      <c r="KXX30"/>
      <c r="KXY30"/>
      <c r="KXZ30"/>
      <c r="KYA30"/>
      <c r="KYB30"/>
      <c r="KYC30"/>
      <c r="KYD30"/>
      <c r="KYE30"/>
      <c r="KYF30"/>
      <c r="KYG30"/>
      <c r="KYH30"/>
      <c r="KYI30"/>
      <c r="KYJ30"/>
      <c r="KYK30"/>
      <c r="KYL30"/>
      <c r="KYM30"/>
      <c r="KYN30"/>
      <c r="KYO30"/>
      <c r="KYP30"/>
      <c r="KYQ30"/>
      <c r="KYR30"/>
      <c r="KYS30"/>
      <c r="KYT30"/>
      <c r="KYU30"/>
      <c r="KYV30"/>
      <c r="KYW30"/>
      <c r="KYX30"/>
      <c r="KYY30"/>
      <c r="KYZ30"/>
      <c r="KZA30"/>
      <c r="KZB30"/>
      <c r="KZC30"/>
      <c r="KZD30"/>
      <c r="KZE30"/>
      <c r="KZF30"/>
      <c r="KZG30"/>
      <c r="KZH30"/>
      <c r="KZI30"/>
      <c r="KZJ30"/>
      <c r="KZK30"/>
      <c r="KZL30"/>
      <c r="KZM30"/>
      <c r="KZN30"/>
      <c r="KZO30"/>
      <c r="KZP30"/>
      <c r="KZQ30"/>
      <c r="KZR30"/>
      <c r="KZS30"/>
      <c r="KZT30"/>
      <c r="KZU30"/>
      <c r="KZV30"/>
      <c r="KZW30"/>
      <c r="KZX30"/>
      <c r="KZY30"/>
      <c r="KZZ30"/>
      <c r="LAA30"/>
      <c r="LAB30"/>
      <c r="LAC30"/>
      <c r="LAD30"/>
      <c r="LAE30"/>
      <c r="LAF30"/>
      <c r="LAG30"/>
      <c r="LAH30"/>
      <c r="LAI30"/>
      <c r="LAJ30"/>
      <c r="LAK30"/>
      <c r="LAL30"/>
      <c r="LAM30"/>
      <c r="LAN30"/>
      <c r="LAO30"/>
      <c r="LAP30"/>
      <c r="LAQ30"/>
      <c r="LAR30"/>
      <c r="LAS30"/>
      <c r="LAT30"/>
      <c r="LAU30"/>
      <c r="LAV30"/>
      <c r="LAW30"/>
      <c r="LAX30"/>
      <c r="LAY30"/>
      <c r="LAZ30"/>
      <c r="LBA30"/>
      <c r="LBB30"/>
      <c r="LBC30"/>
      <c r="LBD30"/>
      <c r="LBE30"/>
      <c r="LBF30"/>
      <c r="LBG30"/>
      <c r="LBH30"/>
      <c r="LBI30"/>
      <c r="LBJ30"/>
      <c r="LBK30"/>
      <c r="LBL30"/>
      <c r="LBM30"/>
      <c r="LBN30"/>
      <c r="LBO30"/>
      <c r="LBP30"/>
      <c r="LBQ30"/>
      <c r="LBR30"/>
      <c r="LBS30"/>
      <c r="LBT30"/>
      <c r="LBU30"/>
      <c r="LBV30"/>
      <c r="LBW30"/>
      <c r="LBX30"/>
      <c r="LBY30"/>
      <c r="LBZ30"/>
      <c r="LCA30"/>
      <c r="LCB30"/>
      <c r="LCC30"/>
      <c r="LCD30"/>
      <c r="LCE30"/>
      <c r="LCF30"/>
      <c r="LCG30"/>
      <c r="LCH30"/>
      <c r="LCI30"/>
      <c r="LCJ30"/>
      <c r="LCK30"/>
      <c r="LCL30"/>
      <c r="LCM30"/>
      <c r="LCN30"/>
      <c r="LCO30"/>
      <c r="LCP30"/>
      <c r="LCQ30"/>
      <c r="LCR30"/>
      <c r="LCS30"/>
      <c r="LCT30"/>
      <c r="LCU30"/>
      <c r="LCV30"/>
      <c r="LCW30"/>
      <c r="LCX30"/>
      <c r="LCY30"/>
      <c r="LCZ30"/>
      <c r="LDA30"/>
      <c r="LDB30"/>
      <c r="LDC30"/>
      <c r="LDD30"/>
      <c r="LDE30"/>
      <c r="LDF30"/>
      <c r="LDG30"/>
      <c r="LDH30"/>
      <c r="LDI30"/>
      <c r="LDJ30"/>
      <c r="LDK30"/>
      <c r="LDL30"/>
      <c r="LDM30"/>
      <c r="LDN30"/>
      <c r="LDO30"/>
      <c r="LDP30"/>
      <c r="LDQ30"/>
      <c r="LDR30"/>
      <c r="LDS30"/>
      <c r="LDT30"/>
      <c r="LDU30"/>
      <c r="LDV30"/>
      <c r="LDW30"/>
      <c r="LDX30"/>
      <c r="LDY30"/>
      <c r="LDZ30"/>
      <c r="LEA30"/>
      <c r="LEB30"/>
      <c r="LEC30"/>
      <c r="LED30"/>
      <c r="LEE30"/>
      <c r="LEF30"/>
      <c r="LEG30"/>
      <c r="LEH30"/>
      <c r="LEI30"/>
      <c r="LEJ30"/>
      <c r="LEK30"/>
      <c r="LEL30"/>
      <c r="LEM30"/>
      <c r="LEN30"/>
      <c r="LEO30"/>
      <c r="LEP30"/>
      <c r="LEQ30"/>
      <c r="LER30"/>
      <c r="LES30"/>
      <c r="LET30"/>
      <c r="LEU30"/>
      <c r="LEV30"/>
      <c r="LEW30"/>
      <c r="LEX30"/>
      <c r="LEY30"/>
      <c r="LEZ30"/>
      <c r="LFA30"/>
      <c r="LFB30"/>
      <c r="LFC30"/>
      <c r="LFD30"/>
      <c r="LFE30"/>
      <c r="LFF30"/>
      <c r="LFG30"/>
      <c r="LFH30"/>
      <c r="LFI30"/>
      <c r="LFJ30"/>
      <c r="LFK30"/>
      <c r="LFL30"/>
      <c r="LFM30"/>
      <c r="LFN30"/>
      <c r="LFO30"/>
      <c r="LFP30"/>
      <c r="LFQ30"/>
      <c r="LFR30"/>
      <c r="LFS30"/>
      <c r="LFT30"/>
      <c r="LFU30"/>
      <c r="LFV30"/>
      <c r="LFW30"/>
      <c r="LFX30"/>
      <c r="LFY30"/>
      <c r="LFZ30"/>
      <c r="LGA30"/>
      <c r="LGB30"/>
      <c r="LGC30"/>
      <c r="LGD30"/>
      <c r="LGE30"/>
      <c r="LGF30"/>
      <c r="LGG30"/>
      <c r="LGH30"/>
      <c r="LGI30"/>
      <c r="LGJ30"/>
      <c r="LGK30"/>
      <c r="LGL30"/>
      <c r="LGM30"/>
      <c r="LGN30"/>
      <c r="LGO30"/>
      <c r="LGP30"/>
      <c r="LGQ30"/>
      <c r="LGR30"/>
      <c r="LGS30"/>
      <c r="LGT30"/>
      <c r="LGU30"/>
      <c r="LGV30"/>
      <c r="LGW30"/>
      <c r="LGX30"/>
      <c r="LGY30"/>
      <c r="LGZ30"/>
      <c r="LHA30"/>
      <c r="LHB30"/>
      <c r="LHC30"/>
      <c r="LHD30"/>
      <c r="LHE30"/>
      <c r="LHF30"/>
      <c r="LHG30"/>
      <c r="LHH30"/>
      <c r="LHI30"/>
      <c r="LHJ30"/>
      <c r="LHK30"/>
      <c r="LHL30"/>
      <c r="LHM30"/>
      <c r="LHN30"/>
      <c r="LHO30"/>
      <c r="LHP30"/>
      <c r="LHQ30"/>
      <c r="LHR30"/>
      <c r="LHS30"/>
      <c r="LHT30"/>
      <c r="LHU30"/>
      <c r="LHV30"/>
      <c r="LHW30"/>
      <c r="LHX30"/>
      <c r="LHY30"/>
      <c r="LHZ30"/>
      <c r="LIA30"/>
      <c r="LIB30"/>
      <c r="LIC30"/>
      <c r="LID30"/>
      <c r="LIE30"/>
      <c r="LIF30"/>
      <c r="LIG30"/>
      <c r="LIH30"/>
      <c r="LII30"/>
      <c r="LIJ30"/>
      <c r="LIK30"/>
      <c r="LIL30"/>
      <c r="LIM30"/>
      <c r="LIN30"/>
      <c r="LIO30"/>
      <c r="LIP30"/>
      <c r="LIQ30"/>
      <c r="LIR30"/>
      <c r="LIS30"/>
      <c r="LIT30"/>
      <c r="LIU30"/>
      <c r="LIV30"/>
      <c r="LIW30"/>
      <c r="LIX30"/>
      <c r="LIY30"/>
      <c r="LIZ30"/>
      <c r="LJA30"/>
      <c r="LJB30"/>
      <c r="LJC30"/>
      <c r="LJD30"/>
      <c r="LJE30"/>
      <c r="LJF30"/>
      <c r="LJG30"/>
      <c r="LJH30"/>
      <c r="LJI30"/>
      <c r="LJJ30"/>
      <c r="LJK30"/>
      <c r="LJL30"/>
      <c r="LJM30"/>
      <c r="LJN30"/>
      <c r="LJO30"/>
      <c r="LJP30"/>
      <c r="LJQ30"/>
      <c r="LJR30"/>
      <c r="LJS30"/>
      <c r="LJT30"/>
      <c r="LJU30"/>
      <c r="LJV30"/>
      <c r="LJW30"/>
      <c r="LJX30"/>
      <c r="LJY30"/>
      <c r="LJZ30"/>
      <c r="LKA30"/>
      <c r="LKB30"/>
      <c r="LKC30"/>
      <c r="LKD30"/>
      <c r="LKE30"/>
      <c r="LKF30"/>
      <c r="LKG30"/>
      <c r="LKH30"/>
      <c r="LKI30"/>
      <c r="LKJ30"/>
      <c r="LKK30"/>
      <c r="LKL30"/>
      <c r="LKM30"/>
      <c r="LKN30"/>
      <c r="LKO30"/>
      <c r="LKP30"/>
      <c r="LKQ30"/>
      <c r="LKR30"/>
      <c r="LKS30"/>
      <c r="LKT30"/>
      <c r="LKU30"/>
      <c r="LKV30"/>
      <c r="LKW30"/>
      <c r="LKX30"/>
      <c r="LKY30"/>
      <c r="LKZ30"/>
      <c r="LLA30"/>
      <c r="LLB30"/>
      <c r="LLC30"/>
      <c r="LLD30"/>
      <c r="LLE30"/>
      <c r="LLF30"/>
      <c r="LLG30"/>
      <c r="LLH30"/>
      <c r="LLI30"/>
      <c r="LLJ30"/>
      <c r="LLK30"/>
      <c r="LLL30"/>
      <c r="LLM30"/>
      <c r="LLN30"/>
      <c r="LLO30"/>
      <c r="LLP30"/>
      <c r="LLQ30"/>
      <c r="LLR30"/>
      <c r="LLS30"/>
      <c r="LLT30"/>
      <c r="LLU30"/>
      <c r="LLV30"/>
      <c r="LLW30"/>
      <c r="LLX30"/>
      <c r="LLY30"/>
      <c r="LLZ30"/>
      <c r="LMA30"/>
      <c r="LMB30"/>
      <c r="LMC30"/>
      <c r="LMD30"/>
      <c r="LME30"/>
      <c r="LMF30"/>
      <c r="LMG30"/>
      <c r="LMH30"/>
      <c r="LMI30"/>
      <c r="LMJ30"/>
      <c r="LMK30"/>
      <c r="LML30"/>
      <c r="LMM30"/>
      <c r="LMN30"/>
      <c r="LMO30"/>
      <c r="LMP30"/>
      <c r="LMQ30"/>
      <c r="LMR30"/>
      <c r="LMS30"/>
      <c r="LMT30"/>
      <c r="LMU30"/>
      <c r="LMV30"/>
      <c r="LMW30"/>
      <c r="LMX30"/>
      <c r="LMY30"/>
      <c r="LMZ30"/>
      <c r="LNA30"/>
      <c r="LNB30"/>
      <c r="LNC30"/>
      <c r="LND30"/>
      <c r="LNE30"/>
      <c r="LNF30"/>
      <c r="LNG30"/>
      <c r="LNH30"/>
      <c r="LNI30"/>
      <c r="LNJ30"/>
      <c r="LNK30"/>
      <c r="LNL30"/>
      <c r="LNM30"/>
      <c r="LNN30"/>
      <c r="LNO30"/>
      <c r="LNP30"/>
      <c r="LNQ30"/>
      <c r="LNR30"/>
      <c r="LNS30"/>
      <c r="LNT30"/>
      <c r="LNU30"/>
      <c r="LNV30"/>
      <c r="LNW30"/>
      <c r="LNX30"/>
      <c r="LNY30"/>
      <c r="LNZ30"/>
      <c r="LOA30"/>
      <c r="LOB30"/>
      <c r="LOC30"/>
      <c r="LOD30"/>
      <c r="LOE30"/>
      <c r="LOF30"/>
      <c r="LOG30"/>
      <c r="LOH30"/>
      <c r="LOI30"/>
      <c r="LOJ30"/>
      <c r="LOK30"/>
      <c r="LOL30"/>
      <c r="LOM30"/>
      <c r="LON30"/>
      <c r="LOO30"/>
      <c r="LOP30"/>
      <c r="LOQ30"/>
      <c r="LOR30"/>
      <c r="LOS30"/>
      <c r="LOT30"/>
      <c r="LOU30"/>
      <c r="LOV30"/>
      <c r="LOW30"/>
      <c r="LOX30"/>
      <c r="LOY30"/>
      <c r="LOZ30"/>
      <c r="LPA30"/>
      <c r="LPB30"/>
      <c r="LPC30"/>
      <c r="LPD30"/>
      <c r="LPE30"/>
      <c r="LPF30"/>
      <c r="LPG30"/>
      <c r="LPH30"/>
      <c r="LPI30"/>
      <c r="LPJ30"/>
      <c r="LPK30"/>
      <c r="LPL30"/>
      <c r="LPM30"/>
      <c r="LPN30"/>
      <c r="LPO30"/>
      <c r="LPP30"/>
      <c r="LPQ30"/>
      <c r="LPR30"/>
      <c r="LPS30"/>
      <c r="LPT30"/>
      <c r="LPU30"/>
      <c r="LPV30"/>
      <c r="LPW30"/>
      <c r="LPX30"/>
      <c r="LPY30"/>
      <c r="LPZ30"/>
      <c r="LQA30"/>
      <c r="LQB30"/>
      <c r="LQC30"/>
      <c r="LQD30"/>
      <c r="LQE30"/>
      <c r="LQF30"/>
      <c r="LQG30"/>
      <c r="LQH30"/>
      <c r="LQI30"/>
      <c r="LQJ30"/>
      <c r="LQK30"/>
      <c r="LQL30"/>
      <c r="LQM30"/>
      <c r="LQN30"/>
      <c r="LQO30"/>
      <c r="LQP30"/>
      <c r="LQQ30"/>
      <c r="LQR30"/>
      <c r="LQS30"/>
      <c r="LQT30"/>
      <c r="LQU30"/>
      <c r="LQV30"/>
      <c r="LQW30"/>
      <c r="LQX30"/>
      <c r="LQY30"/>
      <c r="LQZ30"/>
      <c r="LRA30"/>
      <c r="LRB30"/>
      <c r="LRC30"/>
      <c r="LRD30"/>
      <c r="LRE30"/>
      <c r="LRF30"/>
      <c r="LRG30"/>
      <c r="LRH30"/>
      <c r="LRI30"/>
      <c r="LRJ30"/>
      <c r="LRK30"/>
      <c r="LRL30"/>
      <c r="LRM30"/>
      <c r="LRN30"/>
      <c r="LRO30"/>
      <c r="LRP30"/>
      <c r="LRQ30"/>
      <c r="LRR30"/>
      <c r="LRS30"/>
      <c r="LRT30"/>
      <c r="LRU30"/>
      <c r="LRV30"/>
      <c r="LRW30"/>
      <c r="LRX30"/>
      <c r="LRY30"/>
      <c r="LRZ30"/>
      <c r="LSA30"/>
      <c r="LSB30"/>
      <c r="LSC30"/>
      <c r="LSD30"/>
      <c r="LSE30"/>
      <c r="LSF30"/>
      <c r="LSG30"/>
      <c r="LSH30"/>
      <c r="LSI30"/>
      <c r="LSJ30"/>
      <c r="LSK30"/>
      <c r="LSL30"/>
      <c r="LSM30"/>
      <c r="LSN30"/>
      <c r="LSO30"/>
      <c r="LSP30"/>
      <c r="LSQ30"/>
      <c r="LSR30"/>
      <c r="LSS30"/>
      <c r="LST30"/>
      <c r="LSU30"/>
      <c r="LSV30"/>
      <c r="LSW30"/>
      <c r="LSX30"/>
      <c r="LSY30"/>
      <c r="LSZ30"/>
      <c r="LTA30"/>
      <c r="LTB30"/>
      <c r="LTC30"/>
      <c r="LTD30"/>
      <c r="LTE30"/>
      <c r="LTF30"/>
      <c r="LTG30"/>
      <c r="LTH30"/>
      <c r="LTI30"/>
      <c r="LTJ30"/>
      <c r="LTK30"/>
      <c r="LTL30"/>
      <c r="LTM30"/>
      <c r="LTN30"/>
      <c r="LTO30"/>
      <c r="LTP30"/>
      <c r="LTQ30"/>
      <c r="LTR30"/>
      <c r="LTS30"/>
      <c r="LTT30"/>
      <c r="LTU30"/>
      <c r="LTV30"/>
      <c r="LTW30"/>
      <c r="LTX30"/>
      <c r="LTY30"/>
      <c r="LTZ30"/>
      <c r="LUA30"/>
      <c r="LUB30"/>
      <c r="LUC30"/>
      <c r="LUD30"/>
      <c r="LUE30"/>
      <c r="LUF30"/>
      <c r="LUG30"/>
      <c r="LUH30"/>
      <c r="LUI30"/>
      <c r="LUJ30"/>
      <c r="LUK30"/>
      <c r="LUL30"/>
      <c r="LUM30"/>
      <c r="LUN30"/>
      <c r="LUO30"/>
      <c r="LUP30"/>
      <c r="LUQ30"/>
      <c r="LUR30"/>
      <c r="LUS30"/>
      <c r="LUT30"/>
      <c r="LUU30"/>
      <c r="LUV30"/>
      <c r="LUW30"/>
      <c r="LUX30"/>
      <c r="LUY30"/>
      <c r="LUZ30"/>
      <c r="LVA30"/>
      <c r="LVB30"/>
      <c r="LVC30"/>
      <c r="LVD30"/>
      <c r="LVE30"/>
      <c r="LVF30"/>
      <c r="LVG30"/>
      <c r="LVH30"/>
      <c r="LVI30"/>
      <c r="LVJ30"/>
      <c r="LVK30"/>
      <c r="LVL30"/>
      <c r="LVM30"/>
      <c r="LVN30"/>
      <c r="LVO30"/>
      <c r="LVP30"/>
      <c r="LVQ30"/>
      <c r="LVR30"/>
      <c r="LVS30"/>
      <c r="LVT30"/>
      <c r="LVU30"/>
      <c r="LVV30"/>
      <c r="LVW30"/>
      <c r="LVX30"/>
      <c r="LVY30"/>
      <c r="LVZ30"/>
      <c r="LWA30"/>
      <c r="LWB30"/>
      <c r="LWC30"/>
      <c r="LWD30"/>
      <c r="LWE30"/>
      <c r="LWF30"/>
      <c r="LWG30"/>
      <c r="LWH30"/>
      <c r="LWI30"/>
      <c r="LWJ30"/>
      <c r="LWK30"/>
      <c r="LWL30"/>
      <c r="LWM30"/>
      <c r="LWN30"/>
      <c r="LWO30"/>
      <c r="LWP30"/>
      <c r="LWQ30"/>
      <c r="LWR30"/>
      <c r="LWS30"/>
      <c r="LWT30"/>
      <c r="LWU30"/>
      <c r="LWV30"/>
      <c r="LWW30"/>
      <c r="LWX30"/>
      <c r="LWY30"/>
      <c r="LWZ30"/>
      <c r="LXA30"/>
      <c r="LXB30"/>
      <c r="LXC30"/>
      <c r="LXD30"/>
      <c r="LXE30"/>
      <c r="LXF30"/>
      <c r="LXG30"/>
      <c r="LXH30"/>
      <c r="LXI30"/>
      <c r="LXJ30"/>
      <c r="LXK30"/>
      <c r="LXL30"/>
      <c r="LXM30"/>
      <c r="LXN30"/>
      <c r="LXO30"/>
      <c r="LXP30"/>
      <c r="LXQ30"/>
      <c r="LXR30"/>
      <c r="LXS30"/>
      <c r="LXT30"/>
      <c r="LXU30"/>
      <c r="LXV30"/>
      <c r="LXW30"/>
      <c r="LXX30"/>
      <c r="LXY30"/>
      <c r="LXZ30"/>
      <c r="LYA30"/>
      <c r="LYB30"/>
      <c r="LYC30"/>
      <c r="LYD30"/>
      <c r="LYE30"/>
      <c r="LYF30"/>
      <c r="LYG30"/>
      <c r="LYH30"/>
      <c r="LYI30"/>
      <c r="LYJ30"/>
      <c r="LYK30"/>
      <c r="LYL30"/>
      <c r="LYM30"/>
      <c r="LYN30"/>
      <c r="LYO30"/>
      <c r="LYP30"/>
      <c r="LYQ30"/>
      <c r="LYR30"/>
      <c r="LYS30"/>
      <c r="LYT30"/>
      <c r="LYU30"/>
      <c r="LYV30"/>
      <c r="LYW30"/>
      <c r="LYX30"/>
      <c r="LYY30"/>
      <c r="LYZ30"/>
      <c r="LZA30"/>
      <c r="LZB30"/>
      <c r="LZC30"/>
      <c r="LZD30"/>
      <c r="LZE30"/>
      <c r="LZF30"/>
      <c r="LZG30"/>
      <c r="LZH30"/>
      <c r="LZI30"/>
      <c r="LZJ30"/>
      <c r="LZK30"/>
      <c r="LZL30"/>
      <c r="LZM30"/>
      <c r="LZN30"/>
      <c r="LZO30"/>
      <c r="LZP30"/>
      <c r="LZQ30"/>
      <c r="LZR30"/>
      <c r="LZS30"/>
      <c r="LZT30"/>
      <c r="LZU30"/>
      <c r="LZV30"/>
      <c r="LZW30"/>
      <c r="LZX30"/>
      <c r="LZY30"/>
      <c r="LZZ30"/>
      <c r="MAA30"/>
      <c r="MAB30"/>
      <c r="MAC30"/>
      <c r="MAD30"/>
      <c r="MAE30"/>
      <c r="MAF30"/>
      <c r="MAG30"/>
      <c r="MAH30"/>
      <c r="MAI30"/>
      <c r="MAJ30"/>
      <c r="MAK30"/>
      <c r="MAL30"/>
      <c r="MAM30"/>
      <c r="MAN30"/>
      <c r="MAO30"/>
      <c r="MAP30"/>
      <c r="MAQ30"/>
      <c r="MAR30"/>
      <c r="MAS30"/>
      <c r="MAT30"/>
      <c r="MAU30"/>
      <c r="MAV30"/>
      <c r="MAW30"/>
      <c r="MAX30"/>
      <c r="MAY30"/>
      <c r="MAZ30"/>
      <c r="MBA30"/>
      <c r="MBB30"/>
      <c r="MBC30"/>
      <c r="MBD30"/>
      <c r="MBE30"/>
      <c r="MBF30"/>
      <c r="MBG30"/>
      <c r="MBH30"/>
      <c r="MBI30"/>
      <c r="MBJ30"/>
      <c r="MBK30"/>
      <c r="MBL30"/>
      <c r="MBM30"/>
      <c r="MBN30"/>
      <c r="MBO30"/>
      <c r="MBP30"/>
      <c r="MBQ30"/>
      <c r="MBR30"/>
      <c r="MBS30"/>
      <c r="MBT30"/>
      <c r="MBU30"/>
      <c r="MBV30"/>
      <c r="MBW30"/>
      <c r="MBX30"/>
      <c r="MBY30"/>
      <c r="MBZ30"/>
      <c r="MCA30"/>
      <c r="MCB30"/>
      <c r="MCC30"/>
      <c r="MCD30"/>
      <c r="MCE30"/>
      <c r="MCF30"/>
      <c r="MCG30"/>
      <c r="MCH30"/>
      <c r="MCI30"/>
      <c r="MCJ30"/>
      <c r="MCK30"/>
      <c r="MCL30"/>
      <c r="MCM30"/>
      <c r="MCN30"/>
      <c r="MCO30"/>
      <c r="MCP30"/>
      <c r="MCQ30"/>
      <c r="MCR30"/>
      <c r="MCS30"/>
      <c r="MCT30"/>
      <c r="MCU30"/>
      <c r="MCV30"/>
      <c r="MCW30"/>
      <c r="MCX30"/>
      <c r="MCY30"/>
      <c r="MCZ30"/>
      <c r="MDA30"/>
      <c r="MDB30"/>
      <c r="MDC30"/>
      <c r="MDD30"/>
      <c r="MDE30"/>
      <c r="MDF30"/>
      <c r="MDG30"/>
      <c r="MDH30"/>
      <c r="MDI30"/>
      <c r="MDJ30"/>
      <c r="MDK30"/>
      <c r="MDL30"/>
      <c r="MDM30"/>
      <c r="MDN30"/>
      <c r="MDO30"/>
      <c r="MDP30"/>
      <c r="MDQ30"/>
      <c r="MDR30"/>
      <c r="MDS30"/>
      <c r="MDT30"/>
      <c r="MDU30"/>
      <c r="MDV30"/>
      <c r="MDW30"/>
      <c r="MDX30"/>
      <c r="MDY30"/>
      <c r="MDZ30"/>
      <c r="MEA30"/>
      <c r="MEB30"/>
      <c r="MEC30"/>
      <c r="MED30"/>
      <c r="MEE30"/>
      <c r="MEF30"/>
      <c r="MEG30"/>
      <c r="MEH30"/>
      <c r="MEI30"/>
      <c r="MEJ30"/>
      <c r="MEK30"/>
      <c r="MEL30"/>
      <c r="MEM30"/>
      <c r="MEN30"/>
      <c r="MEO30"/>
      <c r="MEP30"/>
      <c r="MEQ30"/>
      <c r="MER30"/>
      <c r="MES30"/>
      <c r="MET30"/>
      <c r="MEU30"/>
      <c r="MEV30"/>
      <c r="MEW30"/>
      <c r="MEX30"/>
      <c r="MEY30"/>
      <c r="MEZ30"/>
      <c r="MFA30"/>
      <c r="MFB30"/>
      <c r="MFC30"/>
      <c r="MFD30"/>
      <c r="MFE30"/>
      <c r="MFF30"/>
      <c r="MFG30"/>
      <c r="MFH30"/>
      <c r="MFI30"/>
      <c r="MFJ30"/>
      <c r="MFK30"/>
      <c r="MFL30"/>
      <c r="MFM30"/>
      <c r="MFN30"/>
      <c r="MFO30"/>
      <c r="MFP30"/>
      <c r="MFQ30"/>
      <c r="MFR30"/>
      <c r="MFS30"/>
      <c r="MFT30"/>
      <c r="MFU30"/>
      <c r="MFV30"/>
      <c r="MFW30"/>
      <c r="MFX30"/>
      <c r="MFY30"/>
      <c r="MFZ30"/>
      <c r="MGA30"/>
      <c r="MGB30"/>
      <c r="MGC30"/>
      <c r="MGD30"/>
      <c r="MGE30"/>
      <c r="MGF30"/>
      <c r="MGG30"/>
      <c r="MGH30"/>
      <c r="MGI30"/>
      <c r="MGJ30"/>
      <c r="MGK30"/>
      <c r="MGL30"/>
      <c r="MGM30"/>
      <c r="MGN30"/>
      <c r="MGO30"/>
      <c r="MGP30"/>
      <c r="MGQ30"/>
      <c r="MGR30"/>
      <c r="MGS30"/>
      <c r="MGT30"/>
      <c r="MGU30"/>
      <c r="MGV30"/>
      <c r="MGW30"/>
      <c r="MGX30"/>
      <c r="MGY30"/>
      <c r="MGZ30"/>
      <c r="MHA30"/>
      <c r="MHB30"/>
      <c r="MHC30"/>
      <c r="MHD30"/>
      <c r="MHE30"/>
      <c r="MHF30"/>
      <c r="MHG30"/>
      <c r="MHH30"/>
      <c r="MHI30"/>
      <c r="MHJ30"/>
      <c r="MHK30"/>
      <c r="MHL30"/>
      <c r="MHM30"/>
      <c r="MHN30"/>
      <c r="MHO30"/>
      <c r="MHP30"/>
      <c r="MHQ30"/>
      <c r="MHR30"/>
      <c r="MHS30"/>
      <c r="MHT30"/>
      <c r="MHU30"/>
      <c r="MHV30"/>
      <c r="MHW30"/>
      <c r="MHX30"/>
      <c r="MHY30"/>
      <c r="MHZ30"/>
      <c r="MIA30"/>
      <c r="MIB30"/>
      <c r="MIC30"/>
      <c r="MID30"/>
      <c r="MIE30"/>
      <c r="MIF30"/>
      <c r="MIG30"/>
      <c r="MIH30"/>
      <c r="MII30"/>
      <c r="MIJ30"/>
      <c r="MIK30"/>
      <c r="MIL30"/>
      <c r="MIM30"/>
      <c r="MIN30"/>
      <c r="MIO30"/>
      <c r="MIP30"/>
      <c r="MIQ30"/>
      <c r="MIR30"/>
      <c r="MIS30"/>
      <c r="MIT30"/>
      <c r="MIU30"/>
      <c r="MIV30"/>
      <c r="MIW30"/>
      <c r="MIX30"/>
      <c r="MIY30"/>
      <c r="MIZ30"/>
      <c r="MJA30"/>
      <c r="MJB30"/>
      <c r="MJC30"/>
      <c r="MJD30"/>
      <c r="MJE30"/>
      <c r="MJF30"/>
      <c r="MJG30"/>
      <c r="MJH30"/>
      <c r="MJI30"/>
      <c r="MJJ30"/>
      <c r="MJK30"/>
      <c r="MJL30"/>
      <c r="MJM30"/>
      <c r="MJN30"/>
      <c r="MJO30"/>
      <c r="MJP30"/>
      <c r="MJQ30"/>
      <c r="MJR30"/>
      <c r="MJS30"/>
      <c r="MJT30"/>
      <c r="MJU30"/>
      <c r="MJV30"/>
      <c r="MJW30"/>
      <c r="MJX30"/>
      <c r="MJY30"/>
      <c r="MJZ30"/>
      <c r="MKA30"/>
      <c r="MKB30"/>
      <c r="MKC30"/>
      <c r="MKD30"/>
      <c r="MKE30"/>
      <c r="MKF30"/>
      <c r="MKG30"/>
      <c r="MKH30"/>
      <c r="MKI30"/>
      <c r="MKJ30"/>
      <c r="MKK30"/>
      <c r="MKL30"/>
      <c r="MKM30"/>
      <c r="MKN30"/>
      <c r="MKO30"/>
      <c r="MKP30"/>
      <c r="MKQ30"/>
      <c r="MKR30"/>
      <c r="MKS30"/>
      <c r="MKT30"/>
      <c r="MKU30"/>
      <c r="MKV30"/>
      <c r="MKW30"/>
      <c r="MKX30"/>
      <c r="MKY30"/>
      <c r="MKZ30"/>
      <c r="MLA30"/>
      <c r="MLB30"/>
      <c r="MLC30"/>
      <c r="MLD30"/>
      <c r="MLE30"/>
      <c r="MLF30"/>
      <c r="MLG30"/>
      <c r="MLH30"/>
      <c r="MLI30"/>
      <c r="MLJ30"/>
      <c r="MLK30"/>
      <c r="MLL30"/>
      <c r="MLM30"/>
      <c r="MLN30"/>
      <c r="MLO30"/>
      <c r="MLP30"/>
      <c r="MLQ30"/>
      <c r="MLR30"/>
      <c r="MLS30"/>
      <c r="MLT30"/>
      <c r="MLU30"/>
      <c r="MLV30"/>
      <c r="MLW30"/>
      <c r="MLX30"/>
      <c r="MLY30"/>
      <c r="MLZ30"/>
      <c r="MMA30"/>
      <c r="MMB30"/>
      <c r="MMC30"/>
      <c r="MMD30"/>
      <c r="MME30"/>
      <c r="MMF30"/>
      <c r="MMG30"/>
      <c r="MMH30"/>
      <c r="MMI30"/>
      <c r="MMJ30"/>
      <c r="MMK30"/>
      <c r="MML30"/>
      <c r="MMM30"/>
      <c r="MMN30"/>
      <c r="MMO30"/>
      <c r="MMP30"/>
      <c r="MMQ30"/>
      <c r="MMR30"/>
      <c r="MMS30"/>
      <c r="MMT30"/>
      <c r="MMU30"/>
      <c r="MMV30"/>
      <c r="MMW30"/>
      <c r="MMX30"/>
      <c r="MMY30"/>
      <c r="MMZ30"/>
      <c r="MNA30"/>
      <c r="MNB30"/>
      <c r="MNC30"/>
      <c r="MND30"/>
      <c r="MNE30"/>
      <c r="MNF30"/>
      <c r="MNG30"/>
      <c r="MNH30"/>
      <c r="MNI30"/>
      <c r="MNJ30"/>
      <c r="MNK30"/>
      <c r="MNL30"/>
      <c r="MNM30"/>
      <c r="MNN30"/>
      <c r="MNO30"/>
      <c r="MNP30"/>
      <c r="MNQ30"/>
      <c r="MNR30"/>
      <c r="MNS30"/>
      <c r="MNT30"/>
      <c r="MNU30"/>
      <c r="MNV30"/>
      <c r="MNW30"/>
      <c r="MNX30"/>
      <c r="MNY30"/>
      <c r="MNZ30"/>
      <c r="MOA30"/>
      <c r="MOB30"/>
      <c r="MOC30"/>
      <c r="MOD30"/>
      <c r="MOE30"/>
      <c r="MOF30"/>
      <c r="MOG30"/>
      <c r="MOH30"/>
      <c r="MOI30"/>
      <c r="MOJ30"/>
      <c r="MOK30"/>
      <c r="MOL30"/>
      <c r="MOM30"/>
      <c r="MON30"/>
      <c r="MOO30"/>
      <c r="MOP30"/>
      <c r="MOQ30"/>
      <c r="MOR30"/>
      <c r="MOS30"/>
      <c r="MOT30"/>
      <c r="MOU30"/>
      <c r="MOV30"/>
      <c r="MOW30"/>
      <c r="MOX30"/>
      <c r="MOY30"/>
      <c r="MOZ30"/>
      <c r="MPA30"/>
      <c r="MPB30"/>
      <c r="MPC30"/>
      <c r="MPD30"/>
      <c r="MPE30"/>
      <c r="MPF30"/>
      <c r="MPG30"/>
      <c r="MPH30"/>
      <c r="MPI30"/>
      <c r="MPJ30"/>
      <c r="MPK30"/>
      <c r="MPL30"/>
      <c r="MPM30"/>
      <c r="MPN30"/>
      <c r="MPO30"/>
      <c r="MPP30"/>
      <c r="MPQ30"/>
      <c r="MPR30"/>
      <c r="MPS30"/>
      <c r="MPT30"/>
      <c r="MPU30"/>
      <c r="MPV30"/>
      <c r="MPW30"/>
      <c r="MPX30"/>
      <c r="MPY30"/>
      <c r="MPZ30"/>
      <c r="MQA30"/>
      <c r="MQB30"/>
      <c r="MQC30"/>
      <c r="MQD30"/>
      <c r="MQE30"/>
      <c r="MQF30"/>
      <c r="MQG30"/>
      <c r="MQH30"/>
      <c r="MQI30"/>
      <c r="MQJ30"/>
      <c r="MQK30"/>
      <c r="MQL30"/>
      <c r="MQM30"/>
      <c r="MQN30"/>
      <c r="MQO30"/>
      <c r="MQP30"/>
      <c r="MQQ30"/>
      <c r="MQR30"/>
      <c r="MQS30"/>
      <c r="MQT30"/>
      <c r="MQU30"/>
      <c r="MQV30"/>
      <c r="MQW30"/>
      <c r="MQX30"/>
      <c r="MQY30"/>
      <c r="MQZ30"/>
      <c r="MRA30"/>
      <c r="MRB30"/>
      <c r="MRC30"/>
      <c r="MRD30"/>
      <c r="MRE30"/>
      <c r="MRF30"/>
      <c r="MRG30"/>
      <c r="MRH30"/>
      <c r="MRI30"/>
      <c r="MRJ30"/>
      <c r="MRK30"/>
      <c r="MRL30"/>
      <c r="MRM30"/>
      <c r="MRN30"/>
      <c r="MRO30"/>
      <c r="MRP30"/>
      <c r="MRQ30"/>
      <c r="MRR30"/>
      <c r="MRS30"/>
      <c r="MRT30"/>
      <c r="MRU30"/>
      <c r="MRV30"/>
      <c r="MRW30"/>
      <c r="MRX30"/>
      <c r="MRY30"/>
      <c r="MRZ30"/>
      <c r="MSA30"/>
      <c r="MSB30"/>
      <c r="MSC30"/>
      <c r="MSD30"/>
      <c r="MSE30"/>
      <c r="MSF30"/>
      <c r="MSG30"/>
      <c r="MSH30"/>
      <c r="MSI30"/>
      <c r="MSJ30"/>
      <c r="MSK30"/>
      <c r="MSL30"/>
      <c r="MSM30"/>
      <c r="MSN30"/>
      <c r="MSO30"/>
      <c r="MSP30"/>
      <c r="MSQ30"/>
      <c r="MSR30"/>
      <c r="MSS30"/>
      <c r="MST30"/>
      <c r="MSU30"/>
      <c r="MSV30"/>
      <c r="MSW30"/>
      <c r="MSX30"/>
      <c r="MSY30"/>
      <c r="MSZ30"/>
      <c r="MTA30"/>
      <c r="MTB30"/>
      <c r="MTC30"/>
      <c r="MTD30"/>
      <c r="MTE30"/>
      <c r="MTF30"/>
      <c r="MTG30"/>
      <c r="MTH30"/>
      <c r="MTI30"/>
      <c r="MTJ30"/>
      <c r="MTK30"/>
      <c r="MTL30"/>
      <c r="MTM30"/>
      <c r="MTN30"/>
      <c r="MTO30"/>
      <c r="MTP30"/>
      <c r="MTQ30"/>
      <c r="MTR30"/>
      <c r="MTS30"/>
      <c r="MTT30"/>
      <c r="MTU30"/>
      <c r="MTV30"/>
      <c r="MTW30"/>
      <c r="MTX30"/>
      <c r="MTY30"/>
      <c r="MTZ30"/>
      <c r="MUA30"/>
      <c r="MUB30"/>
      <c r="MUC30"/>
      <c r="MUD30"/>
      <c r="MUE30"/>
      <c r="MUF30"/>
      <c r="MUG30"/>
      <c r="MUH30"/>
      <c r="MUI30"/>
      <c r="MUJ30"/>
      <c r="MUK30"/>
      <c r="MUL30"/>
      <c r="MUM30"/>
      <c r="MUN30"/>
      <c r="MUO30"/>
      <c r="MUP30"/>
      <c r="MUQ30"/>
      <c r="MUR30"/>
      <c r="MUS30"/>
      <c r="MUT30"/>
      <c r="MUU30"/>
      <c r="MUV30"/>
      <c r="MUW30"/>
      <c r="MUX30"/>
      <c r="MUY30"/>
      <c r="MUZ30"/>
      <c r="MVA30"/>
      <c r="MVB30"/>
      <c r="MVC30"/>
      <c r="MVD30"/>
      <c r="MVE30"/>
      <c r="MVF30"/>
      <c r="MVG30"/>
      <c r="MVH30"/>
      <c r="MVI30"/>
      <c r="MVJ30"/>
      <c r="MVK30"/>
      <c r="MVL30"/>
      <c r="MVM30"/>
      <c r="MVN30"/>
      <c r="MVO30"/>
      <c r="MVP30"/>
      <c r="MVQ30"/>
      <c r="MVR30"/>
      <c r="MVS30"/>
      <c r="MVT30"/>
      <c r="MVU30"/>
      <c r="MVV30"/>
      <c r="MVW30"/>
      <c r="MVX30"/>
      <c r="MVY30"/>
      <c r="MVZ30"/>
      <c r="MWA30"/>
      <c r="MWB30"/>
      <c r="MWC30"/>
      <c r="MWD30"/>
      <c r="MWE30"/>
      <c r="MWF30"/>
      <c r="MWG30"/>
      <c r="MWH30"/>
      <c r="MWI30"/>
      <c r="MWJ30"/>
      <c r="MWK30"/>
      <c r="MWL30"/>
      <c r="MWM30"/>
      <c r="MWN30"/>
      <c r="MWO30"/>
      <c r="MWP30"/>
      <c r="MWQ30"/>
      <c r="MWR30"/>
      <c r="MWS30"/>
      <c r="MWT30"/>
      <c r="MWU30"/>
      <c r="MWV30"/>
      <c r="MWW30"/>
      <c r="MWX30"/>
      <c r="MWY30"/>
      <c r="MWZ30"/>
      <c r="MXA30"/>
      <c r="MXB30"/>
      <c r="MXC30"/>
      <c r="MXD30"/>
      <c r="MXE30"/>
      <c r="MXF30"/>
      <c r="MXG30"/>
      <c r="MXH30"/>
      <c r="MXI30"/>
      <c r="MXJ30"/>
      <c r="MXK30"/>
      <c r="MXL30"/>
      <c r="MXM30"/>
      <c r="MXN30"/>
      <c r="MXO30"/>
      <c r="MXP30"/>
      <c r="MXQ30"/>
      <c r="MXR30"/>
      <c r="MXS30"/>
      <c r="MXT30"/>
      <c r="MXU30"/>
      <c r="MXV30"/>
      <c r="MXW30"/>
      <c r="MXX30"/>
      <c r="MXY30"/>
      <c r="MXZ30"/>
      <c r="MYA30"/>
      <c r="MYB30"/>
      <c r="MYC30"/>
      <c r="MYD30"/>
      <c r="MYE30"/>
      <c r="MYF30"/>
      <c r="MYG30"/>
      <c r="MYH30"/>
      <c r="MYI30"/>
      <c r="MYJ30"/>
      <c r="MYK30"/>
      <c r="MYL30"/>
      <c r="MYM30"/>
      <c r="MYN30"/>
      <c r="MYO30"/>
      <c r="MYP30"/>
      <c r="MYQ30"/>
      <c r="MYR30"/>
      <c r="MYS30"/>
      <c r="MYT30"/>
      <c r="MYU30"/>
      <c r="MYV30"/>
      <c r="MYW30"/>
      <c r="MYX30"/>
      <c r="MYY30"/>
      <c r="MYZ30"/>
      <c r="MZA30"/>
      <c r="MZB30"/>
      <c r="MZC30"/>
      <c r="MZD30"/>
      <c r="MZE30"/>
      <c r="MZF30"/>
      <c r="MZG30"/>
      <c r="MZH30"/>
      <c r="MZI30"/>
      <c r="MZJ30"/>
      <c r="MZK30"/>
      <c r="MZL30"/>
      <c r="MZM30"/>
      <c r="MZN30"/>
      <c r="MZO30"/>
      <c r="MZP30"/>
      <c r="MZQ30"/>
      <c r="MZR30"/>
      <c r="MZS30"/>
      <c r="MZT30"/>
      <c r="MZU30"/>
      <c r="MZV30"/>
      <c r="MZW30"/>
      <c r="MZX30"/>
      <c r="MZY30"/>
      <c r="MZZ30"/>
      <c r="NAA30"/>
      <c r="NAB30"/>
      <c r="NAC30"/>
      <c r="NAD30"/>
      <c r="NAE30"/>
      <c r="NAF30"/>
      <c r="NAG30"/>
      <c r="NAH30"/>
      <c r="NAI30"/>
      <c r="NAJ30"/>
      <c r="NAK30"/>
      <c r="NAL30"/>
      <c r="NAM30"/>
      <c r="NAN30"/>
      <c r="NAO30"/>
      <c r="NAP30"/>
      <c r="NAQ30"/>
      <c r="NAR30"/>
      <c r="NAS30"/>
      <c r="NAT30"/>
      <c r="NAU30"/>
      <c r="NAV30"/>
      <c r="NAW30"/>
      <c r="NAX30"/>
      <c r="NAY30"/>
      <c r="NAZ30"/>
      <c r="NBA30"/>
      <c r="NBB30"/>
      <c r="NBC30"/>
      <c r="NBD30"/>
      <c r="NBE30"/>
      <c r="NBF30"/>
      <c r="NBG30"/>
      <c r="NBH30"/>
      <c r="NBI30"/>
      <c r="NBJ30"/>
      <c r="NBK30"/>
      <c r="NBL30"/>
      <c r="NBM30"/>
      <c r="NBN30"/>
      <c r="NBO30"/>
      <c r="NBP30"/>
      <c r="NBQ30"/>
      <c r="NBR30"/>
      <c r="NBS30"/>
      <c r="NBT30"/>
      <c r="NBU30"/>
      <c r="NBV30"/>
      <c r="NBW30"/>
      <c r="NBX30"/>
      <c r="NBY30"/>
      <c r="NBZ30"/>
      <c r="NCA30"/>
      <c r="NCB30"/>
      <c r="NCC30"/>
      <c r="NCD30"/>
      <c r="NCE30"/>
      <c r="NCF30"/>
      <c r="NCG30"/>
      <c r="NCH30"/>
      <c r="NCI30"/>
      <c r="NCJ30"/>
      <c r="NCK30"/>
      <c r="NCL30"/>
      <c r="NCM30"/>
      <c r="NCN30"/>
      <c r="NCO30"/>
      <c r="NCP30"/>
      <c r="NCQ30"/>
      <c r="NCR30"/>
      <c r="NCS30"/>
      <c r="NCT30"/>
      <c r="NCU30"/>
      <c r="NCV30"/>
      <c r="NCW30"/>
      <c r="NCX30"/>
      <c r="NCY30"/>
      <c r="NCZ30"/>
      <c r="NDA30"/>
      <c r="NDB30"/>
      <c r="NDC30"/>
      <c r="NDD30"/>
      <c r="NDE30"/>
      <c r="NDF30"/>
      <c r="NDG30"/>
      <c r="NDH30"/>
      <c r="NDI30"/>
      <c r="NDJ30"/>
      <c r="NDK30"/>
      <c r="NDL30"/>
      <c r="NDM30"/>
      <c r="NDN30"/>
      <c r="NDO30"/>
      <c r="NDP30"/>
      <c r="NDQ30"/>
      <c r="NDR30"/>
      <c r="NDS30"/>
      <c r="NDT30"/>
      <c r="NDU30"/>
      <c r="NDV30"/>
      <c r="NDW30"/>
      <c r="NDX30"/>
      <c r="NDY30"/>
      <c r="NDZ30"/>
      <c r="NEA30"/>
      <c r="NEB30"/>
      <c r="NEC30"/>
      <c r="NED30"/>
      <c r="NEE30"/>
      <c r="NEF30"/>
      <c r="NEG30"/>
      <c r="NEH30"/>
      <c r="NEI30"/>
      <c r="NEJ30"/>
      <c r="NEK30"/>
      <c r="NEL30"/>
      <c r="NEM30"/>
      <c r="NEN30"/>
      <c r="NEO30"/>
      <c r="NEP30"/>
      <c r="NEQ30"/>
      <c r="NER30"/>
      <c r="NES30"/>
      <c r="NET30"/>
      <c r="NEU30"/>
      <c r="NEV30"/>
      <c r="NEW30"/>
      <c r="NEX30"/>
      <c r="NEY30"/>
      <c r="NEZ30"/>
      <c r="NFA30"/>
      <c r="NFB30"/>
      <c r="NFC30"/>
      <c r="NFD30"/>
      <c r="NFE30"/>
      <c r="NFF30"/>
      <c r="NFG30"/>
      <c r="NFH30"/>
      <c r="NFI30"/>
      <c r="NFJ30"/>
      <c r="NFK30"/>
      <c r="NFL30"/>
      <c r="NFM30"/>
      <c r="NFN30"/>
      <c r="NFO30"/>
      <c r="NFP30"/>
      <c r="NFQ30"/>
      <c r="NFR30"/>
      <c r="NFS30"/>
      <c r="NFT30"/>
      <c r="NFU30"/>
      <c r="NFV30"/>
      <c r="NFW30"/>
      <c r="NFX30"/>
      <c r="NFY30"/>
      <c r="NFZ30"/>
      <c r="NGA30"/>
      <c r="NGB30"/>
      <c r="NGC30"/>
      <c r="NGD30"/>
      <c r="NGE30"/>
      <c r="NGF30"/>
      <c r="NGG30"/>
      <c r="NGH30"/>
      <c r="NGI30"/>
      <c r="NGJ30"/>
      <c r="NGK30"/>
      <c r="NGL30"/>
      <c r="NGM30"/>
      <c r="NGN30"/>
      <c r="NGO30"/>
      <c r="NGP30"/>
      <c r="NGQ30"/>
      <c r="NGR30"/>
      <c r="NGS30"/>
      <c r="NGT30"/>
      <c r="NGU30"/>
      <c r="NGV30"/>
      <c r="NGW30"/>
      <c r="NGX30"/>
      <c r="NGY30"/>
      <c r="NGZ30"/>
      <c r="NHA30"/>
      <c r="NHB30"/>
      <c r="NHC30"/>
      <c r="NHD30"/>
      <c r="NHE30"/>
      <c r="NHF30"/>
      <c r="NHG30"/>
      <c r="NHH30"/>
      <c r="NHI30"/>
      <c r="NHJ30"/>
      <c r="NHK30"/>
      <c r="NHL30"/>
      <c r="NHM30"/>
      <c r="NHN30"/>
      <c r="NHO30"/>
      <c r="NHP30"/>
      <c r="NHQ30"/>
      <c r="NHR30"/>
      <c r="NHS30"/>
      <c r="NHT30"/>
      <c r="NHU30"/>
      <c r="NHV30"/>
      <c r="NHW30"/>
      <c r="NHX30"/>
      <c r="NHY30"/>
      <c r="NHZ30"/>
      <c r="NIA30"/>
      <c r="NIB30"/>
      <c r="NIC30"/>
      <c r="NID30"/>
      <c r="NIE30"/>
      <c r="NIF30"/>
      <c r="NIG30"/>
      <c r="NIH30"/>
      <c r="NII30"/>
      <c r="NIJ30"/>
      <c r="NIK30"/>
      <c r="NIL30"/>
      <c r="NIM30"/>
      <c r="NIN30"/>
      <c r="NIO30"/>
      <c r="NIP30"/>
      <c r="NIQ30"/>
      <c r="NIR30"/>
      <c r="NIS30"/>
      <c r="NIT30"/>
      <c r="NIU30"/>
      <c r="NIV30"/>
      <c r="NIW30"/>
      <c r="NIX30"/>
      <c r="NIY30"/>
      <c r="NIZ30"/>
      <c r="NJA30"/>
      <c r="NJB30"/>
      <c r="NJC30"/>
      <c r="NJD30"/>
      <c r="NJE30"/>
      <c r="NJF30"/>
      <c r="NJG30"/>
      <c r="NJH30"/>
      <c r="NJI30"/>
      <c r="NJJ30"/>
      <c r="NJK30"/>
      <c r="NJL30"/>
      <c r="NJM30"/>
      <c r="NJN30"/>
      <c r="NJO30"/>
      <c r="NJP30"/>
      <c r="NJQ30"/>
      <c r="NJR30"/>
      <c r="NJS30"/>
      <c r="NJT30"/>
      <c r="NJU30"/>
      <c r="NJV30"/>
      <c r="NJW30"/>
      <c r="NJX30"/>
      <c r="NJY30"/>
      <c r="NJZ30"/>
      <c r="NKA30"/>
      <c r="NKB30"/>
      <c r="NKC30"/>
      <c r="NKD30"/>
      <c r="NKE30"/>
      <c r="NKF30"/>
      <c r="NKG30"/>
      <c r="NKH30"/>
      <c r="NKI30"/>
      <c r="NKJ30"/>
      <c r="NKK30"/>
      <c r="NKL30"/>
      <c r="NKM30"/>
      <c r="NKN30"/>
      <c r="NKO30"/>
      <c r="NKP30"/>
      <c r="NKQ30"/>
      <c r="NKR30"/>
      <c r="NKS30"/>
      <c r="NKT30"/>
      <c r="NKU30"/>
      <c r="NKV30"/>
      <c r="NKW30"/>
      <c r="NKX30"/>
      <c r="NKY30"/>
      <c r="NKZ30"/>
      <c r="NLA30"/>
      <c r="NLB30"/>
      <c r="NLC30"/>
      <c r="NLD30"/>
      <c r="NLE30"/>
      <c r="NLF30"/>
      <c r="NLG30"/>
      <c r="NLH30"/>
      <c r="NLI30"/>
      <c r="NLJ30"/>
      <c r="NLK30"/>
      <c r="NLL30"/>
      <c r="NLM30"/>
      <c r="NLN30"/>
      <c r="NLO30"/>
      <c r="NLP30"/>
      <c r="NLQ30"/>
      <c r="NLR30"/>
      <c r="NLS30"/>
      <c r="NLT30"/>
      <c r="NLU30"/>
      <c r="NLV30"/>
      <c r="NLW30"/>
      <c r="NLX30"/>
      <c r="NLY30"/>
      <c r="NLZ30"/>
      <c r="NMA30"/>
      <c r="NMB30"/>
      <c r="NMC30"/>
      <c r="NMD30"/>
      <c r="NME30"/>
      <c r="NMF30"/>
      <c r="NMG30"/>
      <c r="NMH30"/>
      <c r="NMI30"/>
      <c r="NMJ30"/>
      <c r="NMK30"/>
      <c r="NML30"/>
      <c r="NMM30"/>
      <c r="NMN30"/>
      <c r="NMO30"/>
      <c r="NMP30"/>
      <c r="NMQ30"/>
      <c r="NMR30"/>
      <c r="NMS30"/>
      <c r="NMT30"/>
      <c r="NMU30"/>
      <c r="NMV30"/>
      <c r="NMW30"/>
      <c r="NMX30"/>
      <c r="NMY30"/>
      <c r="NMZ30"/>
      <c r="NNA30"/>
      <c r="NNB30"/>
      <c r="NNC30"/>
      <c r="NND30"/>
      <c r="NNE30"/>
      <c r="NNF30"/>
      <c r="NNG30"/>
      <c r="NNH30"/>
      <c r="NNI30"/>
      <c r="NNJ30"/>
      <c r="NNK30"/>
      <c r="NNL30"/>
      <c r="NNM30"/>
      <c r="NNN30"/>
      <c r="NNO30"/>
      <c r="NNP30"/>
      <c r="NNQ30"/>
      <c r="NNR30"/>
      <c r="NNS30"/>
      <c r="NNT30"/>
      <c r="NNU30"/>
      <c r="NNV30"/>
      <c r="NNW30"/>
      <c r="NNX30"/>
      <c r="NNY30"/>
      <c r="NNZ30"/>
      <c r="NOA30"/>
      <c r="NOB30"/>
      <c r="NOC30"/>
      <c r="NOD30"/>
      <c r="NOE30"/>
      <c r="NOF30"/>
      <c r="NOG30"/>
      <c r="NOH30"/>
      <c r="NOI30"/>
      <c r="NOJ30"/>
      <c r="NOK30"/>
      <c r="NOL30"/>
      <c r="NOM30"/>
      <c r="NON30"/>
      <c r="NOO30"/>
      <c r="NOP30"/>
      <c r="NOQ30"/>
      <c r="NOR30"/>
      <c r="NOS30"/>
      <c r="NOT30"/>
      <c r="NOU30"/>
      <c r="NOV30"/>
      <c r="NOW30"/>
      <c r="NOX30"/>
      <c r="NOY30"/>
      <c r="NOZ30"/>
      <c r="NPA30"/>
      <c r="NPB30"/>
      <c r="NPC30"/>
      <c r="NPD30"/>
      <c r="NPE30"/>
      <c r="NPF30"/>
      <c r="NPG30"/>
      <c r="NPH30"/>
      <c r="NPI30"/>
      <c r="NPJ30"/>
      <c r="NPK30"/>
      <c r="NPL30"/>
      <c r="NPM30"/>
      <c r="NPN30"/>
      <c r="NPO30"/>
      <c r="NPP30"/>
      <c r="NPQ30"/>
      <c r="NPR30"/>
      <c r="NPS30"/>
      <c r="NPT30"/>
      <c r="NPU30"/>
      <c r="NPV30"/>
      <c r="NPW30"/>
      <c r="NPX30"/>
      <c r="NPY30"/>
      <c r="NPZ30"/>
      <c r="NQA30"/>
      <c r="NQB30"/>
      <c r="NQC30"/>
      <c r="NQD30"/>
      <c r="NQE30"/>
      <c r="NQF30"/>
      <c r="NQG30"/>
      <c r="NQH30"/>
      <c r="NQI30"/>
      <c r="NQJ30"/>
      <c r="NQK30"/>
      <c r="NQL30"/>
      <c r="NQM30"/>
      <c r="NQN30"/>
      <c r="NQO30"/>
      <c r="NQP30"/>
      <c r="NQQ30"/>
      <c r="NQR30"/>
      <c r="NQS30"/>
      <c r="NQT30"/>
      <c r="NQU30"/>
      <c r="NQV30"/>
      <c r="NQW30"/>
      <c r="NQX30"/>
      <c r="NQY30"/>
      <c r="NQZ30"/>
      <c r="NRA30"/>
      <c r="NRB30"/>
      <c r="NRC30"/>
      <c r="NRD30"/>
      <c r="NRE30"/>
      <c r="NRF30"/>
      <c r="NRG30"/>
      <c r="NRH30"/>
      <c r="NRI30"/>
      <c r="NRJ30"/>
      <c r="NRK30"/>
      <c r="NRL30"/>
      <c r="NRM30"/>
      <c r="NRN30"/>
      <c r="NRO30"/>
      <c r="NRP30"/>
      <c r="NRQ30"/>
      <c r="NRR30"/>
      <c r="NRS30"/>
      <c r="NRT30"/>
      <c r="NRU30"/>
      <c r="NRV30"/>
      <c r="NRW30"/>
      <c r="NRX30"/>
      <c r="NRY30"/>
      <c r="NRZ30"/>
      <c r="NSA30"/>
      <c r="NSB30"/>
      <c r="NSC30"/>
      <c r="NSD30"/>
      <c r="NSE30"/>
      <c r="NSF30"/>
      <c r="NSG30"/>
      <c r="NSH30"/>
      <c r="NSI30"/>
      <c r="NSJ30"/>
      <c r="NSK30"/>
      <c r="NSL30"/>
      <c r="NSM30"/>
      <c r="NSN30"/>
      <c r="NSO30"/>
      <c r="NSP30"/>
      <c r="NSQ30"/>
      <c r="NSR30"/>
      <c r="NSS30"/>
      <c r="NST30"/>
      <c r="NSU30"/>
      <c r="NSV30"/>
      <c r="NSW30"/>
      <c r="NSX30"/>
      <c r="NSY30"/>
      <c r="NSZ30"/>
      <c r="NTA30"/>
      <c r="NTB30"/>
      <c r="NTC30"/>
      <c r="NTD30"/>
      <c r="NTE30"/>
      <c r="NTF30"/>
      <c r="NTG30"/>
      <c r="NTH30"/>
      <c r="NTI30"/>
      <c r="NTJ30"/>
      <c r="NTK30"/>
      <c r="NTL30"/>
      <c r="NTM30"/>
      <c r="NTN30"/>
      <c r="NTO30"/>
      <c r="NTP30"/>
      <c r="NTQ30"/>
      <c r="NTR30"/>
      <c r="NTS30"/>
      <c r="NTT30"/>
      <c r="NTU30"/>
      <c r="NTV30"/>
      <c r="NTW30"/>
      <c r="NTX30"/>
      <c r="NTY30"/>
      <c r="NTZ30"/>
      <c r="NUA30"/>
      <c r="NUB30"/>
      <c r="NUC30"/>
      <c r="NUD30"/>
      <c r="NUE30"/>
      <c r="NUF30"/>
      <c r="NUG30"/>
      <c r="NUH30"/>
      <c r="NUI30"/>
      <c r="NUJ30"/>
      <c r="NUK30"/>
      <c r="NUL30"/>
      <c r="NUM30"/>
      <c r="NUN30"/>
      <c r="NUO30"/>
      <c r="NUP30"/>
      <c r="NUQ30"/>
      <c r="NUR30"/>
      <c r="NUS30"/>
      <c r="NUT30"/>
      <c r="NUU30"/>
      <c r="NUV30"/>
      <c r="NUW30"/>
      <c r="NUX30"/>
      <c r="NUY30"/>
      <c r="NUZ30"/>
      <c r="NVA30"/>
      <c r="NVB30"/>
      <c r="NVC30"/>
      <c r="NVD30"/>
      <c r="NVE30"/>
      <c r="NVF30"/>
      <c r="NVG30"/>
      <c r="NVH30"/>
      <c r="NVI30"/>
      <c r="NVJ30"/>
      <c r="NVK30"/>
      <c r="NVL30"/>
      <c r="NVM30"/>
      <c r="NVN30"/>
      <c r="NVO30"/>
      <c r="NVP30"/>
      <c r="NVQ30"/>
      <c r="NVR30"/>
      <c r="NVS30"/>
      <c r="NVT30"/>
      <c r="NVU30"/>
      <c r="NVV30"/>
      <c r="NVW30"/>
      <c r="NVX30"/>
      <c r="NVY30"/>
      <c r="NVZ30"/>
      <c r="NWA30"/>
      <c r="NWB30"/>
      <c r="NWC30"/>
      <c r="NWD30"/>
      <c r="NWE30"/>
      <c r="NWF30"/>
      <c r="NWG30"/>
      <c r="NWH30"/>
      <c r="NWI30"/>
      <c r="NWJ30"/>
      <c r="NWK30"/>
      <c r="NWL30"/>
      <c r="NWM30"/>
      <c r="NWN30"/>
      <c r="NWO30"/>
      <c r="NWP30"/>
      <c r="NWQ30"/>
      <c r="NWR30"/>
      <c r="NWS30"/>
      <c r="NWT30"/>
      <c r="NWU30"/>
      <c r="NWV30"/>
      <c r="NWW30"/>
      <c r="NWX30"/>
      <c r="NWY30"/>
      <c r="NWZ30"/>
      <c r="NXA30"/>
      <c r="NXB30"/>
      <c r="NXC30"/>
      <c r="NXD30"/>
      <c r="NXE30"/>
      <c r="NXF30"/>
      <c r="NXG30"/>
      <c r="NXH30"/>
      <c r="NXI30"/>
      <c r="NXJ30"/>
      <c r="NXK30"/>
      <c r="NXL30"/>
      <c r="NXM30"/>
      <c r="NXN30"/>
      <c r="NXO30"/>
      <c r="NXP30"/>
      <c r="NXQ30"/>
      <c r="NXR30"/>
      <c r="NXS30"/>
      <c r="NXT30"/>
      <c r="NXU30"/>
      <c r="NXV30"/>
      <c r="NXW30"/>
      <c r="NXX30"/>
      <c r="NXY30"/>
      <c r="NXZ30"/>
      <c r="NYA30"/>
      <c r="NYB30"/>
      <c r="NYC30"/>
      <c r="NYD30"/>
      <c r="NYE30"/>
      <c r="NYF30"/>
      <c r="NYG30"/>
      <c r="NYH30"/>
      <c r="NYI30"/>
      <c r="NYJ30"/>
      <c r="NYK30"/>
      <c r="NYL30"/>
      <c r="NYM30"/>
      <c r="NYN30"/>
      <c r="NYO30"/>
      <c r="NYP30"/>
      <c r="NYQ30"/>
      <c r="NYR30"/>
      <c r="NYS30"/>
      <c r="NYT30"/>
      <c r="NYU30"/>
      <c r="NYV30"/>
      <c r="NYW30"/>
      <c r="NYX30"/>
      <c r="NYY30"/>
      <c r="NYZ30"/>
      <c r="NZA30"/>
      <c r="NZB30"/>
      <c r="NZC30"/>
      <c r="NZD30"/>
      <c r="NZE30"/>
      <c r="NZF30"/>
      <c r="NZG30"/>
      <c r="NZH30"/>
      <c r="NZI30"/>
      <c r="NZJ30"/>
      <c r="NZK30"/>
      <c r="NZL30"/>
      <c r="NZM30"/>
      <c r="NZN30"/>
      <c r="NZO30"/>
      <c r="NZP30"/>
      <c r="NZQ30"/>
      <c r="NZR30"/>
      <c r="NZS30"/>
      <c r="NZT30"/>
      <c r="NZU30"/>
      <c r="NZV30"/>
      <c r="NZW30"/>
      <c r="NZX30"/>
      <c r="NZY30"/>
      <c r="NZZ30"/>
      <c r="OAA30"/>
      <c r="OAB30"/>
      <c r="OAC30"/>
      <c r="OAD30"/>
      <c r="OAE30"/>
      <c r="OAF30"/>
      <c r="OAG30"/>
      <c r="OAH30"/>
      <c r="OAI30"/>
      <c r="OAJ30"/>
      <c r="OAK30"/>
      <c r="OAL30"/>
      <c r="OAM30"/>
      <c r="OAN30"/>
      <c r="OAO30"/>
      <c r="OAP30"/>
      <c r="OAQ30"/>
      <c r="OAR30"/>
      <c r="OAS30"/>
      <c r="OAT30"/>
      <c r="OAU30"/>
      <c r="OAV30"/>
      <c r="OAW30"/>
      <c r="OAX30"/>
      <c r="OAY30"/>
      <c r="OAZ30"/>
      <c r="OBA30"/>
      <c r="OBB30"/>
      <c r="OBC30"/>
      <c r="OBD30"/>
      <c r="OBE30"/>
      <c r="OBF30"/>
      <c r="OBG30"/>
      <c r="OBH30"/>
      <c r="OBI30"/>
      <c r="OBJ30"/>
      <c r="OBK30"/>
      <c r="OBL30"/>
      <c r="OBM30"/>
      <c r="OBN30"/>
      <c r="OBO30"/>
      <c r="OBP30"/>
      <c r="OBQ30"/>
      <c r="OBR30"/>
      <c r="OBS30"/>
      <c r="OBT30"/>
      <c r="OBU30"/>
      <c r="OBV30"/>
      <c r="OBW30"/>
      <c r="OBX30"/>
      <c r="OBY30"/>
      <c r="OBZ30"/>
      <c r="OCA30"/>
      <c r="OCB30"/>
      <c r="OCC30"/>
      <c r="OCD30"/>
      <c r="OCE30"/>
      <c r="OCF30"/>
      <c r="OCG30"/>
      <c r="OCH30"/>
      <c r="OCI30"/>
      <c r="OCJ30"/>
      <c r="OCK30"/>
      <c r="OCL30"/>
      <c r="OCM30"/>
      <c r="OCN30"/>
      <c r="OCO30"/>
      <c r="OCP30"/>
      <c r="OCQ30"/>
      <c r="OCR30"/>
      <c r="OCS30"/>
      <c r="OCT30"/>
      <c r="OCU30"/>
      <c r="OCV30"/>
      <c r="OCW30"/>
      <c r="OCX30"/>
      <c r="OCY30"/>
      <c r="OCZ30"/>
      <c r="ODA30"/>
      <c r="ODB30"/>
      <c r="ODC30"/>
      <c r="ODD30"/>
      <c r="ODE30"/>
      <c r="ODF30"/>
      <c r="ODG30"/>
      <c r="ODH30"/>
      <c r="ODI30"/>
      <c r="ODJ30"/>
      <c r="ODK30"/>
      <c r="ODL30"/>
      <c r="ODM30"/>
      <c r="ODN30"/>
      <c r="ODO30"/>
      <c r="ODP30"/>
      <c r="ODQ30"/>
      <c r="ODR30"/>
      <c r="ODS30"/>
      <c r="ODT30"/>
      <c r="ODU30"/>
      <c r="ODV30"/>
      <c r="ODW30"/>
      <c r="ODX30"/>
      <c r="ODY30"/>
      <c r="ODZ30"/>
      <c r="OEA30"/>
      <c r="OEB30"/>
      <c r="OEC30"/>
      <c r="OED30"/>
      <c r="OEE30"/>
      <c r="OEF30"/>
      <c r="OEG30"/>
      <c r="OEH30"/>
      <c r="OEI30"/>
      <c r="OEJ30"/>
      <c r="OEK30"/>
      <c r="OEL30"/>
      <c r="OEM30"/>
      <c r="OEN30"/>
      <c r="OEO30"/>
      <c r="OEP30"/>
      <c r="OEQ30"/>
      <c r="OER30"/>
      <c r="OES30"/>
      <c r="OET30"/>
      <c r="OEU30"/>
      <c r="OEV30"/>
      <c r="OEW30"/>
      <c r="OEX30"/>
      <c r="OEY30"/>
      <c r="OEZ30"/>
      <c r="OFA30"/>
      <c r="OFB30"/>
      <c r="OFC30"/>
      <c r="OFD30"/>
      <c r="OFE30"/>
      <c r="OFF30"/>
      <c r="OFG30"/>
      <c r="OFH30"/>
      <c r="OFI30"/>
      <c r="OFJ30"/>
      <c r="OFK30"/>
      <c r="OFL30"/>
      <c r="OFM30"/>
      <c r="OFN30"/>
      <c r="OFO30"/>
      <c r="OFP30"/>
      <c r="OFQ30"/>
      <c r="OFR30"/>
      <c r="OFS30"/>
      <c r="OFT30"/>
      <c r="OFU30"/>
      <c r="OFV30"/>
      <c r="OFW30"/>
      <c r="OFX30"/>
      <c r="OFY30"/>
      <c r="OFZ30"/>
      <c r="OGA30"/>
      <c r="OGB30"/>
      <c r="OGC30"/>
      <c r="OGD30"/>
      <c r="OGE30"/>
      <c r="OGF30"/>
      <c r="OGG30"/>
      <c r="OGH30"/>
      <c r="OGI30"/>
      <c r="OGJ30"/>
      <c r="OGK30"/>
      <c r="OGL30"/>
      <c r="OGM30"/>
      <c r="OGN30"/>
      <c r="OGO30"/>
      <c r="OGP30"/>
      <c r="OGQ30"/>
      <c r="OGR30"/>
      <c r="OGS30"/>
      <c r="OGT30"/>
      <c r="OGU30"/>
      <c r="OGV30"/>
      <c r="OGW30"/>
      <c r="OGX30"/>
      <c r="OGY30"/>
      <c r="OGZ30"/>
      <c r="OHA30"/>
      <c r="OHB30"/>
      <c r="OHC30"/>
      <c r="OHD30"/>
      <c r="OHE30"/>
      <c r="OHF30"/>
      <c r="OHG30"/>
      <c r="OHH30"/>
      <c r="OHI30"/>
      <c r="OHJ30"/>
      <c r="OHK30"/>
      <c r="OHL30"/>
      <c r="OHM30"/>
      <c r="OHN30"/>
      <c r="OHO30"/>
      <c r="OHP30"/>
      <c r="OHQ30"/>
      <c r="OHR30"/>
      <c r="OHS30"/>
      <c r="OHT30"/>
      <c r="OHU30"/>
      <c r="OHV30"/>
      <c r="OHW30"/>
      <c r="OHX30"/>
      <c r="OHY30"/>
      <c r="OHZ30"/>
      <c r="OIA30"/>
      <c r="OIB30"/>
      <c r="OIC30"/>
      <c r="OID30"/>
      <c r="OIE30"/>
      <c r="OIF30"/>
      <c r="OIG30"/>
      <c r="OIH30"/>
      <c r="OII30"/>
      <c r="OIJ30"/>
      <c r="OIK30"/>
      <c r="OIL30"/>
      <c r="OIM30"/>
      <c r="OIN30"/>
      <c r="OIO30"/>
      <c r="OIP30"/>
      <c r="OIQ30"/>
      <c r="OIR30"/>
      <c r="OIS30"/>
      <c r="OIT30"/>
      <c r="OIU30"/>
      <c r="OIV30"/>
      <c r="OIW30"/>
      <c r="OIX30"/>
      <c r="OIY30"/>
      <c r="OIZ30"/>
      <c r="OJA30"/>
      <c r="OJB30"/>
      <c r="OJC30"/>
      <c r="OJD30"/>
      <c r="OJE30"/>
      <c r="OJF30"/>
      <c r="OJG30"/>
      <c r="OJH30"/>
      <c r="OJI30"/>
      <c r="OJJ30"/>
      <c r="OJK30"/>
      <c r="OJL30"/>
      <c r="OJM30"/>
      <c r="OJN30"/>
      <c r="OJO30"/>
      <c r="OJP30"/>
      <c r="OJQ30"/>
      <c r="OJR30"/>
      <c r="OJS30"/>
      <c r="OJT30"/>
      <c r="OJU30"/>
      <c r="OJV30"/>
      <c r="OJW30"/>
      <c r="OJX30"/>
      <c r="OJY30"/>
      <c r="OJZ30"/>
      <c r="OKA30"/>
      <c r="OKB30"/>
      <c r="OKC30"/>
      <c r="OKD30"/>
      <c r="OKE30"/>
      <c r="OKF30"/>
      <c r="OKG30"/>
      <c r="OKH30"/>
      <c r="OKI30"/>
      <c r="OKJ30"/>
      <c r="OKK30"/>
      <c r="OKL30"/>
      <c r="OKM30"/>
      <c r="OKN30"/>
      <c r="OKO30"/>
      <c r="OKP30"/>
      <c r="OKQ30"/>
      <c r="OKR30"/>
      <c r="OKS30"/>
      <c r="OKT30"/>
      <c r="OKU30"/>
      <c r="OKV30"/>
      <c r="OKW30"/>
      <c r="OKX30"/>
      <c r="OKY30"/>
      <c r="OKZ30"/>
      <c r="OLA30"/>
      <c r="OLB30"/>
      <c r="OLC30"/>
      <c r="OLD30"/>
      <c r="OLE30"/>
      <c r="OLF30"/>
      <c r="OLG30"/>
      <c r="OLH30"/>
      <c r="OLI30"/>
      <c r="OLJ30"/>
      <c r="OLK30"/>
      <c r="OLL30"/>
      <c r="OLM30"/>
      <c r="OLN30"/>
      <c r="OLO30"/>
      <c r="OLP30"/>
      <c r="OLQ30"/>
      <c r="OLR30"/>
      <c r="OLS30"/>
      <c r="OLT30"/>
      <c r="OLU30"/>
      <c r="OLV30"/>
      <c r="OLW30"/>
      <c r="OLX30"/>
      <c r="OLY30"/>
      <c r="OLZ30"/>
      <c r="OMA30"/>
      <c r="OMB30"/>
      <c r="OMC30"/>
      <c r="OMD30"/>
      <c r="OME30"/>
      <c r="OMF30"/>
      <c r="OMG30"/>
      <c r="OMH30"/>
      <c r="OMI30"/>
      <c r="OMJ30"/>
      <c r="OMK30"/>
      <c r="OML30"/>
      <c r="OMM30"/>
      <c r="OMN30"/>
      <c r="OMO30"/>
      <c r="OMP30"/>
      <c r="OMQ30"/>
      <c r="OMR30"/>
      <c r="OMS30"/>
      <c r="OMT30"/>
      <c r="OMU30"/>
      <c r="OMV30"/>
      <c r="OMW30"/>
      <c r="OMX30"/>
      <c r="OMY30"/>
      <c r="OMZ30"/>
      <c r="ONA30"/>
      <c r="ONB30"/>
      <c r="ONC30"/>
      <c r="OND30"/>
      <c r="ONE30"/>
      <c r="ONF30"/>
      <c r="ONG30"/>
      <c r="ONH30"/>
      <c r="ONI30"/>
      <c r="ONJ30"/>
      <c r="ONK30"/>
      <c r="ONL30"/>
      <c r="ONM30"/>
      <c r="ONN30"/>
      <c r="ONO30"/>
      <c r="ONP30"/>
      <c r="ONQ30"/>
      <c r="ONR30"/>
      <c r="ONS30"/>
      <c r="ONT30"/>
      <c r="ONU30"/>
      <c r="ONV30"/>
      <c r="ONW30"/>
      <c r="ONX30"/>
      <c r="ONY30"/>
      <c r="ONZ30"/>
      <c r="OOA30"/>
      <c r="OOB30"/>
      <c r="OOC30"/>
      <c r="OOD30"/>
      <c r="OOE30"/>
      <c r="OOF30"/>
      <c r="OOG30"/>
      <c r="OOH30"/>
      <c r="OOI30"/>
      <c r="OOJ30"/>
      <c r="OOK30"/>
      <c r="OOL30"/>
      <c r="OOM30"/>
      <c r="OON30"/>
      <c r="OOO30"/>
      <c r="OOP30"/>
      <c r="OOQ30"/>
      <c r="OOR30"/>
      <c r="OOS30"/>
      <c r="OOT30"/>
      <c r="OOU30"/>
      <c r="OOV30"/>
      <c r="OOW30"/>
      <c r="OOX30"/>
      <c r="OOY30"/>
      <c r="OOZ30"/>
      <c r="OPA30"/>
      <c r="OPB30"/>
      <c r="OPC30"/>
      <c r="OPD30"/>
      <c r="OPE30"/>
      <c r="OPF30"/>
      <c r="OPG30"/>
      <c r="OPH30"/>
      <c r="OPI30"/>
      <c r="OPJ30"/>
      <c r="OPK30"/>
      <c r="OPL30"/>
      <c r="OPM30"/>
      <c r="OPN30"/>
      <c r="OPO30"/>
      <c r="OPP30"/>
      <c r="OPQ30"/>
      <c r="OPR30"/>
      <c r="OPS30"/>
      <c r="OPT30"/>
      <c r="OPU30"/>
      <c r="OPV30"/>
      <c r="OPW30"/>
      <c r="OPX30"/>
      <c r="OPY30"/>
      <c r="OPZ30"/>
      <c r="OQA30"/>
      <c r="OQB30"/>
      <c r="OQC30"/>
      <c r="OQD30"/>
      <c r="OQE30"/>
      <c r="OQF30"/>
      <c r="OQG30"/>
      <c r="OQH30"/>
      <c r="OQI30"/>
      <c r="OQJ30"/>
      <c r="OQK30"/>
      <c r="OQL30"/>
      <c r="OQM30"/>
      <c r="OQN30"/>
      <c r="OQO30"/>
      <c r="OQP30"/>
      <c r="OQQ30"/>
      <c r="OQR30"/>
      <c r="OQS30"/>
      <c r="OQT30"/>
      <c r="OQU30"/>
      <c r="OQV30"/>
      <c r="OQW30"/>
      <c r="OQX30"/>
      <c r="OQY30"/>
      <c r="OQZ30"/>
      <c r="ORA30"/>
      <c r="ORB30"/>
      <c r="ORC30"/>
      <c r="ORD30"/>
      <c r="ORE30"/>
      <c r="ORF30"/>
      <c r="ORG30"/>
      <c r="ORH30"/>
      <c r="ORI30"/>
      <c r="ORJ30"/>
      <c r="ORK30"/>
      <c r="ORL30"/>
      <c r="ORM30"/>
      <c r="ORN30"/>
      <c r="ORO30"/>
      <c r="ORP30"/>
      <c r="ORQ30"/>
      <c r="ORR30"/>
      <c r="ORS30"/>
      <c r="ORT30"/>
      <c r="ORU30"/>
      <c r="ORV30"/>
      <c r="ORW30"/>
      <c r="ORX30"/>
      <c r="ORY30"/>
      <c r="ORZ30"/>
      <c r="OSA30"/>
      <c r="OSB30"/>
      <c r="OSC30"/>
      <c r="OSD30"/>
      <c r="OSE30"/>
      <c r="OSF30"/>
      <c r="OSG30"/>
      <c r="OSH30"/>
      <c r="OSI30"/>
      <c r="OSJ30"/>
      <c r="OSK30"/>
      <c r="OSL30"/>
      <c r="OSM30"/>
      <c r="OSN30"/>
      <c r="OSO30"/>
      <c r="OSP30"/>
      <c r="OSQ30"/>
      <c r="OSR30"/>
      <c r="OSS30"/>
      <c r="OST30"/>
      <c r="OSU30"/>
      <c r="OSV30"/>
      <c r="OSW30"/>
      <c r="OSX30"/>
      <c r="OSY30"/>
      <c r="OSZ30"/>
      <c r="OTA30"/>
      <c r="OTB30"/>
      <c r="OTC30"/>
      <c r="OTD30"/>
      <c r="OTE30"/>
      <c r="OTF30"/>
      <c r="OTG30"/>
      <c r="OTH30"/>
      <c r="OTI30"/>
      <c r="OTJ30"/>
      <c r="OTK30"/>
      <c r="OTL30"/>
      <c r="OTM30"/>
      <c r="OTN30"/>
      <c r="OTO30"/>
      <c r="OTP30"/>
      <c r="OTQ30"/>
      <c r="OTR30"/>
      <c r="OTS30"/>
      <c r="OTT30"/>
      <c r="OTU30"/>
      <c r="OTV30"/>
      <c r="OTW30"/>
      <c r="OTX30"/>
      <c r="OTY30"/>
      <c r="OTZ30"/>
      <c r="OUA30"/>
      <c r="OUB30"/>
      <c r="OUC30"/>
      <c r="OUD30"/>
      <c r="OUE30"/>
      <c r="OUF30"/>
      <c r="OUG30"/>
      <c r="OUH30"/>
      <c r="OUI30"/>
      <c r="OUJ30"/>
      <c r="OUK30"/>
      <c r="OUL30"/>
      <c r="OUM30"/>
      <c r="OUN30"/>
      <c r="OUO30"/>
      <c r="OUP30"/>
      <c r="OUQ30"/>
      <c r="OUR30"/>
      <c r="OUS30"/>
      <c r="OUT30"/>
      <c r="OUU30"/>
      <c r="OUV30"/>
      <c r="OUW30"/>
      <c r="OUX30"/>
      <c r="OUY30"/>
      <c r="OUZ30"/>
      <c r="OVA30"/>
      <c r="OVB30"/>
      <c r="OVC30"/>
      <c r="OVD30"/>
      <c r="OVE30"/>
      <c r="OVF30"/>
      <c r="OVG30"/>
      <c r="OVH30"/>
      <c r="OVI30"/>
      <c r="OVJ30"/>
      <c r="OVK30"/>
      <c r="OVL30"/>
      <c r="OVM30"/>
      <c r="OVN30"/>
      <c r="OVO30"/>
      <c r="OVP30"/>
      <c r="OVQ30"/>
      <c r="OVR30"/>
      <c r="OVS30"/>
      <c r="OVT30"/>
      <c r="OVU30"/>
      <c r="OVV30"/>
      <c r="OVW30"/>
      <c r="OVX30"/>
      <c r="OVY30"/>
      <c r="OVZ30"/>
      <c r="OWA30"/>
      <c r="OWB30"/>
      <c r="OWC30"/>
      <c r="OWD30"/>
      <c r="OWE30"/>
      <c r="OWF30"/>
      <c r="OWG30"/>
      <c r="OWH30"/>
      <c r="OWI30"/>
      <c r="OWJ30"/>
      <c r="OWK30"/>
      <c r="OWL30"/>
      <c r="OWM30"/>
      <c r="OWN30"/>
      <c r="OWO30"/>
      <c r="OWP30"/>
      <c r="OWQ30"/>
      <c r="OWR30"/>
      <c r="OWS30"/>
      <c r="OWT30"/>
      <c r="OWU30"/>
      <c r="OWV30"/>
      <c r="OWW30"/>
      <c r="OWX30"/>
      <c r="OWY30"/>
      <c r="OWZ30"/>
      <c r="OXA30"/>
      <c r="OXB30"/>
      <c r="OXC30"/>
      <c r="OXD30"/>
      <c r="OXE30"/>
      <c r="OXF30"/>
      <c r="OXG30"/>
      <c r="OXH30"/>
      <c r="OXI30"/>
      <c r="OXJ30"/>
      <c r="OXK30"/>
      <c r="OXL30"/>
      <c r="OXM30"/>
      <c r="OXN30"/>
      <c r="OXO30"/>
      <c r="OXP30"/>
      <c r="OXQ30"/>
      <c r="OXR30"/>
      <c r="OXS30"/>
      <c r="OXT30"/>
      <c r="OXU30"/>
      <c r="OXV30"/>
      <c r="OXW30"/>
      <c r="OXX30"/>
      <c r="OXY30"/>
      <c r="OXZ30"/>
      <c r="OYA30"/>
      <c r="OYB30"/>
      <c r="OYC30"/>
      <c r="OYD30"/>
      <c r="OYE30"/>
      <c r="OYF30"/>
      <c r="OYG30"/>
      <c r="OYH30"/>
      <c r="OYI30"/>
      <c r="OYJ30"/>
      <c r="OYK30"/>
      <c r="OYL30"/>
      <c r="OYM30"/>
      <c r="OYN30"/>
      <c r="OYO30"/>
      <c r="OYP30"/>
      <c r="OYQ30"/>
      <c r="OYR30"/>
      <c r="OYS30"/>
      <c r="OYT30"/>
      <c r="OYU30"/>
      <c r="OYV30"/>
      <c r="OYW30"/>
      <c r="OYX30"/>
      <c r="OYY30"/>
      <c r="OYZ30"/>
      <c r="OZA30"/>
      <c r="OZB30"/>
      <c r="OZC30"/>
      <c r="OZD30"/>
      <c r="OZE30"/>
      <c r="OZF30"/>
      <c r="OZG30"/>
      <c r="OZH30"/>
      <c r="OZI30"/>
      <c r="OZJ30"/>
      <c r="OZK30"/>
      <c r="OZL30"/>
      <c r="OZM30"/>
      <c r="OZN30"/>
      <c r="OZO30"/>
      <c r="OZP30"/>
      <c r="OZQ30"/>
      <c r="OZR30"/>
      <c r="OZS30"/>
      <c r="OZT30"/>
      <c r="OZU30"/>
      <c r="OZV30"/>
      <c r="OZW30"/>
      <c r="OZX30"/>
      <c r="OZY30"/>
      <c r="OZZ30"/>
      <c r="PAA30"/>
      <c r="PAB30"/>
      <c r="PAC30"/>
      <c r="PAD30"/>
      <c r="PAE30"/>
      <c r="PAF30"/>
      <c r="PAG30"/>
      <c r="PAH30"/>
      <c r="PAI30"/>
      <c r="PAJ30"/>
      <c r="PAK30"/>
      <c r="PAL30"/>
      <c r="PAM30"/>
      <c r="PAN30"/>
      <c r="PAO30"/>
      <c r="PAP30"/>
      <c r="PAQ30"/>
      <c r="PAR30"/>
      <c r="PAS30"/>
      <c r="PAT30"/>
      <c r="PAU30"/>
      <c r="PAV30"/>
      <c r="PAW30"/>
      <c r="PAX30"/>
      <c r="PAY30"/>
      <c r="PAZ30"/>
      <c r="PBA30"/>
      <c r="PBB30"/>
      <c r="PBC30"/>
      <c r="PBD30"/>
      <c r="PBE30"/>
      <c r="PBF30"/>
      <c r="PBG30"/>
      <c r="PBH30"/>
      <c r="PBI30"/>
      <c r="PBJ30"/>
      <c r="PBK30"/>
      <c r="PBL30"/>
      <c r="PBM30"/>
      <c r="PBN30"/>
      <c r="PBO30"/>
      <c r="PBP30"/>
      <c r="PBQ30"/>
      <c r="PBR30"/>
      <c r="PBS30"/>
      <c r="PBT30"/>
      <c r="PBU30"/>
      <c r="PBV30"/>
      <c r="PBW30"/>
      <c r="PBX30"/>
      <c r="PBY30"/>
      <c r="PBZ30"/>
      <c r="PCA30"/>
      <c r="PCB30"/>
      <c r="PCC30"/>
      <c r="PCD30"/>
      <c r="PCE30"/>
      <c r="PCF30"/>
      <c r="PCG30"/>
      <c r="PCH30"/>
      <c r="PCI30"/>
      <c r="PCJ30"/>
      <c r="PCK30"/>
      <c r="PCL30"/>
      <c r="PCM30"/>
      <c r="PCN30"/>
      <c r="PCO30"/>
      <c r="PCP30"/>
      <c r="PCQ30"/>
      <c r="PCR30"/>
      <c r="PCS30"/>
      <c r="PCT30"/>
      <c r="PCU30"/>
      <c r="PCV30"/>
      <c r="PCW30"/>
      <c r="PCX30"/>
      <c r="PCY30"/>
      <c r="PCZ30"/>
      <c r="PDA30"/>
      <c r="PDB30"/>
      <c r="PDC30"/>
      <c r="PDD30"/>
      <c r="PDE30"/>
      <c r="PDF30"/>
      <c r="PDG30"/>
      <c r="PDH30"/>
      <c r="PDI30"/>
      <c r="PDJ30"/>
      <c r="PDK30"/>
      <c r="PDL30"/>
      <c r="PDM30"/>
      <c r="PDN30"/>
      <c r="PDO30"/>
      <c r="PDP30"/>
      <c r="PDQ30"/>
      <c r="PDR30"/>
      <c r="PDS30"/>
      <c r="PDT30"/>
      <c r="PDU30"/>
      <c r="PDV30"/>
      <c r="PDW30"/>
      <c r="PDX30"/>
      <c r="PDY30"/>
      <c r="PDZ30"/>
      <c r="PEA30"/>
      <c r="PEB30"/>
      <c r="PEC30"/>
      <c r="PED30"/>
      <c r="PEE30"/>
      <c r="PEF30"/>
      <c r="PEG30"/>
      <c r="PEH30"/>
      <c r="PEI30"/>
      <c r="PEJ30"/>
      <c r="PEK30"/>
      <c r="PEL30"/>
      <c r="PEM30"/>
      <c r="PEN30"/>
      <c r="PEO30"/>
      <c r="PEP30"/>
      <c r="PEQ30"/>
      <c r="PER30"/>
      <c r="PES30"/>
      <c r="PET30"/>
      <c r="PEU30"/>
      <c r="PEV30"/>
      <c r="PEW30"/>
      <c r="PEX30"/>
      <c r="PEY30"/>
      <c r="PEZ30"/>
      <c r="PFA30"/>
      <c r="PFB30"/>
      <c r="PFC30"/>
      <c r="PFD30"/>
      <c r="PFE30"/>
      <c r="PFF30"/>
      <c r="PFG30"/>
      <c r="PFH30"/>
      <c r="PFI30"/>
      <c r="PFJ30"/>
      <c r="PFK30"/>
      <c r="PFL30"/>
      <c r="PFM30"/>
      <c r="PFN30"/>
      <c r="PFO30"/>
      <c r="PFP30"/>
      <c r="PFQ30"/>
      <c r="PFR30"/>
      <c r="PFS30"/>
      <c r="PFT30"/>
      <c r="PFU30"/>
      <c r="PFV30"/>
      <c r="PFW30"/>
      <c r="PFX30"/>
      <c r="PFY30"/>
      <c r="PFZ30"/>
      <c r="PGA30"/>
      <c r="PGB30"/>
      <c r="PGC30"/>
      <c r="PGD30"/>
      <c r="PGE30"/>
      <c r="PGF30"/>
      <c r="PGG30"/>
      <c r="PGH30"/>
      <c r="PGI30"/>
      <c r="PGJ30"/>
      <c r="PGK30"/>
      <c r="PGL30"/>
      <c r="PGM30"/>
      <c r="PGN30"/>
      <c r="PGO30"/>
      <c r="PGP30"/>
      <c r="PGQ30"/>
      <c r="PGR30"/>
      <c r="PGS30"/>
      <c r="PGT30"/>
      <c r="PGU30"/>
      <c r="PGV30"/>
      <c r="PGW30"/>
      <c r="PGX30"/>
      <c r="PGY30"/>
      <c r="PGZ30"/>
      <c r="PHA30"/>
      <c r="PHB30"/>
      <c r="PHC30"/>
      <c r="PHD30"/>
      <c r="PHE30"/>
      <c r="PHF30"/>
      <c r="PHG30"/>
      <c r="PHH30"/>
      <c r="PHI30"/>
      <c r="PHJ30"/>
      <c r="PHK30"/>
      <c r="PHL30"/>
      <c r="PHM30"/>
      <c r="PHN30"/>
      <c r="PHO30"/>
      <c r="PHP30"/>
      <c r="PHQ30"/>
      <c r="PHR30"/>
      <c r="PHS30"/>
      <c r="PHT30"/>
      <c r="PHU30"/>
      <c r="PHV30"/>
      <c r="PHW30"/>
      <c r="PHX30"/>
      <c r="PHY30"/>
      <c r="PHZ30"/>
      <c r="PIA30"/>
      <c r="PIB30"/>
      <c r="PIC30"/>
      <c r="PID30"/>
      <c r="PIE30"/>
      <c r="PIF30"/>
      <c r="PIG30"/>
      <c r="PIH30"/>
      <c r="PII30"/>
      <c r="PIJ30"/>
      <c r="PIK30"/>
      <c r="PIL30"/>
      <c r="PIM30"/>
      <c r="PIN30"/>
      <c r="PIO30"/>
      <c r="PIP30"/>
      <c r="PIQ30"/>
      <c r="PIR30"/>
      <c r="PIS30"/>
      <c r="PIT30"/>
      <c r="PIU30"/>
      <c r="PIV30"/>
      <c r="PIW30"/>
      <c r="PIX30"/>
      <c r="PIY30"/>
      <c r="PIZ30"/>
      <c r="PJA30"/>
      <c r="PJB30"/>
      <c r="PJC30"/>
      <c r="PJD30"/>
      <c r="PJE30"/>
      <c r="PJF30"/>
      <c r="PJG30"/>
      <c r="PJH30"/>
      <c r="PJI30"/>
      <c r="PJJ30"/>
      <c r="PJK30"/>
      <c r="PJL30"/>
      <c r="PJM30"/>
      <c r="PJN30"/>
      <c r="PJO30"/>
      <c r="PJP30"/>
      <c r="PJQ30"/>
      <c r="PJR30"/>
      <c r="PJS30"/>
      <c r="PJT30"/>
      <c r="PJU30"/>
      <c r="PJV30"/>
      <c r="PJW30"/>
      <c r="PJX30"/>
      <c r="PJY30"/>
      <c r="PJZ30"/>
      <c r="PKA30"/>
      <c r="PKB30"/>
      <c r="PKC30"/>
      <c r="PKD30"/>
      <c r="PKE30"/>
      <c r="PKF30"/>
      <c r="PKG30"/>
      <c r="PKH30"/>
      <c r="PKI30"/>
      <c r="PKJ30"/>
      <c r="PKK30"/>
      <c r="PKL30"/>
      <c r="PKM30"/>
      <c r="PKN30"/>
      <c r="PKO30"/>
      <c r="PKP30"/>
      <c r="PKQ30"/>
      <c r="PKR30"/>
      <c r="PKS30"/>
      <c r="PKT30"/>
      <c r="PKU30"/>
      <c r="PKV30"/>
      <c r="PKW30"/>
      <c r="PKX30"/>
      <c r="PKY30"/>
      <c r="PKZ30"/>
      <c r="PLA30"/>
      <c r="PLB30"/>
      <c r="PLC30"/>
      <c r="PLD30"/>
      <c r="PLE30"/>
      <c r="PLF30"/>
      <c r="PLG30"/>
      <c r="PLH30"/>
      <c r="PLI30"/>
      <c r="PLJ30"/>
      <c r="PLK30"/>
      <c r="PLL30"/>
      <c r="PLM30"/>
      <c r="PLN30"/>
      <c r="PLO30"/>
      <c r="PLP30"/>
      <c r="PLQ30"/>
      <c r="PLR30"/>
      <c r="PLS30"/>
      <c r="PLT30"/>
      <c r="PLU30"/>
      <c r="PLV30"/>
      <c r="PLW30"/>
      <c r="PLX30"/>
      <c r="PLY30"/>
      <c r="PLZ30"/>
      <c r="PMA30"/>
      <c r="PMB30"/>
      <c r="PMC30"/>
      <c r="PMD30"/>
      <c r="PME30"/>
      <c r="PMF30"/>
      <c r="PMG30"/>
      <c r="PMH30"/>
      <c r="PMI30"/>
      <c r="PMJ30"/>
      <c r="PMK30"/>
      <c r="PML30"/>
      <c r="PMM30"/>
      <c r="PMN30"/>
      <c r="PMO30"/>
      <c r="PMP30"/>
      <c r="PMQ30"/>
      <c r="PMR30"/>
      <c r="PMS30"/>
      <c r="PMT30"/>
      <c r="PMU30"/>
      <c r="PMV30"/>
      <c r="PMW30"/>
      <c r="PMX30"/>
      <c r="PMY30"/>
      <c r="PMZ30"/>
      <c r="PNA30"/>
      <c r="PNB30"/>
      <c r="PNC30"/>
      <c r="PND30"/>
      <c r="PNE30"/>
      <c r="PNF30"/>
      <c r="PNG30"/>
      <c r="PNH30"/>
      <c r="PNI30"/>
      <c r="PNJ30"/>
      <c r="PNK30"/>
      <c r="PNL30"/>
      <c r="PNM30"/>
      <c r="PNN30"/>
      <c r="PNO30"/>
      <c r="PNP30"/>
      <c r="PNQ30"/>
      <c r="PNR30"/>
      <c r="PNS30"/>
      <c r="PNT30"/>
      <c r="PNU30"/>
      <c r="PNV30"/>
      <c r="PNW30"/>
      <c r="PNX30"/>
      <c r="PNY30"/>
      <c r="PNZ30"/>
      <c r="POA30"/>
      <c r="POB30"/>
      <c r="POC30"/>
      <c r="POD30"/>
      <c r="POE30"/>
      <c r="POF30"/>
      <c r="POG30"/>
      <c r="POH30"/>
      <c r="POI30"/>
      <c r="POJ30"/>
      <c r="POK30"/>
      <c r="POL30"/>
      <c r="POM30"/>
      <c r="PON30"/>
      <c r="POO30"/>
      <c r="POP30"/>
      <c r="POQ30"/>
      <c r="POR30"/>
      <c r="POS30"/>
      <c r="POT30"/>
      <c r="POU30"/>
      <c r="POV30"/>
      <c r="POW30"/>
      <c r="POX30"/>
      <c r="POY30"/>
      <c r="POZ30"/>
      <c r="PPA30"/>
      <c r="PPB30"/>
      <c r="PPC30"/>
      <c r="PPD30"/>
      <c r="PPE30"/>
      <c r="PPF30"/>
      <c r="PPG30"/>
      <c r="PPH30"/>
      <c r="PPI30"/>
      <c r="PPJ30"/>
      <c r="PPK30"/>
      <c r="PPL30"/>
      <c r="PPM30"/>
      <c r="PPN30"/>
      <c r="PPO30"/>
      <c r="PPP30"/>
      <c r="PPQ30"/>
      <c r="PPR30"/>
      <c r="PPS30"/>
      <c r="PPT30"/>
      <c r="PPU30"/>
      <c r="PPV30"/>
      <c r="PPW30"/>
      <c r="PPX30"/>
      <c r="PPY30"/>
      <c r="PPZ30"/>
      <c r="PQA30"/>
      <c r="PQB30"/>
      <c r="PQC30"/>
      <c r="PQD30"/>
      <c r="PQE30"/>
      <c r="PQF30"/>
      <c r="PQG30"/>
      <c r="PQH30"/>
      <c r="PQI30"/>
      <c r="PQJ30"/>
      <c r="PQK30"/>
      <c r="PQL30"/>
      <c r="PQM30"/>
      <c r="PQN30"/>
      <c r="PQO30"/>
      <c r="PQP30"/>
      <c r="PQQ30"/>
      <c r="PQR30"/>
      <c r="PQS30"/>
      <c r="PQT30"/>
      <c r="PQU30"/>
      <c r="PQV30"/>
      <c r="PQW30"/>
      <c r="PQX30"/>
      <c r="PQY30"/>
      <c r="PQZ30"/>
      <c r="PRA30"/>
      <c r="PRB30"/>
      <c r="PRC30"/>
      <c r="PRD30"/>
      <c r="PRE30"/>
      <c r="PRF30"/>
      <c r="PRG30"/>
      <c r="PRH30"/>
      <c r="PRI30"/>
      <c r="PRJ30"/>
      <c r="PRK30"/>
      <c r="PRL30"/>
      <c r="PRM30"/>
      <c r="PRN30"/>
      <c r="PRO30"/>
      <c r="PRP30"/>
      <c r="PRQ30"/>
      <c r="PRR30"/>
      <c r="PRS30"/>
      <c r="PRT30"/>
      <c r="PRU30"/>
      <c r="PRV30"/>
      <c r="PRW30"/>
      <c r="PRX30"/>
      <c r="PRY30"/>
      <c r="PRZ30"/>
      <c r="PSA30"/>
      <c r="PSB30"/>
      <c r="PSC30"/>
      <c r="PSD30"/>
      <c r="PSE30"/>
      <c r="PSF30"/>
      <c r="PSG30"/>
      <c r="PSH30"/>
      <c r="PSI30"/>
      <c r="PSJ30"/>
      <c r="PSK30"/>
      <c r="PSL30"/>
      <c r="PSM30"/>
      <c r="PSN30"/>
      <c r="PSO30"/>
      <c r="PSP30"/>
      <c r="PSQ30"/>
      <c r="PSR30"/>
      <c r="PSS30"/>
      <c r="PST30"/>
      <c r="PSU30"/>
      <c r="PSV30"/>
      <c r="PSW30"/>
      <c r="PSX30"/>
      <c r="PSY30"/>
      <c r="PSZ30"/>
      <c r="PTA30"/>
      <c r="PTB30"/>
      <c r="PTC30"/>
      <c r="PTD30"/>
      <c r="PTE30"/>
      <c r="PTF30"/>
      <c r="PTG30"/>
      <c r="PTH30"/>
      <c r="PTI30"/>
      <c r="PTJ30"/>
      <c r="PTK30"/>
      <c r="PTL30"/>
      <c r="PTM30"/>
      <c r="PTN30"/>
      <c r="PTO30"/>
      <c r="PTP30"/>
      <c r="PTQ30"/>
      <c r="PTR30"/>
      <c r="PTS30"/>
      <c r="PTT30"/>
      <c r="PTU30"/>
      <c r="PTV30"/>
      <c r="PTW30"/>
      <c r="PTX30"/>
      <c r="PTY30"/>
      <c r="PTZ30"/>
      <c r="PUA30"/>
      <c r="PUB30"/>
      <c r="PUC30"/>
      <c r="PUD30"/>
      <c r="PUE30"/>
      <c r="PUF30"/>
      <c r="PUG30"/>
      <c r="PUH30"/>
      <c r="PUI30"/>
      <c r="PUJ30"/>
      <c r="PUK30"/>
      <c r="PUL30"/>
      <c r="PUM30"/>
      <c r="PUN30"/>
      <c r="PUO30"/>
      <c r="PUP30"/>
      <c r="PUQ30"/>
      <c r="PUR30"/>
      <c r="PUS30"/>
      <c r="PUT30"/>
      <c r="PUU30"/>
      <c r="PUV30"/>
      <c r="PUW30"/>
      <c r="PUX30"/>
      <c r="PUY30"/>
      <c r="PUZ30"/>
      <c r="PVA30"/>
      <c r="PVB30"/>
      <c r="PVC30"/>
      <c r="PVD30"/>
      <c r="PVE30"/>
      <c r="PVF30"/>
      <c r="PVG30"/>
      <c r="PVH30"/>
      <c r="PVI30"/>
      <c r="PVJ30"/>
      <c r="PVK30"/>
      <c r="PVL30"/>
      <c r="PVM30"/>
      <c r="PVN30"/>
      <c r="PVO30"/>
      <c r="PVP30"/>
      <c r="PVQ30"/>
      <c r="PVR30"/>
      <c r="PVS30"/>
      <c r="PVT30"/>
      <c r="PVU30"/>
      <c r="PVV30"/>
      <c r="PVW30"/>
      <c r="PVX30"/>
      <c r="PVY30"/>
      <c r="PVZ30"/>
      <c r="PWA30"/>
      <c r="PWB30"/>
      <c r="PWC30"/>
      <c r="PWD30"/>
      <c r="PWE30"/>
      <c r="PWF30"/>
      <c r="PWG30"/>
      <c r="PWH30"/>
      <c r="PWI30"/>
      <c r="PWJ30"/>
      <c r="PWK30"/>
      <c r="PWL30"/>
      <c r="PWM30"/>
      <c r="PWN30"/>
      <c r="PWO30"/>
      <c r="PWP30"/>
      <c r="PWQ30"/>
      <c r="PWR30"/>
      <c r="PWS30"/>
      <c r="PWT30"/>
      <c r="PWU30"/>
      <c r="PWV30"/>
      <c r="PWW30"/>
      <c r="PWX30"/>
      <c r="PWY30"/>
      <c r="PWZ30"/>
      <c r="PXA30"/>
      <c r="PXB30"/>
      <c r="PXC30"/>
      <c r="PXD30"/>
      <c r="PXE30"/>
      <c r="PXF30"/>
      <c r="PXG30"/>
      <c r="PXH30"/>
      <c r="PXI30"/>
      <c r="PXJ30"/>
      <c r="PXK30"/>
      <c r="PXL30"/>
      <c r="PXM30"/>
      <c r="PXN30"/>
      <c r="PXO30"/>
      <c r="PXP30"/>
      <c r="PXQ30"/>
      <c r="PXR30"/>
      <c r="PXS30"/>
      <c r="PXT30"/>
      <c r="PXU30"/>
      <c r="PXV30"/>
      <c r="PXW30"/>
      <c r="PXX30"/>
      <c r="PXY30"/>
      <c r="PXZ30"/>
      <c r="PYA30"/>
      <c r="PYB30"/>
      <c r="PYC30"/>
      <c r="PYD30"/>
      <c r="PYE30"/>
      <c r="PYF30"/>
      <c r="PYG30"/>
      <c r="PYH30"/>
      <c r="PYI30"/>
      <c r="PYJ30"/>
      <c r="PYK30"/>
      <c r="PYL30"/>
      <c r="PYM30"/>
      <c r="PYN30"/>
      <c r="PYO30"/>
      <c r="PYP30"/>
      <c r="PYQ30"/>
      <c r="PYR30"/>
      <c r="PYS30"/>
      <c r="PYT30"/>
      <c r="PYU30"/>
      <c r="PYV30"/>
      <c r="PYW30"/>
      <c r="PYX30"/>
      <c r="PYY30"/>
      <c r="PYZ30"/>
      <c r="PZA30"/>
      <c r="PZB30"/>
      <c r="PZC30"/>
      <c r="PZD30"/>
      <c r="PZE30"/>
      <c r="PZF30"/>
      <c r="PZG30"/>
      <c r="PZH30"/>
      <c r="PZI30"/>
      <c r="PZJ30"/>
      <c r="PZK30"/>
      <c r="PZL30"/>
      <c r="PZM30"/>
      <c r="PZN30"/>
      <c r="PZO30"/>
      <c r="PZP30"/>
      <c r="PZQ30"/>
      <c r="PZR30"/>
      <c r="PZS30"/>
      <c r="PZT30"/>
      <c r="PZU30"/>
      <c r="PZV30"/>
      <c r="PZW30"/>
      <c r="PZX30"/>
      <c r="PZY30"/>
      <c r="PZZ30"/>
      <c r="QAA30"/>
      <c r="QAB30"/>
      <c r="QAC30"/>
      <c r="QAD30"/>
      <c r="QAE30"/>
      <c r="QAF30"/>
      <c r="QAG30"/>
      <c r="QAH30"/>
      <c r="QAI30"/>
      <c r="QAJ30"/>
      <c r="QAK30"/>
      <c r="QAL30"/>
      <c r="QAM30"/>
      <c r="QAN30"/>
      <c r="QAO30"/>
      <c r="QAP30"/>
      <c r="QAQ30"/>
      <c r="QAR30"/>
      <c r="QAS30"/>
      <c r="QAT30"/>
      <c r="QAU30"/>
      <c r="QAV30"/>
      <c r="QAW30"/>
      <c r="QAX30"/>
      <c r="QAY30"/>
      <c r="QAZ30"/>
      <c r="QBA30"/>
      <c r="QBB30"/>
      <c r="QBC30"/>
      <c r="QBD30"/>
      <c r="QBE30"/>
      <c r="QBF30"/>
      <c r="QBG30"/>
      <c r="QBH30"/>
      <c r="QBI30"/>
      <c r="QBJ30"/>
      <c r="QBK30"/>
      <c r="QBL30"/>
      <c r="QBM30"/>
      <c r="QBN30"/>
      <c r="QBO30"/>
      <c r="QBP30"/>
      <c r="QBQ30"/>
      <c r="QBR30"/>
      <c r="QBS30"/>
      <c r="QBT30"/>
      <c r="QBU30"/>
      <c r="QBV30"/>
      <c r="QBW30"/>
      <c r="QBX30"/>
      <c r="QBY30"/>
      <c r="QBZ30"/>
      <c r="QCA30"/>
      <c r="QCB30"/>
      <c r="QCC30"/>
      <c r="QCD30"/>
      <c r="QCE30"/>
      <c r="QCF30"/>
      <c r="QCG30"/>
      <c r="QCH30"/>
      <c r="QCI30"/>
      <c r="QCJ30"/>
      <c r="QCK30"/>
      <c r="QCL30"/>
      <c r="QCM30"/>
      <c r="QCN30"/>
      <c r="QCO30"/>
      <c r="QCP30"/>
      <c r="QCQ30"/>
      <c r="QCR30"/>
      <c r="QCS30"/>
      <c r="QCT30"/>
      <c r="QCU30"/>
      <c r="QCV30"/>
      <c r="QCW30"/>
      <c r="QCX30"/>
      <c r="QCY30"/>
      <c r="QCZ30"/>
      <c r="QDA30"/>
      <c r="QDB30"/>
      <c r="QDC30"/>
      <c r="QDD30"/>
      <c r="QDE30"/>
      <c r="QDF30"/>
      <c r="QDG30"/>
      <c r="QDH30"/>
      <c r="QDI30"/>
      <c r="QDJ30"/>
      <c r="QDK30"/>
      <c r="QDL30"/>
      <c r="QDM30"/>
      <c r="QDN30"/>
      <c r="QDO30"/>
      <c r="QDP30"/>
      <c r="QDQ30"/>
      <c r="QDR30"/>
      <c r="QDS30"/>
      <c r="QDT30"/>
      <c r="QDU30"/>
      <c r="QDV30"/>
      <c r="QDW30"/>
      <c r="QDX30"/>
      <c r="QDY30"/>
      <c r="QDZ30"/>
      <c r="QEA30"/>
      <c r="QEB30"/>
      <c r="QEC30"/>
      <c r="QED30"/>
      <c r="QEE30"/>
      <c r="QEF30"/>
      <c r="QEG30"/>
      <c r="QEH30"/>
      <c r="QEI30"/>
      <c r="QEJ30"/>
      <c r="QEK30"/>
      <c r="QEL30"/>
      <c r="QEM30"/>
      <c r="QEN30"/>
      <c r="QEO30"/>
      <c r="QEP30"/>
      <c r="QEQ30"/>
      <c r="QER30"/>
      <c r="QES30"/>
      <c r="QET30"/>
      <c r="QEU30"/>
      <c r="QEV30"/>
      <c r="QEW30"/>
      <c r="QEX30"/>
      <c r="QEY30"/>
      <c r="QEZ30"/>
      <c r="QFA30"/>
      <c r="QFB30"/>
      <c r="QFC30"/>
      <c r="QFD30"/>
      <c r="QFE30"/>
      <c r="QFF30"/>
      <c r="QFG30"/>
      <c r="QFH30"/>
      <c r="QFI30"/>
      <c r="QFJ30"/>
      <c r="QFK30"/>
      <c r="QFL30"/>
      <c r="QFM30"/>
      <c r="QFN30"/>
      <c r="QFO30"/>
      <c r="QFP30"/>
      <c r="QFQ30"/>
      <c r="QFR30"/>
      <c r="QFS30"/>
      <c r="QFT30"/>
      <c r="QFU30"/>
      <c r="QFV30"/>
      <c r="QFW30"/>
      <c r="QFX30"/>
      <c r="QFY30"/>
      <c r="QFZ30"/>
      <c r="QGA30"/>
      <c r="QGB30"/>
      <c r="QGC30"/>
      <c r="QGD30"/>
      <c r="QGE30"/>
      <c r="QGF30"/>
      <c r="QGG30"/>
      <c r="QGH30"/>
      <c r="QGI30"/>
      <c r="QGJ30"/>
      <c r="QGK30"/>
      <c r="QGL30"/>
      <c r="QGM30"/>
      <c r="QGN30"/>
      <c r="QGO30"/>
      <c r="QGP30"/>
      <c r="QGQ30"/>
      <c r="QGR30"/>
      <c r="QGS30"/>
      <c r="QGT30"/>
      <c r="QGU30"/>
      <c r="QGV30"/>
      <c r="QGW30"/>
      <c r="QGX30"/>
      <c r="QGY30"/>
      <c r="QGZ30"/>
      <c r="QHA30"/>
      <c r="QHB30"/>
      <c r="QHC30"/>
      <c r="QHD30"/>
      <c r="QHE30"/>
      <c r="QHF30"/>
      <c r="QHG30"/>
      <c r="QHH30"/>
      <c r="QHI30"/>
      <c r="QHJ30"/>
      <c r="QHK30"/>
      <c r="QHL30"/>
      <c r="QHM30"/>
      <c r="QHN30"/>
      <c r="QHO30"/>
      <c r="QHP30"/>
      <c r="QHQ30"/>
      <c r="QHR30"/>
      <c r="QHS30"/>
      <c r="QHT30"/>
      <c r="QHU30"/>
      <c r="QHV30"/>
      <c r="QHW30"/>
      <c r="QHX30"/>
      <c r="QHY30"/>
      <c r="QHZ30"/>
      <c r="QIA30"/>
      <c r="QIB30"/>
      <c r="QIC30"/>
      <c r="QID30"/>
      <c r="QIE30"/>
      <c r="QIF30"/>
      <c r="QIG30"/>
      <c r="QIH30"/>
      <c r="QII30"/>
      <c r="QIJ30"/>
      <c r="QIK30"/>
      <c r="QIL30"/>
      <c r="QIM30"/>
      <c r="QIN30"/>
      <c r="QIO30"/>
      <c r="QIP30"/>
      <c r="QIQ30"/>
      <c r="QIR30"/>
      <c r="QIS30"/>
      <c r="QIT30"/>
      <c r="QIU30"/>
      <c r="QIV30"/>
      <c r="QIW30"/>
      <c r="QIX30"/>
      <c r="QIY30"/>
      <c r="QIZ30"/>
      <c r="QJA30"/>
      <c r="QJB30"/>
      <c r="QJC30"/>
      <c r="QJD30"/>
      <c r="QJE30"/>
      <c r="QJF30"/>
      <c r="QJG30"/>
      <c r="QJH30"/>
      <c r="QJI30"/>
      <c r="QJJ30"/>
      <c r="QJK30"/>
      <c r="QJL30"/>
      <c r="QJM30"/>
      <c r="QJN30"/>
      <c r="QJO30"/>
      <c r="QJP30"/>
      <c r="QJQ30"/>
      <c r="QJR30"/>
      <c r="QJS30"/>
      <c r="QJT30"/>
      <c r="QJU30"/>
      <c r="QJV30"/>
      <c r="QJW30"/>
      <c r="QJX30"/>
      <c r="QJY30"/>
      <c r="QJZ30"/>
      <c r="QKA30"/>
      <c r="QKB30"/>
      <c r="QKC30"/>
      <c r="QKD30"/>
      <c r="QKE30"/>
      <c r="QKF30"/>
      <c r="QKG30"/>
      <c r="QKH30"/>
      <c r="QKI30"/>
      <c r="QKJ30"/>
      <c r="QKK30"/>
      <c r="QKL30"/>
      <c r="QKM30"/>
      <c r="QKN30"/>
      <c r="QKO30"/>
      <c r="QKP30"/>
      <c r="QKQ30"/>
      <c r="QKR30"/>
      <c r="QKS30"/>
      <c r="QKT30"/>
      <c r="QKU30"/>
      <c r="QKV30"/>
      <c r="QKW30"/>
      <c r="QKX30"/>
      <c r="QKY30"/>
      <c r="QKZ30"/>
      <c r="QLA30"/>
      <c r="QLB30"/>
      <c r="QLC30"/>
      <c r="QLD30"/>
      <c r="QLE30"/>
      <c r="QLF30"/>
      <c r="QLG30"/>
      <c r="QLH30"/>
      <c r="QLI30"/>
      <c r="QLJ30"/>
      <c r="QLK30"/>
      <c r="QLL30"/>
      <c r="QLM30"/>
      <c r="QLN30"/>
      <c r="QLO30"/>
      <c r="QLP30"/>
      <c r="QLQ30"/>
      <c r="QLR30"/>
      <c r="QLS30"/>
      <c r="QLT30"/>
      <c r="QLU30"/>
      <c r="QLV30"/>
      <c r="QLW30"/>
      <c r="QLX30"/>
      <c r="QLY30"/>
      <c r="QLZ30"/>
      <c r="QMA30"/>
      <c r="QMB30"/>
      <c r="QMC30"/>
      <c r="QMD30"/>
      <c r="QME30"/>
      <c r="QMF30"/>
      <c r="QMG30"/>
      <c r="QMH30"/>
      <c r="QMI30"/>
      <c r="QMJ30"/>
      <c r="QMK30"/>
      <c r="QML30"/>
      <c r="QMM30"/>
      <c r="QMN30"/>
      <c r="QMO30"/>
      <c r="QMP30"/>
      <c r="QMQ30"/>
      <c r="QMR30"/>
      <c r="QMS30"/>
      <c r="QMT30"/>
      <c r="QMU30"/>
      <c r="QMV30"/>
      <c r="QMW30"/>
      <c r="QMX30"/>
      <c r="QMY30"/>
      <c r="QMZ30"/>
      <c r="QNA30"/>
      <c r="QNB30"/>
      <c r="QNC30"/>
      <c r="QND30"/>
      <c r="QNE30"/>
      <c r="QNF30"/>
      <c r="QNG30"/>
      <c r="QNH30"/>
      <c r="QNI30"/>
      <c r="QNJ30"/>
      <c r="QNK30"/>
      <c r="QNL30"/>
      <c r="QNM30"/>
      <c r="QNN30"/>
      <c r="QNO30"/>
      <c r="QNP30"/>
      <c r="QNQ30"/>
      <c r="QNR30"/>
      <c r="QNS30"/>
      <c r="QNT30"/>
      <c r="QNU30"/>
      <c r="QNV30"/>
      <c r="QNW30"/>
      <c r="QNX30"/>
      <c r="QNY30"/>
      <c r="QNZ30"/>
      <c r="QOA30"/>
      <c r="QOB30"/>
      <c r="QOC30"/>
      <c r="QOD30"/>
      <c r="QOE30"/>
      <c r="QOF30"/>
      <c r="QOG30"/>
      <c r="QOH30"/>
      <c r="QOI30"/>
      <c r="QOJ30"/>
      <c r="QOK30"/>
      <c r="QOL30"/>
      <c r="QOM30"/>
      <c r="QON30"/>
      <c r="QOO30"/>
      <c r="QOP30"/>
      <c r="QOQ30"/>
      <c r="QOR30"/>
      <c r="QOS30"/>
      <c r="QOT30"/>
      <c r="QOU30"/>
      <c r="QOV30"/>
      <c r="QOW30"/>
      <c r="QOX30"/>
      <c r="QOY30"/>
      <c r="QOZ30"/>
      <c r="QPA30"/>
      <c r="QPB30"/>
      <c r="QPC30"/>
      <c r="QPD30"/>
      <c r="QPE30"/>
      <c r="QPF30"/>
      <c r="QPG30"/>
      <c r="QPH30"/>
      <c r="QPI30"/>
      <c r="QPJ30"/>
      <c r="QPK30"/>
      <c r="QPL30"/>
      <c r="QPM30"/>
      <c r="QPN30"/>
      <c r="QPO30"/>
      <c r="QPP30"/>
      <c r="QPQ30"/>
      <c r="QPR30"/>
      <c r="QPS30"/>
      <c r="QPT30"/>
      <c r="QPU30"/>
      <c r="QPV30"/>
      <c r="QPW30"/>
      <c r="QPX30"/>
      <c r="QPY30"/>
      <c r="QPZ30"/>
      <c r="QQA30"/>
      <c r="QQB30"/>
      <c r="QQC30"/>
      <c r="QQD30"/>
      <c r="QQE30"/>
      <c r="QQF30"/>
      <c r="QQG30"/>
      <c r="QQH30"/>
      <c r="QQI30"/>
      <c r="QQJ30"/>
      <c r="QQK30"/>
      <c r="QQL30"/>
      <c r="QQM30"/>
      <c r="QQN30"/>
      <c r="QQO30"/>
      <c r="QQP30"/>
      <c r="QQQ30"/>
      <c r="QQR30"/>
      <c r="QQS30"/>
      <c r="QQT30"/>
      <c r="QQU30"/>
      <c r="QQV30"/>
      <c r="QQW30"/>
      <c r="QQX30"/>
      <c r="QQY30"/>
      <c r="QQZ30"/>
      <c r="QRA30"/>
      <c r="QRB30"/>
      <c r="QRC30"/>
      <c r="QRD30"/>
      <c r="QRE30"/>
      <c r="QRF30"/>
      <c r="QRG30"/>
      <c r="QRH30"/>
      <c r="QRI30"/>
      <c r="QRJ30"/>
      <c r="QRK30"/>
      <c r="QRL30"/>
      <c r="QRM30"/>
      <c r="QRN30"/>
      <c r="QRO30"/>
      <c r="QRP30"/>
      <c r="QRQ30"/>
      <c r="QRR30"/>
      <c r="QRS30"/>
      <c r="QRT30"/>
      <c r="QRU30"/>
      <c r="QRV30"/>
      <c r="QRW30"/>
      <c r="QRX30"/>
      <c r="QRY30"/>
      <c r="QRZ30"/>
      <c r="QSA30"/>
      <c r="QSB30"/>
      <c r="QSC30"/>
      <c r="QSD30"/>
      <c r="QSE30"/>
      <c r="QSF30"/>
      <c r="QSG30"/>
      <c r="QSH30"/>
      <c r="QSI30"/>
      <c r="QSJ30"/>
      <c r="QSK30"/>
      <c r="QSL30"/>
      <c r="QSM30"/>
      <c r="QSN30"/>
      <c r="QSO30"/>
      <c r="QSP30"/>
      <c r="QSQ30"/>
      <c r="QSR30"/>
      <c r="QSS30"/>
      <c r="QST30"/>
      <c r="QSU30"/>
      <c r="QSV30"/>
      <c r="QSW30"/>
      <c r="QSX30"/>
      <c r="QSY30"/>
      <c r="QSZ30"/>
      <c r="QTA30"/>
      <c r="QTB30"/>
      <c r="QTC30"/>
      <c r="QTD30"/>
      <c r="QTE30"/>
      <c r="QTF30"/>
      <c r="QTG30"/>
      <c r="QTH30"/>
      <c r="QTI30"/>
      <c r="QTJ30"/>
      <c r="QTK30"/>
      <c r="QTL30"/>
      <c r="QTM30"/>
      <c r="QTN30"/>
      <c r="QTO30"/>
      <c r="QTP30"/>
      <c r="QTQ30"/>
      <c r="QTR30"/>
      <c r="QTS30"/>
      <c r="QTT30"/>
      <c r="QTU30"/>
      <c r="QTV30"/>
      <c r="QTW30"/>
      <c r="QTX30"/>
      <c r="QTY30"/>
      <c r="QTZ30"/>
      <c r="QUA30"/>
      <c r="QUB30"/>
      <c r="QUC30"/>
      <c r="QUD30"/>
      <c r="QUE30"/>
      <c r="QUF30"/>
      <c r="QUG30"/>
      <c r="QUH30"/>
      <c r="QUI30"/>
      <c r="QUJ30"/>
      <c r="QUK30"/>
      <c r="QUL30"/>
      <c r="QUM30"/>
      <c r="QUN30"/>
      <c r="QUO30"/>
      <c r="QUP30"/>
      <c r="QUQ30"/>
      <c r="QUR30"/>
      <c r="QUS30"/>
      <c r="QUT30"/>
      <c r="QUU30"/>
      <c r="QUV30"/>
      <c r="QUW30"/>
      <c r="QUX30"/>
      <c r="QUY30"/>
      <c r="QUZ30"/>
      <c r="QVA30"/>
      <c r="QVB30"/>
      <c r="QVC30"/>
      <c r="QVD30"/>
      <c r="QVE30"/>
      <c r="QVF30"/>
      <c r="QVG30"/>
      <c r="QVH30"/>
      <c r="QVI30"/>
      <c r="QVJ30"/>
      <c r="QVK30"/>
      <c r="QVL30"/>
      <c r="QVM30"/>
      <c r="QVN30"/>
      <c r="QVO30"/>
      <c r="QVP30"/>
      <c r="QVQ30"/>
      <c r="QVR30"/>
      <c r="QVS30"/>
      <c r="QVT30"/>
      <c r="QVU30"/>
      <c r="QVV30"/>
      <c r="QVW30"/>
      <c r="QVX30"/>
      <c r="QVY30"/>
      <c r="QVZ30"/>
      <c r="QWA30"/>
      <c r="QWB30"/>
      <c r="QWC30"/>
      <c r="QWD30"/>
      <c r="QWE30"/>
      <c r="QWF30"/>
      <c r="QWG30"/>
      <c r="QWH30"/>
      <c r="QWI30"/>
      <c r="QWJ30"/>
      <c r="QWK30"/>
      <c r="QWL30"/>
      <c r="QWM30"/>
      <c r="QWN30"/>
      <c r="QWO30"/>
      <c r="QWP30"/>
      <c r="QWQ30"/>
      <c r="QWR30"/>
      <c r="QWS30"/>
      <c r="QWT30"/>
      <c r="QWU30"/>
      <c r="QWV30"/>
      <c r="QWW30"/>
      <c r="QWX30"/>
      <c r="QWY30"/>
      <c r="QWZ30"/>
      <c r="QXA30"/>
      <c r="QXB30"/>
      <c r="QXC30"/>
      <c r="QXD30"/>
      <c r="QXE30"/>
      <c r="QXF30"/>
      <c r="QXG30"/>
      <c r="QXH30"/>
      <c r="QXI30"/>
      <c r="QXJ30"/>
      <c r="QXK30"/>
      <c r="QXL30"/>
      <c r="QXM30"/>
      <c r="QXN30"/>
      <c r="QXO30"/>
      <c r="QXP30"/>
      <c r="QXQ30"/>
      <c r="QXR30"/>
      <c r="QXS30"/>
      <c r="QXT30"/>
      <c r="QXU30"/>
      <c r="QXV30"/>
      <c r="QXW30"/>
      <c r="QXX30"/>
      <c r="QXY30"/>
      <c r="QXZ30"/>
      <c r="QYA30"/>
      <c r="QYB30"/>
      <c r="QYC30"/>
      <c r="QYD30"/>
      <c r="QYE30"/>
      <c r="QYF30"/>
      <c r="QYG30"/>
      <c r="QYH30"/>
      <c r="QYI30"/>
      <c r="QYJ30"/>
      <c r="QYK30"/>
      <c r="QYL30"/>
      <c r="QYM30"/>
      <c r="QYN30"/>
      <c r="QYO30"/>
      <c r="QYP30"/>
      <c r="QYQ30"/>
      <c r="QYR30"/>
      <c r="QYS30"/>
      <c r="QYT30"/>
      <c r="QYU30"/>
      <c r="QYV30"/>
      <c r="QYW30"/>
      <c r="QYX30"/>
      <c r="QYY30"/>
      <c r="QYZ30"/>
      <c r="QZA30"/>
      <c r="QZB30"/>
      <c r="QZC30"/>
      <c r="QZD30"/>
      <c r="QZE30"/>
      <c r="QZF30"/>
      <c r="QZG30"/>
      <c r="QZH30"/>
      <c r="QZI30"/>
      <c r="QZJ30"/>
      <c r="QZK30"/>
      <c r="QZL30"/>
      <c r="QZM30"/>
      <c r="QZN30"/>
      <c r="QZO30"/>
      <c r="QZP30"/>
      <c r="QZQ30"/>
      <c r="QZR30"/>
      <c r="QZS30"/>
      <c r="QZT30"/>
      <c r="QZU30"/>
      <c r="QZV30"/>
      <c r="QZW30"/>
      <c r="QZX30"/>
      <c r="QZY30"/>
      <c r="QZZ30"/>
      <c r="RAA30"/>
      <c r="RAB30"/>
      <c r="RAC30"/>
      <c r="RAD30"/>
      <c r="RAE30"/>
      <c r="RAF30"/>
      <c r="RAG30"/>
      <c r="RAH30"/>
      <c r="RAI30"/>
      <c r="RAJ30"/>
      <c r="RAK30"/>
      <c r="RAL30"/>
      <c r="RAM30"/>
      <c r="RAN30"/>
      <c r="RAO30"/>
      <c r="RAP30"/>
      <c r="RAQ30"/>
      <c r="RAR30"/>
      <c r="RAS30"/>
      <c r="RAT30"/>
      <c r="RAU30"/>
      <c r="RAV30"/>
      <c r="RAW30"/>
      <c r="RAX30"/>
      <c r="RAY30"/>
      <c r="RAZ30"/>
      <c r="RBA30"/>
      <c r="RBB30"/>
      <c r="RBC30"/>
      <c r="RBD30"/>
      <c r="RBE30"/>
      <c r="RBF30"/>
      <c r="RBG30"/>
      <c r="RBH30"/>
      <c r="RBI30"/>
      <c r="RBJ30"/>
      <c r="RBK30"/>
      <c r="RBL30"/>
      <c r="RBM30"/>
      <c r="RBN30"/>
      <c r="RBO30"/>
      <c r="RBP30"/>
      <c r="RBQ30"/>
      <c r="RBR30"/>
      <c r="RBS30"/>
      <c r="RBT30"/>
      <c r="RBU30"/>
      <c r="RBV30"/>
      <c r="RBW30"/>
      <c r="RBX30"/>
      <c r="RBY30"/>
      <c r="RBZ30"/>
      <c r="RCA30"/>
      <c r="RCB30"/>
      <c r="RCC30"/>
      <c r="RCD30"/>
      <c r="RCE30"/>
      <c r="RCF30"/>
      <c r="RCG30"/>
      <c r="RCH30"/>
      <c r="RCI30"/>
      <c r="RCJ30"/>
      <c r="RCK30"/>
      <c r="RCL30"/>
      <c r="RCM30"/>
      <c r="RCN30"/>
      <c r="RCO30"/>
      <c r="RCP30"/>
      <c r="RCQ30"/>
      <c r="RCR30"/>
      <c r="RCS30"/>
      <c r="RCT30"/>
      <c r="RCU30"/>
      <c r="RCV30"/>
      <c r="RCW30"/>
      <c r="RCX30"/>
      <c r="RCY30"/>
      <c r="RCZ30"/>
      <c r="RDA30"/>
      <c r="RDB30"/>
      <c r="RDC30"/>
      <c r="RDD30"/>
      <c r="RDE30"/>
      <c r="RDF30"/>
      <c r="RDG30"/>
      <c r="RDH30"/>
      <c r="RDI30"/>
      <c r="RDJ30"/>
      <c r="RDK30"/>
      <c r="RDL30"/>
      <c r="RDM30"/>
      <c r="RDN30"/>
      <c r="RDO30"/>
      <c r="RDP30"/>
      <c r="RDQ30"/>
      <c r="RDR30"/>
      <c r="RDS30"/>
      <c r="RDT30"/>
      <c r="RDU30"/>
      <c r="RDV30"/>
      <c r="RDW30"/>
      <c r="RDX30"/>
      <c r="RDY30"/>
      <c r="RDZ30"/>
      <c r="REA30"/>
      <c r="REB30"/>
      <c r="REC30"/>
      <c r="RED30"/>
      <c r="REE30"/>
      <c r="REF30"/>
      <c r="REG30"/>
      <c r="REH30"/>
      <c r="REI30"/>
      <c r="REJ30"/>
      <c r="REK30"/>
      <c r="REL30"/>
      <c r="REM30"/>
      <c r="REN30"/>
      <c r="REO30"/>
      <c r="REP30"/>
      <c r="REQ30"/>
      <c r="RER30"/>
      <c r="RES30"/>
      <c r="RET30"/>
      <c r="REU30"/>
      <c r="REV30"/>
      <c r="REW30"/>
      <c r="REX30"/>
      <c r="REY30"/>
      <c r="REZ30"/>
      <c r="RFA30"/>
      <c r="RFB30"/>
      <c r="RFC30"/>
      <c r="RFD30"/>
      <c r="RFE30"/>
      <c r="RFF30"/>
      <c r="RFG30"/>
      <c r="RFH30"/>
      <c r="RFI30"/>
      <c r="RFJ30"/>
      <c r="RFK30"/>
      <c r="RFL30"/>
      <c r="RFM30"/>
      <c r="RFN30"/>
      <c r="RFO30"/>
      <c r="RFP30"/>
      <c r="RFQ30"/>
      <c r="RFR30"/>
      <c r="RFS30"/>
      <c r="RFT30"/>
      <c r="RFU30"/>
      <c r="RFV30"/>
      <c r="RFW30"/>
      <c r="RFX30"/>
      <c r="RFY30"/>
      <c r="RFZ30"/>
      <c r="RGA30"/>
      <c r="RGB30"/>
      <c r="RGC30"/>
      <c r="RGD30"/>
      <c r="RGE30"/>
      <c r="RGF30"/>
      <c r="RGG30"/>
      <c r="RGH30"/>
      <c r="RGI30"/>
      <c r="RGJ30"/>
      <c r="RGK30"/>
      <c r="RGL30"/>
      <c r="RGM30"/>
      <c r="RGN30"/>
      <c r="RGO30"/>
      <c r="RGP30"/>
      <c r="RGQ30"/>
      <c r="RGR30"/>
      <c r="RGS30"/>
      <c r="RGT30"/>
      <c r="RGU30"/>
      <c r="RGV30"/>
      <c r="RGW30"/>
      <c r="RGX30"/>
      <c r="RGY30"/>
      <c r="RGZ30"/>
      <c r="RHA30"/>
      <c r="RHB30"/>
      <c r="RHC30"/>
      <c r="RHD30"/>
      <c r="RHE30"/>
      <c r="RHF30"/>
      <c r="RHG30"/>
      <c r="RHH30"/>
      <c r="RHI30"/>
      <c r="RHJ30"/>
      <c r="RHK30"/>
      <c r="RHL30"/>
      <c r="RHM30"/>
      <c r="RHN30"/>
      <c r="RHO30"/>
      <c r="RHP30"/>
      <c r="RHQ30"/>
      <c r="RHR30"/>
      <c r="RHS30"/>
      <c r="RHT30"/>
      <c r="RHU30"/>
      <c r="RHV30"/>
      <c r="RHW30"/>
      <c r="RHX30"/>
      <c r="RHY30"/>
      <c r="RHZ30"/>
      <c r="RIA30"/>
      <c r="RIB30"/>
      <c r="RIC30"/>
      <c r="RID30"/>
      <c r="RIE30"/>
      <c r="RIF30"/>
      <c r="RIG30"/>
      <c r="RIH30"/>
      <c r="RII30"/>
      <c r="RIJ30"/>
      <c r="RIK30"/>
      <c r="RIL30"/>
      <c r="RIM30"/>
      <c r="RIN30"/>
      <c r="RIO30"/>
      <c r="RIP30"/>
      <c r="RIQ30"/>
      <c r="RIR30"/>
      <c r="RIS30"/>
      <c r="RIT30"/>
      <c r="RIU30"/>
      <c r="RIV30"/>
      <c r="RIW30"/>
      <c r="RIX30"/>
      <c r="RIY30"/>
      <c r="RIZ30"/>
      <c r="RJA30"/>
      <c r="RJB30"/>
      <c r="RJC30"/>
      <c r="RJD30"/>
      <c r="RJE30"/>
      <c r="RJF30"/>
      <c r="RJG30"/>
      <c r="RJH30"/>
      <c r="RJI30"/>
      <c r="RJJ30"/>
      <c r="RJK30"/>
      <c r="RJL30"/>
      <c r="RJM30"/>
      <c r="RJN30"/>
      <c r="RJO30"/>
      <c r="RJP30"/>
      <c r="RJQ30"/>
      <c r="RJR30"/>
      <c r="RJS30"/>
      <c r="RJT30"/>
      <c r="RJU30"/>
      <c r="RJV30"/>
      <c r="RJW30"/>
      <c r="RJX30"/>
      <c r="RJY30"/>
      <c r="RJZ30"/>
      <c r="RKA30"/>
      <c r="RKB30"/>
      <c r="RKC30"/>
      <c r="RKD30"/>
      <c r="RKE30"/>
      <c r="RKF30"/>
      <c r="RKG30"/>
      <c r="RKH30"/>
      <c r="RKI30"/>
      <c r="RKJ30"/>
      <c r="RKK30"/>
      <c r="RKL30"/>
      <c r="RKM30"/>
      <c r="RKN30"/>
      <c r="RKO30"/>
      <c r="RKP30"/>
      <c r="RKQ30"/>
      <c r="RKR30"/>
      <c r="RKS30"/>
      <c r="RKT30"/>
      <c r="RKU30"/>
      <c r="RKV30"/>
      <c r="RKW30"/>
      <c r="RKX30"/>
      <c r="RKY30"/>
      <c r="RKZ30"/>
      <c r="RLA30"/>
      <c r="RLB30"/>
      <c r="RLC30"/>
      <c r="RLD30"/>
      <c r="RLE30"/>
      <c r="RLF30"/>
      <c r="RLG30"/>
      <c r="RLH30"/>
      <c r="RLI30"/>
      <c r="RLJ30"/>
      <c r="RLK30"/>
      <c r="RLL30"/>
      <c r="RLM30"/>
      <c r="RLN30"/>
      <c r="RLO30"/>
      <c r="RLP30"/>
      <c r="RLQ30"/>
      <c r="RLR30"/>
      <c r="RLS30"/>
      <c r="RLT30"/>
      <c r="RLU30"/>
      <c r="RLV30"/>
      <c r="RLW30"/>
      <c r="RLX30"/>
      <c r="RLY30"/>
      <c r="RLZ30"/>
      <c r="RMA30"/>
      <c r="RMB30"/>
      <c r="RMC30"/>
      <c r="RMD30"/>
      <c r="RME30"/>
      <c r="RMF30"/>
      <c r="RMG30"/>
      <c r="RMH30"/>
      <c r="RMI30"/>
      <c r="RMJ30"/>
      <c r="RMK30"/>
      <c r="RML30"/>
      <c r="RMM30"/>
      <c r="RMN30"/>
      <c r="RMO30"/>
      <c r="RMP30"/>
      <c r="RMQ30"/>
      <c r="RMR30"/>
      <c r="RMS30"/>
      <c r="RMT30"/>
      <c r="RMU30"/>
      <c r="RMV30"/>
      <c r="RMW30"/>
      <c r="RMX30"/>
      <c r="RMY30"/>
      <c r="RMZ30"/>
      <c r="RNA30"/>
      <c r="RNB30"/>
      <c r="RNC30"/>
      <c r="RND30"/>
      <c r="RNE30"/>
      <c r="RNF30"/>
      <c r="RNG30"/>
      <c r="RNH30"/>
      <c r="RNI30"/>
      <c r="RNJ30"/>
      <c r="RNK30"/>
      <c r="RNL30"/>
      <c r="RNM30"/>
      <c r="RNN30"/>
      <c r="RNO30"/>
      <c r="RNP30"/>
      <c r="RNQ30"/>
      <c r="RNR30"/>
      <c r="RNS30"/>
      <c r="RNT30"/>
      <c r="RNU30"/>
      <c r="RNV30"/>
      <c r="RNW30"/>
      <c r="RNX30"/>
      <c r="RNY30"/>
      <c r="RNZ30"/>
      <c r="ROA30"/>
      <c r="ROB30"/>
      <c r="ROC30"/>
      <c r="ROD30"/>
      <c r="ROE30"/>
      <c r="ROF30"/>
      <c r="ROG30"/>
      <c r="ROH30"/>
      <c r="ROI30"/>
      <c r="ROJ30"/>
      <c r="ROK30"/>
      <c r="ROL30"/>
      <c r="ROM30"/>
      <c r="RON30"/>
      <c r="ROO30"/>
      <c r="ROP30"/>
      <c r="ROQ30"/>
      <c r="ROR30"/>
      <c r="ROS30"/>
      <c r="ROT30"/>
      <c r="ROU30"/>
      <c r="ROV30"/>
      <c r="ROW30"/>
      <c r="ROX30"/>
      <c r="ROY30"/>
      <c r="ROZ30"/>
      <c r="RPA30"/>
      <c r="RPB30"/>
      <c r="RPC30"/>
      <c r="RPD30"/>
      <c r="RPE30"/>
      <c r="RPF30"/>
      <c r="RPG30"/>
      <c r="RPH30"/>
      <c r="RPI30"/>
      <c r="RPJ30"/>
      <c r="RPK30"/>
      <c r="RPL30"/>
      <c r="RPM30"/>
      <c r="RPN30"/>
      <c r="RPO30"/>
      <c r="RPP30"/>
      <c r="RPQ30"/>
      <c r="RPR30"/>
      <c r="RPS30"/>
      <c r="RPT30"/>
      <c r="RPU30"/>
      <c r="RPV30"/>
      <c r="RPW30"/>
      <c r="RPX30"/>
      <c r="RPY30"/>
      <c r="RPZ30"/>
      <c r="RQA30"/>
      <c r="RQB30"/>
      <c r="RQC30"/>
      <c r="RQD30"/>
      <c r="RQE30"/>
      <c r="RQF30"/>
      <c r="RQG30"/>
      <c r="RQH30"/>
      <c r="RQI30"/>
      <c r="RQJ30"/>
      <c r="RQK30"/>
      <c r="RQL30"/>
      <c r="RQM30"/>
      <c r="RQN30"/>
      <c r="RQO30"/>
      <c r="RQP30"/>
      <c r="RQQ30"/>
      <c r="RQR30"/>
      <c r="RQS30"/>
      <c r="RQT30"/>
      <c r="RQU30"/>
      <c r="RQV30"/>
      <c r="RQW30"/>
      <c r="RQX30"/>
      <c r="RQY30"/>
      <c r="RQZ30"/>
      <c r="RRA30"/>
      <c r="RRB30"/>
      <c r="RRC30"/>
      <c r="RRD30"/>
      <c r="RRE30"/>
      <c r="RRF30"/>
      <c r="RRG30"/>
      <c r="RRH30"/>
      <c r="RRI30"/>
      <c r="RRJ30"/>
      <c r="RRK30"/>
      <c r="RRL30"/>
      <c r="RRM30"/>
      <c r="RRN30"/>
      <c r="RRO30"/>
      <c r="RRP30"/>
      <c r="RRQ30"/>
      <c r="RRR30"/>
      <c r="RRS30"/>
      <c r="RRT30"/>
      <c r="RRU30"/>
      <c r="RRV30"/>
      <c r="RRW30"/>
      <c r="RRX30"/>
      <c r="RRY30"/>
      <c r="RRZ30"/>
      <c r="RSA30"/>
      <c r="RSB30"/>
      <c r="RSC30"/>
      <c r="RSD30"/>
      <c r="RSE30"/>
      <c r="RSF30"/>
      <c r="RSG30"/>
      <c r="RSH30"/>
      <c r="RSI30"/>
      <c r="RSJ30"/>
      <c r="RSK30"/>
      <c r="RSL30"/>
      <c r="RSM30"/>
      <c r="RSN30"/>
      <c r="RSO30"/>
      <c r="RSP30"/>
      <c r="RSQ30"/>
      <c r="RSR30"/>
      <c r="RSS30"/>
      <c r="RST30"/>
      <c r="RSU30"/>
      <c r="RSV30"/>
      <c r="RSW30"/>
      <c r="RSX30"/>
      <c r="RSY30"/>
      <c r="RSZ30"/>
      <c r="RTA30"/>
      <c r="RTB30"/>
      <c r="RTC30"/>
      <c r="RTD30"/>
      <c r="RTE30"/>
      <c r="RTF30"/>
      <c r="RTG30"/>
      <c r="RTH30"/>
      <c r="RTI30"/>
      <c r="RTJ30"/>
      <c r="RTK30"/>
      <c r="RTL30"/>
      <c r="RTM30"/>
      <c r="RTN30"/>
      <c r="RTO30"/>
      <c r="RTP30"/>
      <c r="RTQ30"/>
      <c r="RTR30"/>
      <c r="RTS30"/>
      <c r="RTT30"/>
      <c r="RTU30"/>
      <c r="RTV30"/>
      <c r="RTW30"/>
      <c r="RTX30"/>
      <c r="RTY30"/>
      <c r="RTZ30"/>
      <c r="RUA30"/>
      <c r="RUB30"/>
      <c r="RUC30"/>
      <c r="RUD30"/>
      <c r="RUE30"/>
      <c r="RUF30"/>
      <c r="RUG30"/>
      <c r="RUH30"/>
      <c r="RUI30"/>
      <c r="RUJ30"/>
      <c r="RUK30"/>
      <c r="RUL30"/>
      <c r="RUM30"/>
      <c r="RUN30"/>
      <c r="RUO30"/>
      <c r="RUP30"/>
      <c r="RUQ30"/>
      <c r="RUR30"/>
      <c r="RUS30"/>
      <c r="RUT30"/>
      <c r="RUU30"/>
      <c r="RUV30"/>
      <c r="RUW30"/>
      <c r="RUX30"/>
      <c r="RUY30"/>
      <c r="RUZ30"/>
      <c r="RVA30"/>
      <c r="RVB30"/>
      <c r="RVC30"/>
      <c r="RVD30"/>
      <c r="RVE30"/>
      <c r="RVF30"/>
      <c r="RVG30"/>
      <c r="RVH30"/>
      <c r="RVI30"/>
      <c r="RVJ30"/>
      <c r="RVK30"/>
      <c r="RVL30"/>
      <c r="RVM30"/>
      <c r="RVN30"/>
      <c r="RVO30"/>
      <c r="RVP30"/>
      <c r="RVQ30"/>
      <c r="RVR30"/>
      <c r="RVS30"/>
      <c r="RVT30"/>
      <c r="RVU30"/>
      <c r="RVV30"/>
      <c r="RVW30"/>
      <c r="RVX30"/>
      <c r="RVY30"/>
      <c r="RVZ30"/>
      <c r="RWA30"/>
      <c r="RWB30"/>
      <c r="RWC30"/>
      <c r="RWD30"/>
      <c r="RWE30"/>
      <c r="RWF30"/>
      <c r="RWG30"/>
      <c r="RWH30"/>
      <c r="RWI30"/>
      <c r="RWJ30"/>
      <c r="RWK30"/>
      <c r="RWL30"/>
      <c r="RWM30"/>
      <c r="RWN30"/>
      <c r="RWO30"/>
      <c r="RWP30"/>
      <c r="RWQ30"/>
      <c r="RWR30"/>
      <c r="RWS30"/>
      <c r="RWT30"/>
      <c r="RWU30"/>
      <c r="RWV30"/>
      <c r="RWW30"/>
      <c r="RWX30"/>
      <c r="RWY30"/>
      <c r="RWZ30"/>
      <c r="RXA30"/>
      <c r="RXB30"/>
      <c r="RXC30"/>
      <c r="RXD30"/>
      <c r="RXE30"/>
      <c r="RXF30"/>
      <c r="RXG30"/>
      <c r="RXH30"/>
      <c r="RXI30"/>
      <c r="RXJ30"/>
      <c r="RXK30"/>
      <c r="RXL30"/>
      <c r="RXM30"/>
      <c r="RXN30"/>
      <c r="RXO30"/>
      <c r="RXP30"/>
      <c r="RXQ30"/>
      <c r="RXR30"/>
      <c r="RXS30"/>
      <c r="RXT30"/>
      <c r="RXU30"/>
      <c r="RXV30"/>
      <c r="RXW30"/>
      <c r="RXX30"/>
      <c r="RXY30"/>
      <c r="RXZ30"/>
      <c r="RYA30"/>
      <c r="RYB30"/>
      <c r="RYC30"/>
      <c r="RYD30"/>
      <c r="RYE30"/>
      <c r="RYF30"/>
      <c r="RYG30"/>
      <c r="RYH30"/>
      <c r="RYI30"/>
      <c r="RYJ30"/>
      <c r="RYK30"/>
      <c r="RYL30"/>
      <c r="RYM30"/>
      <c r="RYN30"/>
      <c r="RYO30"/>
      <c r="RYP30"/>
      <c r="RYQ30"/>
      <c r="RYR30"/>
      <c r="RYS30"/>
      <c r="RYT30"/>
      <c r="RYU30"/>
      <c r="RYV30"/>
      <c r="RYW30"/>
      <c r="RYX30"/>
      <c r="RYY30"/>
      <c r="RYZ30"/>
      <c r="RZA30"/>
      <c r="RZB30"/>
      <c r="RZC30"/>
      <c r="RZD30"/>
      <c r="RZE30"/>
      <c r="RZF30"/>
      <c r="RZG30"/>
      <c r="RZH30"/>
      <c r="RZI30"/>
      <c r="RZJ30"/>
      <c r="RZK30"/>
      <c r="RZL30"/>
      <c r="RZM30"/>
      <c r="RZN30"/>
      <c r="RZO30"/>
      <c r="RZP30"/>
      <c r="RZQ30"/>
      <c r="RZR30"/>
      <c r="RZS30"/>
      <c r="RZT30"/>
      <c r="RZU30"/>
      <c r="RZV30"/>
      <c r="RZW30"/>
      <c r="RZX30"/>
      <c r="RZY30"/>
      <c r="RZZ30"/>
      <c r="SAA30"/>
      <c r="SAB30"/>
      <c r="SAC30"/>
      <c r="SAD30"/>
      <c r="SAE30"/>
      <c r="SAF30"/>
      <c r="SAG30"/>
      <c r="SAH30"/>
      <c r="SAI30"/>
      <c r="SAJ30"/>
      <c r="SAK30"/>
      <c r="SAL30"/>
      <c r="SAM30"/>
      <c r="SAN30"/>
      <c r="SAO30"/>
      <c r="SAP30"/>
      <c r="SAQ30"/>
      <c r="SAR30"/>
      <c r="SAS30"/>
      <c r="SAT30"/>
      <c r="SAU30"/>
      <c r="SAV30"/>
      <c r="SAW30"/>
      <c r="SAX30"/>
      <c r="SAY30"/>
      <c r="SAZ30"/>
      <c r="SBA30"/>
      <c r="SBB30"/>
      <c r="SBC30"/>
      <c r="SBD30"/>
      <c r="SBE30"/>
      <c r="SBF30"/>
      <c r="SBG30"/>
      <c r="SBH30"/>
      <c r="SBI30"/>
      <c r="SBJ30"/>
      <c r="SBK30"/>
      <c r="SBL30"/>
      <c r="SBM30"/>
      <c r="SBN30"/>
      <c r="SBO30"/>
      <c r="SBP30"/>
      <c r="SBQ30"/>
      <c r="SBR30"/>
      <c r="SBS30"/>
      <c r="SBT30"/>
      <c r="SBU30"/>
      <c r="SBV30"/>
      <c r="SBW30"/>
      <c r="SBX30"/>
      <c r="SBY30"/>
      <c r="SBZ30"/>
      <c r="SCA30"/>
      <c r="SCB30"/>
      <c r="SCC30"/>
      <c r="SCD30"/>
      <c r="SCE30"/>
      <c r="SCF30"/>
      <c r="SCG30"/>
      <c r="SCH30"/>
      <c r="SCI30"/>
      <c r="SCJ30"/>
      <c r="SCK30"/>
      <c r="SCL30"/>
      <c r="SCM30"/>
      <c r="SCN30"/>
      <c r="SCO30"/>
      <c r="SCP30"/>
      <c r="SCQ30"/>
      <c r="SCR30"/>
      <c r="SCS30"/>
      <c r="SCT30"/>
      <c r="SCU30"/>
      <c r="SCV30"/>
      <c r="SCW30"/>
      <c r="SCX30"/>
      <c r="SCY30"/>
      <c r="SCZ30"/>
      <c r="SDA30"/>
      <c r="SDB30"/>
      <c r="SDC30"/>
      <c r="SDD30"/>
      <c r="SDE30"/>
      <c r="SDF30"/>
      <c r="SDG30"/>
      <c r="SDH30"/>
      <c r="SDI30"/>
      <c r="SDJ30"/>
      <c r="SDK30"/>
      <c r="SDL30"/>
      <c r="SDM30"/>
      <c r="SDN30"/>
      <c r="SDO30"/>
      <c r="SDP30"/>
      <c r="SDQ30"/>
      <c r="SDR30"/>
      <c r="SDS30"/>
      <c r="SDT30"/>
      <c r="SDU30"/>
      <c r="SDV30"/>
      <c r="SDW30"/>
      <c r="SDX30"/>
      <c r="SDY30"/>
      <c r="SDZ30"/>
      <c r="SEA30"/>
      <c r="SEB30"/>
      <c r="SEC30"/>
      <c r="SED30"/>
      <c r="SEE30"/>
      <c r="SEF30"/>
      <c r="SEG30"/>
      <c r="SEH30"/>
      <c r="SEI30"/>
      <c r="SEJ30"/>
      <c r="SEK30"/>
      <c r="SEL30"/>
      <c r="SEM30"/>
      <c r="SEN30"/>
      <c r="SEO30"/>
      <c r="SEP30"/>
      <c r="SEQ30"/>
      <c r="SER30"/>
      <c r="SES30"/>
      <c r="SET30"/>
      <c r="SEU30"/>
      <c r="SEV30"/>
      <c r="SEW30"/>
      <c r="SEX30"/>
      <c r="SEY30"/>
      <c r="SEZ30"/>
      <c r="SFA30"/>
      <c r="SFB30"/>
      <c r="SFC30"/>
      <c r="SFD30"/>
      <c r="SFE30"/>
      <c r="SFF30"/>
      <c r="SFG30"/>
      <c r="SFH30"/>
      <c r="SFI30"/>
      <c r="SFJ30"/>
      <c r="SFK30"/>
      <c r="SFL30"/>
      <c r="SFM30"/>
      <c r="SFN30"/>
      <c r="SFO30"/>
      <c r="SFP30"/>
      <c r="SFQ30"/>
      <c r="SFR30"/>
      <c r="SFS30"/>
      <c r="SFT30"/>
      <c r="SFU30"/>
      <c r="SFV30"/>
      <c r="SFW30"/>
      <c r="SFX30"/>
      <c r="SFY30"/>
      <c r="SFZ30"/>
      <c r="SGA30"/>
      <c r="SGB30"/>
      <c r="SGC30"/>
      <c r="SGD30"/>
      <c r="SGE30"/>
      <c r="SGF30"/>
      <c r="SGG30"/>
      <c r="SGH30"/>
      <c r="SGI30"/>
      <c r="SGJ30"/>
      <c r="SGK30"/>
      <c r="SGL30"/>
      <c r="SGM30"/>
      <c r="SGN30"/>
      <c r="SGO30"/>
      <c r="SGP30"/>
      <c r="SGQ30"/>
      <c r="SGR30"/>
      <c r="SGS30"/>
      <c r="SGT30"/>
      <c r="SGU30"/>
      <c r="SGV30"/>
      <c r="SGW30"/>
      <c r="SGX30"/>
      <c r="SGY30"/>
      <c r="SGZ30"/>
      <c r="SHA30"/>
      <c r="SHB30"/>
      <c r="SHC30"/>
      <c r="SHD30"/>
      <c r="SHE30"/>
      <c r="SHF30"/>
      <c r="SHG30"/>
      <c r="SHH30"/>
      <c r="SHI30"/>
      <c r="SHJ30"/>
      <c r="SHK30"/>
      <c r="SHL30"/>
      <c r="SHM30"/>
      <c r="SHN30"/>
      <c r="SHO30"/>
      <c r="SHP30"/>
      <c r="SHQ30"/>
      <c r="SHR30"/>
      <c r="SHS30"/>
      <c r="SHT30"/>
      <c r="SHU30"/>
      <c r="SHV30"/>
      <c r="SHW30"/>
      <c r="SHX30"/>
      <c r="SHY30"/>
      <c r="SHZ30"/>
      <c r="SIA30"/>
      <c r="SIB30"/>
      <c r="SIC30"/>
      <c r="SID30"/>
      <c r="SIE30"/>
      <c r="SIF30"/>
      <c r="SIG30"/>
      <c r="SIH30"/>
      <c r="SII30"/>
      <c r="SIJ30"/>
      <c r="SIK30"/>
      <c r="SIL30"/>
      <c r="SIM30"/>
      <c r="SIN30"/>
      <c r="SIO30"/>
      <c r="SIP30"/>
      <c r="SIQ30"/>
      <c r="SIR30"/>
      <c r="SIS30"/>
      <c r="SIT30"/>
      <c r="SIU30"/>
      <c r="SIV30"/>
      <c r="SIW30"/>
      <c r="SIX30"/>
      <c r="SIY30"/>
      <c r="SIZ30"/>
      <c r="SJA30"/>
      <c r="SJB30"/>
      <c r="SJC30"/>
      <c r="SJD30"/>
      <c r="SJE30"/>
      <c r="SJF30"/>
      <c r="SJG30"/>
      <c r="SJH30"/>
      <c r="SJI30"/>
      <c r="SJJ30"/>
      <c r="SJK30"/>
      <c r="SJL30"/>
      <c r="SJM30"/>
      <c r="SJN30"/>
      <c r="SJO30"/>
      <c r="SJP30"/>
      <c r="SJQ30"/>
      <c r="SJR30"/>
      <c r="SJS30"/>
      <c r="SJT30"/>
      <c r="SJU30"/>
      <c r="SJV30"/>
      <c r="SJW30"/>
      <c r="SJX30"/>
      <c r="SJY30"/>
      <c r="SJZ30"/>
      <c r="SKA30"/>
      <c r="SKB30"/>
      <c r="SKC30"/>
      <c r="SKD30"/>
      <c r="SKE30"/>
      <c r="SKF30"/>
      <c r="SKG30"/>
      <c r="SKH30"/>
      <c r="SKI30"/>
      <c r="SKJ30"/>
      <c r="SKK30"/>
      <c r="SKL30"/>
      <c r="SKM30"/>
      <c r="SKN30"/>
      <c r="SKO30"/>
      <c r="SKP30"/>
      <c r="SKQ30"/>
      <c r="SKR30"/>
      <c r="SKS30"/>
      <c r="SKT30"/>
      <c r="SKU30"/>
      <c r="SKV30"/>
      <c r="SKW30"/>
      <c r="SKX30"/>
      <c r="SKY30"/>
      <c r="SKZ30"/>
      <c r="SLA30"/>
      <c r="SLB30"/>
      <c r="SLC30"/>
      <c r="SLD30"/>
      <c r="SLE30"/>
      <c r="SLF30"/>
      <c r="SLG30"/>
      <c r="SLH30"/>
      <c r="SLI30"/>
      <c r="SLJ30"/>
      <c r="SLK30"/>
      <c r="SLL30"/>
      <c r="SLM30"/>
      <c r="SLN30"/>
      <c r="SLO30"/>
      <c r="SLP30"/>
      <c r="SLQ30"/>
      <c r="SLR30"/>
      <c r="SLS30"/>
      <c r="SLT30"/>
      <c r="SLU30"/>
      <c r="SLV30"/>
      <c r="SLW30"/>
      <c r="SLX30"/>
      <c r="SLY30"/>
      <c r="SLZ30"/>
      <c r="SMA30"/>
      <c r="SMB30"/>
      <c r="SMC30"/>
      <c r="SMD30"/>
      <c r="SME30"/>
      <c r="SMF30"/>
      <c r="SMG30"/>
      <c r="SMH30"/>
      <c r="SMI30"/>
      <c r="SMJ30"/>
      <c r="SMK30"/>
      <c r="SML30"/>
      <c r="SMM30"/>
      <c r="SMN30"/>
      <c r="SMO30"/>
      <c r="SMP30"/>
      <c r="SMQ30"/>
      <c r="SMR30"/>
      <c r="SMS30"/>
      <c r="SMT30"/>
      <c r="SMU30"/>
      <c r="SMV30"/>
      <c r="SMW30"/>
      <c r="SMX30"/>
      <c r="SMY30"/>
      <c r="SMZ30"/>
      <c r="SNA30"/>
      <c r="SNB30"/>
      <c r="SNC30"/>
      <c r="SND30"/>
      <c r="SNE30"/>
      <c r="SNF30"/>
      <c r="SNG30"/>
      <c r="SNH30"/>
      <c r="SNI30"/>
      <c r="SNJ30"/>
      <c r="SNK30"/>
      <c r="SNL30"/>
      <c r="SNM30"/>
      <c r="SNN30"/>
      <c r="SNO30"/>
      <c r="SNP30"/>
      <c r="SNQ30"/>
      <c r="SNR30"/>
      <c r="SNS30"/>
      <c r="SNT30"/>
      <c r="SNU30"/>
      <c r="SNV30"/>
      <c r="SNW30"/>
      <c r="SNX30"/>
      <c r="SNY30"/>
      <c r="SNZ30"/>
      <c r="SOA30"/>
      <c r="SOB30"/>
      <c r="SOC30"/>
      <c r="SOD30"/>
      <c r="SOE30"/>
      <c r="SOF30"/>
      <c r="SOG30"/>
      <c r="SOH30"/>
      <c r="SOI30"/>
      <c r="SOJ30"/>
      <c r="SOK30"/>
      <c r="SOL30"/>
      <c r="SOM30"/>
      <c r="SON30"/>
      <c r="SOO30"/>
      <c r="SOP30"/>
      <c r="SOQ30"/>
      <c r="SOR30"/>
      <c r="SOS30"/>
      <c r="SOT30"/>
      <c r="SOU30"/>
      <c r="SOV30"/>
      <c r="SOW30"/>
      <c r="SOX30"/>
      <c r="SOY30"/>
      <c r="SOZ30"/>
      <c r="SPA30"/>
      <c r="SPB30"/>
      <c r="SPC30"/>
      <c r="SPD30"/>
      <c r="SPE30"/>
      <c r="SPF30"/>
      <c r="SPG30"/>
      <c r="SPH30"/>
      <c r="SPI30"/>
      <c r="SPJ30"/>
      <c r="SPK30"/>
      <c r="SPL30"/>
      <c r="SPM30"/>
      <c r="SPN30"/>
      <c r="SPO30"/>
      <c r="SPP30"/>
      <c r="SPQ30"/>
      <c r="SPR30"/>
      <c r="SPS30"/>
      <c r="SPT30"/>
      <c r="SPU30"/>
      <c r="SPV30"/>
      <c r="SPW30"/>
      <c r="SPX30"/>
      <c r="SPY30"/>
      <c r="SPZ30"/>
      <c r="SQA30"/>
      <c r="SQB30"/>
      <c r="SQC30"/>
      <c r="SQD30"/>
      <c r="SQE30"/>
      <c r="SQF30"/>
      <c r="SQG30"/>
      <c r="SQH30"/>
      <c r="SQI30"/>
      <c r="SQJ30"/>
      <c r="SQK30"/>
      <c r="SQL30"/>
      <c r="SQM30"/>
      <c r="SQN30"/>
      <c r="SQO30"/>
      <c r="SQP30"/>
      <c r="SQQ30"/>
      <c r="SQR30"/>
      <c r="SQS30"/>
      <c r="SQT30"/>
      <c r="SQU30"/>
      <c r="SQV30"/>
      <c r="SQW30"/>
      <c r="SQX30"/>
      <c r="SQY30"/>
      <c r="SQZ30"/>
      <c r="SRA30"/>
      <c r="SRB30"/>
      <c r="SRC30"/>
      <c r="SRD30"/>
      <c r="SRE30"/>
      <c r="SRF30"/>
      <c r="SRG30"/>
      <c r="SRH30"/>
      <c r="SRI30"/>
      <c r="SRJ30"/>
      <c r="SRK30"/>
      <c r="SRL30"/>
      <c r="SRM30"/>
      <c r="SRN30"/>
      <c r="SRO30"/>
      <c r="SRP30"/>
      <c r="SRQ30"/>
      <c r="SRR30"/>
      <c r="SRS30"/>
      <c r="SRT30"/>
      <c r="SRU30"/>
      <c r="SRV30"/>
      <c r="SRW30"/>
      <c r="SRX30"/>
      <c r="SRY30"/>
      <c r="SRZ30"/>
      <c r="SSA30"/>
      <c r="SSB30"/>
      <c r="SSC30"/>
      <c r="SSD30"/>
      <c r="SSE30"/>
      <c r="SSF30"/>
      <c r="SSG30"/>
      <c r="SSH30"/>
      <c r="SSI30"/>
      <c r="SSJ30"/>
      <c r="SSK30"/>
      <c r="SSL30"/>
      <c r="SSM30"/>
      <c r="SSN30"/>
      <c r="SSO30"/>
      <c r="SSP30"/>
      <c r="SSQ30"/>
      <c r="SSR30"/>
      <c r="SSS30"/>
      <c r="SST30"/>
      <c r="SSU30"/>
      <c r="SSV30"/>
      <c r="SSW30"/>
      <c r="SSX30"/>
      <c r="SSY30"/>
      <c r="SSZ30"/>
      <c r="STA30"/>
      <c r="STB30"/>
      <c r="STC30"/>
      <c r="STD30"/>
      <c r="STE30"/>
      <c r="STF30"/>
      <c r="STG30"/>
      <c r="STH30"/>
      <c r="STI30"/>
      <c r="STJ30"/>
      <c r="STK30"/>
      <c r="STL30"/>
      <c r="STM30"/>
      <c r="STN30"/>
      <c r="STO30"/>
      <c r="STP30"/>
      <c r="STQ30"/>
      <c r="STR30"/>
      <c r="STS30"/>
      <c r="STT30"/>
      <c r="STU30"/>
      <c r="STV30"/>
      <c r="STW30"/>
      <c r="STX30"/>
      <c r="STY30"/>
      <c r="STZ30"/>
      <c r="SUA30"/>
      <c r="SUB30"/>
      <c r="SUC30"/>
      <c r="SUD30"/>
      <c r="SUE30"/>
      <c r="SUF30"/>
      <c r="SUG30"/>
      <c r="SUH30"/>
      <c r="SUI30"/>
      <c r="SUJ30"/>
      <c r="SUK30"/>
      <c r="SUL30"/>
      <c r="SUM30"/>
      <c r="SUN30"/>
      <c r="SUO30"/>
      <c r="SUP30"/>
      <c r="SUQ30"/>
      <c r="SUR30"/>
      <c r="SUS30"/>
      <c r="SUT30"/>
      <c r="SUU30"/>
      <c r="SUV30"/>
      <c r="SUW30"/>
      <c r="SUX30"/>
      <c r="SUY30"/>
      <c r="SUZ30"/>
      <c r="SVA30"/>
      <c r="SVB30"/>
      <c r="SVC30"/>
      <c r="SVD30"/>
      <c r="SVE30"/>
      <c r="SVF30"/>
      <c r="SVG30"/>
      <c r="SVH30"/>
      <c r="SVI30"/>
      <c r="SVJ30"/>
      <c r="SVK30"/>
      <c r="SVL30"/>
      <c r="SVM30"/>
      <c r="SVN30"/>
      <c r="SVO30"/>
      <c r="SVP30"/>
      <c r="SVQ30"/>
      <c r="SVR30"/>
      <c r="SVS30"/>
      <c r="SVT30"/>
      <c r="SVU30"/>
      <c r="SVV30"/>
      <c r="SVW30"/>
      <c r="SVX30"/>
      <c r="SVY30"/>
      <c r="SVZ30"/>
      <c r="SWA30"/>
      <c r="SWB30"/>
      <c r="SWC30"/>
      <c r="SWD30"/>
      <c r="SWE30"/>
      <c r="SWF30"/>
      <c r="SWG30"/>
      <c r="SWH30"/>
      <c r="SWI30"/>
      <c r="SWJ30"/>
      <c r="SWK30"/>
      <c r="SWL30"/>
      <c r="SWM30"/>
      <c r="SWN30"/>
      <c r="SWO30"/>
      <c r="SWP30"/>
      <c r="SWQ30"/>
      <c r="SWR30"/>
      <c r="SWS30"/>
      <c r="SWT30"/>
      <c r="SWU30"/>
      <c r="SWV30"/>
      <c r="SWW30"/>
      <c r="SWX30"/>
      <c r="SWY30"/>
      <c r="SWZ30"/>
      <c r="SXA30"/>
      <c r="SXB30"/>
      <c r="SXC30"/>
      <c r="SXD30"/>
      <c r="SXE30"/>
      <c r="SXF30"/>
      <c r="SXG30"/>
      <c r="SXH30"/>
      <c r="SXI30"/>
      <c r="SXJ30"/>
      <c r="SXK30"/>
      <c r="SXL30"/>
      <c r="SXM30"/>
      <c r="SXN30"/>
      <c r="SXO30"/>
      <c r="SXP30"/>
      <c r="SXQ30"/>
      <c r="SXR30"/>
      <c r="SXS30"/>
      <c r="SXT30"/>
      <c r="SXU30"/>
      <c r="SXV30"/>
      <c r="SXW30"/>
      <c r="SXX30"/>
      <c r="SXY30"/>
      <c r="SXZ30"/>
      <c r="SYA30"/>
      <c r="SYB30"/>
      <c r="SYC30"/>
      <c r="SYD30"/>
      <c r="SYE30"/>
      <c r="SYF30"/>
      <c r="SYG30"/>
      <c r="SYH30"/>
      <c r="SYI30"/>
      <c r="SYJ30"/>
      <c r="SYK30"/>
      <c r="SYL30"/>
      <c r="SYM30"/>
      <c r="SYN30"/>
      <c r="SYO30"/>
      <c r="SYP30"/>
      <c r="SYQ30"/>
      <c r="SYR30"/>
      <c r="SYS30"/>
      <c r="SYT30"/>
      <c r="SYU30"/>
      <c r="SYV30"/>
      <c r="SYW30"/>
      <c r="SYX30"/>
      <c r="SYY30"/>
      <c r="SYZ30"/>
      <c r="SZA30"/>
      <c r="SZB30"/>
      <c r="SZC30"/>
      <c r="SZD30"/>
      <c r="SZE30"/>
      <c r="SZF30"/>
      <c r="SZG30"/>
      <c r="SZH30"/>
      <c r="SZI30"/>
      <c r="SZJ30"/>
      <c r="SZK30"/>
      <c r="SZL30"/>
      <c r="SZM30"/>
      <c r="SZN30"/>
      <c r="SZO30"/>
      <c r="SZP30"/>
      <c r="SZQ30"/>
      <c r="SZR30"/>
      <c r="SZS30"/>
      <c r="SZT30"/>
      <c r="SZU30"/>
      <c r="SZV30"/>
      <c r="SZW30"/>
      <c r="SZX30"/>
      <c r="SZY30"/>
      <c r="SZZ30"/>
      <c r="TAA30"/>
      <c r="TAB30"/>
      <c r="TAC30"/>
      <c r="TAD30"/>
      <c r="TAE30"/>
      <c r="TAF30"/>
      <c r="TAG30"/>
      <c r="TAH30"/>
      <c r="TAI30"/>
      <c r="TAJ30"/>
      <c r="TAK30"/>
      <c r="TAL30"/>
      <c r="TAM30"/>
      <c r="TAN30"/>
      <c r="TAO30"/>
      <c r="TAP30"/>
      <c r="TAQ30"/>
      <c r="TAR30"/>
      <c r="TAS30"/>
      <c r="TAT30"/>
      <c r="TAU30"/>
      <c r="TAV30"/>
      <c r="TAW30"/>
      <c r="TAX30"/>
      <c r="TAY30"/>
      <c r="TAZ30"/>
      <c r="TBA30"/>
      <c r="TBB30"/>
      <c r="TBC30"/>
      <c r="TBD30"/>
      <c r="TBE30"/>
      <c r="TBF30"/>
      <c r="TBG30"/>
      <c r="TBH30"/>
      <c r="TBI30"/>
      <c r="TBJ30"/>
      <c r="TBK30"/>
      <c r="TBL30"/>
      <c r="TBM30"/>
      <c r="TBN30"/>
      <c r="TBO30"/>
      <c r="TBP30"/>
      <c r="TBQ30"/>
      <c r="TBR30"/>
      <c r="TBS30"/>
      <c r="TBT30"/>
      <c r="TBU30"/>
      <c r="TBV30"/>
      <c r="TBW30"/>
      <c r="TBX30"/>
      <c r="TBY30"/>
      <c r="TBZ30"/>
      <c r="TCA30"/>
      <c r="TCB30"/>
      <c r="TCC30"/>
      <c r="TCD30"/>
      <c r="TCE30"/>
      <c r="TCF30"/>
      <c r="TCG30"/>
      <c r="TCH30"/>
      <c r="TCI30"/>
      <c r="TCJ30"/>
      <c r="TCK30"/>
      <c r="TCL30"/>
      <c r="TCM30"/>
      <c r="TCN30"/>
      <c r="TCO30"/>
      <c r="TCP30"/>
      <c r="TCQ30"/>
      <c r="TCR30"/>
      <c r="TCS30"/>
      <c r="TCT30"/>
      <c r="TCU30"/>
      <c r="TCV30"/>
      <c r="TCW30"/>
      <c r="TCX30"/>
      <c r="TCY30"/>
      <c r="TCZ30"/>
      <c r="TDA30"/>
      <c r="TDB30"/>
      <c r="TDC30"/>
      <c r="TDD30"/>
      <c r="TDE30"/>
      <c r="TDF30"/>
      <c r="TDG30"/>
      <c r="TDH30"/>
      <c r="TDI30"/>
      <c r="TDJ30"/>
      <c r="TDK30"/>
      <c r="TDL30"/>
      <c r="TDM30"/>
      <c r="TDN30"/>
      <c r="TDO30"/>
      <c r="TDP30"/>
      <c r="TDQ30"/>
      <c r="TDR30"/>
      <c r="TDS30"/>
      <c r="TDT30"/>
      <c r="TDU30"/>
      <c r="TDV30"/>
      <c r="TDW30"/>
      <c r="TDX30"/>
      <c r="TDY30"/>
      <c r="TDZ30"/>
      <c r="TEA30"/>
      <c r="TEB30"/>
      <c r="TEC30"/>
      <c r="TED30"/>
      <c r="TEE30"/>
      <c r="TEF30"/>
      <c r="TEG30"/>
      <c r="TEH30"/>
      <c r="TEI30"/>
      <c r="TEJ30"/>
      <c r="TEK30"/>
      <c r="TEL30"/>
      <c r="TEM30"/>
      <c r="TEN30"/>
      <c r="TEO30"/>
      <c r="TEP30"/>
      <c r="TEQ30"/>
      <c r="TER30"/>
      <c r="TES30"/>
      <c r="TET30"/>
      <c r="TEU30"/>
      <c r="TEV30"/>
      <c r="TEW30"/>
      <c r="TEX30"/>
      <c r="TEY30"/>
      <c r="TEZ30"/>
      <c r="TFA30"/>
      <c r="TFB30"/>
      <c r="TFC30"/>
      <c r="TFD30"/>
      <c r="TFE30"/>
      <c r="TFF30"/>
      <c r="TFG30"/>
      <c r="TFH30"/>
      <c r="TFI30"/>
      <c r="TFJ30"/>
      <c r="TFK30"/>
      <c r="TFL30"/>
      <c r="TFM30"/>
      <c r="TFN30"/>
      <c r="TFO30"/>
      <c r="TFP30"/>
      <c r="TFQ30"/>
      <c r="TFR30"/>
      <c r="TFS30"/>
      <c r="TFT30"/>
      <c r="TFU30"/>
      <c r="TFV30"/>
      <c r="TFW30"/>
      <c r="TFX30"/>
      <c r="TFY30"/>
      <c r="TFZ30"/>
      <c r="TGA30"/>
      <c r="TGB30"/>
      <c r="TGC30"/>
      <c r="TGD30"/>
      <c r="TGE30"/>
      <c r="TGF30"/>
      <c r="TGG30"/>
      <c r="TGH30"/>
      <c r="TGI30"/>
      <c r="TGJ30"/>
      <c r="TGK30"/>
      <c r="TGL30"/>
      <c r="TGM30"/>
      <c r="TGN30"/>
      <c r="TGO30"/>
      <c r="TGP30"/>
      <c r="TGQ30"/>
      <c r="TGR30"/>
      <c r="TGS30"/>
      <c r="TGT30"/>
      <c r="TGU30"/>
      <c r="TGV30"/>
      <c r="TGW30"/>
      <c r="TGX30"/>
      <c r="TGY30"/>
      <c r="TGZ30"/>
      <c r="THA30"/>
      <c r="THB30"/>
      <c r="THC30"/>
      <c r="THD30"/>
      <c r="THE30"/>
      <c r="THF30"/>
      <c r="THG30"/>
      <c r="THH30"/>
      <c r="THI30"/>
      <c r="THJ30"/>
      <c r="THK30"/>
      <c r="THL30"/>
      <c r="THM30"/>
      <c r="THN30"/>
      <c r="THO30"/>
      <c r="THP30"/>
      <c r="THQ30"/>
      <c r="THR30"/>
      <c r="THS30"/>
      <c r="THT30"/>
      <c r="THU30"/>
      <c r="THV30"/>
      <c r="THW30"/>
      <c r="THX30"/>
      <c r="THY30"/>
      <c r="THZ30"/>
      <c r="TIA30"/>
      <c r="TIB30"/>
      <c r="TIC30"/>
      <c r="TID30"/>
      <c r="TIE30"/>
      <c r="TIF30"/>
      <c r="TIG30"/>
      <c r="TIH30"/>
      <c r="TII30"/>
      <c r="TIJ30"/>
      <c r="TIK30"/>
      <c r="TIL30"/>
      <c r="TIM30"/>
      <c r="TIN30"/>
      <c r="TIO30"/>
      <c r="TIP30"/>
      <c r="TIQ30"/>
      <c r="TIR30"/>
      <c r="TIS30"/>
      <c r="TIT30"/>
      <c r="TIU30"/>
      <c r="TIV30"/>
      <c r="TIW30"/>
      <c r="TIX30"/>
      <c r="TIY30"/>
      <c r="TIZ30"/>
      <c r="TJA30"/>
      <c r="TJB30"/>
      <c r="TJC30"/>
      <c r="TJD30"/>
      <c r="TJE30"/>
      <c r="TJF30"/>
      <c r="TJG30"/>
      <c r="TJH30"/>
      <c r="TJI30"/>
      <c r="TJJ30"/>
      <c r="TJK30"/>
      <c r="TJL30"/>
      <c r="TJM30"/>
      <c r="TJN30"/>
      <c r="TJO30"/>
      <c r="TJP30"/>
      <c r="TJQ30"/>
      <c r="TJR30"/>
      <c r="TJS30"/>
      <c r="TJT30"/>
      <c r="TJU30"/>
      <c r="TJV30"/>
      <c r="TJW30"/>
      <c r="TJX30"/>
      <c r="TJY30"/>
      <c r="TJZ30"/>
      <c r="TKA30"/>
      <c r="TKB30"/>
      <c r="TKC30"/>
      <c r="TKD30"/>
      <c r="TKE30"/>
      <c r="TKF30"/>
      <c r="TKG30"/>
      <c r="TKH30"/>
      <c r="TKI30"/>
      <c r="TKJ30"/>
      <c r="TKK30"/>
      <c r="TKL30"/>
      <c r="TKM30"/>
      <c r="TKN30"/>
      <c r="TKO30"/>
      <c r="TKP30"/>
      <c r="TKQ30"/>
      <c r="TKR30"/>
      <c r="TKS30"/>
      <c r="TKT30"/>
      <c r="TKU30"/>
      <c r="TKV30"/>
      <c r="TKW30"/>
      <c r="TKX30"/>
      <c r="TKY30"/>
      <c r="TKZ30"/>
      <c r="TLA30"/>
      <c r="TLB30"/>
      <c r="TLC30"/>
      <c r="TLD30"/>
      <c r="TLE30"/>
      <c r="TLF30"/>
      <c r="TLG30"/>
      <c r="TLH30"/>
      <c r="TLI30"/>
      <c r="TLJ30"/>
      <c r="TLK30"/>
      <c r="TLL30"/>
      <c r="TLM30"/>
      <c r="TLN30"/>
      <c r="TLO30"/>
      <c r="TLP30"/>
      <c r="TLQ30"/>
      <c r="TLR30"/>
      <c r="TLS30"/>
      <c r="TLT30"/>
      <c r="TLU30"/>
      <c r="TLV30"/>
      <c r="TLW30"/>
      <c r="TLX30"/>
      <c r="TLY30"/>
      <c r="TLZ30"/>
      <c r="TMA30"/>
      <c r="TMB30"/>
      <c r="TMC30"/>
      <c r="TMD30"/>
      <c r="TME30"/>
      <c r="TMF30"/>
      <c r="TMG30"/>
      <c r="TMH30"/>
      <c r="TMI30"/>
      <c r="TMJ30"/>
      <c r="TMK30"/>
      <c r="TML30"/>
      <c r="TMM30"/>
      <c r="TMN30"/>
      <c r="TMO30"/>
      <c r="TMP30"/>
      <c r="TMQ30"/>
      <c r="TMR30"/>
      <c r="TMS30"/>
      <c r="TMT30"/>
      <c r="TMU30"/>
      <c r="TMV30"/>
      <c r="TMW30"/>
      <c r="TMX30"/>
      <c r="TMY30"/>
      <c r="TMZ30"/>
      <c r="TNA30"/>
      <c r="TNB30"/>
      <c r="TNC30"/>
      <c r="TND30"/>
      <c r="TNE30"/>
      <c r="TNF30"/>
      <c r="TNG30"/>
      <c r="TNH30"/>
      <c r="TNI30"/>
      <c r="TNJ30"/>
      <c r="TNK30"/>
      <c r="TNL30"/>
      <c r="TNM30"/>
      <c r="TNN30"/>
      <c r="TNO30"/>
      <c r="TNP30"/>
      <c r="TNQ30"/>
      <c r="TNR30"/>
      <c r="TNS30"/>
      <c r="TNT30"/>
      <c r="TNU30"/>
      <c r="TNV30"/>
      <c r="TNW30"/>
      <c r="TNX30"/>
      <c r="TNY30"/>
      <c r="TNZ30"/>
      <c r="TOA30"/>
      <c r="TOB30"/>
      <c r="TOC30"/>
      <c r="TOD30"/>
      <c r="TOE30"/>
      <c r="TOF30"/>
      <c r="TOG30"/>
      <c r="TOH30"/>
      <c r="TOI30"/>
      <c r="TOJ30"/>
      <c r="TOK30"/>
      <c r="TOL30"/>
      <c r="TOM30"/>
      <c r="TON30"/>
      <c r="TOO30"/>
      <c r="TOP30"/>
      <c r="TOQ30"/>
      <c r="TOR30"/>
      <c r="TOS30"/>
      <c r="TOT30"/>
      <c r="TOU30"/>
      <c r="TOV30"/>
      <c r="TOW30"/>
      <c r="TOX30"/>
      <c r="TOY30"/>
      <c r="TOZ30"/>
      <c r="TPA30"/>
      <c r="TPB30"/>
      <c r="TPC30"/>
      <c r="TPD30"/>
      <c r="TPE30"/>
      <c r="TPF30"/>
      <c r="TPG30"/>
      <c r="TPH30"/>
      <c r="TPI30"/>
      <c r="TPJ30"/>
      <c r="TPK30"/>
      <c r="TPL30"/>
      <c r="TPM30"/>
      <c r="TPN30"/>
      <c r="TPO30"/>
      <c r="TPP30"/>
      <c r="TPQ30"/>
      <c r="TPR30"/>
      <c r="TPS30"/>
      <c r="TPT30"/>
      <c r="TPU30"/>
      <c r="TPV30"/>
      <c r="TPW30"/>
      <c r="TPX30"/>
      <c r="TPY30"/>
      <c r="TPZ30"/>
      <c r="TQA30"/>
      <c r="TQB30"/>
      <c r="TQC30"/>
      <c r="TQD30"/>
      <c r="TQE30"/>
      <c r="TQF30"/>
      <c r="TQG30"/>
      <c r="TQH30"/>
      <c r="TQI30"/>
      <c r="TQJ30"/>
      <c r="TQK30"/>
      <c r="TQL30"/>
      <c r="TQM30"/>
      <c r="TQN30"/>
      <c r="TQO30"/>
      <c r="TQP30"/>
      <c r="TQQ30"/>
      <c r="TQR30"/>
      <c r="TQS30"/>
      <c r="TQT30"/>
      <c r="TQU30"/>
      <c r="TQV30"/>
      <c r="TQW30"/>
      <c r="TQX30"/>
      <c r="TQY30"/>
      <c r="TQZ30"/>
      <c r="TRA30"/>
      <c r="TRB30"/>
      <c r="TRC30"/>
      <c r="TRD30"/>
      <c r="TRE30"/>
      <c r="TRF30"/>
      <c r="TRG30"/>
      <c r="TRH30"/>
      <c r="TRI30"/>
      <c r="TRJ30"/>
      <c r="TRK30"/>
      <c r="TRL30"/>
      <c r="TRM30"/>
      <c r="TRN30"/>
      <c r="TRO30"/>
      <c r="TRP30"/>
      <c r="TRQ30"/>
      <c r="TRR30"/>
      <c r="TRS30"/>
      <c r="TRT30"/>
      <c r="TRU30"/>
      <c r="TRV30"/>
      <c r="TRW30"/>
      <c r="TRX30"/>
      <c r="TRY30"/>
      <c r="TRZ30"/>
      <c r="TSA30"/>
      <c r="TSB30"/>
      <c r="TSC30"/>
      <c r="TSD30"/>
      <c r="TSE30"/>
      <c r="TSF30"/>
      <c r="TSG30"/>
      <c r="TSH30"/>
      <c r="TSI30"/>
      <c r="TSJ30"/>
      <c r="TSK30"/>
      <c r="TSL30"/>
      <c r="TSM30"/>
      <c r="TSN30"/>
      <c r="TSO30"/>
      <c r="TSP30"/>
      <c r="TSQ30"/>
      <c r="TSR30"/>
      <c r="TSS30"/>
      <c r="TST30"/>
      <c r="TSU30"/>
      <c r="TSV30"/>
      <c r="TSW30"/>
      <c r="TSX30"/>
      <c r="TSY30"/>
      <c r="TSZ30"/>
      <c r="TTA30"/>
      <c r="TTB30"/>
      <c r="TTC30"/>
      <c r="TTD30"/>
      <c r="TTE30"/>
      <c r="TTF30"/>
      <c r="TTG30"/>
      <c r="TTH30"/>
      <c r="TTI30"/>
      <c r="TTJ30"/>
      <c r="TTK30"/>
      <c r="TTL30"/>
      <c r="TTM30"/>
      <c r="TTN30"/>
      <c r="TTO30"/>
      <c r="TTP30"/>
      <c r="TTQ30"/>
      <c r="TTR30"/>
      <c r="TTS30"/>
      <c r="TTT30"/>
      <c r="TTU30"/>
      <c r="TTV30"/>
      <c r="TTW30"/>
      <c r="TTX30"/>
      <c r="TTY30"/>
      <c r="TTZ30"/>
      <c r="TUA30"/>
      <c r="TUB30"/>
      <c r="TUC30"/>
      <c r="TUD30"/>
      <c r="TUE30"/>
      <c r="TUF30"/>
      <c r="TUG30"/>
      <c r="TUH30"/>
      <c r="TUI30"/>
      <c r="TUJ30"/>
      <c r="TUK30"/>
      <c r="TUL30"/>
      <c r="TUM30"/>
      <c r="TUN30"/>
      <c r="TUO30"/>
      <c r="TUP30"/>
      <c r="TUQ30"/>
      <c r="TUR30"/>
      <c r="TUS30"/>
      <c r="TUT30"/>
      <c r="TUU30"/>
      <c r="TUV30"/>
      <c r="TUW30"/>
      <c r="TUX30"/>
      <c r="TUY30"/>
      <c r="TUZ30"/>
      <c r="TVA30"/>
      <c r="TVB30"/>
      <c r="TVC30"/>
      <c r="TVD30"/>
      <c r="TVE30"/>
      <c r="TVF30"/>
      <c r="TVG30"/>
      <c r="TVH30"/>
      <c r="TVI30"/>
      <c r="TVJ30"/>
      <c r="TVK30"/>
      <c r="TVL30"/>
      <c r="TVM30"/>
      <c r="TVN30"/>
      <c r="TVO30"/>
      <c r="TVP30"/>
      <c r="TVQ30"/>
      <c r="TVR30"/>
      <c r="TVS30"/>
      <c r="TVT30"/>
      <c r="TVU30"/>
      <c r="TVV30"/>
      <c r="TVW30"/>
      <c r="TVX30"/>
      <c r="TVY30"/>
      <c r="TVZ30"/>
      <c r="TWA30"/>
      <c r="TWB30"/>
      <c r="TWC30"/>
      <c r="TWD30"/>
      <c r="TWE30"/>
      <c r="TWF30"/>
      <c r="TWG30"/>
      <c r="TWH30"/>
      <c r="TWI30"/>
      <c r="TWJ30"/>
      <c r="TWK30"/>
      <c r="TWL30"/>
      <c r="TWM30"/>
      <c r="TWN30"/>
      <c r="TWO30"/>
      <c r="TWP30"/>
      <c r="TWQ30"/>
      <c r="TWR30"/>
      <c r="TWS30"/>
      <c r="TWT30"/>
      <c r="TWU30"/>
      <c r="TWV30"/>
      <c r="TWW30"/>
      <c r="TWX30"/>
      <c r="TWY30"/>
      <c r="TWZ30"/>
      <c r="TXA30"/>
      <c r="TXB30"/>
      <c r="TXC30"/>
      <c r="TXD30"/>
      <c r="TXE30"/>
      <c r="TXF30"/>
      <c r="TXG30"/>
      <c r="TXH30"/>
      <c r="TXI30"/>
      <c r="TXJ30"/>
      <c r="TXK30"/>
      <c r="TXL30"/>
      <c r="TXM30"/>
      <c r="TXN30"/>
      <c r="TXO30"/>
      <c r="TXP30"/>
      <c r="TXQ30"/>
      <c r="TXR30"/>
      <c r="TXS30"/>
      <c r="TXT30"/>
      <c r="TXU30"/>
      <c r="TXV30"/>
      <c r="TXW30"/>
      <c r="TXX30"/>
      <c r="TXY30"/>
      <c r="TXZ30"/>
      <c r="TYA30"/>
      <c r="TYB30"/>
      <c r="TYC30"/>
      <c r="TYD30"/>
      <c r="TYE30"/>
      <c r="TYF30"/>
      <c r="TYG30"/>
      <c r="TYH30"/>
      <c r="TYI30"/>
      <c r="TYJ30"/>
      <c r="TYK30"/>
      <c r="TYL30"/>
      <c r="TYM30"/>
      <c r="TYN30"/>
      <c r="TYO30"/>
      <c r="TYP30"/>
      <c r="TYQ30"/>
      <c r="TYR30"/>
      <c r="TYS30"/>
      <c r="TYT30"/>
      <c r="TYU30"/>
      <c r="TYV30"/>
      <c r="TYW30"/>
      <c r="TYX30"/>
      <c r="TYY30"/>
      <c r="TYZ30"/>
      <c r="TZA30"/>
      <c r="TZB30"/>
      <c r="TZC30"/>
      <c r="TZD30"/>
      <c r="TZE30"/>
      <c r="TZF30"/>
      <c r="TZG30"/>
      <c r="TZH30"/>
      <c r="TZI30"/>
      <c r="TZJ30"/>
      <c r="TZK30"/>
      <c r="TZL30"/>
      <c r="TZM30"/>
      <c r="TZN30"/>
      <c r="TZO30"/>
      <c r="TZP30"/>
      <c r="TZQ30"/>
      <c r="TZR30"/>
      <c r="TZS30"/>
      <c r="TZT30"/>
      <c r="TZU30"/>
      <c r="TZV30"/>
      <c r="TZW30"/>
      <c r="TZX30"/>
      <c r="TZY30"/>
      <c r="TZZ30"/>
      <c r="UAA30"/>
      <c r="UAB30"/>
      <c r="UAC30"/>
      <c r="UAD30"/>
      <c r="UAE30"/>
      <c r="UAF30"/>
      <c r="UAG30"/>
      <c r="UAH30"/>
      <c r="UAI30"/>
      <c r="UAJ30"/>
      <c r="UAK30"/>
      <c r="UAL30"/>
      <c r="UAM30"/>
      <c r="UAN30"/>
      <c r="UAO30"/>
      <c r="UAP30"/>
      <c r="UAQ30"/>
      <c r="UAR30"/>
      <c r="UAS30"/>
      <c r="UAT30"/>
      <c r="UAU30"/>
      <c r="UAV30"/>
      <c r="UAW30"/>
      <c r="UAX30"/>
      <c r="UAY30"/>
      <c r="UAZ30"/>
      <c r="UBA30"/>
      <c r="UBB30"/>
      <c r="UBC30"/>
      <c r="UBD30"/>
      <c r="UBE30"/>
      <c r="UBF30"/>
      <c r="UBG30"/>
      <c r="UBH30"/>
      <c r="UBI30"/>
      <c r="UBJ30"/>
      <c r="UBK30"/>
      <c r="UBL30"/>
      <c r="UBM30"/>
      <c r="UBN30"/>
      <c r="UBO30"/>
      <c r="UBP30"/>
      <c r="UBQ30"/>
      <c r="UBR30"/>
      <c r="UBS30"/>
      <c r="UBT30"/>
      <c r="UBU30"/>
      <c r="UBV30"/>
      <c r="UBW30"/>
      <c r="UBX30"/>
      <c r="UBY30"/>
      <c r="UBZ30"/>
      <c r="UCA30"/>
      <c r="UCB30"/>
      <c r="UCC30"/>
      <c r="UCD30"/>
      <c r="UCE30"/>
      <c r="UCF30"/>
      <c r="UCG30"/>
      <c r="UCH30"/>
      <c r="UCI30"/>
      <c r="UCJ30"/>
      <c r="UCK30"/>
      <c r="UCL30"/>
      <c r="UCM30"/>
      <c r="UCN30"/>
      <c r="UCO30"/>
      <c r="UCP30"/>
      <c r="UCQ30"/>
      <c r="UCR30"/>
      <c r="UCS30"/>
      <c r="UCT30"/>
      <c r="UCU30"/>
      <c r="UCV30"/>
      <c r="UCW30"/>
      <c r="UCX30"/>
      <c r="UCY30"/>
      <c r="UCZ30"/>
      <c r="UDA30"/>
      <c r="UDB30"/>
      <c r="UDC30"/>
      <c r="UDD30"/>
      <c r="UDE30"/>
      <c r="UDF30"/>
      <c r="UDG30"/>
      <c r="UDH30"/>
      <c r="UDI30"/>
      <c r="UDJ30"/>
      <c r="UDK30"/>
      <c r="UDL30"/>
      <c r="UDM30"/>
      <c r="UDN30"/>
      <c r="UDO30"/>
      <c r="UDP30"/>
      <c r="UDQ30"/>
      <c r="UDR30"/>
      <c r="UDS30"/>
      <c r="UDT30"/>
      <c r="UDU30"/>
      <c r="UDV30"/>
      <c r="UDW30"/>
      <c r="UDX30"/>
      <c r="UDY30"/>
      <c r="UDZ30"/>
      <c r="UEA30"/>
      <c r="UEB30"/>
      <c r="UEC30"/>
      <c r="UED30"/>
      <c r="UEE30"/>
      <c r="UEF30"/>
      <c r="UEG30"/>
      <c r="UEH30"/>
      <c r="UEI30"/>
      <c r="UEJ30"/>
      <c r="UEK30"/>
      <c r="UEL30"/>
      <c r="UEM30"/>
      <c r="UEN30"/>
      <c r="UEO30"/>
      <c r="UEP30"/>
      <c r="UEQ30"/>
      <c r="UER30"/>
      <c r="UES30"/>
      <c r="UET30"/>
      <c r="UEU30"/>
      <c r="UEV30"/>
      <c r="UEW30"/>
      <c r="UEX30"/>
      <c r="UEY30"/>
      <c r="UEZ30"/>
      <c r="UFA30"/>
      <c r="UFB30"/>
      <c r="UFC30"/>
      <c r="UFD30"/>
      <c r="UFE30"/>
      <c r="UFF30"/>
      <c r="UFG30"/>
      <c r="UFH30"/>
      <c r="UFI30"/>
      <c r="UFJ30"/>
      <c r="UFK30"/>
      <c r="UFL30"/>
      <c r="UFM30"/>
      <c r="UFN30"/>
      <c r="UFO30"/>
      <c r="UFP30"/>
      <c r="UFQ30"/>
      <c r="UFR30"/>
      <c r="UFS30"/>
      <c r="UFT30"/>
      <c r="UFU30"/>
      <c r="UFV30"/>
      <c r="UFW30"/>
      <c r="UFX30"/>
      <c r="UFY30"/>
      <c r="UFZ30"/>
      <c r="UGA30"/>
      <c r="UGB30"/>
      <c r="UGC30"/>
      <c r="UGD30"/>
      <c r="UGE30"/>
      <c r="UGF30"/>
      <c r="UGG30"/>
      <c r="UGH30"/>
      <c r="UGI30"/>
      <c r="UGJ30"/>
      <c r="UGK30"/>
      <c r="UGL30"/>
      <c r="UGM30"/>
      <c r="UGN30"/>
      <c r="UGO30"/>
      <c r="UGP30"/>
      <c r="UGQ30"/>
      <c r="UGR30"/>
      <c r="UGS30"/>
      <c r="UGT30"/>
      <c r="UGU30"/>
      <c r="UGV30"/>
      <c r="UGW30"/>
      <c r="UGX30"/>
      <c r="UGY30"/>
      <c r="UGZ30"/>
      <c r="UHA30"/>
      <c r="UHB30"/>
      <c r="UHC30"/>
      <c r="UHD30"/>
      <c r="UHE30"/>
      <c r="UHF30"/>
      <c r="UHG30"/>
      <c r="UHH30"/>
      <c r="UHI30"/>
      <c r="UHJ30"/>
      <c r="UHK30"/>
      <c r="UHL30"/>
      <c r="UHM30"/>
      <c r="UHN30"/>
      <c r="UHO30"/>
      <c r="UHP30"/>
      <c r="UHQ30"/>
      <c r="UHR30"/>
      <c r="UHS30"/>
      <c r="UHT30"/>
      <c r="UHU30"/>
      <c r="UHV30"/>
      <c r="UHW30"/>
      <c r="UHX30"/>
      <c r="UHY30"/>
      <c r="UHZ30"/>
      <c r="UIA30"/>
      <c r="UIB30"/>
      <c r="UIC30"/>
      <c r="UID30"/>
      <c r="UIE30"/>
      <c r="UIF30"/>
      <c r="UIG30"/>
      <c r="UIH30"/>
      <c r="UII30"/>
      <c r="UIJ30"/>
      <c r="UIK30"/>
      <c r="UIL30"/>
      <c r="UIM30"/>
      <c r="UIN30"/>
      <c r="UIO30"/>
      <c r="UIP30"/>
      <c r="UIQ30"/>
      <c r="UIR30"/>
      <c r="UIS30"/>
      <c r="UIT30"/>
      <c r="UIU30"/>
      <c r="UIV30"/>
      <c r="UIW30"/>
      <c r="UIX30"/>
      <c r="UIY30"/>
      <c r="UIZ30"/>
      <c r="UJA30"/>
      <c r="UJB30"/>
      <c r="UJC30"/>
      <c r="UJD30"/>
      <c r="UJE30"/>
      <c r="UJF30"/>
      <c r="UJG30"/>
      <c r="UJH30"/>
      <c r="UJI30"/>
      <c r="UJJ30"/>
      <c r="UJK30"/>
      <c r="UJL30"/>
      <c r="UJM30"/>
      <c r="UJN30"/>
      <c r="UJO30"/>
      <c r="UJP30"/>
      <c r="UJQ30"/>
      <c r="UJR30"/>
      <c r="UJS30"/>
      <c r="UJT30"/>
      <c r="UJU30"/>
      <c r="UJV30"/>
      <c r="UJW30"/>
      <c r="UJX30"/>
      <c r="UJY30"/>
      <c r="UJZ30"/>
      <c r="UKA30"/>
      <c r="UKB30"/>
      <c r="UKC30"/>
      <c r="UKD30"/>
      <c r="UKE30"/>
      <c r="UKF30"/>
      <c r="UKG30"/>
      <c r="UKH30"/>
      <c r="UKI30"/>
      <c r="UKJ30"/>
      <c r="UKK30"/>
      <c r="UKL30"/>
      <c r="UKM30"/>
      <c r="UKN30"/>
      <c r="UKO30"/>
      <c r="UKP30"/>
      <c r="UKQ30"/>
      <c r="UKR30"/>
      <c r="UKS30"/>
      <c r="UKT30"/>
      <c r="UKU30"/>
      <c r="UKV30"/>
      <c r="UKW30"/>
      <c r="UKX30"/>
      <c r="UKY30"/>
      <c r="UKZ30"/>
      <c r="ULA30"/>
      <c r="ULB30"/>
      <c r="ULC30"/>
      <c r="ULD30"/>
      <c r="ULE30"/>
      <c r="ULF30"/>
      <c r="ULG30"/>
      <c r="ULH30"/>
      <c r="ULI30"/>
      <c r="ULJ30"/>
      <c r="ULK30"/>
      <c r="ULL30"/>
      <c r="ULM30"/>
      <c r="ULN30"/>
      <c r="ULO30"/>
      <c r="ULP30"/>
      <c r="ULQ30"/>
      <c r="ULR30"/>
      <c r="ULS30"/>
      <c r="ULT30"/>
      <c r="ULU30"/>
      <c r="ULV30"/>
      <c r="ULW30"/>
      <c r="ULX30"/>
      <c r="ULY30"/>
      <c r="ULZ30"/>
      <c r="UMA30"/>
      <c r="UMB30"/>
      <c r="UMC30"/>
      <c r="UMD30"/>
      <c r="UME30"/>
      <c r="UMF30"/>
      <c r="UMG30"/>
      <c r="UMH30"/>
      <c r="UMI30"/>
      <c r="UMJ30"/>
      <c r="UMK30"/>
      <c r="UML30"/>
      <c r="UMM30"/>
      <c r="UMN30"/>
      <c r="UMO30"/>
      <c r="UMP30"/>
      <c r="UMQ30"/>
      <c r="UMR30"/>
      <c r="UMS30"/>
      <c r="UMT30"/>
      <c r="UMU30"/>
      <c r="UMV30"/>
      <c r="UMW30"/>
      <c r="UMX30"/>
      <c r="UMY30"/>
      <c r="UMZ30"/>
      <c r="UNA30"/>
      <c r="UNB30"/>
      <c r="UNC30"/>
      <c r="UND30"/>
      <c r="UNE30"/>
      <c r="UNF30"/>
      <c r="UNG30"/>
      <c r="UNH30"/>
      <c r="UNI30"/>
      <c r="UNJ30"/>
      <c r="UNK30"/>
      <c r="UNL30"/>
      <c r="UNM30"/>
      <c r="UNN30"/>
      <c r="UNO30"/>
      <c r="UNP30"/>
      <c r="UNQ30"/>
      <c r="UNR30"/>
      <c r="UNS30"/>
      <c r="UNT30"/>
      <c r="UNU30"/>
      <c r="UNV30"/>
      <c r="UNW30"/>
      <c r="UNX30"/>
      <c r="UNY30"/>
      <c r="UNZ30"/>
      <c r="UOA30"/>
      <c r="UOB30"/>
      <c r="UOC30"/>
      <c r="UOD30"/>
      <c r="UOE30"/>
      <c r="UOF30"/>
      <c r="UOG30"/>
      <c r="UOH30"/>
      <c r="UOI30"/>
      <c r="UOJ30"/>
      <c r="UOK30"/>
      <c r="UOL30"/>
      <c r="UOM30"/>
      <c r="UON30"/>
      <c r="UOO30"/>
      <c r="UOP30"/>
      <c r="UOQ30"/>
      <c r="UOR30"/>
      <c r="UOS30"/>
      <c r="UOT30"/>
      <c r="UOU30"/>
      <c r="UOV30"/>
      <c r="UOW30"/>
      <c r="UOX30"/>
      <c r="UOY30"/>
      <c r="UOZ30"/>
      <c r="UPA30"/>
      <c r="UPB30"/>
      <c r="UPC30"/>
      <c r="UPD30"/>
      <c r="UPE30"/>
      <c r="UPF30"/>
      <c r="UPG30"/>
      <c r="UPH30"/>
      <c r="UPI30"/>
      <c r="UPJ30"/>
      <c r="UPK30"/>
      <c r="UPL30"/>
      <c r="UPM30"/>
      <c r="UPN30"/>
      <c r="UPO30"/>
      <c r="UPP30"/>
      <c r="UPQ30"/>
      <c r="UPR30"/>
      <c r="UPS30"/>
      <c r="UPT30"/>
      <c r="UPU30"/>
      <c r="UPV30"/>
      <c r="UPW30"/>
      <c r="UPX30"/>
      <c r="UPY30"/>
      <c r="UPZ30"/>
      <c r="UQA30"/>
      <c r="UQB30"/>
      <c r="UQC30"/>
      <c r="UQD30"/>
      <c r="UQE30"/>
      <c r="UQF30"/>
      <c r="UQG30"/>
      <c r="UQH30"/>
      <c r="UQI30"/>
      <c r="UQJ30"/>
      <c r="UQK30"/>
      <c r="UQL30"/>
      <c r="UQM30"/>
      <c r="UQN30"/>
      <c r="UQO30"/>
      <c r="UQP30"/>
      <c r="UQQ30"/>
      <c r="UQR30"/>
      <c r="UQS30"/>
      <c r="UQT30"/>
      <c r="UQU30"/>
      <c r="UQV30"/>
      <c r="UQW30"/>
      <c r="UQX30"/>
      <c r="UQY30"/>
      <c r="UQZ30"/>
      <c r="URA30"/>
      <c r="URB30"/>
      <c r="URC30"/>
      <c r="URD30"/>
      <c r="URE30"/>
      <c r="URF30"/>
      <c r="URG30"/>
      <c r="URH30"/>
      <c r="URI30"/>
      <c r="URJ30"/>
      <c r="URK30"/>
      <c r="URL30"/>
      <c r="URM30"/>
      <c r="URN30"/>
      <c r="URO30"/>
      <c r="URP30"/>
      <c r="URQ30"/>
      <c r="URR30"/>
      <c r="URS30"/>
      <c r="URT30"/>
      <c r="URU30"/>
      <c r="URV30"/>
      <c r="URW30"/>
      <c r="URX30"/>
      <c r="URY30"/>
      <c r="URZ30"/>
      <c r="USA30"/>
      <c r="USB30"/>
      <c r="USC30"/>
      <c r="USD30"/>
      <c r="USE30"/>
      <c r="USF30"/>
      <c r="USG30"/>
      <c r="USH30"/>
      <c r="USI30"/>
      <c r="USJ30"/>
      <c r="USK30"/>
      <c r="USL30"/>
      <c r="USM30"/>
      <c r="USN30"/>
      <c r="USO30"/>
      <c r="USP30"/>
      <c r="USQ30"/>
      <c r="USR30"/>
      <c r="USS30"/>
      <c r="UST30"/>
      <c r="USU30"/>
      <c r="USV30"/>
      <c r="USW30"/>
      <c r="USX30"/>
      <c r="USY30"/>
      <c r="USZ30"/>
      <c r="UTA30"/>
      <c r="UTB30"/>
      <c r="UTC30"/>
      <c r="UTD30"/>
      <c r="UTE30"/>
      <c r="UTF30"/>
      <c r="UTG30"/>
      <c r="UTH30"/>
      <c r="UTI30"/>
      <c r="UTJ30"/>
      <c r="UTK30"/>
      <c r="UTL30"/>
      <c r="UTM30"/>
      <c r="UTN30"/>
      <c r="UTO30"/>
      <c r="UTP30"/>
      <c r="UTQ30"/>
      <c r="UTR30"/>
      <c r="UTS30"/>
      <c r="UTT30"/>
      <c r="UTU30"/>
      <c r="UTV30"/>
      <c r="UTW30"/>
      <c r="UTX30"/>
      <c r="UTY30"/>
      <c r="UTZ30"/>
      <c r="UUA30"/>
      <c r="UUB30"/>
      <c r="UUC30"/>
      <c r="UUD30"/>
      <c r="UUE30"/>
      <c r="UUF30"/>
      <c r="UUG30"/>
      <c r="UUH30"/>
      <c r="UUI30"/>
      <c r="UUJ30"/>
      <c r="UUK30"/>
      <c r="UUL30"/>
      <c r="UUM30"/>
      <c r="UUN30"/>
      <c r="UUO30"/>
      <c r="UUP30"/>
      <c r="UUQ30"/>
      <c r="UUR30"/>
      <c r="UUS30"/>
      <c r="UUT30"/>
      <c r="UUU30"/>
      <c r="UUV30"/>
      <c r="UUW30"/>
      <c r="UUX30"/>
      <c r="UUY30"/>
      <c r="UUZ30"/>
      <c r="UVA30"/>
      <c r="UVB30"/>
      <c r="UVC30"/>
      <c r="UVD30"/>
      <c r="UVE30"/>
      <c r="UVF30"/>
      <c r="UVG30"/>
      <c r="UVH30"/>
      <c r="UVI30"/>
      <c r="UVJ30"/>
      <c r="UVK30"/>
      <c r="UVL30"/>
      <c r="UVM30"/>
      <c r="UVN30"/>
      <c r="UVO30"/>
      <c r="UVP30"/>
      <c r="UVQ30"/>
      <c r="UVR30"/>
      <c r="UVS30"/>
      <c r="UVT30"/>
      <c r="UVU30"/>
      <c r="UVV30"/>
      <c r="UVW30"/>
      <c r="UVX30"/>
      <c r="UVY30"/>
      <c r="UVZ30"/>
      <c r="UWA30"/>
      <c r="UWB30"/>
      <c r="UWC30"/>
      <c r="UWD30"/>
      <c r="UWE30"/>
      <c r="UWF30"/>
      <c r="UWG30"/>
      <c r="UWH30"/>
      <c r="UWI30"/>
      <c r="UWJ30"/>
      <c r="UWK30"/>
      <c r="UWL30"/>
      <c r="UWM30"/>
      <c r="UWN30"/>
      <c r="UWO30"/>
      <c r="UWP30"/>
      <c r="UWQ30"/>
      <c r="UWR30"/>
      <c r="UWS30"/>
      <c r="UWT30"/>
      <c r="UWU30"/>
      <c r="UWV30"/>
      <c r="UWW30"/>
      <c r="UWX30"/>
      <c r="UWY30"/>
      <c r="UWZ30"/>
      <c r="UXA30"/>
      <c r="UXB30"/>
      <c r="UXC30"/>
      <c r="UXD30"/>
      <c r="UXE30"/>
      <c r="UXF30"/>
      <c r="UXG30"/>
      <c r="UXH30"/>
      <c r="UXI30"/>
      <c r="UXJ30"/>
      <c r="UXK30"/>
      <c r="UXL30"/>
      <c r="UXM30"/>
      <c r="UXN30"/>
      <c r="UXO30"/>
      <c r="UXP30"/>
      <c r="UXQ30"/>
      <c r="UXR30"/>
      <c r="UXS30"/>
      <c r="UXT30"/>
      <c r="UXU30"/>
      <c r="UXV30"/>
      <c r="UXW30"/>
      <c r="UXX30"/>
      <c r="UXY30"/>
      <c r="UXZ30"/>
      <c r="UYA30"/>
      <c r="UYB30"/>
      <c r="UYC30"/>
      <c r="UYD30"/>
      <c r="UYE30"/>
      <c r="UYF30"/>
      <c r="UYG30"/>
      <c r="UYH30"/>
      <c r="UYI30"/>
      <c r="UYJ30"/>
      <c r="UYK30"/>
      <c r="UYL30"/>
      <c r="UYM30"/>
      <c r="UYN30"/>
      <c r="UYO30"/>
      <c r="UYP30"/>
      <c r="UYQ30"/>
      <c r="UYR30"/>
      <c r="UYS30"/>
      <c r="UYT30"/>
      <c r="UYU30"/>
      <c r="UYV30"/>
      <c r="UYW30"/>
      <c r="UYX30"/>
      <c r="UYY30"/>
      <c r="UYZ30"/>
      <c r="UZA30"/>
      <c r="UZB30"/>
      <c r="UZC30"/>
      <c r="UZD30"/>
      <c r="UZE30"/>
      <c r="UZF30"/>
      <c r="UZG30"/>
      <c r="UZH30"/>
      <c r="UZI30"/>
      <c r="UZJ30"/>
      <c r="UZK30"/>
      <c r="UZL30"/>
      <c r="UZM30"/>
      <c r="UZN30"/>
      <c r="UZO30"/>
      <c r="UZP30"/>
      <c r="UZQ30"/>
      <c r="UZR30"/>
      <c r="UZS30"/>
      <c r="UZT30"/>
      <c r="UZU30"/>
      <c r="UZV30"/>
      <c r="UZW30"/>
      <c r="UZX30"/>
      <c r="UZY30"/>
      <c r="UZZ30"/>
      <c r="VAA30"/>
      <c r="VAB30"/>
      <c r="VAC30"/>
      <c r="VAD30"/>
      <c r="VAE30"/>
      <c r="VAF30"/>
      <c r="VAG30"/>
      <c r="VAH30"/>
      <c r="VAI30"/>
      <c r="VAJ30"/>
      <c r="VAK30"/>
      <c r="VAL30"/>
      <c r="VAM30"/>
      <c r="VAN30"/>
      <c r="VAO30"/>
      <c r="VAP30"/>
      <c r="VAQ30"/>
      <c r="VAR30"/>
      <c r="VAS30"/>
      <c r="VAT30"/>
      <c r="VAU30"/>
      <c r="VAV30"/>
      <c r="VAW30"/>
      <c r="VAX30"/>
      <c r="VAY30"/>
      <c r="VAZ30"/>
      <c r="VBA30"/>
      <c r="VBB30"/>
      <c r="VBC30"/>
      <c r="VBD30"/>
      <c r="VBE30"/>
      <c r="VBF30"/>
      <c r="VBG30"/>
      <c r="VBH30"/>
      <c r="VBI30"/>
      <c r="VBJ30"/>
      <c r="VBK30"/>
      <c r="VBL30"/>
      <c r="VBM30"/>
      <c r="VBN30"/>
      <c r="VBO30"/>
      <c r="VBP30"/>
      <c r="VBQ30"/>
      <c r="VBR30"/>
      <c r="VBS30"/>
      <c r="VBT30"/>
      <c r="VBU30"/>
      <c r="VBV30"/>
      <c r="VBW30"/>
      <c r="VBX30"/>
      <c r="VBY30"/>
      <c r="VBZ30"/>
      <c r="VCA30"/>
      <c r="VCB30"/>
      <c r="VCC30"/>
      <c r="VCD30"/>
      <c r="VCE30"/>
      <c r="VCF30"/>
      <c r="VCG30"/>
      <c r="VCH30"/>
      <c r="VCI30"/>
      <c r="VCJ30"/>
      <c r="VCK30"/>
      <c r="VCL30"/>
      <c r="VCM30"/>
      <c r="VCN30"/>
      <c r="VCO30"/>
      <c r="VCP30"/>
      <c r="VCQ30"/>
      <c r="VCR30"/>
      <c r="VCS30"/>
      <c r="VCT30"/>
      <c r="VCU30"/>
      <c r="VCV30"/>
      <c r="VCW30"/>
      <c r="VCX30"/>
      <c r="VCY30"/>
      <c r="VCZ30"/>
      <c r="VDA30"/>
      <c r="VDB30"/>
      <c r="VDC30"/>
      <c r="VDD30"/>
      <c r="VDE30"/>
      <c r="VDF30"/>
      <c r="VDG30"/>
      <c r="VDH30"/>
      <c r="VDI30"/>
      <c r="VDJ30"/>
      <c r="VDK30"/>
      <c r="VDL30"/>
      <c r="VDM30"/>
      <c r="VDN30"/>
      <c r="VDO30"/>
      <c r="VDP30"/>
      <c r="VDQ30"/>
      <c r="VDR30"/>
      <c r="VDS30"/>
      <c r="VDT30"/>
      <c r="VDU30"/>
      <c r="VDV30"/>
      <c r="VDW30"/>
      <c r="VDX30"/>
      <c r="VDY30"/>
      <c r="VDZ30"/>
      <c r="VEA30"/>
      <c r="VEB30"/>
      <c r="VEC30"/>
      <c r="VED30"/>
      <c r="VEE30"/>
      <c r="VEF30"/>
      <c r="VEG30"/>
      <c r="VEH30"/>
      <c r="VEI30"/>
      <c r="VEJ30"/>
      <c r="VEK30"/>
      <c r="VEL30"/>
      <c r="VEM30"/>
      <c r="VEN30"/>
      <c r="VEO30"/>
      <c r="VEP30"/>
      <c r="VEQ30"/>
      <c r="VER30"/>
      <c r="VES30"/>
      <c r="VET30"/>
      <c r="VEU30"/>
      <c r="VEV30"/>
      <c r="VEW30"/>
      <c r="VEX30"/>
      <c r="VEY30"/>
      <c r="VEZ30"/>
      <c r="VFA30"/>
      <c r="VFB30"/>
      <c r="VFC30"/>
      <c r="VFD30"/>
      <c r="VFE30"/>
      <c r="VFF30"/>
      <c r="VFG30"/>
      <c r="VFH30"/>
      <c r="VFI30"/>
      <c r="VFJ30"/>
      <c r="VFK30"/>
      <c r="VFL30"/>
      <c r="VFM30"/>
      <c r="VFN30"/>
      <c r="VFO30"/>
      <c r="VFP30"/>
      <c r="VFQ30"/>
      <c r="VFR30"/>
      <c r="VFS30"/>
      <c r="VFT30"/>
      <c r="VFU30"/>
      <c r="VFV30"/>
      <c r="VFW30"/>
      <c r="VFX30"/>
      <c r="VFY30"/>
      <c r="VFZ30"/>
      <c r="VGA30"/>
      <c r="VGB30"/>
      <c r="VGC30"/>
      <c r="VGD30"/>
      <c r="VGE30"/>
      <c r="VGF30"/>
      <c r="VGG30"/>
      <c r="VGH30"/>
      <c r="VGI30"/>
      <c r="VGJ30"/>
      <c r="VGK30"/>
      <c r="VGL30"/>
      <c r="VGM30"/>
      <c r="VGN30"/>
      <c r="VGO30"/>
      <c r="VGP30"/>
      <c r="VGQ30"/>
      <c r="VGR30"/>
      <c r="VGS30"/>
      <c r="VGT30"/>
      <c r="VGU30"/>
      <c r="VGV30"/>
      <c r="VGW30"/>
      <c r="VGX30"/>
      <c r="VGY30"/>
      <c r="VGZ30"/>
      <c r="VHA30"/>
      <c r="VHB30"/>
      <c r="VHC30"/>
      <c r="VHD30"/>
      <c r="VHE30"/>
      <c r="VHF30"/>
      <c r="VHG30"/>
      <c r="VHH30"/>
      <c r="VHI30"/>
      <c r="VHJ30"/>
      <c r="VHK30"/>
      <c r="VHL30"/>
      <c r="VHM30"/>
      <c r="VHN30"/>
      <c r="VHO30"/>
      <c r="VHP30"/>
      <c r="VHQ30"/>
      <c r="VHR30"/>
      <c r="VHS30"/>
      <c r="VHT30"/>
      <c r="VHU30"/>
      <c r="VHV30"/>
      <c r="VHW30"/>
      <c r="VHX30"/>
      <c r="VHY30"/>
      <c r="VHZ30"/>
      <c r="VIA30"/>
      <c r="VIB30"/>
      <c r="VIC30"/>
      <c r="VID30"/>
      <c r="VIE30"/>
      <c r="VIF30"/>
      <c r="VIG30"/>
      <c r="VIH30"/>
      <c r="VII30"/>
      <c r="VIJ30"/>
      <c r="VIK30"/>
      <c r="VIL30"/>
      <c r="VIM30"/>
      <c r="VIN30"/>
      <c r="VIO30"/>
      <c r="VIP30"/>
      <c r="VIQ30"/>
      <c r="VIR30"/>
      <c r="VIS30"/>
      <c r="VIT30"/>
      <c r="VIU30"/>
      <c r="VIV30"/>
      <c r="VIW30"/>
      <c r="VIX30"/>
      <c r="VIY30"/>
      <c r="VIZ30"/>
      <c r="VJA30"/>
      <c r="VJB30"/>
      <c r="VJC30"/>
      <c r="VJD30"/>
      <c r="VJE30"/>
      <c r="VJF30"/>
      <c r="VJG30"/>
      <c r="VJH30"/>
      <c r="VJI30"/>
      <c r="VJJ30"/>
      <c r="VJK30"/>
      <c r="VJL30"/>
      <c r="VJM30"/>
      <c r="VJN30"/>
      <c r="VJO30"/>
      <c r="VJP30"/>
      <c r="VJQ30"/>
      <c r="VJR30"/>
      <c r="VJS30"/>
      <c r="VJT30"/>
      <c r="VJU30"/>
      <c r="VJV30"/>
      <c r="VJW30"/>
      <c r="VJX30"/>
      <c r="VJY30"/>
      <c r="VJZ30"/>
      <c r="VKA30"/>
      <c r="VKB30"/>
      <c r="VKC30"/>
      <c r="VKD30"/>
      <c r="VKE30"/>
      <c r="VKF30"/>
      <c r="VKG30"/>
      <c r="VKH30"/>
      <c r="VKI30"/>
      <c r="VKJ30"/>
      <c r="VKK30"/>
      <c r="VKL30"/>
      <c r="VKM30"/>
      <c r="VKN30"/>
      <c r="VKO30"/>
      <c r="VKP30"/>
      <c r="VKQ30"/>
      <c r="VKR30"/>
      <c r="VKS30"/>
      <c r="VKT30"/>
      <c r="VKU30"/>
      <c r="VKV30"/>
      <c r="VKW30"/>
      <c r="VKX30"/>
      <c r="VKY30"/>
      <c r="VKZ30"/>
      <c r="VLA30"/>
      <c r="VLB30"/>
      <c r="VLC30"/>
      <c r="VLD30"/>
      <c r="VLE30"/>
      <c r="VLF30"/>
      <c r="VLG30"/>
      <c r="VLH30"/>
      <c r="VLI30"/>
      <c r="VLJ30"/>
      <c r="VLK30"/>
      <c r="VLL30"/>
      <c r="VLM30"/>
      <c r="VLN30"/>
      <c r="VLO30"/>
      <c r="VLP30"/>
      <c r="VLQ30"/>
      <c r="VLR30"/>
      <c r="VLS30"/>
      <c r="VLT30"/>
      <c r="VLU30"/>
      <c r="VLV30"/>
      <c r="VLW30"/>
      <c r="VLX30"/>
      <c r="VLY30"/>
      <c r="VLZ30"/>
      <c r="VMA30"/>
      <c r="VMB30"/>
      <c r="VMC30"/>
      <c r="VMD30"/>
      <c r="VME30"/>
      <c r="VMF30"/>
      <c r="VMG30"/>
      <c r="VMH30"/>
      <c r="VMI30"/>
      <c r="VMJ30"/>
      <c r="VMK30"/>
      <c r="VML30"/>
      <c r="VMM30"/>
      <c r="VMN30"/>
      <c r="VMO30"/>
      <c r="VMP30"/>
      <c r="VMQ30"/>
      <c r="VMR30"/>
      <c r="VMS30"/>
      <c r="VMT30"/>
      <c r="VMU30"/>
      <c r="VMV30"/>
      <c r="VMW30"/>
      <c r="VMX30"/>
      <c r="VMY30"/>
      <c r="VMZ30"/>
      <c r="VNA30"/>
      <c r="VNB30"/>
      <c r="VNC30"/>
      <c r="VND30"/>
      <c r="VNE30"/>
      <c r="VNF30"/>
      <c r="VNG30"/>
      <c r="VNH30"/>
      <c r="VNI30"/>
      <c r="VNJ30"/>
      <c r="VNK30"/>
      <c r="VNL30"/>
      <c r="VNM30"/>
      <c r="VNN30"/>
      <c r="VNO30"/>
      <c r="VNP30"/>
      <c r="VNQ30"/>
      <c r="VNR30"/>
      <c r="VNS30"/>
      <c r="VNT30"/>
      <c r="VNU30"/>
      <c r="VNV30"/>
      <c r="VNW30"/>
      <c r="VNX30"/>
      <c r="VNY30"/>
      <c r="VNZ30"/>
      <c r="VOA30"/>
      <c r="VOB30"/>
      <c r="VOC30"/>
      <c r="VOD30"/>
      <c r="VOE30"/>
      <c r="VOF30"/>
      <c r="VOG30"/>
      <c r="VOH30"/>
      <c r="VOI30"/>
      <c r="VOJ30"/>
      <c r="VOK30"/>
      <c r="VOL30"/>
      <c r="VOM30"/>
      <c r="VON30"/>
      <c r="VOO30"/>
      <c r="VOP30"/>
      <c r="VOQ30"/>
      <c r="VOR30"/>
      <c r="VOS30"/>
      <c r="VOT30"/>
      <c r="VOU30"/>
      <c r="VOV30"/>
      <c r="VOW30"/>
      <c r="VOX30"/>
      <c r="VOY30"/>
      <c r="VOZ30"/>
      <c r="VPA30"/>
      <c r="VPB30"/>
      <c r="VPC30"/>
      <c r="VPD30"/>
      <c r="VPE30"/>
      <c r="VPF30"/>
      <c r="VPG30"/>
      <c r="VPH30"/>
      <c r="VPI30"/>
      <c r="VPJ30"/>
      <c r="VPK30"/>
      <c r="VPL30"/>
      <c r="VPM30"/>
      <c r="VPN30"/>
      <c r="VPO30"/>
      <c r="VPP30"/>
      <c r="VPQ30"/>
      <c r="VPR30"/>
      <c r="VPS30"/>
      <c r="VPT30"/>
      <c r="VPU30"/>
      <c r="VPV30"/>
      <c r="VPW30"/>
      <c r="VPX30"/>
      <c r="VPY30"/>
      <c r="VPZ30"/>
      <c r="VQA30"/>
      <c r="VQB30"/>
      <c r="VQC30"/>
      <c r="VQD30"/>
      <c r="VQE30"/>
      <c r="VQF30"/>
      <c r="VQG30"/>
      <c r="VQH30"/>
      <c r="VQI30"/>
      <c r="VQJ30"/>
      <c r="VQK30"/>
      <c r="VQL30"/>
      <c r="VQM30"/>
      <c r="VQN30"/>
      <c r="VQO30"/>
      <c r="VQP30"/>
      <c r="VQQ30"/>
      <c r="VQR30"/>
      <c r="VQS30"/>
      <c r="VQT30"/>
      <c r="VQU30"/>
      <c r="VQV30"/>
      <c r="VQW30"/>
      <c r="VQX30"/>
      <c r="VQY30"/>
      <c r="VQZ30"/>
      <c r="VRA30"/>
      <c r="VRB30"/>
      <c r="VRC30"/>
      <c r="VRD30"/>
      <c r="VRE30"/>
      <c r="VRF30"/>
      <c r="VRG30"/>
      <c r="VRH30"/>
      <c r="VRI30"/>
      <c r="VRJ30"/>
      <c r="VRK30"/>
      <c r="VRL30"/>
      <c r="VRM30"/>
      <c r="VRN30"/>
      <c r="VRO30"/>
      <c r="VRP30"/>
      <c r="VRQ30"/>
      <c r="VRR30"/>
      <c r="VRS30"/>
      <c r="VRT30"/>
      <c r="VRU30"/>
      <c r="VRV30"/>
      <c r="VRW30"/>
      <c r="VRX30"/>
      <c r="VRY30"/>
      <c r="VRZ30"/>
      <c r="VSA30"/>
      <c r="VSB30"/>
      <c r="VSC30"/>
      <c r="VSD30"/>
      <c r="VSE30"/>
      <c r="VSF30"/>
      <c r="VSG30"/>
      <c r="VSH30"/>
      <c r="VSI30"/>
      <c r="VSJ30"/>
      <c r="VSK30"/>
      <c r="VSL30"/>
      <c r="VSM30"/>
      <c r="VSN30"/>
      <c r="VSO30"/>
      <c r="VSP30"/>
      <c r="VSQ30"/>
      <c r="VSR30"/>
      <c r="VSS30"/>
      <c r="VST30"/>
      <c r="VSU30"/>
      <c r="VSV30"/>
      <c r="VSW30"/>
      <c r="VSX30"/>
      <c r="VSY30"/>
      <c r="VSZ30"/>
      <c r="VTA30"/>
      <c r="VTB30"/>
      <c r="VTC30"/>
      <c r="VTD30"/>
      <c r="VTE30"/>
      <c r="VTF30"/>
      <c r="VTG30"/>
      <c r="VTH30"/>
      <c r="VTI30"/>
      <c r="VTJ30"/>
      <c r="VTK30"/>
      <c r="VTL30"/>
      <c r="VTM30"/>
      <c r="VTN30"/>
      <c r="VTO30"/>
      <c r="VTP30"/>
      <c r="VTQ30"/>
      <c r="VTR30"/>
      <c r="VTS30"/>
      <c r="VTT30"/>
      <c r="VTU30"/>
      <c r="VTV30"/>
      <c r="VTW30"/>
      <c r="VTX30"/>
      <c r="VTY30"/>
      <c r="VTZ30"/>
      <c r="VUA30"/>
      <c r="VUB30"/>
      <c r="VUC30"/>
      <c r="VUD30"/>
      <c r="VUE30"/>
      <c r="VUF30"/>
      <c r="VUG30"/>
      <c r="VUH30"/>
      <c r="VUI30"/>
      <c r="VUJ30"/>
      <c r="VUK30"/>
      <c r="VUL30"/>
      <c r="VUM30"/>
      <c r="VUN30"/>
      <c r="VUO30"/>
      <c r="VUP30"/>
      <c r="VUQ30"/>
      <c r="VUR30"/>
      <c r="VUS30"/>
      <c r="VUT30"/>
      <c r="VUU30"/>
      <c r="VUV30"/>
      <c r="VUW30"/>
      <c r="VUX30"/>
      <c r="VUY30"/>
      <c r="VUZ30"/>
      <c r="VVA30"/>
      <c r="VVB30"/>
      <c r="VVC30"/>
      <c r="VVD30"/>
      <c r="VVE30"/>
      <c r="VVF30"/>
      <c r="VVG30"/>
      <c r="VVH30"/>
      <c r="VVI30"/>
      <c r="VVJ30"/>
      <c r="VVK30"/>
      <c r="VVL30"/>
      <c r="VVM30"/>
      <c r="VVN30"/>
      <c r="VVO30"/>
      <c r="VVP30"/>
      <c r="VVQ30"/>
      <c r="VVR30"/>
      <c r="VVS30"/>
      <c r="VVT30"/>
      <c r="VVU30"/>
      <c r="VVV30"/>
      <c r="VVW30"/>
      <c r="VVX30"/>
      <c r="VVY30"/>
      <c r="VVZ30"/>
      <c r="VWA30"/>
      <c r="VWB30"/>
      <c r="VWC30"/>
      <c r="VWD30"/>
      <c r="VWE30"/>
      <c r="VWF30"/>
      <c r="VWG30"/>
      <c r="VWH30"/>
      <c r="VWI30"/>
      <c r="VWJ30"/>
      <c r="VWK30"/>
      <c r="VWL30"/>
      <c r="VWM30"/>
      <c r="VWN30"/>
      <c r="VWO30"/>
      <c r="VWP30"/>
      <c r="VWQ30"/>
      <c r="VWR30"/>
      <c r="VWS30"/>
      <c r="VWT30"/>
      <c r="VWU30"/>
      <c r="VWV30"/>
      <c r="VWW30"/>
      <c r="VWX30"/>
      <c r="VWY30"/>
      <c r="VWZ30"/>
      <c r="VXA30"/>
      <c r="VXB30"/>
      <c r="VXC30"/>
      <c r="VXD30"/>
      <c r="VXE30"/>
      <c r="VXF30"/>
      <c r="VXG30"/>
      <c r="VXH30"/>
      <c r="VXI30"/>
      <c r="VXJ30"/>
      <c r="VXK30"/>
      <c r="VXL30"/>
      <c r="VXM30"/>
      <c r="VXN30"/>
      <c r="VXO30"/>
      <c r="VXP30"/>
      <c r="VXQ30"/>
      <c r="VXR30"/>
      <c r="VXS30"/>
      <c r="VXT30"/>
      <c r="VXU30"/>
      <c r="VXV30"/>
      <c r="VXW30"/>
      <c r="VXX30"/>
      <c r="VXY30"/>
      <c r="VXZ30"/>
      <c r="VYA30"/>
      <c r="VYB30"/>
      <c r="VYC30"/>
      <c r="VYD30"/>
      <c r="VYE30"/>
      <c r="VYF30"/>
      <c r="VYG30"/>
      <c r="VYH30"/>
      <c r="VYI30"/>
      <c r="VYJ30"/>
      <c r="VYK30"/>
      <c r="VYL30"/>
      <c r="VYM30"/>
      <c r="VYN30"/>
      <c r="VYO30"/>
      <c r="VYP30"/>
      <c r="VYQ30"/>
      <c r="VYR30"/>
      <c r="VYS30"/>
      <c r="VYT30"/>
      <c r="VYU30"/>
      <c r="VYV30"/>
      <c r="VYW30"/>
      <c r="VYX30"/>
      <c r="VYY30"/>
      <c r="VYZ30"/>
      <c r="VZA30"/>
      <c r="VZB30"/>
      <c r="VZC30"/>
      <c r="VZD30"/>
      <c r="VZE30"/>
      <c r="VZF30"/>
      <c r="VZG30"/>
      <c r="VZH30"/>
      <c r="VZI30"/>
      <c r="VZJ30"/>
      <c r="VZK30"/>
      <c r="VZL30"/>
      <c r="VZM30"/>
      <c r="VZN30"/>
      <c r="VZO30"/>
      <c r="VZP30"/>
      <c r="VZQ30"/>
      <c r="VZR30"/>
      <c r="VZS30"/>
      <c r="VZT30"/>
      <c r="VZU30"/>
      <c r="VZV30"/>
      <c r="VZW30"/>
      <c r="VZX30"/>
      <c r="VZY30"/>
      <c r="VZZ30"/>
      <c r="WAA30"/>
      <c r="WAB30"/>
      <c r="WAC30"/>
      <c r="WAD30"/>
      <c r="WAE30"/>
      <c r="WAF30"/>
      <c r="WAG30"/>
      <c r="WAH30"/>
      <c r="WAI30"/>
      <c r="WAJ30"/>
      <c r="WAK30"/>
      <c r="WAL30"/>
      <c r="WAM30"/>
      <c r="WAN30"/>
      <c r="WAO30"/>
      <c r="WAP30"/>
      <c r="WAQ30"/>
      <c r="WAR30"/>
      <c r="WAS30"/>
      <c r="WAT30"/>
      <c r="WAU30"/>
      <c r="WAV30"/>
      <c r="WAW30"/>
      <c r="WAX30"/>
      <c r="WAY30"/>
      <c r="WAZ30"/>
      <c r="WBA30"/>
      <c r="WBB30"/>
      <c r="WBC30"/>
      <c r="WBD30"/>
      <c r="WBE30"/>
      <c r="WBF30"/>
      <c r="WBG30"/>
      <c r="WBH30"/>
      <c r="WBI30"/>
      <c r="WBJ30"/>
      <c r="WBK30"/>
      <c r="WBL30"/>
      <c r="WBM30"/>
      <c r="WBN30"/>
      <c r="WBO30"/>
      <c r="WBP30"/>
      <c r="WBQ30"/>
      <c r="WBR30"/>
      <c r="WBS30"/>
      <c r="WBT30"/>
      <c r="WBU30"/>
      <c r="WBV30"/>
      <c r="WBW30"/>
      <c r="WBX30"/>
      <c r="WBY30"/>
      <c r="WBZ30"/>
      <c r="WCA30"/>
      <c r="WCB30"/>
      <c r="WCC30"/>
      <c r="WCD30"/>
      <c r="WCE30"/>
      <c r="WCF30"/>
      <c r="WCG30"/>
      <c r="WCH30"/>
      <c r="WCI30"/>
      <c r="WCJ30"/>
      <c r="WCK30"/>
      <c r="WCL30"/>
      <c r="WCM30"/>
      <c r="WCN30"/>
      <c r="WCO30"/>
      <c r="WCP30"/>
      <c r="WCQ30"/>
      <c r="WCR30"/>
      <c r="WCS30"/>
      <c r="WCT30"/>
      <c r="WCU30"/>
      <c r="WCV30"/>
      <c r="WCW30"/>
      <c r="WCX30"/>
      <c r="WCY30"/>
      <c r="WCZ30"/>
      <c r="WDA30"/>
      <c r="WDB30"/>
      <c r="WDC30"/>
      <c r="WDD30"/>
      <c r="WDE30"/>
      <c r="WDF30"/>
      <c r="WDG30"/>
      <c r="WDH30"/>
      <c r="WDI30"/>
      <c r="WDJ30"/>
      <c r="WDK30"/>
      <c r="WDL30"/>
      <c r="WDM30"/>
      <c r="WDN30"/>
      <c r="WDO30"/>
      <c r="WDP30"/>
      <c r="WDQ30"/>
      <c r="WDR30"/>
      <c r="WDS30"/>
      <c r="WDT30"/>
      <c r="WDU30"/>
      <c r="WDV30"/>
      <c r="WDW30"/>
      <c r="WDX30"/>
      <c r="WDY30"/>
      <c r="WDZ30"/>
      <c r="WEA30"/>
      <c r="WEB30"/>
      <c r="WEC30"/>
      <c r="WED30"/>
      <c r="WEE30"/>
      <c r="WEF30"/>
      <c r="WEG30"/>
      <c r="WEH30"/>
      <c r="WEI30"/>
      <c r="WEJ30"/>
      <c r="WEK30"/>
      <c r="WEL30"/>
      <c r="WEM30"/>
      <c r="WEN30"/>
      <c r="WEO30"/>
      <c r="WEP30"/>
      <c r="WEQ30"/>
      <c r="WER30"/>
      <c r="WES30"/>
      <c r="WET30"/>
      <c r="WEU30"/>
      <c r="WEV30"/>
      <c r="WEW30"/>
      <c r="WEX30"/>
      <c r="WEY30"/>
      <c r="WEZ30"/>
      <c r="WFA30"/>
      <c r="WFB30"/>
      <c r="WFC30"/>
      <c r="WFD30"/>
      <c r="WFE30"/>
      <c r="WFF30"/>
      <c r="WFG30"/>
      <c r="WFH30"/>
      <c r="WFI30"/>
      <c r="WFJ30"/>
      <c r="WFK30"/>
      <c r="WFL30"/>
      <c r="WFM30"/>
      <c r="WFN30"/>
      <c r="WFO30"/>
      <c r="WFP30"/>
      <c r="WFQ30"/>
      <c r="WFR30"/>
      <c r="WFS30"/>
      <c r="WFT30"/>
      <c r="WFU30"/>
      <c r="WFV30"/>
      <c r="WFW30"/>
      <c r="WFX30"/>
      <c r="WFY30"/>
      <c r="WFZ30"/>
      <c r="WGA30"/>
      <c r="WGB30"/>
      <c r="WGC30"/>
      <c r="WGD30"/>
      <c r="WGE30"/>
      <c r="WGF30"/>
      <c r="WGG30"/>
      <c r="WGH30"/>
      <c r="WGI30"/>
      <c r="WGJ30"/>
      <c r="WGK30"/>
      <c r="WGL30"/>
      <c r="WGM30"/>
      <c r="WGN30"/>
      <c r="WGO30"/>
      <c r="WGP30"/>
      <c r="WGQ30"/>
      <c r="WGR30"/>
      <c r="WGS30"/>
      <c r="WGT30"/>
      <c r="WGU30"/>
      <c r="WGV30"/>
      <c r="WGW30"/>
      <c r="WGX30"/>
      <c r="WGY30"/>
      <c r="WGZ30"/>
      <c r="WHA30"/>
      <c r="WHB30"/>
      <c r="WHC30"/>
      <c r="WHD30"/>
      <c r="WHE30"/>
      <c r="WHF30"/>
      <c r="WHG30"/>
      <c r="WHH30"/>
      <c r="WHI30"/>
      <c r="WHJ30"/>
      <c r="WHK30"/>
      <c r="WHL30"/>
      <c r="WHM30"/>
      <c r="WHN30"/>
      <c r="WHO30"/>
      <c r="WHP30"/>
      <c r="WHQ30"/>
      <c r="WHR30"/>
      <c r="WHS30"/>
      <c r="WHT30"/>
      <c r="WHU30"/>
      <c r="WHV30"/>
      <c r="WHW30"/>
      <c r="WHX30"/>
      <c r="WHY30"/>
      <c r="WHZ30"/>
      <c r="WIA30"/>
      <c r="WIB30"/>
      <c r="WIC30"/>
      <c r="WID30"/>
      <c r="WIE30"/>
      <c r="WIF30"/>
      <c r="WIG30"/>
      <c r="WIH30"/>
      <c r="WII30"/>
      <c r="WIJ30"/>
      <c r="WIK30"/>
      <c r="WIL30"/>
      <c r="WIM30"/>
      <c r="WIN30"/>
      <c r="WIO30"/>
      <c r="WIP30"/>
      <c r="WIQ30"/>
      <c r="WIR30"/>
      <c r="WIS30"/>
      <c r="WIT30"/>
      <c r="WIU30"/>
      <c r="WIV30"/>
      <c r="WIW30"/>
      <c r="WIX30"/>
      <c r="WIY30"/>
      <c r="WIZ30"/>
      <c r="WJA30"/>
      <c r="WJB30"/>
      <c r="WJC30"/>
      <c r="WJD30"/>
      <c r="WJE30"/>
      <c r="WJF30"/>
      <c r="WJG30"/>
      <c r="WJH30"/>
      <c r="WJI30"/>
      <c r="WJJ30"/>
      <c r="WJK30"/>
      <c r="WJL30"/>
      <c r="WJM30"/>
      <c r="WJN30"/>
      <c r="WJO30"/>
      <c r="WJP30"/>
      <c r="WJQ30"/>
      <c r="WJR30"/>
      <c r="WJS30"/>
      <c r="WJT30"/>
      <c r="WJU30"/>
      <c r="WJV30"/>
      <c r="WJW30"/>
      <c r="WJX30"/>
      <c r="WJY30"/>
      <c r="WJZ30"/>
      <c r="WKA30"/>
      <c r="WKB30"/>
      <c r="WKC30"/>
      <c r="WKD30"/>
      <c r="WKE30"/>
      <c r="WKF30"/>
      <c r="WKG30"/>
      <c r="WKH30"/>
      <c r="WKI30"/>
      <c r="WKJ30"/>
      <c r="WKK30"/>
      <c r="WKL30"/>
      <c r="WKM30"/>
      <c r="WKN30"/>
      <c r="WKO30"/>
      <c r="WKP30"/>
      <c r="WKQ30"/>
      <c r="WKR30"/>
      <c r="WKS30"/>
      <c r="WKT30"/>
      <c r="WKU30"/>
      <c r="WKV30"/>
      <c r="WKW30"/>
      <c r="WKX30"/>
      <c r="WKY30"/>
      <c r="WKZ30"/>
      <c r="WLA30"/>
      <c r="WLB30"/>
      <c r="WLC30"/>
      <c r="WLD30"/>
      <c r="WLE30"/>
      <c r="WLF30"/>
      <c r="WLG30"/>
      <c r="WLH30"/>
      <c r="WLI30"/>
      <c r="WLJ30"/>
      <c r="WLK30"/>
      <c r="WLL30"/>
      <c r="WLM30"/>
      <c r="WLN30"/>
      <c r="WLO30"/>
      <c r="WLP30"/>
      <c r="WLQ30"/>
      <c r="WLR30"/>
      <c r="WLS30"/>
      <c r="WLT30"/>
      <c r="WLU30"/>
      <c r="WLV30"/>
      <c r="WLW30"/>
      <c r="WLX30"/>
      <c r="WLY30"/>
      <c r="WLZ30"/>
      <c r="WMA30"/>
      <c r="WMB30"/>
      <c r="WMC30"/>
      <c r="WMD30"/>
      <c r="WME30"/>
      <c r="WMF30"/>
      <c r="WMG30"/>
      <c r="WMH30"/>
      <c r="WMI30"/>
      <c r="WMJ30"/>
      <c r="WMK30"/>
      <c r="WML30"/>
      <c r="WMM30"/>
      <c r="WMN30"/>
      <c r="WMO30"/>
      <c r="WMP30"/>
      <c r="WMQ30"/>
      <c r="WMR30"/>
      <c r="WMS30"/>
      <c r="WMT30"/>
      <c r="WMU30"/>
      <c r="WMV30"/>
      <c r="WMW30"/>
      <c r="WMX30"/>
      <c r="WMY30"/>
      <c r="WMZ30"/>
      <c r="WNA30"/>
      <c r="WNB30"/>
      <c r="WNC30"/>
      <c r="WND30"/>
      <c r="WNE30"/>
      <c r="WNF30"/>
      <c r="WNG30"/>
      <c r="WNH30"/>
      <c r="WNI30"/>
      <c r="WNJ30"/>
      <c r="WNK30"/>
      <c r="WNL30"/>
      <c r="WNM30"/>
      <c r="WNN30"/>
      <c r="WNO30"/>
      <c r="WNP30"/>
      <c r="WNQ30"/>
      <c r="WNR30"/>
      <c r="WNS30"/>
      <c r="WNT30"/>
      <c r="WNU30"/>
      <c r="WNV30"/>
      <c r="WNW30"/>
      <c r="WNX30"/>
      <c r="WNY30"/>
      <c r="WNZ30"/>
      <c r="WOA30"/>
      <c r="WOB30"/>
      <c r="WOC30"/>
      <c r="WOD30"/>
      <c r="WOE30"/>
      <c r="WOF30"/>
      <c r="WOG30"/>
      <c r="WOH30"/>
      <c r="WOI30"/>
      <c r="WOJ30"/>
      <c r="WOK30"/>
      <c r="WOL30"/>
      <c r="WOM30"/>
      <c r="WON30"/>
      <c r="WOO30"/>
      <c r="WOP30"/>
      <c r="WOQ30"/>
      <c r="WOR30"/>
      <c r="WOS30"/>
      <c r="WOT30"/>
      <c r="WOU30"/>
      <c r="WOV30"/>
      <c r="WOW30"/>
      <c r="WOX30"/>
      <c r="WOY30"/>
      <c r="WOZ30"/>
      <c r="WPA30"/>
      <c r="WPB30"/>
      <c r="WPC30"/>
      <c r="WPD30"/>
      <c r="WPE30"/>
      <c r="WPF30"/>
      <c r="WPG30"/>
      <c r="WPH30"/>
      <c r="WPI30"/>
      <c r="WPJ30"/>
      <c r="WPK30"/>
      <c r="WPL30"/>
      <c r="WPM30"/>
      <c r="WPN30"/>
      <c r="WPO30"/>
      <c r="WPP30"/>
      <c r="WPQ30"/>
      <c r="WPR30"/>
      <c r="WPS30"/>
      <c r="WPT30"/>
      <c r="WPU30"/>
      <c r="WPV30"/>
      <c r="WPW30"/>
      <c r="WPX30"/>
      <c r="WPY30"/>
      <c r="WPZ30"/>
      <c r="WQA30"/>
      <c r="WQB30"/>
      <c r="WQC30"/>
      <c r="WQD30"/>
      <c r="WQE30"/>
      <c r="WQF30"/>
      <c r="WQG30"/>
      <c r="WQH30"/>
      <c r="WQI30"/>
      <c r="WQJ30"/>
      <c r="WQK30"/>
      <c r="WQL30"/>
      <c r="WQM30"/>
      <c r="WQN30"/>
      <c r="WQO30"/>
      <c r="WQP30"/>
      <c r="WQQ30"/>
      <c r="WQR30"/>
      <c r="WQS30"/>
      <c r="WQT30"/>
      <c r="WQU30"/>
      <c r="WQV30"/>
      <c r="WQW30"/>
      <c r="WQX30"/>
      <c r="WQY30"/>
      <c r="WQZ30"/>
      <c r="WRA30"/>
      <c r="WRB30"/>
      <c r="WRC30"/>
      <c r="WRD30"/>
      <c r="WRE30"/>
      <c r="WRF30"/>
      <c r="WRG30"/>
      <c r="WRH30"/>
      <c r="WRI30"/>
      <c r="WRJ30"/>
      <c r="WRK30"/>
      <c r="WRL30"/>
      <c r="WRM30"/>
      <c r="WRN30"/>
      <c r="WRO30"/>
      <c r="WRP30"/>
      <c r="WRQ30"/>
      <c r="WRR30"/>
      <c r="WRS30"/>
      <c r="WRT30"/>
      <c r="WRU30"/>
      <c r="WRV30"/>
      <c r="WRW30"/>
      <c r="WRX30"/>
      <c r="WRY30"/>
      <c r="WRZ30"/>
      <c r="WSA30"/>
      <c r="WSB30"/>
      <c r="WSC30"/>
      <c r="WSD30"/>
      <c r="WSE30"/>
      <c r="WSF30"/>
      <c r="WSG30"/>
      <c r="WSH30"/>
      <c r="WSI30"/>
      <c r="WSJ30"/>
      <c r="WSK30"/>
      <c r="WSL30"/>
      <c r="WSM30"/>
      <c r="WSN30"/>
      <c r="WSO30"/>
      <c r="WSP30"/>
      <c r="WSQ30"/>
      <c r="WSR30"/>
      <c r="WSS30"/>
      <c r="WST30"/>
      <c r="WSU30"/>
      <c r="WSV30"/>
      <c r="WSW30"/>
      <c r="WSX30"/>
      <c r="WSY30"/>
      <c r="WSZ30"/>
      <c r="WTA30"/>
      <c r="WTB30"/>
      <c r="WTC30"/>
      <c r="WTD30"/>
      <c r="WTE30"/>
      <c r="WTF30"/>
      <c r="WTG30"/>
      <c r="WTH30"/>
      <c r="WTI30"/>
      <c r="WTJ30"/>
      <c r="WTK30"/>
      <c r="WTL30"/>
      <c r="WTM30"/>
      <c r="WTN30"/>
      <c r="WTO30"/>
      <c r="WTP30"/>
      <c r="WTQ30"/>
      <c r="WTR30"/>
      <c r="WTS30"/>
      <c r="WTT30"/>
      <c r="WTU30"/>
      <c r="WTV30"/>
      <c r="WTW30"/>
      <c r="WTX30"/>
      <c r="WTY30"/>
      <c r="WTZ30"/>
      <c r="WUA30"/>
      <c r="WUB30"/>
      <c r="WUC30"/>
      <c r="WUD30"/>
      <c r="WUE30"/>
      <c r="WUF30"/>
      <c r="WUG30"/>
      <c r="WUH30"/>
      <c r="WUI30"/>
      <c r="WUJ30"/>
      <c r="WUK30"/>
      <c r="WUL30"/>
      <c r="WUM30"/>
      <c r="WUN30"/>
      <c r="WUO30"/>
      <c r="WUP30"/>
      <c r="WUQ30"/>
      <c r="WUR30"/>
      <c r="WUS30"/>
      <c r="WUT30"/>
      <c r="WUU30"/>
      <c r="WUV30"/>
      <c r="WUW30"/>
      <c r="WUX30"/>
      <c r="WUY30"/>
      <c r="WUZ30"/>
      <c r="WVA30"/>
      <c r="WVB30"/>
      <c r="WVC30"/>
      <c r="WVD30"/>
      <c r="WVE30"/>
      <c r="WVF30"/>
      <c r="WVG30"/>
      <c r="WVH30"/>
      <c r="WVI30"/>
      <c r="WVJ30"/>
      <c r="WVK30"/>
      <c r="WVL30"/>
      <c r="WVM30"/>
      <c r="WVN30"/>
      <c r="WVO30"/>
      <c r="WVP30"/>
      <c r="WVQ30"/>
      <c r="WVR30"/>
      <c r="WVS30"/>
      <c r="WVT30"/>
      <c r="WVU30"/>
      <c r="WVV30"/>
      <c r="WVW30"/>
      <c r="WVX30"/>
      <c r="WVY30"/>
      <c r="WVZ30"/>
      <c r="WWA30"/>
      <c r="WWB30"/>
      <c r="WWC30"/>
      <c r="WWD30"/>
      <c r="WWE30"/>
      <c r="WWF30"/>
      <c r="WWG30"/>
      <c r="WWH30"/>
      <c r="WWI30"/>
      <c r="WWJ30"/>
      <c r="WWK30"/>
      <c r="WWL30"/>
      <c r="WWM30"/>
      <c r="WWN30"/>
      <c r="WWO30"/>
      <c r="WWP30"/>
      <c r="WWQ30"/>
      <c r="WWR30"/>
      <c r="WWS30"/>
      <c r="WWT30"/>
      <c r="WWU30"/>
      <c r="WWV30"/>
      <c r="WWW30"/>
      <c r="WWX30"/>
      <c r="WWY30"/>
      <c r="WWZ30"/>
      <c r="WXA30"/>
      <c r="WXB30"/>
      <c r="WXC30"/>
      <c r="WXD30"/>
      <c r="WXE30"/>
      <c r="WXF30"/>
      <c r="WXG30"/>
      <c r="WXH30"/>
      <c r="WXI30"/>
      <c r="WXJ30"/>
      <c r="WXK30"/>
      <c r="WXL30"/>
      <c r="WXM30"/>
      <c r="WXN30"/>
      <c r="WXO30"/>
      <c r="WXP30"/>
      <c r="WXQ30"/>
      <c r="WXR30"/>
      <c r="WXS30"/>
      <c r="WXT30"/>
      <c r="WXU30"/>
      <c r="WXV30"/>
      <c r="WXW30"/>
      <c r="WXX30"/>
      <c r="WXY30"/>
      <c r="WXZ30"/>
      <c r="WYA30"/>
      <c r="WYB30"/>
      <c r="WYC30"/>
      <c r="WYD30"/>
      <c r="WYE30"/>
      <c r="WYF30"/>
      <c r="WYG30"/>
      <c r="WYH30"/>
      <c r="WYI30"/>
      <c r="WYJ30"/>
      <c r="WYK30"/>
      <c r="WYL30"/>
      <c r="WYM30"/>
      <c r="WYN30"/>
      <c r="WYO30"/>
      <c r="WYP30"/>
      <c r="WYQ30"/>
      <c r="WYR30"/>
      <c r="WYS30"/>
      <c r="WYT30"/>
      <c r="WYU30"/>
      <c r="WYV30"/>
      <c r="WYW30"/>
      <c r="WYX30"/>
      <c r="WYY30"/>
      <c r="WYZ30"/>
      <c r="WZA30"/>
      <c r="WZB30"/>
      <c r="WZC30"/>
      <c r="WZD30"/>
      <c r="WZE30"/>
      <c r="WZF30"/>
      <c r="WZG30"/>
      <c r="WZH30"/>
      <c r="WZI30"/>
      <c r="WZJ30"/>
      <c r="WZK30"/>
      <c r="WZL30"/>
      <c r="WZM30"/>
      <c r="WZN30"/>
      <c r="WZO30"/>
      <c r="WZP30"/>
      <c r="WZQ30"/>
      <c r="WZR30"/>
      <c r="WZS30"/>
      <c r="WZT30"/>
      <c r="WZU30"/>
      <c r="WZV30"/>
      <c r="WZW30"/>
      <c r="WZX30"/>
      <c r="WZY30"/>
      <c r="WZZ30"/>
      <c r="XAA30"/>
      <c r="XAB30"/>
      <c r="XAC30"/>
      <c r="XAD30"/>
      <c r="XAE30"/>
      <c r="XAF30"/>
      <c r="XAG30"/>
      <c r="XAH30"/>
      <c r="XAI30"/>
      <c r="XAJ30"/>
      <c r="XAK30"/>
      <c r="XAL30"/>
      <c r="XAM30"/>
      <c r="XAN30"/>
      <c r="XAO30"/>
      <c r="XAP30"/>
      <c r="XAQ30"/>
      <c r="XAR30"/>
      <c r="XAS30"/>
      <c r="XAT30"/>
      <c r="XAU30"/>
      <c r="XAV30"/>
      <c r="XAW30"/>
      <c r="XAX30"/>
      <c r="XAY30"/>
      <c r="XAZ30"/>
      <c r="XBA30"/>
      <c r="XBB30"/>
      <c r="XBC30"/>
      <c r="XBD30"/>
      <c r="XBE30"/>
      <c r="XBF30"/>
      <c r="XBG30"/>
      <c r="XBH30"/>
      <c r="XBI30"/>
      <c r="XBJ30"/>
      <c r="XBK30"/>
      <c r="XBL30"/>
      <c r="XBM30"/>
      <c r="XBN30"/>
      <c r="XBO30"/>
      <c r="XBP30"/>
      <c r="XBQ30"/>
      <c r="XBR30"/>
      <c r="XBS30"/>
      <c r="XBT30"/>
      <c r="XBU30"/>
      <c r="XBV30"/>
      <c r="XBW30"/>
      <c r="XBX30"/>
      <c r="XBY30"/>
      <c r="XBZ30"/>
      <c r="XCA30"/>
      <c r="XCB30"/>
      <c r="XCC30"/>
      <c r="XCD30"/>
      <c r="XCE30"/>
      <c r="XCF30"/>
      <c r="XCG30"/>
      <c r="XCH30"/>
      <c r="XCI30"/>
      <c r="XCJ30"/>
      <c r="XCK30"/>
      <c r="XCL30"/>
      <c r="XCM30"/>
      <c r="XCN30"/>
      <c r="XCO30"/>
      <c r="XCP30"/>
      <c r="XCQ30"/>
      <c r="XCR30"/>
      <c r="XCS30"/>
      <c r="XCT30"/>
      <c r="XCU30"/>
      <c r="XCV30"/>
      <c r="XCW30"/>
      <c r="XCX30"/>
      <c r="XCY30"/>
      <c r="XCZ30"/>
      <c r="XDA30"/>
      <c r="XDB30"/>
      <c r="XDC30"/>
      <c r="XDD30"/>
      <c r="XDE30"/>
      <c r="XDF30"/>
      <c r="XDG30"/>
      <c r="XDH30"/>
      <c r="XDI30"/>
      <c r="XDJ30"/>
      <c r="XDK30"/>
      <c r="XDL30"/>
      <c r="XDM30"/>
      <c r="XDN30"/>
      <c r="XDO30"/>
      <c r="XDP30"/>
      <c r="XDQ30"/>
      <c r="XDR30"/>
      <c r="XDS30"/>
      <c r="XDT30"/>
      <c r="XDU30"/>
      <c r="XDV30"/>
      <c r="XDW30"/>
      <c r="XDX30"/>
      <c r="XDY30"/>
      <c r="XDZ30"/>
      <c r="XEA30"/>
      <c r="XEB30"/>
      <c r="XEC30"/>
      <c r="XED30"/>
      <c r="XEE30"/>
      <c r="XEF30"/>
      <c r="XEG30"/>
      <c r="XEH30"/>
      <c r="XEI30"/>
      <c r="XEJ30"/>
      <c r="XEK30"/>
      <c r="XEL30"/>
      <c r="XEM30"/>
      <c r="XEN30"/>
      <c r="XEO30"/>
      <c r="XEP30"/>
      <c r="XEQ30"/>
      <c r="XER30"/>
      <c r="XES30"/>
      <c r="XET30"/>
      <c r="XEU30" s="96"/>
      <c r="XEV30" s="97"/>
    </row>
    <row r="31" spans="1:16376" x14ac:dyDescent="0.2">
      <c r="B31" s="138"/>
      <c r="C31" s="139"/>
      <c r="D31" s="187"/>
      <c r="E31" s="188"/>
      <c r="F31" s="189"/>
      <c r="G31" s="190"/>
      <c r="H31" s="190"/>
      <c r="I31" s="191"/>
      <c r="J31" s="49"/>
      <c r="K31" s="49"/>
      <c r="L31" s="98">
        <f t="shared" si="0"/>
        <v>0</v>
      </c>
      <c r="M31" s="98">
        <f t="shared" si="1"/>
        <v>0</v>
      </c>
      <c r="N31" s="228"/>
      <c r="O31" s="307">
        <f t="array" ref="O31">SUM(IF('6. Class A Consumption Data'!$B$492:$B$791=B31,'6. Class A Consumption Data'!$E$492:$E$791))</f>
        <v>0</v>
      </c>
      <c r="P31" s="307">
        <f t="array" ref="P31">SUM(IF('6. Class A Consumption Data'!$B$492:$B$791=B31,'6. Class A Consumption Data'!$D$492:$D$791))</f>
        <v>0</v>
      </c>
      <c r="Q31" s="103">
        <f t="shared" si="2"/>
        <v>0</v>
      </c>
      <c r="R31" s="50"/>
      <c r="S31" s="98">
        <f t="shared" si="3"/>
        <v>0</v>
      </c>
      <c r="T31" s="98">
        <f t="shared" si="4"/>
        <v>0</v>
      </c>
      <c r="U31" s="50"/>
      <c r="V31" s="50"/>
      <c r="W31" s="50"/>
      <c r="X31" s="50"/>
      <c r="Y31" s="50"/>
      <c r="Z31" s="50"/>
      <c r="AA31" s="50"/>
      <c r="AB31" s="50"/>
      <c r="AC31" s="192"/>
      <c r="AD31" s="192"/>
    </row>
    <row r="32" spans="1:16376" x14ac:dyDescent="0.2">
      <c r="B32" s="138"/>
      <c r="C32" s="139"/>
      <c r="D32" s="187"/>
      <c r="E32" s="187"/>
      <c r="F32" s="187"/>
      <c r="G32" s="187"/>
      <c r="H32" s="187"/>
      <c r="I32" s="49"/>
      <c r="J32" s="49"/>
      <c r="K32" s="49"/>
      <c r="L32" s="98">
        <f t="shared" si="0"/>
        <v>0</v>
      </c>
      <c r="M32" s="98">
        <f t="shared" si="1"/>
        <v>0</v>
      </c>
      <c r="N32" s="228"/>
      <c r="O32" s="307">
        <f t="array" ref="O32">SUM(IF('6. Class A Consumption Data'!$B$492:$B$791=B32,'6. Class A Consumption Data'!$E$492:$E$791))</f>
        <v>0</v>
      </c>
      <c r="P32" s="307">
        <f t="array" ref="P32">SUM(IF('6. Class A Consumption Data'!$B$492:$B$791=B32,'6. Class A Consumption Data'!$D$492:$D$791))</f>
        <v>0</v>
      </c>
      <c r="Q32" s="103">
        <f t="shared" si="2"/>
        <v>0</v>
      </c>
      <c r="R32" s="50"/>
      <c r="S32" s="98">
        <f t="shared" si="3"/>
        <v>0</v>
      </c>
      <c r="T32" s="98">
        <f t="shared" si="4"/>
        <v>0</v>
      </c>
      <c r="U32" s="50"/>
      <c r="V32" s="50"/>
      <c r="W32" s="50"/>
      <c r="X32" s="50"/>
      <c r="Y32" s="50"/>
      <c r="Z32" s="50"/>
      <c r="AA32" s="50"/>
      <c r="AB32" s="50"/>
      <c r="AC32" s="192"/>
      <c r="AD32" s="192"/>
    </row>
    <row r="33" spans="1:30" x14ac:dyDescent="0.2">
      <c r="B33" s="91"/>
      <c r="C33" s="139"/>
      <c r="D33" s="49"/>
      <c r="E33" s="49"/>
      <c r="F33" s="49"/>
      <c r="G33" s="49"/>
      <c r="H33" s="49"/>
      <c r="I33" s="49"/>
      <c r="J33" s="49"/>
      <c r="K33" s="49"/>
      <c r="L33" s="98">
        <f t="shared" si="0"/>
        <v>0</v>
      </c>
      <c r="M33" s="98">
        <f t="shared" si="1"/>
        <v>0</v>
      </c>
      <c r="N33" s="228"/>
      <c r="O33" s="307">
        <f t="array" ref="O33">SUM(IF('6. Class A Consumption Data'!$B$492:$B$791=B33,'6. Class A Consumption Data'!$E$492:$E$791))</f>
        <v>0</v>
      </c>
      <c r="P33" s="307">
        <f t="array" ref="P33">SUM(IF('6. Class A Consumption Data'!$B$492:$B$791=B33,'6. Class A Consumption Data'!$D$492:$D$791))</f>
        <v>0</v>
      </c>
      <c r="Q33" s="103">
        <f t="shared" si="2"/>
        <v>0</v>
      </c>
      <c r="R33" s="50"/>
      <c r="S33" s="98">
        <f t="shared" si="3"/>
        <v>0</v>
      </c>
      <c r="T33" s="98">
        <f t="shared" si="4"/>
        <v>0</v>
      </c>
      <c r="U33" s="50"/>
      <c r="V33" s="50"/>
      <c r="W33" s="50"/>
      <c r="X33" s="50"/>
      <c r="Y33" s="50"/>
      <c r="Z33" s="50"/>
      <c r="AA33" s="50"/>
      <c r="AB33" s="50"/>
      <c r="AC33" s="192"/>
      <c r="AD33" s="192"/>
    </row>
    <row r="34" spans="1:30" x14ac:dyDescent="0.2">
      <c r="B34" s="91"/>
      <c r="C34" s="139"/>
      <c r="D34" s="49"/>
      <c r="E34" s="49"/>
      <c r="F34" s="49"/>
      <c r="G34" s="49"/>
      <c r="H34" s="49"/>
      <c r="I34" s="49"/>
      <c r="J34" s="49"/>
      <c r="K34" s="49"/>
      <c r="L34" s="98">
        <f t="shared" si="0"/>
        <v>0</v>
      </c>
      <c r="M34" s="98">
        <f t="shared" si="1"/>
        <v>0</v>
      </c>
      <c r="N34" s="228"/>
      <c r="O34" s="307">
        <f t="array" ref="O34">SUM(IF('6. Class A Consumption Data'!$B$492:$B$791=B34,'6. Class A Consumption Data'!$E$492:$E$791))</f>
        <v>0</v>
      </c>
      <c r="P34" s="307">
        <f t="array" ref="P34">SUM(IF('6. Class A Consumption Data'!$B$492:$B$791=B34,'6. Class A Consumption Data'!$D$492:$D$791))</f>
        <v>0</v>
      </c>
      <c r="Q34" s="103">
        <f t="shared" si="2"/>
        <v>0</v>
      </c>
      <c r="R34" s="50"/>
      <c r="S34" s="98">
        <f t="shared" si="3"/>
        <v>0</v>
      </c>
      <c r="T34" s="98">
        <f t="shared" si="4"/>
        <v>0</v>
      </c>
      <c r="U34" s="50"/>
      <c r="V34" s="50"/>
      <c r="W34" s="50"/>
      <c r="X34" s="50"/>
      <c r="Y34" s="50"/>
      <c r="Z34" s="50"/>
      <c r="AA34" s="50"/>
      <c r="AB34" s="50"/>
      <c r="AC34" s="192"/>
      <c r="AD34" s="192"/>
    </row>
    <row r="35" spans="1:30" x14ac:dyDescent="0.2">
      <c r="B35" s="91"/>
      <c r="C35" s="139"/>
      <c r="D35" s="49"/>
      <c r="E35" s="49"/>
      <c r="F35" s="49"/>
      <c r="G35" s="49"/>
      <c r="H35" s="49"/>
      <c r="I35" s="49"/>
      <c r="J35" s="49"/>
      <c r="K35" s="49"/>
      <c r="L35" s="98">
        <f t="shared" si="0"/>
        <v>0</v>
      </c>
      <c r="M35" s="98">
        <f t="shared" si="1"/>
        <v>0</v>
      </c>
      <c r="N35" s="228"/>
      <c r="O35" s="307">
        <f t="array" ref="O35">SUM(IF('6. Class A Consumption Data'!$B$492:$B$791=B35,'6. Class A Consumption Data'!$E$492:$E$791))</f>
        <v>0</v>
      </c>
      <c r="P35" s="307">
        <f t="array" ref="P35">SUM(IF('6. Class A Consumption Data'!$B$492:$B$791=B35,'6. Class A Consumption Data'!$D$492:$D$791))</f>
        <v>0</v>
      </c>
      <c r="Q35" s="103">
        <f t="shared" si="2"/>
        <v>0</v>
      </c>
      <c r="R35" s="50"/>
      <c r="S35" s="98">
        <f t="shared" si="3"/>
        <v>0</v>
      </c>
      <c r="T35" s="98">
        <f t="shared" si="4"/>
        <v>0</v>
      </c>
      <c r="U35" s="50"/>
      <c r="V35" s="50"/>
      <c r="W35" s="50"/>
      <c r="X35" s="50"/>
      <c r="Y35" s="50"/>
      <c r="Z35" s="50"/>
      <c r="AA35" s="50"/>
      <c r="AB35" s="50"/>
      <c r="AC35" s="192"/>
      <c r="AD35" s="192"/>
    </row>
    <row r="36" spans="1:30" x14ac:dyDescent="0.2">
      <c r="B36" s="91"/>
      <c r="C36" s="139"/>
      <c r="D36" s="49"/>
      <c r="E36" s="49"/>
      <c r="F36" s="49"/>
      <c r="G36" s="49"/>
      <c r="H36" s="49"/>
      <c r="I36" s="49"/>
      <c r="J36" s="49"/>
      <c r="K36" s="49"/>
      <c r="L36" s="98">
        <f t="shared" si="0"/>
        <v>0</v>
      </c>
      <c r="M36" s="98">
        <f t="shared" si="1"/>
        <v>0</v>
      </c>
      <c r="N36" s="228"/>
      <c r="O36" s="307">
        <f t="array" ref="O36">SUM(IF('6. Class A Consumption Data'!$B$492:$B$791=B36,'6. Class A Consumption Data'!$E$492:$E$791))</f>
        <v>0</v>
      </c>
      <c r="P36" s="307">
        <f t="array" ref="P36">SUM(IF('6. Class A Consumption Data'!$B$492:$B$791=B36,'6. Class A Consumption Data'!$D$492:$D$791))</f>
        <v>0</v>
      </c>
      <c r="Q36" s="103">
        <f t="shared" si="2"/>
        <v>0</v>
      </c>
      <c r="R36" s="50"/>
      <c r="S36" s="98">
        <f t="shared" si="3"/>
        <v>0</v>
      </c>
      <c r="T36" s="98">
        <f t="shared" si="4"/>
        <v>0</v>
      </c>
      <c r="U36" s="50"/>
      <c r="V36" s="50"/>
      <c r="W36" s="50"/>
      <c r="X36" s="50"/>
      <c r="Y36" s="50"/>
      <c r="Z36" s="50"/>
      <c r="AA36" s="50"/>
      <c r="AB36" s="50"/>
      <c r="AC36" s="192"/>
      <c r="AD36" s="192"/>
    </row>
    <row r="37" spans="1:30" x14ac:dyDescent="0.2">
      <c r="B37" s="91"/>
      <c r="C37" s="139"/>
      <c r="D37" s="49"/>
      <c r="E37" s="49"/>
      <c r="F37" s="49"/>
      <c r="G37" s="49"/>
      <c r="H37" s="49"/>
      <c r="I37" s="49"/>
      <c r="J37" s="49"/>
      <c r="K37" s="49"/>
      <c r="L37" s="98">
        <f t="shared" si="0"/>
        <v>0</v>
      </c>
      <c r="M37" s="98">
        <f t="shared" si="1"/>
        <v>0</v>
      </c>
      <c r="N37" s="228"/>
      <c r="O37" s="307">
        <f t="array" ref="O37">SUM(IF('6. Class A Consumption Data'!$B$492:$B$791=B37,'6. Class A Consumption Data'!$E$492:$E$791))</f>
        <v>0</v>
      </c>
      <c r="P37" s="307">
        <f t="array" ref="P37">SUM(IF('6. Class A Consumption Data'!$B$492:$B$791=B37,'6. Class A Consumption Data'!$D$492:$D$791))</f>
        <v>0</v>
      </c>
      <c r="Q37" s="103">
        <f t="shared" si="2"/>
        <v>0</v>
      </c>
      <c r="R37" s="50"/>
      <c r="S37" s="98">
        <f t="shared" si="3"/>
        <v>0</v>
      </c>
      <c r="T37" s="98">
        <f t="shared" si="4"/>
        <v>0</v>
      </c>
      <c r="U37" s="50"/>
      <c r="V37" s="50"/>
      <c r="W37" s="50"/>
      <c r="X37" s="50"/>
      <c r="Y37" s="50"/>
      <c r="Z37" s="50"/>
      <c r="AA37" s="50"/>
      <c r="AB37" s="50"/>
      <c r="AC37" s="192"/>
      <c r="AD37" s="192"/>
    </row>
    <row r="38" spans="1:30" x14ac:dyDescent="0.2">
      <c r="B38" s="91"/>
      <c r="C38" s="139"/>
      <c r="D38" s="49"/>
      <c r="E38" s="49"/>
      <c r="F38" s="49"/>
      <c r="G38" s="49"/>
      <c r="H38" s="49"/>
      <c r="I38" s="49"/>
      <c r="J38" s="49"/>
      <c r="K38" s="49"/>
      <c r="L38" s="98">
        <f t="shared" si="0"/>
        <v>0</v>
      </c>
      <c r="M38" s="98">
        <f t="shared" si="1"/>
        <v>0</v>
      </c>
      <c r="N38" s="228"/>
      <c r="O38" s="307">
        <f t="array" ref="O38">SUM(IF('6. Class A Consumption Data'!$B$492:$B$791=B38,'6. Class A Consumption Data'!$E$492:$E$791))</f>
        <v>0</v>
      </c>
      <c r="P38" s="307">
        <f t="array" ref="P38">SUM(IF('6. Class A Consumption Data'!$B$492:$B$791=B38,'6. Class A Consumption Data'!$D$492:$D$791))</f>
        <v>0</v>
      </c>
      <c r="Q38" s="103">
        <f t="shared" si="2"/>
        <v>0</v>
      </c>
      <c r="R38" s="50"/>
      <c r="S38" s="98">
        <f t="shared" si="3"/>
        <v>0</v>
      </c>
      <c r="T38" s="98">
        <f t="shared" si="4"/>
        <v>0</v>
      </c>
      <c r="U38" s="50"/>
      <c r="V38" s="50"/>
      <c r="W38" s="50"/>
      <c r="X38" s="50"/>
      <c r="Y38" s="50"/>
      <c r="Z38" s="50"/>
      <c r="AA38" s="50"/>
      <c r="AB38" s="50"/>
      <c r="AC38" s="192"/>
      <c r="AD38" s="192"/>
    </row>
    <row r="39" spans="1:30" x14ac:dyDescent="0.2">
      <c r="B39" s="91"/>
      <c r="C39" s="139"/>
      <c r="D39" s="49"/>
      <c r="E39" s="49"/>
      <c r="F39" s="49"/>
      <c r="G39" s="49"/>
      <c r="H39" s="49"/>
      <c r="I39" s="49"/>
      <c r="J39" s="49"/>
      <c r="K39" s="49"/>
      <c r="L39" s="98">
        <f t="shared" si="0"/>
        <v>0</v>
      </c>
      <c r="M39" s="98">
        <f t="shared" si="1"/>
        <v>0</v>
      </c>
      <c r="N39" s="228"/>
      <c r="O39" s="307">
        <f t="array" ref="O39">SUM(IF('6. Class A Consumption Data'!$B$492:$B$791=B39,'6. Class A Consumption Data'!$E$492:$E$791))</f>
        <v>0</v>
      </c>
      <c r="P39" s="307">
        <f t="array" ref="P39">SUM(IF('6. Class A Consumption Data'!$B$492:$B$791=B39,'6. Class A Consumption Data'!$D$492:$D$791))</f>
        <v>0</v>
      </c>
      <c r="Q39" s="103">
        <f t="shared" si="2"/>
        <v>0</v>
      </c>
      <c r="R39" s="50"/>
      <c r="S39" s="98">
        <f t="shared" si="3"/>
        <v>0</v>
      </c>
      <c r="T39" s="98">
        <f t="shared" si="4"/>
        <v>0</v>
      </c>
      <c r="U39" s="50"/>
      <c r="V39" s="50"/>
      <c r="W39" s="50"/>
      <c r="X39" s="50"/>
      <c r="Y39" s="50"/>
      <c r="Z39" s="50"/>
      <c r="AA39" s="50"/>
      <c r="AB39" s="50"/>
      <c r="AC39" s="192"/>
      <c r="AD39" s="192"/>
    </row>
    <row r="40" spans="1:30" x14ac:dyDescent="0.2">
      <c r="B40" s="91"/>
      <c r="C40" s="139"/>
      <c r="D40" s="49"/>
      <c r="E40" s="49"/>
      <c r="F40" s="49"/>
      <c r="G40" s="49"/>
      <c r="H40" s="49"/>
      <c r="I40" s="49"/>
      <c r="J40" s="49"/>
      <c r="K40" s="49"/>
      <c r="L40" s="98">
        <f t="shared" si="0"/>
        <v>0</v>
      </c>
      <c r="M40" s="98">
        <f t="shared" si="1"/>
        <v>0</v>
      </c>
      <c r="N40" s="228"/>
      <c r="O40" s="307">
        <f t="array" ref="O40">SUM(IF('6. Class A Consumption Data'!$B$492:$B$791=B40,'6. Class A Consumption Data'!$E$492:$E$791))</f>
        <v>0</v>
      </c>
      <c r="P40" s="307">
        <f t="array" ref="P40">SUM(IF('6. Class A Consumption Data'!$B$492:$B$791=B40,'6. Class A Consumption Data'!$D$492:$D$791))</f>
        <v>0</v>
      </c>
      <c r="Q40" s="103">
        <f t="shared" si="2"/>
        <v>0</v>
      </c>
      <c r="R40" s="50"/>
      <c r="S40" s="98">
        <f t="shared" si="3"/>
        <v>0</v>
      </c>
      <c r="T40" s="98">
        <f t="shared" si="4"/>
        <v>0</v>
      </c>
      <c r="U40" s="50"/>
      <c r="V40" s="50"/>
      <c r="W40" s="50"/>
      <c r="X40" s="50"/>
      <c r="Y40" s="50"/>
      <c r="Z40" s="50"/>
      <c r="AA40" s="50"/>
      <c r="AB40" s="50"/>
      <c r="AC40" s="192"/>
      <c r="AD40" s="192"/>
    </row>
    <row r="41" spans="1:30" s="1" customFormat="1" x14ac:dyDescent="0.2">
      <c r="B41" s="100" t="s">
        <v>52</v>
      </c>
      <c r="C41" s="100"/>
      <c r="D41" s="101">
        <f t="shared" ref="D41:J41" si="5">SUM(D21:D40)</f>
        <v>42463</v>
      </c>
      <c r="E41" s="101">
        <f t="shared" si="5"/>
        <v>605638495</v>
      </c>
      <c r="F41" s="101">
        <f t="shared" si="5"/>
        <v>583138</v>
      </c>
      <c r="G41" s="101">
        <f t="shared" si="5"/>
        <v>208716280</v>
      </c>
      <c r="H41" s="101">
        <f t="shared" si="5"/>
        <v>475981</v>
      </c>
      <c r="I41" s="102">
        <f t="shared" si="5"/>
        <v>23203762.000000004</v>
      </c>
      <c r="J41" s="103">
        <f t="shared" si="5"/>
        <v>0</v>
      </c>
      <c r="K41" s="103">
        <f t="shared" ref="K41:P41" si="6">SUM(K21:K40)</f>
        <v>0</v>
      </c>
      <c r="L41" s="103">
        <f t="shared" si="6"/>
        <v>605638495</v>
      </c>
      <c r="M41" s="103">
        <f t="shared" si="6"/>
        <v>583138</v>
      </c>
      <c r="N41" s="103">
        <f t="shared" si="6"/>
        <v>0</v>
      </c>
      <c r="O41" s="103">
        <f t="shared" si="6"/>
        <v>37810243.020000003</v>
      </c>
      <c r="P41" s="103">
        <f t="shared" si="6"/>
        <v>0</v>
      </c>
      <c r="Q41" s="103">
        <f t="shared" si="2"/>
        <v>567828251.98000002</v>
      </c>
      <c r="R41" s="104"/>
      <c r="S41" s="317">
        <f t="shared" si="3"/>
        <v>170906036.97999999</v>
      </c>
      <c r="T41" s="103">
        <f t="shared" ref="T41:Z41" si="7">SUM(T21:T40)</f>
        <v>475981</v>
      </c>
      <c r="U41" s="104">
        <f t="shared" si="7"/>
        <v>0</v>
      </c>
      <c r="V41" s="104">
        <f t="shared" si="7"/>
        <v>0</v>
      </c>
      <c r="W41" s="104">
        <f t="shared" si="7"/>
        <v>0</v>
      </c>
      <c r="X41" s="104">
        <f t="shared" si="7"/>
        <v>0.99999999999999978</v>
      </c>
      <c r="Y41" s="104">
        <f t="shared" si="7"/>
        <v>1.0000000000000004</v>
      </c>
      <c r="Z41" s="104">
        <f t="shared" si="7"/>
        <v>0</v>
      </c>
      <c r="AA41" s="104">
        <f>SUM(AA21:AA40)</f>
        <v>0</v>
      </c>
      <c r="AB41" s="104">
        <f>SUM(AB21:AB40)</f>
        <v>0</v>
      </c>
      <c r="AC41" s="102">
        <f>SUM(AC21:AC40)</f>
        <v>198189</v>
      </c>
    </row>
    <row r="42" spans="1:30" x14ac:dyDescent="0.2">
      <c r="B42" s="37"/>
      <c r="W42" s="105"/>
      <c r="Y42" s="105"/>
      <c r="Z42" s="105"/>
      <c r="AB42" s="105" t="s">
        <v>53</v>
      </c>
      <c r="AC42" s="106">
        <f>'2b. Continuity Schedule'!BT88</f>
        <v>198188.95966149989</v>
      </c>
    </row>
    <row r="43" spans="1:30" x14ac:dyDescent="0.2">
      <c r="B43" s="37"/>
      <c r="D43" s="666"/>
      <c r="E43" s="665"/>
      <c r="W43" s="105"/>
      <c r="Y43" s="105"/>
      <c r="Z43" s="105"/>
      <c r="AB43" s="105" t="s">
        <v>54</v>
      </c>
      <c r="AC43" s="107">
        <f>AC41-AC42</f>
        <v>4.0338500111829489E-2</v>
      </c>
    </row>
    <row r="44" spans="1:30" x14ac:dyDescent="0.2">
      <c r="H44" s="115"/>
    </row>
    <row r="45" spans="1:30" x14ac:dyDescent="0.2">
      <c r="A45" s="807"/>
      <c r="B45" s="807"/>
      <c r="C45" s="807"/>
      <c r="D45" s="807"/>
      <c r="E45" s="807"/>
      <c r="F45" s="807"/>
      <c r="G45" s="807"/>
      <c r="H45" s="807"/>
    </row>
    <row r="46" spans="1:30" ht="21" customHeight="1" x14ac:dyDescent="0.2">
      <c r="A46" s="807"/>
      <c r="B46" s="807"/>
      <c r="C46" s="807"/>
      <c r="D46" s="807"/>
      <c r="E46" s="807"/>
      <c r="F46" s="807"/>
      <c r="G46" s="807"/>
      <c r="H46" s="807"/>
    </row>
    <row r="47" spans="1:30" ht="17.25" x14ac:dyDescent="0.2">
      <c r="A47" s="807" t="s">
        <v>393</v>
      </c>
      <c r="B47" s="807"/>
      <c r="C47" s="807"/>
      <c r="D47" s="807"/>
      <c r="E47" s="807"/>
      <c r="F47" s="807"/>
      <c r="G47" s="807"/>
      <c r="H47" s="807"/>
    </row>
    <row r="49" spans="1:11" ht="17.25" x14ac:dyDescent="0.25">
      <c r="A49" s="222" t="s">
        <v>174</v>
      </c>
    </row>
    <row r="51" spans="1:11" ht="17.25" x14ac:dyDescent="0.25">
      <c r="A51" s="222" t="s">
        <v>184</v>
      </c>
    </row>
    <row r="52" spans="1:11" ht="13.9" customHeight="1" x14ac:dyDescent="0.2"/>
    <row r="53" spans="1:11" hidden="1" x14ac:dyDescent="0.2">
      <c r="A53" s="37"/>
    </row>
    <row r="54" spans="1:11" hidden="1" x14ac:dyDescent="0.2"/>
    <row r="55" spans="1:11" ht="33" customHeight="1" x14ac:dyDescent="0.2">
      <c r="A55" s="804" t="s">
        <v>2870</v>
      </c>
      <c r="B55" s="804"/>
      <c r="C55" s="804"/>
      <c r="D55" s="804"/>
      <c r="E55" s="804"/>
      <c r="F55" s="804"/>
      <c r="G55" s="804"/>
      <c r="H55" s="804"/>
      <c r="I55" s="804"/>
      <c r="J55" s="804"/>
      <c r="K55" s="804"/>
    </row>
  </sheetData>
  <mergeCells count="38">
    <mergeCell ref="A55:K55"/>
    <mergeCell ref="L18:M18"/>
    <mergeCell ref="O18:Q18"/>
    <mergeCell ref="T19:T20"/>
    <mergeCell ref="U19:U20"/>
    <mergeCell ref="A45:H46"/>
    <mergeCell ref="A47:H47"/>
    <mergeCell ref="F19:F20"/>
    <mergeCell ref="E19:E20"/>
    <mergeCell ref="C19:C20"/>
    <mergeCell ref="B19:B20"/>
    <mergeCell ref="G19:G20"/>
    <mergeCell ref="H19:H20"/>
    <mergeCell ref="V19:V20"/>
    <mergeCell ref="W19:W20"/>
    <mergeCell ref="AD19:AD20"/>
    <mergeCell ref="X19:X20"/>
    <mergeCell ref="Y19:Y20"/>
    <mergeCell ref="Z19:Z20"/>
    <mergeCell ref="AA19:AA20"/>
    <mergeCell ref="AC19:AC20"/>
    <mergeCell ref="AB19:AB20"/>
    <mergeCell ref="B16:I17"/>
    <mergeCell ref="D19:D20"/>
    <mergeCell ref="I19:I20"/>
    <mergeCell ref="O19:O20"/>
    <mergeCell ref="S19:S20"/>
    <mergeCell ref="Q19:Q20"/>
    <mergeCell ref="R19:R20"/>
    <mergeCell ref="P19:P20"/>
    <mergeCell ref="J19:J20"/>
    <mergeCell ref="K19:K20"/>
    <mergeCell ref="L19:L20"/>
    <mergeCell ref="M19:M20"/>
    <mergeCell ref="N19:N20"/>
    <mergeCell ref="E18:F18"/>
    <mergeCell ref="G18:H18"/>
    <mergeCell ref="J18:K18"/>
  </mergeCells>
  <dataValidations count="1">
    <dataValidation type="list" allowBlank="1" showInputMessage="1" showErrorMessage="1" sqref="C21:C40" xr:uid="{00000000-0002-0000-0700-000000000000}">
      <formula1>"kWh, kW, # of Customers"</formula1>
    </dataValidation>
  </dataValidations>
  <pageMargins left="0.7" right="0.7" top="0.75" bottom="0.75" header="0.3" footer="0.3"/>
  <pageSetup paperSize="17" scale="39" orientation="landscape"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A1:AA84"/>
  <sheetViews>
    <sheetView showGridLines="0" tabSelected="1" topLeftCell="B9" zoomScaleNormal="100" workbookViewId="0">
      <selection activeCell="E48" sqref="E48"/>
    </sheetView>
  </sheetViews>
  <sheetFormatPr defaultColWidth="9" defaultRowHeight="12.75" x14ac:dyDescent="0.2"/>
  <cols>
    <col min="1" max="1" width="5.7109375" style="37" hidden="1" customWidth="1"/>
    <col min="2" max="2" width="79.7109375" style="37" customWidth="1"/>
    <col min="3" max="3" width="9" style="37"/>
    <col min="4" max="4" width="14.7109375" style="35" customWidth="1"/>
    <col min="5" max="5" width="20.28515625" style="35" bestFit="1" customWidth="1"/>
    <col min="6" max="25" width="24" style="35" customWidth="1"/>
    <col min="26" max="26" width="9" style="37"/>
    <col min="27" max="28" width="0" style="37" hidden="1" customWidth="1"/>
    <col min="29" max="16384" width="9" style="37"/>
  </cols>
  <sheetData>
    <row r="1" spans="1:27" ht="143.25" customHeight="1" x14ac:dyDescent="0.2">
      <c r="AA1" s="37">
        <v>21</v>
      </c>
    </row>
    <row r="2" spans="1:27" x14ac:dyDescent="0.2">
      <c r="AA2" s="37">
        <v>22</v>
      </c>
    </row>
    <row r="4" spans="1:27" ht="39" customHeight="1" x14ac:dyDescent="0.2">
      <c r="A4" s="37">
        <v>1</v>
      </c>
      <c r="D4" s="123" t="s">
        <v>62</v>
      </c>
      <c r="E4" s="124" t="s">
        <v>57</v>
      </c>
      <c r="F4" s="123" t="str">
        <f>IF(LEN(TRIM('4. Billing Determinants'!$B21))=0, "", UPPER('4. Billing Determinants'!$B21))</f>
        <v>RESIDENTIAL SERVICE CLASSIFICATION</v>
      </c>
      <c r="G4" s="123" t="str">
        <f>IF(LEN(TRIM('4. Billing Determinants'!$B22))=0, "", '4. Billing Determinants'!$B22)</f>
        <v>GENERAL SERVICE LESS THAN 50 KW SERVICE CLASSIFICATION</v>
      </c>
      <c r="H4" s="123" t="str">
        <f>IF(LEN(TRIM('4. Billing Determinants'!$B23))=0, "", '4. Billing Determinants'!$B23)</f>
        <v>GENERAL SERVICE 50 TO 999 KW SERVICE CLASSIFICATION</v>
      </c>
      <c r="I4" s="123" t="str">
        <f>IF(LEN(TRIM('4. Billing Determinants'!$B24))=0, "", '4. Billing Determinants'!$B24)</f>
        <v>UNMETERED SCATTERED LOAD SERVICE CLASSIFICATION</v>
      </c>
      <c r="J4" s="123" t="str">
        <f>IF(LEN(TRIM('4. Billing Determinants'!$B25))=0, "", '4. Billing Determinants'!$B25)</f>
        <v>STREET LIGHTING SERVICE CLASSIFICATION</v>
      </c>
      <c r="K4" s="123" t="str">
        <f>IF(LEN(TRIM('4. Billing Determinants'!$B26))=0, "", '4. Billing Determinants'!$B26)</f>
        <v>SENTINEL LIGHTING SERVICE CLASSIFICATION</v>
      </c>
      <c r="L4" s="123" t="str">
        <f>IF(LEN(TRIM('4. Billing Determinants'!$B27))=0, "", '4. Billing Determinants'!$B27)</f>
        <v/>
      </c>
      <c r="M4" s="123" t="str">
        <f>IF(LEN(TRIM('4. Billing Determinants'!$B28))=0, "", '4. Billing Determinants'!$B28)</f>
        <v/>
      </c>
      <c r="N4" s="123" t="str">
        <f>IF(LEN(TRIM('4. Billing Determinants'!$B29))=0, "", '4. Billing Determinants'!$B29)</f>
        <v/>
      </c>
      <c r="O4" s="123" t="str">
        <f>IF(LEN(TRIM('4. Billing Determinants'!$B30))=0, "", '4. Billing Determinants'!$B30)</f>
        <v/>
      </c>
      <c r="P4" s="123" t="str">
        <f>IF(LEN(TRIM('4. Billing Determinants'!$B31))=0, "", '4. Billing Determinants'!$B31)</f>
        <v/>
      </c>
      <c r="Q4" s="123" t="str">
        <f>IF(LEN(TRIM('4. Billing Determinants'!$B32))=0, "", '4. Billing Determinants'!$B32)</f>
        <v/>
      </c>
      <c r="R4" s="123" t="str">
        <f>IF(LEN(TRIM('4. Billing Determinants'!$B33))=0, "", '4. Billing Determinants'!$B33)</f>
        <v/>
      </c>
      <c r="S4" s="123" t="str">
        <f>IF(LEN(TRIM('4. Billing Determinants'!$B34))=0, "", '4. Billing Determinants'!$B34)</f>
        <v/>
      </c>
      <c r="T4" s="123" t="str">
        <f>IF(LEN(TRIM('4. Billing Determinants'!$B35))=0, "", '4. Billing Determinants'!$B35)</f>
        <v/>
      </c>
      <c r="U4" s="123" t="str">
        <f>IF(LEN(TRIM('4. Billing Determinants'!$B36))=0, "", '4. Billing Determinants'!$B36)</f>
        <v/>
      </c>
      <c r="V4" s="123" t="str">
        <f>IF(LEN(TRIM('4. Billing Determinants'!$B37))=0, "", '4. Billing Determinants'!$B37)</f>
        <v/>
      </c>
      <c r="W4" s="123" t="str">
        <f>IF(LEN(TRIM('4. Billing Determinants'!$B38))=0, "", '4. Billing Determinants'!$B38)</f>
        <v/>
      </c>
      <c r="X4" s="123" t="str">
        <f>IF(LEN(TRIM('4. Billing Determinants'!$B39))=0, "", '4. Billing Determinants'!$B39)</f>
        <v/>
      </c>
      <c r="Y4" s="123" t="str">
        <f>IF(LEN(TRIM('4. Billing Determinants'!$B40))=0, "", '4. Billing Determinants'!$B40)</f>
        <v/>
      </c>
    </row>
    <row r="5" spans="1:27" x14ac:dyDescent="0.2">
      <c r="A5" s="37">
        <v>2</v>
      </c>
      <c r="B5" s="30" t="s">
        <v>23</v>
      </c>
      <c r="C5" s="31">
        <v>1550</v>
      </c>
      <c r="D5" s="32">
        <f>'2a. Continuity Schedule'!BT24</f>
        <v>0</v>
      </c>
      <c r="E5" s="48" t="s">
        <v>139</v>
      </c>
      <c r="F5" s="32">
        <f>IFERROR(IF(F$4="",0,IF($E5="kWh",VLOOKUP(F$4,'4. Billing Determinants'!$B$19:$R$41,4,0)/'4. Billing Determinants'!$E$41*$D5,IF($E5="kW",VLOOKUP(F$4,'4. Billing Determinants'!$B$19:$R$41,5,0)/'4. Billing Determinants'!$F$41*$D5,IF($E5="Non-RPP kWh",VLOOKUP(F$4,'4. Billing Determinants'!$B$19:$R$41,6,0)/'4. Billing Determinants'!$G$41*$D5,IF($E5="Distribution Rev.",VLOOKUP(F$4,'4. Billing Determinants'!$B$19:$R$41,8,0)/'4. Billing Determinants'!$I$41*$D5, VLOOKUP(F$4,'4. Billing Determinants'!$B$19:$R$41,3,0)/'4. Billing Determinants'!$D$41*$D5))))),0)</f>
        <v>0</v>
      </c>
      <c r="G5" s="32">
        <f>IFERROR(IF(G$4="",0,IF($E5="kWh",VLOOKUP(G$4,'4. Billing Determinants'!$B$19:$R$41,4,0)/'4. Billing Determinants'!$E$41*$D5,IF($E5="kW",VLOOKUP(G$4,'4. Billing Determinants'!$B$19:$R$41,5,0)/'4. Billing Determinants'!$F$41*$D5,IF($E5="Non-RPP kWh",VLOOKUP(G$4,'4. Billing Determinants'!$B$19:$R$41,6,0)/'4. Billing Determinants'!$G$41*$D5,IF($E5="Distribution Rev.",VLOOKUP(G$4,'4. Billing Determinants'!$B$19:$R$41,8,0)/'4. Billing Determinants'!$I$41*$D5, VLOOKUP(G$4,'4. Billing Determinants'!$B$19:$R$41,3,0)/'4. Billing Determinants'!$D$41*$D5))))),0)</f>
        <v>0</v>
      </c>
      <c r="H5" s="32">
        <f>IFERROR(IF(H$4="",0,IF($E5="kWh",VLOOKUP(H$4,'4. Billing Determinants'!$B$19:$R$41,4,0)/'4. Billing Determinants'!$E$41*$D5,IF($E5="kW",VLOOKUP(H$4,'4. Billing Determinants'!$B$19:$R$41,5,0)/'4. Billing Determinants'!$F$41*$D5,IF($E5="Non-RPP kWh",VLOOKUP(H$4,'4. Billing Determinants'!$B$19:$R$41,6,0)/'4. Billing Determinants'!$G$41*$D5,IF($E5="Distribution Rev.",VLOOKUP(H$4,'4. Billing Determinants'!$B$19:$R$41,8,0)/'4. Billing Determinants'!$I$41*$D5, VLOOKUP(H$4,'4. Billing Determinants'!$B$19:$R$41,3,0)/'4. Billing Determinants'!$D$41*$D5))))),0)</f>
        <v>0</v>
      </c>
      <c r="I5" s="32">
        <f>IFERROR(IF(I$4="",0,IF($E5="kWh",VLOOKUP(I$4,'4. Billing Determinants'!$B$19:$R$41,4,0)/'4. Billing Determinants'!$E$41*$D5,IF($E5="kW",VLOOKUP(I$4,'4. Billing Determinants'!$B$19:$R$41,5,0)/'4. Billing Determinants'!$F$41*$D5,IF($E5="Non-RPP kWh",VLOOKUP(I$4,'4. Billing Determinants'!$B$19:$R$41,6,0)/'4. Billing Determinants'!$G$41*$D5,IF($E5="Distribution Rev.",VLOOKUP(I$4,'4. Billing Determinants'!$B$19:$R$41,8,0)/'4. Billing Determinants'!$I$41*$D5, VLOOKUP(I$4,'4. Billing Determinants'!$B$19:$R$41,3,0)/'4. Billing Determinants'!$D$41*$D5))))),0)</f>
        <v>0</v>
      </c>
      <c r="J5" s="32">
        <f>IFERROR(IF(J$4="",0,IF($E5="kWh",VLOOKUP(J$4,'4. Billing Determinants'!$B$19:$R$41,4,0)/'4. Billing Determinants'!$E$41*$D5,IF($E5="kW",VLOOKUP(J$4,'4. Billing Determinants'!$B$19:$R$41,5,0)/'4. Billing Determinants'!$F$41*$D5,IF($E5="Non-RPP kWh",VLOOKUP(J$4,'4. Billing Determinants'!$B$19:$R$41,6,0)/'4. Billing Determinants'!$G$41*$D5,IF($E5="Distribution Rev.",VLOOKUP(J$4,'4. Billing Determinants'!$B$19:$R$41,8,0)/'4. Billing Determinants'!$I$41*$D5, VLOOKUP(J$4,'4. Billing Determinants'!$B$19:$R$41,3,0)/'4. Billing Determinants'!$D$41*$D5))))),0)</f>
        <v>0</v>
      </c>
      <c r="K5" s="32">
        <f>IFERROR(IF(K$4="",0,IF($E5="kWh",VLOOKUP(K$4,'4. Billing Determinants'!$B$19:$R$41,4,0)/'4. Billing Determinants'!$E$41*$D5,IF($E5="kW",VLOOKUP(K$4,'4. Billing Determinants'!$B$19:$R$41,5,0)/'4. Billing Determinants'!$F$41*$D5,IF($E5="Non-RPP kWh",VLOOKUP(K$4,'4. Billing Determinants'!$B$19:$R$41,6,0)/'4. Billing Determinants'!$G$41*$D5,IF($E5="Distribution Rev.",VLOOKUP(K$4,'4. Billing Determinants'!$B$19:$R$41,8,0)/'4. Billing Determinants'!$I$41*$D5, VLOOKUP(K$4,'4. Billing Determinants'!$B$19:$R$41,3,0)/'4. Billing Determinants'!$D$41*$D5))))),0)</f>
        <v>0</v>
      </c>
      <c r="L5" s="32">
        <f>IFERROR(IF(L$4="",0,IF($E5="kWh",VLOOKUP(L$4,'4. Billing Determinants'!$B$19:$R$41,4,0)/'4. Billing Determinants'!$E$41*$D5,IF($E5="kW",VLOOKUP(L$4,'4. Billing Determinants'!$B$19:$R$41,5,0)/'4. Billing Determinants'!$F$41*$D5,IF($E5="Non-RPP kWh",VLOOKUP(L$4,'4. Billing Determinants'!$B$19:$R$41,6,0)/'4. Billing Determinants'!$G$41*$D5,IF($E5="Distribution Rev.",VLOOKUP(L$4,'4. Billing Determinants'!$B$19:$R$41,8,0)/'4. Billing Determinants'!$I$41*$D5, VLOOKUP(L$4,'4. Billing Determinants'!$B$19:$R$41,3,0)/'4. Billing Determinants'!$D$41*$D5))))),0)</f>
        <v>0</v>
      </c>
      <c r="M5" s="32">
        <f>IFERROR(IF(M$4="",0,IF($E5="kWh",VLOOKUP(M$4,'4. Billing Determinants'!$B$19:$R$41,4,0)/'4. Billing Determinants'!$E$41*$D5,IF($E5="kW",VLOOKUP(M$4,'4. Billing Determinants'!$B$19:$R$41,5,0)/'4. Billing Determinants'!$F$41*$D5,IF($E5="Non-RPP kWh",VLOOKUP(M$4,'4. Billing Determinants'!$B$19:$R$41,6,0)/'4. Billing Determinants'!$G$41*$D5,IF($E5="Distribution Rev.",VLOOKUP(M$4,'4. Billing Determinants'!$B$19:$R$41,8,0)/'4. Billing Determinants'!$I$41*$D5, VLOOKUP(M$4,'4. Billing Determinants'!$B$19:$R$41,3,0)/'4. Billing Determinants'!$D$41*$D5))))),0)</f>
        <v>0</v>
      </c>
      <c r="N5" s="32">
        <f>IFERROR(IF(N$4="",0,IF($E5="kWh",VLOOKUP(N$4,'4. Billing Determinants'!$B$19:$R$41,4,0)/'4. Billing Determinants'!$E$41*$D5,IF($E5="kW",VLOOKUP(N$4,'4. Billing Determinants'!$B$19:$R$41,5,0)/'4. Billing Determinants'!$F$41*$D5,IF($E5="Non-RPP kWh",VLOOKUP(N$4,'4. Billing Determinants'!$B$19:$R$41,6,0)/'4. Billing Determinants'!$G$41*$D5,IF($E5="Distribution Rev.",VLOOKUP(N$4,'4. Billing Determinants'!$B$19:$R$41,8,0)/'4. Billing Determinants'!$I$41*$D5, VLOOKUP(N$4,'4. Billing Determinants'!$B$19:$R$41,3,0)/'4. Billing Determinants'!$D$41*$D5))))),0)</f>
        <v>0</v>
      </c>
      <c r="O5" s="32">
        <f>IFERROR(IF(O$4="",0,IF($E5="kWh",VLOOKUP(O$4,'4. Billing Determinants'!$B$19:$R$41,4,0)/'4. Billing Determinants'!$E$41*$D5,IF($E5="kW",VLOOKUP(O$4,'4. Billing Determinants'!$B$19:$R$41,5,0)/'4. Billing Determinants'!$F$41*$D5,IF($E5="Non-RPP kWh",VLOOKUP(O$4,'4. Billing Determinants'!$B$19:$R$41,6,0)/'4. Billing Determinants'!$G$41*$D5,IF($E5="Distribution Rev.",VLOOKUP(O$4,'4. Billing Determinants'!$B$19:$R$41,8,0)/'4. Billing Determinants'!$I$41*$D5, VLOOKUP(O$4,'4. Billing Determinants'!$B$19:$R$41,3,0)/'4. Billing Determinants'!$D$41*$D5))))),0)</f>
        <v>0</v>
      </c>
      <c r="P5" s="32">
        <f>IFERROR(IF(P$4="",0,IF($E5="kWh",VLOOKUP(P$4,'4. Billing Determinants'!$B$19:$R$41,4,0)/'4. Billing Determinants'!$E$41*$D5,IF($E5="kW",VLOOKUP(P$4,'4. Billing Determinants'!$B$19:$R$41,5,0)/'4. Billing Determinants'!$F$41*$D5,IF($E5="Non-RPP kWh",VLOOKUP(P$4,'4. Billing Determinants'!$B$19:$R$41,6,0)/'4. Billing Determinants'!$G$41*$D5,IF($E5="Distribution Rev.",VLOOKUP(P$4,'4. Billing Determinants'!$B$19:$R$41,8,0)/'4. Billing Determinants'!$I$41*$D5, VLOOKUP(P$4,'4. Billing Determinants'!$B$19:$R$41,3,0)/'4. Billing Determinants'!$D$41*$D5))))),0)</f>
        <v>0</v>
      </c>
      <c r="Q5" s="32">
        <f>IFERROR(IF(Q$4="",0,IF($E5="kWh",VLOOKUP(Q$4,'4. Billing Determinants'!$B$19:$R$41,4,0)/'4. Billing Determinants'!$E$41*$D5,IF($E5="kW",VLOOKUP(Q$4,'4. Billing Determinants'!$B$19:$R$41,5,0)/'4. Billing Determinants'!$F$41*$D5,IF($E5="Non-RPP kWh",VLOOKUP(Q$4,'4. Billing Determinants'!$B$19:$R$41,6,0)/'4. Billing Determinants'!$G$41*$D5,IF($E5="Distribution Rev.",VLOOKUP(Q$4,'4. Billing Determinants'!$B$19:$R$41,8,0)/'4. Billing Determinants'!$I$41*$D5, VLOOKUP(Q$4,'4. Billing Determinants'!$B$19:$R$41,3,0)/'4. Billing Determinants'!$D$41*$D5))))),0)</f>
        <v>0</v>
      </c>
      <c r="R5" s="32">
        <f>IFERROR(IF(R$4="",0,IF($E5="kWh",VLOOKUP(R$4,'4. Billing Determinants'!$B$19:$R$41,4,0)/'4. Billing Determinants'!$E$41*$D5,IF($E5="kW",VLOOKUP(R$4,'4. Billing Determinants'!$B$19:$R$41,5,0)/'4. Billing Determinants'!$F$41*$D5,IF($E5="Non-RPP kWh",VLOOKUP(R$4,'4. Billing Determinants'!$B$19:$R$41,6,0)/'4. Billing Determinants'!$G$41*$D5,IF($E5="Distribution Rev.",VLOOKUP(R$4,'4. Billing Determinants'!$B$19:$R$41,8,0)/'4. Billing Determinants'!$I$41*$D5, VLOOKUP(R$4,'4. Billing Determinants'!$B$19:$R$41,3,0)/'4. Billing Determinants'!$D$41*$D5))))),0)</f>
        <v>0</v>
      </c>
      <c r="S5" s="32">
        <f>IFERROR(IF(S$4="",0,IF($E5="kWh",VLOOKUP(S$4,'4. Billing Determinants'!$B$19:$R$41,4,0)/'4. Billing Determinants'!$E$41*$D5,IF($E5="kW",VLOOKUP(S$4,'4. Billing Determinants'!$B$19:$R$41,5,0)/'4. Billing Determinants'!$F$41*$D5,IF($E5="Non-RPP kWh",VLOOKUP(S$4,'4. Billing Determinants'!$B$19:$R$41,6,0)/'4. Billing Determinants'!$G$41*$D5,IF($E5="Distribution Rev.",VLOOKUP(S$4,'4. Billing Determinants'!$B$19:$R$41,8,0)/'4. Billing Determinants'!$I$41*$D5, VLOOKUP(S$4,'4. Billing Determinants'!$B$19:$R$41,3,0)/'4. Billing Determinants'!$D$41*$D5))))),0)</f>
        <v>0</v>
      </c>
      <c r="T5" s="32">
        <f>IFERROR(IF(T$4="",0,IF($E5="kWh",VLOOKUP(T$4,'4. Billing Determinants'!$B$19:$R$41,4,0)/'4. Billing Determinants'!$E$41*$D5,IF($E5="kW",VLOOKUP(T$4,'4. Billing Determinants'!$B$19:$R$41,5,0)/'4. Billing Determinants'!$F$41*$D5,IF($E5="Non-RPP kWh",VLOOKUP(T$4,'4. Billing Determinants'!$B$19:$R$41,6,0)/'4. Billing Determinants'!$G$41*$D5,IF($E5="Distribution Rev.",VLOOKUP(T$4,'4. Billing Determinants'!$B$19:$R$41,8,0)/'4. Billing Determinants'!$I$41*$D5, VLOOKUP(T$4,'4. Billing Determinants'!$B$19:$R$41,3,0)/'4. Billing Determinants'!$D$41*$D5))))),0)</f>
        <v>0</v>
      </c>
      <c r="U5" s="32">
        <f>IFERROR(IF(U$4="",0,IF($E5="kWh",VLOOKUP(U$4,'4. Billing Determinants'!$B$19:$R$41,4,0)/'4. Billing Determinants'!$E$41*$D5,IF($E5="kW",VLOOKUP(U$4,'4. Billing Determinants'!$B$19:$R$41,5,0)/'4. Billing Determinants'!$F$41*$D5,IF($E5="Non-RPP kWh",VLOOKUP(U$4,'4. Billing Determinants'!$B$19:$R$41,6,0)/'4. Billing Determinants'!$G$41*$D5,IF($E5="Distribution Rev.",VLOOKUP(U$4,'4. Billing Determinants'!$B$19:$R$41,8,0)/'4. Billing Determinants'!$I$41*$D5, VLOOKUP(U$4,'4. Billing Determinants'!$B$19:$R$41,3,0)/'4. Billing Determinants'!$D$41*$D5))))),0)</f>
        <v>0</v>
      </c>
      <c r="V5" s="32">
        <f>IFERROR(IF(V$4="",0,IF($E5="kWh",VLOOKUP(V$4,'4. Billing Determinants'!$B$19:$R$41,4,0)/'4. Billing Determinants'!$E$41*$D5,IF($E5="kW",VLOOKUP(V$4,'4. Billing Determinants'!$B$19:$R$41,5,0)/'4. Billing Determinants'!$F$41*$D5,IF($E5="Non-RPP kWh",VLOOKUP(V$4,'4. Billing Determinants'!$B$19:$R$41,6,0)/'4. Billing Determinants'!$G$41*$D5,IF($E5="Distribution Rev.",VLOOKUP(V$4,'4. Billing Determinants'!$B$19:$R$41,8,0)/'4. Billing Determinants'!$I$41*$D5, VLOOKUP(V$4,'4. Billing Determinants'!$B$19:$R$41,3,0)/'4. Billing Determinants'!$D$41*$D5))))),0)</f>
        <v>0</v>
      </c>
      <c r="W5" s="32">
        <f>IFERROR(IF(W$4="",0,IF($E5="kWh",VLOOKUP(W$4,'4. Billing Determinants'!$B$19:$R$41,4,0)/'4. Billing Determinants'!$E$41*$D5,IF($E5="kW",VLOOKUP(W$4,'4. Billing Determinants'!$B$19:$R$41,5,0)/'4. Billing Determinants'!$F$41*$D5,IF($E5="Non-RPP kWh",VLOOKUP(W$4,'4. Billing Determinants'!$B$19:$R$41,6,0)/'4. Billing Determinants'!$G$41*$D5,IF($E5="Distribution Rev.",VLOOKUP(W$4,'4. Billing Determinants'!$B$19:$R$41,8,0)/'4. Billing Determinants'!$I$41*$D5, VLOOKUP(W$4,'4. Billing Determinants'!$B$19:$R$41,3,0)/'4. Billing Determinants'!$D$41*$D5))))),0)</f>
        <v>0</v>
      </c>
      <c r="X5" s="32">
        <f>IFERROR(IF(X$4="",0,IF($E5="kWh",VLOOKUP(X$4,'4. Billing Determinants'!$B$19:$R$41,4,0)/'4. Billing Determinants'!$E$41*$D5,IF($E5="kW",VLOOKUP(X$4,'4. Billing Determinants'!$B$19:$R$41,5,0)/'4. Billing Determinants'!$F$41*$D5,IF($E5="Non-RPP kWh",VLOOKUP(X$4,'4. Billing Determinants'!$B$19:$R$41,6,0)/'4. Billing Determinants'!$G$41*$D5,IF($E5="Distribution Rev.",VLOOKUP(X$4,'4. Billing Determinants'!$B$19:$R$41,8,0)/'4. Billing Determinants'!$I$41*$D5, VLOOKUP(X$4,'4. Billing Determinants'!$B$19:$R$41,3,0)/'4. Billing Determinants'!$D$41*$D5))))),0)</f>
        <v>0</v>
      </c>
      <c r="Y5" s="32">
        <f>IFERROR(IF(Y$4="",0,IF($E5="kWh",VLOOKUP(Y$4,'4. Billing Determinants'!$B$19:$R$41,4,0)/'4. Billing Determinants'!$E$41*$D5,IF($E5="kW",VLOOKUP(Y$4,'4. Billing Determinants'!$B$19:$R$41,5,0)/'4. Billing Determinants'!$F$41*$D5,IF($E5="Non-RPP kWh",VLOOKUP(Y$4,'4. Billing Determinants'!$B$19:$R$41,6,0)/'4. Billing Determinants'!$G$41*$D5,IF($E5="Distribution Rev.",VLOOKUP(Y$4,'4. Billing Determinants'!$B$19:$R$41,8,0)/'4. Billing Determinants'!$I$41*$D5, VLOOKUP(Y$4,'4. Billing Determinants'!$B$19:$R$41,3,0)/'4. Billing Determinants'!$D$41*$D5))))),0)</f>
        <v>0</v>
      </c>
    </row>
    <row r="6" spans="1:27" x14ac:dyDescent="0.2">
      <c r="A6" s="37">
        <v>3</v>
      </c>
      <c r="B6" s="30" t="s">
        <v>131</v>
      </c>
      <c r="C6" s="31">
        <v>1551</v>
      </c>
      <c r="D6" s="32">
        <f>'2a. Continuity Schedule'!BT25</f>
        <v>-17194.223073000012</v>
      </c>
      <c r="E6" s="259" t="s">
        <v>59</v>
      </c>
      <c r="F6" s="92">
        <f>(30340/(30340+3400))*D6</f>
        <v>-15461.550919822774</v>
      </c>
      <c r="G6" s="92">
        <f>(3400/(30340+3400))*D6</f>
        <v>-1732.6721531772389</v>
      </c>
      <c r="H6" s="92">
        <v>0</v>
      </c>
      <c r="I6" s="32">
        <v>0</v>
      </c>
      <c r="J6" s="32">
        <v>0</v>
      </c>
      <c r="K6" s="32">
        <v>0</v>
      </c>
      <c r="L6" s="32">
        <v>0</v>
      </c>
      <c r="M6" s="32">
        <v>0</v>
      </c>
      <c r="N6" s="32">
        <v>0</v>
      </c>
      <c r="O6" s="32">
        <v>0</v>
      </c>
      <c r="P6" s="32">
        <v>0</v>
      </c>
      <c r="Q6" s="32">
        <v>0</v>
      </c>
      <c r="R6" s="32">
        <v>0</v>
      </c>
      <c r="S6" s="32">
        <v>0</v>
      </c>
      <c r="T6" s="32">
        <v>0</v>
      </c>
      <c r="U6" s="32">
        <v>0</v>
      </c>
      <c r="V6" s="32">
        <v>0</v>
      </c>
      <c r="W6" s="32">
        <v>0</v>
      </c>
      <c r="X6" s="32">
        <v>0</v>
      </c>
      <c r="Y6" s="32">
        <v>0</v>
      </c>
    </row>
    <row r="7" spans="1:27" x14ac:dyDescent="0.2">
      <c r="A7" s="37">
        <v>4</v>
      </c>
      <c r="B7" s="30" t="s">
        <v>1</v>
      </c>
      <c r="C7" s="31">
        <v>1580</v>
      </c>
      <c r="D7" s="32">
        <f>IF('7. Rate Rider Calculations'!I70="",'2a. Continuity Schedule'!BT26,'2a. Continuity Schedule'!BT26+'2a. Continuity Schedule'!BT28)</f>
        <v>914290.79152699991</v>
      </c>
      <c r="E7" s="48" t="s">
        <v>139</v>
      </c>
      <c r="F7" s="32">
        <f>IFERROR(IF(F$4="",0,IF($E7="kWh",VLOOKUP(F$4,'4. Billing Determinants'!$B$19:$R$41,11,0)/'4. Billing Determinants'!$L$41*$D7,IF($E7="kW",VLOOKUP(F$4,'4. Billing Determinants'!$B$19:$R$41,12,0)/'4. Billing Determinants'!$M$41*$D7,))),0)</f>
        <v>427108.45548126643</v>
      </c>
      <c r="G7" s="32">
        <f>IFERROR(IF(G$4="",0,IF($E7="kWh",VLOOKUP(G$4,'4. Billing Determinants'!$B$19:$R$41,11,0)/'4. Billing Determinants'!$L$41*$D7,IF($E7="kW",VLOOKUP(G$4,'4. Billing Determinants'!$B$19:$R$41,12,0)/'4. Billing Determinants'!$M$41*$D7,))),0)</f>
        <v>130642.68579944916</v>
      </c>
      <c r="H7" s="32">
        <f>IFERROR(IF(H$4="",0,IF($E7="kWh",VLOOKUP(H$4,'4. Billing Determinants'!$B$19:$R$41,11,0)/'4. Billing Determinants'!$L$41*$D7,IF($E7="kW",VLOOKUP(H$4,'4. Billing Determinants'!$B$19:$R$41,12,0)/'4. Billing Determinants'!$M$41*$D7,))),0)</f>
        <v>351207.0847143812</v>
      </c>
      <c r="I7" s="32">
        <f>IFERROR(IF(I$4="",0,IF($E7="kWh",VLOOKUP(I$4,'4. Billing Determinants'!$B$19:$R$41,11,0)/'4. Billing Determinants'!$L$41*$D7,IF($E7="kW",VLOOKUP(I$4,'4. Billing Determinants'!$B$19:$R$41,12,0)/'4. Billing Determinants'!$M$41*$D7,))),0)</f>
        <v>1326.2533130405329</v>
      </c>
      <c r="J7" s="32">
        <f>IFERROR(IF(J$4="",0,IF($E7="kWh",VLOOKUP(J$4,'4. Billing Determinants'!$B$19:$R$41,11,0)/'4. Billing Determinants'!$L$41*$D7,IF($E7="kW",VLOOKUP(J$4,'4. Billing Determinants'!$B$19:$R$41,12,0)/'4. Billing Determinants'!$M$41*$D7,))),0)</f>
        <v>3713.6837898847075</v>
      </c>
      <c r="K7" s="32">
        <f>IFERROR(IF(K$4="",0,IF($E7="kWh",VLOOKUP(K$4,'4. Billing Determinants'!$B$19:$R$41,11,0)/'4. Billing Determinants'!$L$41*$D7,IF($E7="kW",VLOOKUP(K$4,'4. Billing Determinants'!$B$19:$R$41,12,0)/'4. Billing Determinants'!$M$41*$D7,))),0)</f>
        <v>292.6284289778925</v>
      </c>
      <c r="L7" s="32">
        <f>IFERROR(IF(L$4="",0,IF($E7="kWh",VLOOKUP(L$4,'4. Billing Determinants'!$B$19:$R$41,11,0)/'4. Billing Determinants'!$L$41*$D7,IF($E7="kW",VLOOKUP(L$4,'4. Billing Determinants'!$B$19:$R$41,12,0)/'4. Billing Determinants'!$M$41*$D7,))),0)</f>
        <v>0</v>
      </c>
      <c r="M7" s="32">
        <f>IFERROR(IF(M$4="",0,IF($E7="kWh",VLOOKUP(M$4,'4. Billing Determinants'!$B$19:$R$41,11,0)/'4. Billing Determinants'!$L$41*$D7,IF($E7="kW",VLOOKUP(M$4,'4. Billing Determinants'!$B$19:$R$41,12,0)/'4. Billing Determinants'!$M$41*$D7,))),0)</f>
        <v>0</v>
      </c>
      <c r="N7" s="32">
        <f>IFERROR(IF(N$4="",0,IF($E7="kWh",VLOOKUP(N$4,'4. Billing Determinants'!$B$19:$R$41,11,0)/'4. Billing Determinants'!$L$41*$D7,IF($E7="kW",VLOOKUP(N$4,'4. Billing Determinants'!$B$19:$R$41,12,0)/'4. Billing Determinants'!$M$41*$D7,))),0)</f>
        <v>0</v>
      </c>
      <c r="O7" s="32">
        <f>IFERROR(IF(O$4="",0,IF($E7="kWh",VLOOKUP(O$4,'4. Billing Determinants'!$B$19:$R$41,11,0)/'4. Billing Determinants'!$L$41*$D7,IF($E7="kW",VLOOKUP(O$4,'4. Billing Determinants'!$B$19:$R$41,12,0)/'4. Billing Determinants'!$M$41*$D7,))),0)</f>
        <v>0</v>
      </c>
      <c r="P7" s="32">
        <f>IFERROR(IF(P$4="",0,IF($E7="kWh",VLOOKUP(P$4,'4. Billing Determinants'!$B$19:$R$41,11,0)/'4. Billing Determinants'!$L$41*$D7,IF($E7="kW",VLOOKUP(P$4,'4. Billing Determinants'!$B$19:$R$41,12,0)/'4. Billing Determinants'!$M$41*$D7,))),0)</f>
        <v>0</v>
      </c>
      <c r="Q7" s="32">
        <f>IFERROR(IF(Q$4="",0,IF($E7="kWh",VLOOKUP(Q$4,'4. Billing Determinants'!$B$19:$R$41,11,0)/'4. Billing Determinants'!$L$41*$D7,IF($E7="kW",VLOOKUP(Q$4,'4. Billing Determinants'!$B$19:$R$41,12,0)/'4. Billing Determinants'!$M$41*$D7,))),0)</f>
        <v>0</v>
      </c>
      <c r="R7" s="32">
        <f>IFERROR(IF(R$4="",0,IF($E7="kWh",VLOOKUP(R$4,'4. Billing Determinants'!$B$19:$R$41,11,0)/'4. Billing Determinants'!$L$41*$D7,IF($E7="kW",VLOOKUP(R$4,'4. Billing Determinants'!$B$19:$R$41,12,0)/'4. Billing Determinants'!$M$41*$D7,))),0)</f>
        <v>0</v>
      </c>
      <c r="S7" s="32">
        <f>IFERROR(IF(S$4="",0,IF($E7="kWh",VLOOKUP(S$4,'4. Billing Determinants'!$B$19:$R$41,11,0)/'4. Billing Determinants'!$L$41*$D7,IF($E7="kW",VLOOKUP(S$4,'4. Billing Determinants'!$B$19:$R$41,12,0)/'4. Billing Determinants'!$M$41*$D7,))),0)</f>
        <v>0</v>
      </c>
      <c r="T7" s="32">
        <f>IFERROR(IF(T$4="",0,IF($E7="kWh",VLOOKUP(T$4,'4. Billing Determinants'!$B$19:$R$41,11,0)/'4. Billing Determinants'!$L$41*$D7,IF($E7="kW",VLOOKUP(T$4,'4. Billing Determinants'!$B$19:$R$41,12,0)/'4. Billing Determinants'!$M$41*$D7,))),0)</f>
        <v>0</v>
      </c>
      <c r="U7" s="32">
        <f>IFERROR(IF(U$4="",0,IF($E7="kWh",VLOOKUP(U$4,'4. Billing Determinants'!$B$19:$R$41,11,0)/'4. Billing Determinants'!$L$41*$D7,IF($E7="kW",VLOOKUP(U$4,'4. Billing Determinants'!$B$19:$R$41,12,0)/'4. Billing Determinants'!$M$41*$D7,))),0)</f>
        <v>0</v>
      </c>
      <c r="V7" s="32">
        <f>IFERROR(IF(V$4="",0,IF($E7="kWh",VLOOKUP(V$4,'4. Billing Determinants'!$B$19:$R$41,11,0)/'4. Billing Determinants'!$L$41*$D7,IF($E7="kW",VLOOKUP(V$4,'4. Billing Determinants'!$B$19:$R$41,12,0)/'4. Billing Determinants'!$M$41*$D7,))),0)</f>
        <v>0</v>
      </c>
      <c r="W7" s="32">
        <f>IFERROR(IF(W$4="",0,IF($E7="kWh",VLOOKUP(W$4,'4. Billing Determinants'!$B$19:$R$41,11,0)/'4. Billing Determinants'!$L$41*$D7,IF($E7="kW",VLOOKUP(W$4,'4. Billing Determinants'!$B$19:$R$41,12,0)/'4. Billing Determinants'!$M$41*$D7,))),0)</f>
        <v>0</v>
      </c>
      <c r="X7" s="32">
        <f>IFERROR(IF(X$4="",0,IF($E7="kWh",VLOOKUP(X$4,'4. Billing Determinants'!$B$19:$R$41,11,0)/'4. Billing Determinants'!$L$41*$D7,IF($E7="kW",VLOOKUP(X$4,'4. Billing Determinants'!$B$19:$R$41,12,0)/'4. Billing Determinants'!$M$41*$D7,))),0)</f>
        <v>0</v>
      </c>
      <c r="Y7" s="32">
        <f>IFERROR(IF(Y$4="",0,IF($E7="kWh",VLOOKUP(Y$4,'4. Billing Determinants'!$B$19:$R$41,11,0)/'4. Billing Determinants'!$L$41*$D7,IF($E7="kW",VLOOKUP(Y$4,'4. Billing Determinants'!$B$19:$R$41,12,0)/'4. Billing Determinants'!$M$41*$D7,))),0)</f>
        <v>0</v>
      </c>
    </row>
    <row r="8" spans="1:27" x14ac:dyDescent="0.2">
      <c r="A8" s="37">
        <v>5</v>
      </c>
      <c r="B8" s="30" t="s">
        <v>2</v>
      </c>
      <c r="C8" s="31">
        <v>1584</v>
      </c>
      <c r="D8" s="32">
        <f>'2a. Continuity Schedule'!BT29</f>
        <v>452701.97886199999</v>
      </c>
      <c r="E8" s="48" t="s">
        <v>139</v>
      </c>
      <c r="F8" s="32">
        <f>IFERROR(IF(F$4="",0,IF($E8="kWh",VLOOKUP(F$4,'4. Billing Determinants'!$B$19:$R$41,4,0)/'4. Billing Determinants'!$E$41*$D8,IF($E8="kW",VLOOKUP(F$4,'4. Billing Determinants'!$B$19:$R$41,5,0)/'4. Billing Determinants'!$F$41*$D8,IF($E8="Non-RPP kWh",VLOOKUP(F$4,'4. Billing Determinants'!$B$19:$R$41,6,0)/'4. Billing Determinants'!$G$41*$D8,IF($E8="Distribution Rev.",VLOOKUP(F$4,'4. Billing Determinants'!$B$19:$R$41,8,0)/'4. Billing Determinants'!$I$41*$D8, VLOOKUP(F$4,'4. Billing Determinants'!$B$19:$R$41,3,0)/'4. Billing Determinants'!$D$41*$D8))))),0)</f>
        <v>211478.49762561219</v>
      </c>
      <c r="G8" s="32">
        <f>IFERROR(IF(G$4="",0,IF($E8="kWh",VLOOKUP(G$4,'4. Billing Determinants'!$B$19:$R$41,4,0)/'4. Billing Determinants'!$E$41*$D8,IF($E8="kW",VLOOKUP(G$4,'4. Billing Determinants'!$B$19:$R$41,5,0)/'4. Billing Determinants'!$F$41*$D8,IF($E8="Non-RPP kWh",VLOOKUP(G$4,'4. Billing Determinants'!$B$19:$R$41,6,0)/'4. Billing Determinants'!$G$41*$D8,IF($E8="Distribution Rev.",VLOOKUP(G$4,'4. Billing Determinants'!$B$19:$R$41,8,0)/'4. Billing Determinants'!$I$41*$D8, VLOOKUP(G$4,'4. Billing Determinants'!$B$19:$R$41,3,0)/'4. Billing Determinants'!$D$41*$D8))))),0)</f>
        <v>64686.424640109275</v>
      </c>
      <c r="H8" s="32">
        <f>IFERROR(IF(H$4="",0,IF($E8="kWh",VLOOKUP(H$4,'4. Billing Determinants'!$B$19:$R$41,4,0)/'4. Billing Determinants'!$E$41*$D8,IF($E8="kW",VLOOKUP(H$4,'4. Billing Determinants'!$B$19:$R$41,5,0)/'4. Billing Determinants'!$F$41*$D8,IF($E8="Non-RPP kWh",VLOOKUP(H$4,'4. Billing Determinants'!$B$19:$R$41,6,0)/'4. Billing Determinants'!$G$41*$D8,IF($E8="Distribution Rev.",VLOOKUP(H$4,'4. Billing Determinants'!$B$19:$R$41,8,0)/'4. Billing Determinants'!$I$41*$D8, VLOOKUP(H$4,'4. Billing Determinants'!$B$19:$R$41,3,0)/'4. Billing Determinants'!$D$41*$D8))))),0)</f>
        <v>173896.68988682935</v>
      </c>
      <c r="I8" s="32">
        <f>IFERROR(IF(I$4="",0,IF($E8="kWh",VLOOKUP(I$4,'4. Billing Determinants'!$B$19:$R$41,4,0)/'4. Billing Determinants'!$E$41*$D8,IF($E8="kW",VLOOKUP(I$4,'4. Billing Determinants'!$B$19:$R$41,5,0)/'4. Billing Determinants'!$F$41*$D8,IF($E8="Non-RPP kWh",VLOOKUP(I$4,'4. Billing Determinants'!$B$19:$R$41,6,0)/'4. Billing Determinants'!$G$41*$D8,IF($E8="Distribution Rev.",VLOOKUP(I$4,'4. Billing Determinants'!$B$19:$R$41,8,0)/'4. Billing Determinants'!$I$41*$D8, VLOOKUP(I$4,'4. Billing Determinants'!$B$19:$R$41,3,0)/'4. Billing Determinants'!$D$41*$D8))))),0)</f>
        <v>656.6811181407403</v>
      </c>
      <c r="J8" s="32">
        <f>IFERROR(IF(J$4="",0,IF($E8="kWh",VLOOKUP(J$4,'4. Billing Determinants'!$B$19:$R$41,4,0)/'4. Billing Determinants'!$E$41*$D8,IF($E8="kW",VLOOKUP(J$4,'4. Billing Determinants'!$B$19:$R$41,5,0)/'4. Billing Determinants'!$F$41*$D8,IF($E8="Non-RPP kWh",VLOOKUP(J$4,'4. Billing Determinants'!$B$19:$R$41,6,0)/'4. Billing Determinants'!$G$41*$D8,IF($E8="Distribution Rev.",VLOOKUP(J$4,'4. Billing Determinants'!$B$19:$R$41,8,0)/'4. Billing Determinants'!$I$41*$D8, VLOOKUP(J$4,'4. Billing Determinants'!$B$19:$R$41,3,0)/'4. Billing Determinants'!$D$41*$D8))))),0)</f>
        <v>1838.7935393516339</v>
      </c>
      <c r="K8" s="32">
        <f>IFERROR(IF(K$4="",0,IF($E8="kWh",VLOOKUP(K$4,'4. Billing Determinants'!$B$19:$R$41,4,0)/'4. Billing Determinants'!$E$41*$D8,IF($E8="kW",VLOOKUP(K$4,'4. Billing Determinants'!$B$19:$R$41,5,0)/'4. Billing Determinants'!$F$41*$D8,IF($E8="Non-RPP kWh",VLOOKUP(K$4,'4. Billing Determinants'!$B$19:$R$41,6,0)/'4. Billing Determinants'!$G$41*$D8,IF($E8="Distribution Rev.",VLOOKUP(K$4,'4. Billing Determinants'!$B$19:$R$41,8,0)/'4. Billing Determinants'!$I$41*$D8, VLOOKUP(K$4,'4. Billing Determinants'!$B$19:$R$41,3,0)/'4. Billing Determinants'!$D$41*$D8))))),0)</f>
        <v>144.89205195681782</v>
      </c>
      <c r="L8" s="32">
        <f>IFERROR(IF(L$4="",0,IF($E8="kWh",VLOOKUP(L$4,'4. Billing Determinants'!$B$19:$R$41,4,0)/'4. Billing Determinants'!$E$41*$D8,IF($E8="kW",VLOOKUP(L$4,'4. Billing Determinants'!$B$19:$R$41,5,0)/'4. Billing Determinants'!$F$41*$D8,IF($E8="Non-RPP kWh",VLOOKUP(L$4,'4. Billing Determinants'!$B$19:$R$41,6,0)/'4. Billing Determinants'!$G$41*$D8,IF($E8="Distribution Rev.",VLOOKUP(L$4,'4. Billing Determinants'!$B$19:$R$41,8,0)/'4. Billing Determinants'!$I$41*$D8, VLOOKUP(L$4,'4. Billing Determinants'!$B$19:$R$41,3,0)/'4. Billing Determinants'!$D$41*$D8))))),0)</f>
        <v>0</v>
      </c>
      <c r="M8" s="32">
        <f>IFERROR(IF(M$4="",0,IF($E8="kWh",VLOOKUP(M$4,'4. Billing Determinants'!$B$19:$R$41,4,0)/'4. Billing Determinants'!$E$41*$D8,IF($E8="kW",VLOOKUP(M$4,'4. Billing Determinants'!$B$19:$R$41,5,0)/'4. Billing Determinants'!$F$41*$D8,IF($E8="Non-RPP kWh",VLOOKUP(M$4,'4. Billing Determinants'!$B$19:$R$41,6,0)/'4. Billing Determinants'!$G$41*$D8,IF($E8="Distribution Rev.",VLOOKUP(M$4,'4. Billing Determinants'!$B$19:$R$41,8,0)/'4. Billing Determinants'!$I$41*$D8, VLOOKUP(M$4,'4. Billing Determinants'!$B$19:$R$41,3,0)/'4. Billing Determinants'!$D$41*$D8))))),0)</f>
        <v>0</v>
      </c>
      <c r="N8" s="32">
        <f>IFERROR(IF(N$4="",0,IF($E8="kWh",VLOOKUP(N$4,'4. Billing Determinants'!$B$19:$R$41,4,0)/'4. Billing Determinants'!$E$41*$D8,IF($E8="kW",VLOOKUP(N$4,'4. Billing Determinants'!$B$19:$R$41,5,0)/'4. Billing Determinants'!$F$41*$D8,IF($E8="Non-RPP kWh",VLOOKUP(N$4,'4. Billing Determinants'!$B$19:$R$41,6,0)/'4. Billing Determinants'!$G$41*$D8,IF($E8="Distribution Rev.",VLOOKUP(N$4,'4. Billing Determinants'!$B$19:$R$41,8,0)/'4. Billing Determinants'!$I$41*$D8, VLOOKUP(N$4,'4. Billing Determinants'!$B$19:$R$41,3,0)/'4. Billing Determinants'!$D$41*$D8))))),0)</f>
        <v>0</v>
      </c>
      <c r="O8" s="32">
        <f>IFERROR(IF(O$4="",0,IF($E8="kWh",VLOOKUP(O$4,'4. Billing Determinants'!$B$19:$R$41,4,0)/'4. Billing Determinants'!$E$41*$D8,IF($E8="kW",VLOOKUP(O$4,'4. Billing Determinants'!$B$19:$R$41,5,0)/'4. Billing Determinants'!$F$41*$D8,IF($E8="Non-RPP kWh",VLOOKUP(O$4,'4. Billing Determinants'!$B$19:$R$41,6,0)/'4. Billing Determinants'!$G$41*$D8,IF($E8="Distribution Rev.",VLOOKUP(O$4,'4. Billing Determinants'!$B$19:$R$41,8,0)/'4. Billing Determinants'!$I$41*$D8, VLOOKUP(O$4,'4. Billing Determinants'!$B$19:$R$41,3,0)/'4. Billing Determinants'!$D$41*$D8))))),0)</f>
        <v>0</v>
      </c>
      <c r="P8" s="32">
        <f>IFERROR(IF(P$4="",0,IF($E8="kWh",VLOOKUP(P$4,'4. Billing Determinants'!$B$19:$R$41,4,0)/'4. Billing Determinants'!$E$41*$D8,IF($E8="kW",VLOOKUP(P$4,'4. Billing Determinants'!$B$19:$R$41,5,0)/'4. Billing Determinants'!$F$41*$D8,IF($E8="Non-RPP kWh",VLOOKUP(P$4,'4. Billing Determinants'!$B$19:$R$41,6,0)/'4. Billing Determinants'!$G$41*$D8,IF($E8="Distribution Rev.",VLOOKUP(P$4,'4. Billing Determinants'!$B$19:$R$41,8,0)/'4. Billing Determinants'!$I$41*$D8, VLOOKUP(P$4,'4. Billing Determinants'!$B$19:$R$41,3,0)/'4. Billing Determinants'!$D$41*$D8))))),0)</f>
        <v>0</v>
      </c>
      <c r="Q8" s="32">
        <f>IFERROR(IF(Q$4="",0,IF($E8="kWh",VLOOKUP(Q$4,'4. Billing Determinants'!$B$19:$R$41,4,0)/'4. Billing Determinants'!$E$41*$D8,IF($E8="kW",VLOOKUP(Q$4,'4. Billing Determinants'!$B$19:$R$41,5,0)/'4. Billing Determinants'!$F$41*$D8,IF($E8="Non-RPP kWh",VLOOKUP(Q$4,'4. Billing Determinants'!$B$19:$R$41,6,0)/'4. Billing Determinants'!$G$41*$D8,IF($E8="Distribution Rev.",VLOOKUP(Q$4,'4. Billing Determinants'!$B$19:$R$41,8,0)/'4. Billing Determinants'!$I$41*$D8, VLOOKUP(Q$4,'4. Billing Determinants'!$B$19:$R$41,3,0)/'4. Billing Determinants'!$D$41*$D8))))),0)</f>
        <v>0</v>
      </c>
      <c r="R8" s="32">
        <f>IFERROR(IF(R$4="",0,IF($E8="kWh",VLOOKUP(R$4,'4. Billing Determinants'!$B$19:$R$41,4,0)/'4. Billing Determinants'!$E$41*$D8,IF($E8="kW",VLOOKUP(R$4,'4. Billing Determinants'!$B$19:$R$41,5,0)/'4. Billing Determinants'!$F$41*$D8,IF($E8="Non-RPP kWh",VLOOKUP(R$4,'4. Billing Determinants'!$B$19:$R$41,6,0)/'4. Billing Determinants'!$G$41*$D8,IF($E8="Distribution Rev.",VLOOKUP(R$4,'4. Billing Determinants'!$B$19:$R$41,8,0)/'4. Billing Determinants'!$I$41*$D8, VLOOKUP(R$4,'4. Billing Determinants'!$B$19:$R$41,3,0)/'4. Billing Determinants'!$D$41*$D8))))),0)</f>
        <v>0</v>
      </c>
      <c r="S8" s="32">
        <f>IFERROR(IF(S$4="",0,IF($E8="kWh",VLOOKUP(S$4,'4. Billing Determinants'!$B$19:$R$41,4,0)/'4. Billing Determinants'!$E$41*$D8,IF($E8="kW",VLOOKUP(S$4,'4. Billing Determinants'!$B$19:$R$41,5,0)/'4. Billing Determinants'!$F$41*$D8,IF($E8="Non-RPP kWh",VLOOKUP(S$4,'4. Billing Determinants'!$B$19:$R$41,6,0)/'4. Billing Determinants'!$G$41*$D8,IF($E8="Distribution Rev.",VLOOKUP(S$4,'4. Billing Determinants'!$B$19:$R$41,8,0)/'4. Billing Determinants'!$I$41*$D8, VLOOKUP(S$4,'4. Billing Determinants'!$B$19:$R$41,3,0)/'4. Billing Determinants'!$D$41*$D8))))),0)</f>
        <v>0</v>
      </c>
      <c r="T8" s="32">
        <f>IFERROR(IF(T$4="",0,IF($E8="kWh",VLOOKUP(T$4,'4. Billing Determinants'!$B$19:$R$41,4,0)/'4. Billing Determinants'!$E$41*$D8,IF($E8="kW",VLOOKUP(T$4,'4. Billing Determinants'!$B$19:$R$41,5,0)/'4. Billing Determinants'!$F$41*$D8,IF($E8="Non-RPP kWh",VLOOKUP(T$4,'4. Billing Determinants'!$B$19:$R$41,6,0)/'4. Billing Determinants'!$G$41*$D8,IF($E8="Distribution Rev.",VLOOKUP(T$4,'4. Billing Determinants'!$B$19:$R$41,8,0)/'4. Billing Determinants'!$I$41*$D8, VLOOKUP(T$4,'4. Billing Determinants'!$B$19:$R$41,3,0)/'4. Billing Determinants'!$D$41*$D8))))),0)</f>
        <v>0</v>
      </c>
      <c r="U8" s="32">
        <f>IFERROR(IF(U$4="",0,IF($E8="kWh",VLOOKUP(U$4,'4. Billing Determinants'!$B$19:$R$41,4,0)/'4. Billing Determinants'!$E$41*$D8,IF($E8="kW",VLOOKUP(U$4,'4. Billing Determinants'!$B$19:$R$41,5,0)/'4. Billing Determinants'!$F$41*$D8,IF($E8="Non-RPP kWh",VLOOKUP(U$4,'4. Billing Determinants'!$B$19:$R$41,6,0)/'4. Billing Determinants'!$G$41*$D8,IF($E8="Distribution Rev.",VLOOKUP(U$4,'4. Billing Determinants'!$B$19:$R$41,8,0)/'4. Billing Determinants'!$I$41*$D8, VLOOKUP(U$4,'4. Billing Determinants'!$B$19:$R$41,3,0)/'4. Billing Determinants'!$D$41*$D8))))),0)</f>
        <v>0</v>
      </c>
      <c r="V8" s="32">
        <f>IFERROR(IF(V$4="",0,IF($E8="kWh",VLOOKUP(V$4,'4. Billing Determinants'!$B$19:$R$41,4,0)/'4. Billing Determinants'!$E$41*$D8,IF($E8="kW",VLOOKUP(V$4,'4. Billing Determinants'!$B$19:$R$41,5,0)/'4. Billing Determinants'!$F$41*$D8,IF($E8="Non-RPP kWh",VLOOKUP(V$4,'4. Billing Determinants'!$B$19:$R$41,6,0)/'4. Billing Determinants'!$G$41*$D8,IF($E8="Distribution Rev.",VLOOKUP(V$4,'4. Billing Determinants'!$B$19:$R$41,8,0)/'4. Billing Determinants'!$I$41*$D8, VLOOKUP(V$4,'4. Billing Determinants'!$B$19:$R$41,3,0)/'4. Billing Determinants'!$D$41*$D8))))),0)</f>
        <v>0</v>
      </c>
      <c r="W8" s="32">
        <f>IFERROR(IF(W$4="",0,IF($E8="kWh",VLOOKUP(W$4,'4. Billing Determinants'!$B$19:$R$41,4,0)/'4. Billing Determinants'!$E$41*$D8,IF($E8="kW",VLOOKUP(W$4,'4. Billing Determinants'!$B$19:$R$41,5,0)/'4. Billing Determinants'!$F$41*$D8,IF($E8="Non-RPP kWh",VLOOKUP(W$4,'4. Billing Determinants'!$B$19:$R$41,6,0)/'4. Billing Determinants'!$G$41*$D8,IF($E8="Distribution Rev.",VLOOKUP(W$4,'4. Billing Determinants'!$B$19:$R$41,8,0)/'4. Billing Determinants'!$I$41*$D8, VLOOKUP(W$4,'4. Billing Determinants'!$B$19:$R$41,3,0)/'4. Billing Determinants'!$D$41*$D8))))),0)</f>
        <v>0</v>
      </c>
      <c r="X8" s="32">
        <f>IFERROR(IF(X$4="",0,IF($E8="kWh",VLOOKUP(X$4,'4. Billing Determinants'!$B$19:$R$41,4,0)/'4. Billing Determinants'!$E$41*$D8,IF($E8="kW",VLOOKUP(X$4,'4. Billing Determinants'!$B$19:$R$41,5,0)/'4. Billing Determinants'!$F$41*$D8,IF($E8="Non-RPP kWh",VLOOKUP(X$4,'4. Billing Determinants'!$B$19:$R$41,6,0)/'4. Billing Determinants'!$G$41*$D8,IF($E8="Distribution Rev.",VLOOKUP(X$4,'4. Billing Determinants'!$B$19:$R$41,8,0)/'4. Billing Determinants'!$I$41*$D8, VLOOKUP(X$4,'4. Billing Determinants'!$B$19:$R$41,3,0)/'4. Billing Determinants'!$D$41*$D8))))),0)</f>
        <v>0</v>
      </c>
      <c r="Y8" s="32">
        <f>IFERROR(IF(Y$4="",0,IF($E8="kWh",VLOOKUP(Y$4,'4. Billing Determinants'!$B$19:$R$41,4,0)/'4. Billing Determinants'!$E$41*$D8,IF($E8="kW",VLOOKUP(Y$4,'4. Billing Determinants'!$B$19:$R$41,5,0)/'4. Billing Determinants'!$F$41*$D8,IF($E8="Non-RPP kWh",VLOOKUP(Y$4,'4. Billing Determinants'!$B$19:$R$41,6,0)/'4. Billing Determinants'!$G$41*$D8,IF($E8="Distribution Rev.",VLOOKUP(Y$4,'4. Billing Determinants'!$B$19:$R$41,8,0)/'4. Billing Determinants'!$I$41*$D8, VLOOKUP(Y$4,'4. Billing Determinants'!$B$19:$R$41,3,0)/'4. Billing Determinants'!$D$41*$D8))))),0)</f>
        <v>0</v>
      </c>
    </row>
    <row r="9" spans="1:27" x14ac:dyDescent="0.2">
      <c r="A9" s="37">
        <v>6</v>
      </c>
      <c r="B9" s="30" t="s">
        <v>3</v>
      </c>
      <c r="C9" s="31">
        <v>1586</v>
      </c>
      <c r="D9" s="32">
        <f>'2a. Continuity Schedule'!BT30</f>
        <v>0</v>
      </c>
      <c r="E9" s="48" t="s">
        <v>139</v>
      </c>
      <c r="F9" s="32">
        <f>IFERROR(IF(F$4="",0,IF($E9="kWh",VLOOKUP(F$4,'4. Billing Determinants'!$B$19:$R$41,4,0)/'4. Billing Determinants'!$E$41*$D9,IF($E9="kW",VLOOKUP(F$4,'4. Billing Determinants'!$B$19:$R$41,5,0)/'4. Billing Determinants'!$F$41*$D9,IF($E9="Non-RPP kWh",VLOOKUP(F$4,'4. Billing Determinants'!$B$19:$R$41,6,0)/'4. Billing Determinants'!$G$41*$D9,IF($E9="Distribution Rev.",VLOOKUP(F$4,'4. Billing Determinants'!$B$19:$R$41,8,0)/'4. Billing Determinants'!$I$41*$D9, VLOOKUP(F$4,'4. Billing Determinants'!$B$19:$R$41,3,0)/'4. Billing Determinants'!$D$41*$D9))))),0)</f>
        <v>0</v>
      </c>
      <c r="G9" s="32">
        <f>IFERROR(IF(G$4="",0,IF($E9="kWh",VLOOKUP(G$4,'4. Billing Determinants'!$B$19:$R$41,4,0)/'4. Billing Determinants'!$E$41*$D9,IF($E9="kW",VLOOKUP(G$4,'4. Billing Determinants'!$B$19:$R$41,5,0)/'4. Billing Determinants'!$F$41*$D9,IF($E9="Non-RPP kWh",VLOOKUP(G$4,'4. Billing Determinants'!$B$19:$R$41,6,0)/'4. Billing Determinants'!$G$41*$D9,IF($E9="Distribution Rev.",VLOOKUP(G$4,'4. Billing Determinants'!$B$19:$R$41,8,0)/'4. Billing Determinants'!$I$41*$D9, VLOOKUP(G$4,'4. Billing Determinants'!$B$19:$R$41,3,0)/'4. Billing Determinants'!$D$41*$D9))))),0)</f>
        <v>0</v>
      </c>
      <c r="H9" s="32">
        <f>IFERROR(IF(H$4="",0,IF($E9="kWh",VLOOKUP(H$4,'4. Billing Determinants'!$B$19:$R$41,4,0)/'4. Billing Determinants'!$E$41*$D9,IF($E9="kW",VLOOKUP(H$4,'4. Billing Determinants'!$B$19:$R$41,5,0)/'4. Billing Determinants'!$F$41*$D9,IF($E9="Non-RPP kWh",VLOOKUP(H$4,'4. Billing Determinants'!$B$19:$R$41,6,0)/'4. Billing Determinants'!$G$41*$D9,IF($E9="Distribution Rev.",VLOOKUP(H$4,'4. Billing Determinants'!$B$19:$R$41,8,0)/'4. Billing Determinants'!$I$41*$D9, VLOOKUP(H$4,'4. Billing Determinants'!$B$19:$R$41,3,0)/'4. Billing Determinants'!$D$41*$D9))))),0)</f>
        <v>0</v>
      </c>
      <c r="I9" s="32">
        <f>IFERROR(IF(I$4="",0,IF($E9="kWh",VLOOKUP(I$4,'4. Billing Determinants'!$B$19:$R$41,4,0)/'4. Billing Determinants'!$E$41*$D9,IF($E9="kW",VLOOKUP(I$4,'4. Billing Determinants'!$B$19:$R$41,5,0)/'4. Billing Determinants'!$F$41*$D9,IF($E9="Non-RPP kWh",VLOOKUP(I$4,'4. Billing Determinants'!$B$19:$R$41,6,0)/'4. Billing Determinants'!$G$41*$D9,IF($E9="Distribution Rev.",VLOOKUP(I$4,'4. Billing Determinants'!$B$19:$R$41,8,0)/'4. Billing Determinants'!$I$41*$D9, VLOOKUP(I$4,'4. Billing Determinants'!$B$19:$R$41,3,0)/'4. Billing Determinants'!$D$41*$D9))))),0)</f>
        <v>0</v>
      </c>
      <c r="J9" s="32">
        <f>IFERROR(IF(J$4="",0,IF($E9="kWh",VLOOKUP(J$4,'4. Billing Determinants'!$B$19:$R$41,4,0)/'4. Billing Determinants'!$E$41*$D9,IF($E9="kW",VLOOKUP(J$4,'4. Billing Determinants'!$B$19:$R$41,5,0)/'4. Billing Determinants'!$F$41*$D9,IF($E9="Non-RPP kWh",VLOOKUP(J$4,'4. Billing Determinants'!$B$19:$R$41,6,0)/'4. Billing Determinants'!$G$41*$D9,IF($E9="Distribution Rev.",VLOOKUP(J$4,'4. Billing Determinants'!$B$19:$R$41,8,0)/'4. Billing Determinants'!$I$41*$D9, VLOOKUP(J$4,'4. Billing Determinants'!$B$19:$R$41,3,0)/'4. Billing Determinants'!$D$41*$D9))))),0)</f>
        <v>0</v>
      </c>
      <c r="K9" s="32">
        <f>IFERROR(IF(K$4="",0,IF($E9="kWh",VLOOKUP(K$4,'4. Billing Determinants'!$B$19:$R$41,4,0)/'4. Billing Determinants'!$E$41*$D9,IF($E9="kW",VLOOKUP(K$4,'4. Billing Determinants'!$B$19:$R$41,5,0)/'4. Billing Determinants'!$F$41*$D9,IF($E9="Non-RPP kWh",VLOOKUP(K$4,'4. Billing Determinants'!$B$19:$R$41,6,0)/'4. Billing Determinants'!$G$41*$D9,IF($E9="Distribution Rev.",VLOOKUP(K$4,'4. Billing Determinants'!$B$19:$R$41,8,0)/'4. Billing Determinants'!$I$41*$D9, VLOOKUP(K$4,'4. Billing Determinants'!$B$19:$R$41,3,0)/'4. Billing Determinants'!$D$41*$D9))))),0)</f>
        <v>0</v>
      </c>
      <c r="L9" s="32">
        <f>IFERROR(IF(L$4="",0,IF($E9="kWh",VLOOKUP(L$4,'4. Billing Determinants'!$B$19:$R$41,4,0)/'4. Billing Determinants'!$E$41*$D9,IF($E9="kW",VLOOKUP(L$4,'4. Billing Determinants'!$B$19:$R$41,5,0)/'4. Billing Determinants'!$F$41*$D9,IF($E9="Non-RPP kWh",VLOOKUP(L$4,'4. Billing Determinants'!$B$19:$R$41,6,0)/'4. Billing Determinants'!$G$41*$D9,IF($E9="Distribution Rev.",VLOOKUP(L$4,'4. Billing Determinants'!$B$19:$R$41,8,0)/'4. Billing Determinants'!$I$41*$D9, VLOOKUP(L$4,'4. Billing Determinants'!$B$19:$R$41,3,0)/'4. Billing Determinants'!$D$41*$D9))))),0)</f>
        <v>0</v>
      </c>
      <c r="M9" s="32">
        <f>IFERROR(IF(M$4="",0,IF($E9="kWh",VLOOKUP(M$4,'4. Billing Determinants'!$B$19:$R$41,4,0)/'4. Billing Determinants'!$E$41*$D9,IF($E9="kW",VLOOKUP(M$4,'4. Billing Determinants'!$B$19:$R$41,5,0)/'4. Billing Determinants'!$F$41*$D9,IF($E9="Non-RPP kWh",VLOOKUP(M$4,'4. Billing Determinants'!$B$19:$R$41,6,0)/'4. Billing Determinants'!$G$41*$D9,IF($E9="Distribution Rev.",VLOOKUP(M$4,'4. Billing Determinants'!$B$19:$R$41,8,0)/'4. Billing Determinants'!$I$41*$D9, VLOOKUP(M$4,'4. Billing Determinants'!$B$19:$R$41,3,0)/'4. Billing Determinants'!$D$41*$D9))))),0)</f>
        <v>0</v>
      </c>
      <c r="N9" s="32">
        <f>IFERROR(IF(N$4="",0,IF($E9="kWh",VLOOKUP(N$4,'4. Billing Determinants'!$B$19:$R$41,4,0)/'4. Billing Determinants'!$E$41*$D9,IF($E9="kW",VLOOKUP(N$4,'4. Billing Determinants'!$B$19:$R$41,5,0)/'4. Billing Determinants'!$F$41*$D9,IF($E9="Non-RPP kWh",VLOOKUP(N$4,'4. Billing Determinants'!$B$19:$R$41,6,0)/'4. Billing Determinants'!$G$41*$D9,IF($E9="Distribution Rev.",VLOOKUP(N$4,'4. Billing Determinants'!$B$19:$R$41,8,0)/'4. Billing Determinants'!$I$41*$D9, VLOOKUP(N$4,'4. Billing Determinants'!$B$19:$R$41,3,0)/'4. Billing Determinants'!$D$41*$D9))))),0)</f>
        <v>0</v>
      </c>
      <c r="O9" s="32">
        <f>IFERROR(IF(O$4="",0,IF($E9="kWh",VLOOKUP(O$4,'4. Billing Determinants'!$B$19:$R$41,4,0)/'4. Billing Determinants'!$E$41*$D9,IF($E9="kW",VLOOKUP(O$4,'4. Billing Determinants'!$B$19:$R$41,5,0)/'4. Billing Determinants'!$F$41*$D9,IF($E9="Non-RPP kWh",VLOOKUP(O$4,'4. Billing Determinants'!$B$19:$R$41,6,0)/'4. Billing Determinants'!$G$41*$D9,IF($E9="Distribution Rev.",VLOOKUP(O$4,'4. Billing Determinants'!$B$19:$R$41,8,0)/'4. Billing Determinants'!$I$41*$D9, VLOOKUP(O$4,'4. Billing Determinants'!$B$19:$R$41,3,0)/'4. Billing Determinants'!$D$41*$D9))))),0)</f>
        <v>0</v>
      </c>
      <c r="P9" s="32">
        <f>IFERROR(IF(P$4="",0,IF($E9="kWh",VLOOKUP(P$4,'4. Billing Determinants'!$B$19:$R$41,4,0)/'4. Billing Determinants'!$E$41*$D9,IF($E9="kW",VLOOKUP(P$4,'4. Billing Determinants'!$B$19:$R$41,5,0)/'4. Billing Determinants'!$F$41*$D9,IF($E9="Non-RPP kWh",VLOOKUP(P$4,'4. Billing Determinants'!$B$19:$R$41,6,0)/'4. Billing Determinants'!$G$41*$D9,IF($E9="Distribution Rev.",VLOOKUP(P$4,'4. Billing Determinants'!$B$19:$R$41,8,0)/'4. Billing Determinants'!$I$41*$D9, VLOOKUP(P$4,'4. Billing Determinants'!$B$19:$R$41,3,0)/'4. Billing Determinants'!$D$41*$D9))))),0)</f>
        <v>0</v>
      </c>
      <c r="Q9" s="32">
        <f>IFERROR(IF(Q$4="",0,IF($E9="kWh",VLOOKUP(Q$4,'4. Billing Determinants'!$B$19:$R$41,4,0)/'4. Billing Determinants'!$E$41*$D9,IF($E9="kW",VLOOKUP(Q$4,'4. Billing Determinants'!$B$19:$R$41,5,0)/'4. Billing Determinants'!$F$41*$D9,IF($E9="Non-RPP kWh",VLOOKUP(Q$4,'4. Billing Determinants'!$B$19:$R$41,6,0)/'4. Billing Determinants'!$G$41*$D9,IF($E9="Distribution Rev.",VLOOKUP(Q$4,'4. Billing Determinants'!$B$19:$R$41,8,0)/'4. Billing Determinants'!$I$41*$D9, VLOOKUP(Q$4,'4. Billing Determinants'!$B$19:$R$41,3,0)/'4. Billing Determinants'!$D$41*$D9))))),0)</f>
        <v>0</v>
      </c>
      <c r="R9" s="32">
        <f>IFERROR(IF(R$4="",0,IF($E9="kWh",VLOOKUP(R$4,'4. Billing Determinants'!$B$19:$R$41,4,0)/'4. Billing Determinants'!$E$41*$D9,IF($E9="kW",VLOOKUP(R$4,'4. Billing Determinants'!$B$19:$R$41,5,0)/'4. Billing Determinants'!$F$41*$D9,IF($E9="Non-RPP kWh",VLOOKUP(R$4,'4. Billing Determinants'!$B$19:$R$41,6,0)/'4. Billing Determinants'!$G$41*$D9,IF($E9="Distribution Rev.",VLOOKUP(R$4,'4. Billing Determinants'!$B$19:$R$41,8,0)/'4. Billing Determinants'!$I$41*$D9, VLOOKUP(R$4,'4. Billing Determinants'!$B$19:$R$41,3,0)/'4. Billing Determinants'!$D$41*$D9))))),0)</f>
        <v>0</v>
      </c>
      <c r="S9" s="32">
        <f>IFERROR(IF(S$4="",0,IF($E9="kWh",VLOOKUP(S$4,'4. Billing Determinants'!$B$19:$R$41,4,0)/'4. Billing Determinants'!$E$41*$D9,IF($E9="kW",VLOOKUP(S$4,'4. Billing Determinants'!$B$19:$R$41,5,0)/'4. Billing Determinants'!$F$41*$D9,IF($E9="Non-RPP kWh",VLOOKUP(S$4,'4. Billing Determinants'!$B$19:$R$41,6,0)/'4. Billing Determinants'!$G$41*$D9,IF($E9="Distribution Rev.",VLOOKUP(S$4,'4. Billing Determinants'!$B$19:$R$41,8,0)/'4. Billing Determinants'!$I$41*$D9, VLOOKUP(S$4,'4. Billing Determinants'!$B$19:$R$41,3,0)/'4. Billing Determinants'!$D$41*$D9))))),0)</f>
        <v>0</v>
      </c>
      <c r="T9" s="32">
        <f>IFERROR(IF(T$4="",0,IF($E9="kWh",VLOOKUP(T$4,'4. Billing Determinants'!$B$19:$R$41,4,0)/'4. Billing Determinants'!$E$41*$D9,IF($E9="kW",VLOOKUP(T$4,'4. Billing Determinants'!$B$19:$R$41,5,0)/'4. Billing Determinants'!$F$41*$D9,IF($E9="Non-RPP kWh",VLOOKUP(T$4,'4. Billing Determinants'!$B$19:$R$41,6,0)/'4. Billing Determinants'!$G$41*$D9,IF($E9="Distribution Rev.",VLOOKUP(T$4,'4. Billing Determinants'!$B$19:$R$41,8,0)/'4. Billing Determinants'!$I$41*$D9, VLOOKUP(T$4,'4. Billing Determinants'!$B$19:$R$41,3,0)/'4. Billing Determinants'!$D$41*$D9))))),0)</f>
        <v>0</v>
      </c>
      <c r="U9" s="32">
        <f>IFERROR(IF(U$4="",0,IF($E9="kWh",VLOOKUP(U$4,'4. Billing Determinants'!$B$19:$R$41,4,0)/'4. Billing Determinants'!$E$41*$D9,IF($E9="kW",VLOOKUP(U$4,'4. Billing Determinants'!$B$19:$R$41,5,0)/'4. Billing Determinants'!$F$41*$D9,IF($E9="Non-RPP kWh",VLOOKUP(U$4,'4. Billing Determinants'!$B$19:$R$41,6,0)/'4. Billing Determinants'!$G$41*$D9,IF($E9="Distribution Rev.",VLOOKUP(U$4,'4. Billing Determinants'!$B$19:$R$41,8,0)/'4. Billing Determinants'!$I$41*$D9, VLOOKUP(U$4,'4. Billing Determinants'!$B$19:$R$41,3,0)/'4. Billing Determinants'!$D$41*$D9))))),0)</f>
        <v>0</v>
      </c>
      <c r="V9" s="32">
        <f>IFERROR(IF(V$4="",0,IF($E9="kWh",VLOOKUP(V$4,'4. Billing Determinants'!$B$19:$R$41,4,0)/'4. Billing Determinants'!$E$41*$D9,IF($E9="kW",VLOOKUP(V$4,'4. Billing Determinants'!$B$19:$R$41,5,0)/'4. Billing Determinants'!$F$41*$D9,IF($E9="Non-RPP kWh",VLOOKUP(V$4,'4. Billing Determinants'!$B$19:$R$41,6,0)/'4. Billing Determinants'!$G$41*$D9,IF($E9="Distribution Rev.",VLOOKUP(V$4,'4. Billing Determinants'!$B$19:$R$41,8,0)/'4. Billing Determinants'!$I$41*$D9, VLOOKUP(V$4,'4. Billing Determinants'!$B$19:$R$41,3,0)/'4. Billing Determinants'!$D$41*$D9))))),0)</f>
        <v>0</v>
      </c>
      <c r="W9" s="32">
        <f>IFERROR(IF(W$4="",0,IF($E9="kWh",VLOOKUP(W$4,'4. Billing Determinants'!$B$19:$R$41,4,0)/'4. Billing Determinants'!$E$41*$D9,IF($E9="kW",VLOOKUP(W$4,'4. Billing Determinants'!$B$19:$R$41,5,0)/'4. Billing Determinants'!$F$41*$D9,IF($E9="Non-RPP kWh",VLOOKUP(W$4,'4. Billing Determinants'!$B$19:$R$41,6,0)/'4. Billing Determinants'!$G$41*$D9,IF($E9="Distribution Rev.",VLOOKUP(W$4,'4. Billing Determinants'!$B$19:$R$41,8,0)/'4. Billing Determinants'!$I$41*$D9, VLOOKUP(W$4,'4. Billing Determinants'!$B$19:$R$41,3,0)/'4. Billing Determinants'!$D$41*$D9))))),0)</f>
        <v>0</v>
      </c>
      <c r="X9" s="32">
        <f>IFERROR(IF(X$4="",0,IF($E9="kWh",VLOOKUP(X$4,'4. Billing Determinants'!$B$19:$R$41,4,0)/'4. Billing Determinants'!$E$41*$D9,IF($E9="kW",VLOOKUP(X$4,'4. Billing Determinants'!$B$19:$R$41,5,0)/'4. Billing Determinants'!$F$41*$D9,IF($E9="Non-RPP kWh",VLOOKUP(X$4,'4. Billing Determinants'!$B$19:$R$41,6,0)/'4. Billing Determinants'!$G$41*$D9,IF($E9="Distribution Rev.",VLOOKUP(X$4,'4. Billing Determinants'!$B$19:$R$41,8,0)/'4. Billing Determinants'!$I$41*$D9, VLOOKUP(X$4,'4. Billing Determinants'!$B$19:$R$41,3,0)/'4. Billing Determinants'!$D$41*$D9))))),0)</f>
        <v>0</v>
      </c>
      <c r="Y9" s="32">
        <f>IFERROR(IF(Y$4="",0,IF($E9="kWh",VLOOKUP(Y$4,'4. Billing Determinants'!$B$19:$R$41,4,0)/'4. Billing Determinants'!$E$41*$D9,IF($E9="kW",VLOOKUP(Y$4,'4. Billing Determinants'!$B$19:$R$41,5,0)/'4. Billing Determinants'!$F$41*$D9,IF($E9="Non-RPP kWh",VLOOKUP(Y$4,'4. Billing Determinants'!$B$19:$R$41,6,0)/'4. Billing Determinants'!$G$41*$D9,IF($E9="Distribution Rev.",VLOOKUP(Y$4,'4. Billing Determinants'!$B$19:$R$41,8,0)/'4. Billing Determinants'!$I$41*$D9, VLOOKUP(Y$4,'4. Billing Determinants'!$B$19:$R$41,3,0)/'4. Billing Determinants'!$D$41*$D9))))),0)</f>
        <v>0</v>
      </c>
    </row>
    <row r="10" spans="1:27" x14ac:dyDescent="0.2">
      <c r="A10" s="37">
        <v>7</v>
      </c>
      <c r="B10" s="30" t="s">
        <v>38</v>
      </c>
      <c r="C10" s="31">
        <v>1588</v>
      </c>
      <c r="D10" s="32">
        <f>'2a. Continuity Schedule'!BT31</f>
        <v>-1187956.1748182508</v>
      </c>
      <c r="E10" s="48" t="s">
        <v>139</v>
      </c>
      <c r="F10" s="32">
        <f>IFERROR(IF(F$4="",0,IF($E10="kWh",VLOOKUP(F$4,'4. Billing Determinants'!$B$19:$R$41,11,0)/'4. Billing Determinants'!$L$41*$D10,IF($E10="kW",VLOOKUP(F$4,'4. Billing Determinants'!$B$19:$R$41,12,0)/'4. Billing Determinants'!$M$41*$D10,))),0)</f>
        <v>-554950.4946436648</v>
      </c>
      <c r="G10" s="32">
        <f>IFERROR(IF(G$4="",0,IF($E10="kWh",VLOOKUP(G$4,'4. Billing Determinants'!$B$19:$R$41,11,0)/'4. Billing Determinants'!$L$41*$D10,IF($E10="kW",VLOOKUP(G$4,'4. Billing Determinants'!$B$19:$R$41,12,0)/'4. Billing Determinants'!$M$41*$D10,))),0)</f>
        <v>-169746.63501870466</v>
      </c>
      <c r="H10" s="32">
        <f>IFERROR(IF(H$4="",0,IF($E10="kWh",VLOOKUP(H$4,'4. Billing Determinants'!$B$19:$R$41,11,0)/'4. Billing Determinants'!$L$41*$D10,IF($E10="kW",VLOOKUP(H$4,'4. Billing Determinants'!$B$19:$R$41,12,0)/'4. Billing Determinants'!$M$41*$D10,))),0)</f>
        <v>-456330.33690468356</v>
      </c>
      <c r="I10" s="32">
        <f>IFERROR(IF(I$4="",0,IF($E10="kWh",VLOOKUP(I$4,'4. Billing Determinants'!$B$19:$R$41,11,0)/'4. Billing Determinants'!$L$41*$D10,IF($E10="kW",VLOOKUP(I$4,'4. Billing Determinants'!$B$19:$R$41,12,0)/'4. Billing Determinants'!$M$41*$D10,))),0)</f>
        <v>-1723.2272567990058</v>
      </c>
      <c r="J10" s="32">
        <f>IFERROR(IF(J$4="",0,IF($E10="kWh",VLOOKUP(J$4,'4. Billing Determinants'!$B$19:$R$41,11,0)/'4. Billing Determinants'!$L$41*$D10,IF($E10="kW",VLOOKUP(J$4,'4. Billing Determinants'!$B$19:$R$41,12,0)/'4. Billing Determinants'!$M$41*$D10,))),0)</f>
        <v>-4825.2630677246634</v>
      </c>
      <c r="K10" s="32">
        <f>IFERROR(IF(K$4="",0,IF($E10="kWh",VLOOKUP(K$4,'4. Billing Determinants'!$B$19:$R$41,11,0)/'4. Billing Determinants'!$L$41*$D10,IF($E10="kW",VLOOKUP(K$4,'4. Billing Determinants'!$B$19:$R$41,12,0)/'4. Billing Determinants'!$M$41*$D10,))),0)</f>
        <v>-380.21792667413678</v>
      </c>
      <c r="L10" s="32">
        <f>IFERROR(IF(L$4="",0,IF($E10="kWh",VLOOKUP(L$4,'4. Billing Determinants'!$B$19:$R$41,11,0)/'4. Billing Determinants'!$L$41*$D10,IF($E10="kW",VLOOKUP(L$4,'4. Billing Determinants'!$B$19:$R$41,12,0)/'4. Billing Determinants'!$M$41*$D10,))),0)</f>
        <v>0</v>
      </c>
      <c r="M10" s="32">
        <f>IFERROR(IF(M$4="",0,IF($E10="kWh",VLOOKUP(M$4,'4. Billing Determinants'!$B$19:$R$41,11,0)/'4. Billing Determinants'!$L$41*$D10,IF($E10="kW",VLOOKUP(M$4,'4. Billing Determinants'!$B$19:$R$41,12,0)/'4. Billing Determinants'!$M$41*$D10,))),0)</f>
        <v>0</v>
      </c>
      <c r="N10" s="32">
        <f>IFERROR(IF(N$4="",0,IF($E10="kWh",VLOOKUP(N$4,'4. Billing Determinants'!$B$19:$R$41,11,0)/'4. Billing Determinants'!$L$41*$D10,IF($E10="kW",VLOOKUP(N$4,'4. Billing Determinants'!$B$19:$R$41,12,0)/'4. Billing Determinants'!$M$41*$D10,))),0)</f>
        <v>0</v>
      </c>
      <c r="O10" s="32">
        <f>IFERROR(IF(O$4="",0,IF($E10="kWh",VLOOKUP(O$4,'4. Billing Determinants'!$B$19:$R$41,11,0)/'4. Billing Determinants'!$L$41*$D10,IF($E10="kW",VLOOKUP(O$4,'4. Billing Determinants'!$B$19:$R$41,12,0)/'4. Billing Determinants'!$M$41*$D10,))),0)</f>
        <v>0</v>
      </c>
      <c r="P10" s="32">
        <f>IFERROR(IF(P$4="",0,IF($E10="kWh",VLOOKUP(P$4,'4. Billing Determinants'!$B$19:$R$41,11,0)/'4. Billing Determinants'!$L$41*$D10,IF($E10="kW",VLOOKUP(P$4,'4. Billing Determinants'!$B$19:$R$41,12,0)/'4. Billing Determinants'!$M$41*$D10,))),0)</f>
        <v>0</v>
      </c>
      <c r="Q10" s="32">
        <f>IFERROR(IF(Q$4="",0,IF($E10="kWh",VLOOKUP(Q$4,'4. Billing Determinants'!$B$19:$R$41,11,0)/'4. Billing Determinants'!$L$41*$D10,IF($E10="kW",VLOOKUP(Q$4,'4. Billing Determinants'!$B$19:$R$41,12,0)/'4. Billing Determinants'!$M$41*$D10,))),0)</f>
        <v>0</v>
      </c>
      <c r="R10" s="32">
        <f>IFERROR(IF(R$4="",0,IF($E10="kWh",VLOOKUP(R$4,'4. Billing Determinants'!$B$19:$R$41,11,0)/'4. Billing Determinants'!$L$41*$D10,IF($E10="kW",VLOOKUP(R$4,'4. Billing Determinants'!$B$19:$R$41,12,0)/'4. Billing Determinants'!$M$41*$D10,))),0)</f>
        <v>0</v>
      </c>
      <c r="S10" s="32">
        <f>IFERROR(IF(S$4="",0,IF($E10="kWh",VLOOKUP(S$4,'4. Billing Determinants'!$B$19:$R$41,11,0)/'4. Billing Determinants'!$L$41*$D10,IF($E10="kW",VLOOKUP(S$4,'4. Billing Determinants'!$B$19:$R$41,12,0)/'4. Billing Determinants'!$M$41*$D10,))),0)</f>
        <v>0</v>
      </c>
      <c r="T10" s="32">
        <f>IFERROR(IF(T$4="",0,IF($E10="kWh",VLOOKUP(T$4,'4. Billing Determinants'!$B$19:$R$41,11,0)/'4. Billing Determinants'!$L$41*$D10,IF($E10="kW",VLOOKUP(T$4,'4. Billing Determinants'!$B$19:$R$41,12,0)/'4. Billing Determinants'!$M$41*$D10,))),0)</f>
        <v>0</v>
      </c>
      <c r="U10" s="32">
        <f>IFERROR(IF(U$4="",0,IF($E10="kWh",VLOOKUP(U$4,'4. Billing Determinants'!$B$19:$R$41,11,0)/'4. Billing Determinants'!$L$41*$D10,IF($E10="kW",VLOOKUP(U$4,'4. Billing Determinants'!$B$19:$R$41,12,0)/'4. Billing Determinants'!$M$41*$D10,))),0)</f>
        <v>0</v>
      </c>
      <c r="V10" s="32">
        <f>IFERROR(IF(V$4="",0,IF($E10="kWh",VLOOKUP(V$4,'4. Billing Determinants'!$B$19:$R$41,11,0)/'4. Billing Determinants'!$L$41*$D10,IF($E10="kW",VLOOKUP(V$4,'4. Billing Determinants'!$B$19:$R$41,12,0)/'4. Billing Determinants'!$M$41*$D10,))),0)</f>
        <v>0</v>
      </c>
      <c r="W10" s="32">
        <f>IFERROR(IF(W$4="",0,IF($E10="kWh",VLOOKUP(W$4,'4. Billing Determinants'!$B$19:$R$41,11,0)/'4. Billing Determinants'!$L$41*$D10,IF($E10="kW",VLOOKUP(W$4,'4. Billing Determinants'!$B$19:$R$41,12,0)/'4. Billing Determinants'!$M$41*$D10,))),0)</f>
        <v>0</v>
      </c>
      <c r="X10" s="32">
        <f>IFERROR(IF(X$4="",0,IF($E10="kWh",VLOOKUP(X$4,'4. Billing Determinants'!$B$19:$R$41,11,0)/'4. Billing Determinants'!$L$41*$D10,IF($E10="kW",VLOOKUP(X$4,'4. Billing Determinants'!$B$19:$R$41,12,0)/'4. Billing Determinants'!$M$41*$D10,))),0)</f>
        <v>0</v>
      </c>
      <c r="Y10" s="32">
        <f>IFERROR(IF(Y$4="",0,IF($E10="kWh",VLOOKUP(Y$4,'4. Billing Determinants'!$B$19:$R$41,11,0)/'4. Billing Determinants'!$L$41*$D10,IF($E10="kW",VLOOKUP(Y$4,'4. Billing Determinants'!$B$19:$R$41,12,0)/'4. Billing Determinants'!$M$41*$D10,))),0)</f>
        <v>0</v>
      </c>
    </row>
    <row r="11" spans="1:27" x14ac:dyDescent="0.2">
      <c r="A11" s="37">
        <v>8</v>
      </c>
      <c r="B11" s="30" t="s">
        <v>66</v>
      </c>
      <c r="C11" s="31">
        <v>1589</v>
      </c>
      <c r="D11" s="145">
        <f>'6.1a GA Allocation'!C29</f>
        <v>-73878.999364249437</v>
      </c>
      <c r="E11" s="38" t="s">
        <v>157</v>
      </c>
      <c r="F11" s="145">
        <f>IFERROR(IF(F$4="",0,IF($E11="kWh",VLOOKUP(F$4,'4. Billing Determinants'!$B$19:$R$41,4,0)/'4. Billing Determinants'!$E$41*$D11,IF($E11="kW",VLOOKUP(F$4,'4. Billing Determinants'!$B$19:$R$41,5,0)/'4. Billing Determinants'!$F$41*$D11,IF($E11="Non-RPP kWh",VLOOKUP(F$4,'4. Billing Determinants'!$B$19:$T$41,18,0)/'4. Billing Determinants'!$S$41*$D11,IF($E11="Distribution Rev.",VLOOKUP(F$4,'4. Billing Determinants'!$B$19:$R$41,8,0)/'4. Billing Determinants'!$I$41*$D11, VLOOKUP(F$4,'4. Billing Determinants'!$B$19:$R$41,3,0)/'4. Billing Determinants'!$D$41*$D11))))),0)</f>
        <v>-1497.5418548176904</v>
      </c>
      <c r="G11" s="145">
        <f>IFERROR(IF(G$4="",0,IF($E11="kWh",VLOOKUP(G$4,'4. Billing Determinants'!$B$19:$R$41,4,0)/'4. Billing Determinants'!$E$41*$D11,IF($E11="kW",VLOOKUP(G$4,'4. Billing Determinants'!$B$19:$R$41,5,0)/'4. Billing Determinants'!$F$41*$D11,IF($E11="Non-RPP kWh",VLOOKUP(G$4,'4. Billing Determinants'!$B$19:$T$41,18,0)/'4. Billing Determinants'!$S$41*$D11,IF($E11="Distribution Rev.",VLOOKUP(G$4,'4. Billing Determinants'!$B$19:$R$41,8,0)/'4. Billing Determinants'!$I$41*$D11, VLOOKUP(G$4,'4. Billing Determinants'!$B$19:$R$41,3,0)/'4. Billing Determinants'!$D$41*$D11))))),0)</f>
        <v>-5710.4810908746504</v>
      </c>
      <c r="H11" s="145">
        <f>IFERROR(IF(H$4="",0,IF($E11="kWh",VLOOKUP(H$4,'4. Billing Determinants'!$B$19:$R$41,4,0)/'4. Billing Determinants'!$E$41*$D11,IF($E11="kW",VLOOKUP(H$4,'4. Billing Determinants'!$B$19:$R$41,5,0)/'4. Billing Determinants'!$F$41*$D11,IF($E11="Non-RPP kWh",VLOOKUP(H$4,'4. Billing Determinants'!$B$19:$T$41,18,0)/'4. Billing Determinants'!$S$41*$D11,IF($E11="Distribution Rev.",VLOOKUP(H$4,'4. Billing Determinants'!$B$19:$R$41,8,0)/'4. Billing Determinants'!$I$41*$D11, VLOOKUP(H$4,'4. Billing Determinants'!$B$19:$R$41,3,0)/'4. Billing Determinants'!$D$41*$D11))))),0)</f>
        <v>-65663.645692044083</v>
      </c>
      <c r="I11" s="145">
        <f>IFERROR(IF(I$4="",0,IF($E11="kWh",VLOOKUP(I$4,'4. Billing Determinants'!$B$19:$R$41,4,0)/'4. Billing Determinants'!$E$41*$D11,IF($E11="kW",VLOOKUP(I$4,'4. Billing Determinants'!$B$19:$R$41,5,0)/'4. Billing Determinants'!$F$41*$D11,IF($E11="Non-RPP kWh",VLOOKUP(I$4,'4. Billing Determinants'!$B$19:$T$41,18,0)/'4. Billing Determinants'!$S$41*$D11,IF($E11="Distribution Rev.",VLOOKUP(I$4,'4. Billing Determinants'!$B$19:$R$41,8,0)/'4. Billing Determinants'!$I$41*$D11, VLOOKUP(I$4,'4. Billing Determinants'!$B$19:$R$41,3,0)/'4. Billing Determinants'!$D$41*$D11))))),0)</f>
        <v>0</v>
      </c>
      <c r="J11" s="145">
        <f>IFERROR(IF(J$4="",0,IF($E11="kWh",VLOOKUP(J$4,'4. Billing Determinants'!$B$19:$R$41,4,0)/'4. Billing Determinants'!$E$41*$D11,IF($E11="kW",VLOOKUP(J$4,'4. Billing Determinants'!$B$19:$R$41,5,0)/'4. Billing Determinants'!$F$41*$D11,IF($E11="Non-RPP kWh",VLOOKUP(J$4,'4. Billing Determinants'!$B$19:$T$41,18,0)/'4. Billing Determinants'!$S$41*$D11,IF($E11="Distribution Rev.",VLOOKUP(J$4,'4. Billing Determinants'!$B$19:$R$41,8,0)/'4. Billing Determinants'!$I$41*$D11, VLOOKUP(J$4,'4. Billing Determinants'!$B$19:$R$41,3,0)/'4. Billing Determinants'!$D$41*$D11))))),0)</f>
        <v>-1007.3307265130051</v>
      </c>
      <c r="K11" s="145">
        <f>IFERROR(IF(K$4="",0,IF($E11="kWh",VLOOKUP(K$4,'4. Billing Determinants'!$B$19:$R$41,4,0)/'4. Billing Determinants'!$E$41*$D11,IF($E11="kW",VLOOKUP(K$4,'4. Billing Determinants'!$B$19:$R$41,5,0)/'4. Billing Determinants'!$F$41*$D11,IF($E11="Non-RPP kWh",VLOOKUP(K$4,'4. Billing Determinants'!$B$19:$T$41,18,0)/'4. Billing Determinants'!$S$41*$D11,IF($E11="Distribution Rev.",VLOOKUP(K$4,'4. Billing Determinants'!$B$19:$R$41,8,0)/'4. Billing Determinants'!$I$41*$D11, VLOOKUP(K$4,'4. Billing Determinants'!$B$19:$R$41,3,0)/'4. Billing Determinants'!$D$41*$D11))))),0)</f>
        <v>0</v>
      </c>
      <c r="L11" s="145">
        <f>IFERROR(IF(L$4="",0,IF($E11="kWh",VLOOKUP(L$4,'4. Billing Determinants'!$B$19:$R$41,4,0)/'4. Billing Determinants'!$E$41*$D11,IF($E11="kW",VLOOKUP(L$4,'4. Billing Determinants'!$B$19:$R$41,5,0)/'4. Billing Determinants'!$F$41*$D11,IF($E11="Non-RPP kWh",VLOOKUP(L$4,'4. Billing Determinants'!$B$19:$T$41,18,0)/'4. Billing Determinants'!$S$41*$D11,IF($E11="Distribution Rev.",VLOOKUP(L$4,'4. Billing Determinants'!$B$19:$R$41,8,0)/'4. Billing Determinants'!$I$41*$D11, VLOOKUP(L$4,'4. Billing Determinants'!$B$19:$R$41,3,0)/'4. Billing Determinants'!$D$41*$D11))))),0)</f>
        <v>0</v>
      </c>
      <c r="M11" s="145">
        <f>IFERROR(IF(M$4="",0,IF($E11="kWh",VLOOKUP(M$4,'4. Billing Determinants'!$B$19:$R$41,4,0)/'4. Billing Determinants'!$E$41*$D11,IF($E11="kW",VLOOKUP(M$4,'4. Billing Determinants'!$B$19:$R$41,5,0)/'4. Billing Determinants'!$F$41*$D11,IF($E11="Non-RPP kWh",VLOOKUP(M$4,'4. Billing Determinants'!$B$19:$T$41,18,0)/'4. Billing Determinants'!$S$41*$D11,IF($E11="Distribution Rev.",VLOOKUP(M$4,'4. Billing Determinants'!$B$19:$R$41,8,0)/'4. Billing Determinants'!$I$41*$D11, VLOOKUP(M$4,'4. Billing Determinants'!$B$19:$R$41,3,0)/'4. Billing Determinants'!$D$41*$D11))))),0)</f>
        <v>0</v>
      </c>
      <c r="N11" s="145">
        <f>IFERROR(IF(N$4="",0,IF($E11="kWh",VLOOKUP(N$4,'4. Billing Determinants'!$B$19:$R$41,4,0)/'4. Billing Determinants'!$E$41*$D11,IF($E11="kW",VLOOKUP(N$4,'4. Billing Determinants'!$B$19:$R$41,5,0)/'4. Billing Determinants'!$F$41*$D11,IF($E11="Non-RPP kWh",VLOOKUP(N$4,'4. Billing Determinants'!$B$19:$T$41,18,0)/'4. Billing Determinants'!$S$41*$D11,IF($E11="Distribution Rev.",VLOOKUP(N$4,'4. Billing Determinants'!$B$19:$R$41,8,0)/'4. Billing Determinants'!$I$41*$D11, VLOOKUP(N$4,'4. Billing Determinants'!$B$19:$R$41,3,0)/'4. Billing Determinants'!$D$41*$D11))))),0)</f>
        <v>0</v>
      </c>
      <c r="O11" s="145">
        <f>IFERROR(IF(O$4="",0,IF($E11="kWh",VLOOKUP(O$4,'4. Billing Determinants'!$B$19:$R$41,4,0)/'4. Billing Determinants'!$E$41*$D11,IF($E11="kW",VLOOKUP(O$4,'4. Billing Determinants'!$B$19:$R$41,5,0)/'4. Billing Determinants'!$F$41*$D11,IF($E11="Non-RPP kWh",VLOOKUP(O$4,'4. Billing Determinants'!$B$19:$T$41,18,0)/'4. Billing Determinants'!$S$41*$D11,IF($E11="Distribution Rev.",VLOOKUP(O$4,'4. Billing Determinants'!$B$19:$R$41,8,0)/'4. Billing Determinants'!$I$41*$D11, VLOOKUP(O$4,'4. Billing Determinants'!$B$19:$R$41,3,0)/'4. Billing Determinants'!$D$41*$D11))))),0)</f>
        <v>0</v>
      </c>
      <c r="P11" s="145">
        <f>IFERROR(IF(P$4="",0,IF($E11="kWh",VLOOKUP(P$4,'4. Billing Determinants'!$B$19:$R$41,4,0)/'4. Billing Determinants'!$E$41*$D11,IF($E11="kW",VLOOKUP(P$4,'4. Billing Determinants'!$B$19:$R$41,5,0)/'4. Billing Determinants'!$F$41*$D11,IF($E11="Non-RPP kWh",VLOOKUP(P$4,'4. Billing Determinants'!$B$19:$T$41,18,0)/'4. Billing Determinants'!$S$41*$D11,IF($E11="Distribution Rev.",VLOOKUP(P$4,'4. Billing Determinants'!$B$19:$R$41,8,0)/'4. Billing Determinants'!$I$41*$D11, VLOOKUP(P$4,'4. Billing Determinants'!$B$19:$R$41,3,0)/'4. Billing Determinants'!$D$41*$D11))))),0)</f>
        <v>0</v>
      </c>
      <c r="Q11" s="145">
        <f>IFERROR(IF(Q$4="",0,IF($E11="kWh",VLOOKUP(Q$4,'4. Billing Determinants'!$B$19:$R$41,4,0)/'4. Billing Determinants'!$E$41*$D11,IF($E11="kW",VLOOKUP(Q$4,'4. Billing Determinants'!$B$19:$R$41,5,0)/'4. Billing Determinants'!$F$41*$D11,IF($E11="Non-RPP kWh",VLOOKUP(Q$4,'4. Billing Determinants'!$B$19:$T$41,18,0)/'4. Billing Determinants'!$S$41*$D11,IF($E11="Distribution Rev.",VLOOKUP(Q$4,'4. Billing Determinants'!$B$19:$R$41,8,0)/'4. Billing Determinants'!$I$41*$D11, VLOOKUP(Q$4,'4. Billing Determinants'!$B$19:$R$41,3,0)/'4. Billing Determinants'!$D$41*$D11))))),0)</f>
        <v>0</v>
      </c>
      <c r="R11" s="145">
        <f>IFERROR(IF(R$4="",0,IF($E11="kWh",VLOOKUP(R$4,'4. Billing Determinants'!$B$19:$R$41,4,0)/'4. Billing Determinants'!$E$41*$D11,IF($E11="kW",VLOOKUP(R$4,'4. Billing Determinants'!$B$19:$R$41,5,0)/'4. Billing Determinants'!$F$41*$D11,IF($E11="Non-RPP kWh",VLOOKUP(R$4,'4. Billing Determinants'!$B$19:$T$41,18,0)/'4. Billing Determinants'!$S$41*$D11,IF($E11="Distribution Rev.",VLOOKUP(R$4,'4. Billing Determinants'!$B$19:$R$41,8,0)/'4. Billing Determinants'!$I$41*$D11, VLOOKUP(R$4,'4. Billing Determinants'!$B$19:$R$41,3,0)/'4. Billing Determinants'!$D$41*$D11))))),0)</f>
        <v>0</v>
      </c>
      <c r="S11" s="145">
        <f>IFERROR(IF(S$4="",0,IF($E11="kWh",VLOOKUP(S$4,'4. Billing Determinants'!$B$19:$R$41,4,0)/'4. Billing Determinants'!$E$41*$D11,IF($E11="kW",VLOOKUP(S$4,'4. Billing Determinants'!$B$19:$R$41,5,0)/'4. Billing Determinants'!$F$41*$D11,IF($E11="Non-RPP kWh",VLOOKUP(S$4,'4. Billing Determinants'!$B$19:$T$41,18,0)/'4. Billing Determinants'!$S$41*$D11,IF($E11="Distribution Rev.",VLOOKUP(S$4,'4. Billing Determinants'!$B$19:$R$41,8,0)/'4. Billing Determinants'!$I$41*$D11, VLOOKUP(S$4,'4. Billing Determinants'!$B$19:$R$41,3,0)/'4. Billing Determinants'!$D$41*$D11))))),0)</f>
        <v>0</v>
      </c>
      <c r="T11" s="145">
        <f>IFERROR(IF(T$4="",0,IF($E11="kWh",VLOOKUP(T$4,'4. Billing Determinants'!$B$19:$R$41,4,0)/'4. Billing Determinants'!$E$41*$D11,IF($E11="kW",VLOOKUP(T$4,'4. Billing Determinants'!$B$19:$R$41,5,0)/'4. Billing Determinants'!$F$41*$D11,IF($E11="Non-RPP kWh",VLOOKUP(T$4,'4. Billing Determinants'!$B$19:$T$41,18,0)/'4. Billing Determinants'!$S$41*$D11,IF($E11="Distribution Rev.",VLOOKUP(T$4,'4. Billing Determinants'!$B$19:$R$41,8,0)/'4. Billing Determinants'!$I$41*$D11, VLOOKUP(T$4,'4. Billing Determinants'!$B$19:$R$41,3,0)/'4. Billing Determinants'!$D$41*$D11))))),0)</f>
        <v>0</v>
      </c>
      <c r="U11" s="145">
        <f>IFERROR(IF(U$4="",0,IF($E11="kWh",VLOOKUP(U$4,'4. Billing Determinants'!$B$19:$R$41,4,0)/'4. Billing Determinants'!$E$41*$D11,IF($E11="kW",VLOOKUP(U$4,'4. Billing Determinants'!$B$19:$R$41,5,0)/'4. Billing Determinants'!$F$41*$D11,IF($E11="Non-RPP kWh",VLOOKUP(U$4,'4. Billing Determinants'!$B$19:$T$41,18,0)/'4. Billing Determinants'!$S$41*$D11,IF($E11="Distribution Rev.",VLOOKUP(U$4,'4. Billing Determinants'!$B$19:$R$41,8,0)/'4. Billing Determinants'!$I$41*$D11, VLOOKUP(U$4,'4. Billing Determinants'!$B$19:$R$41,3,0)/'4. Billing Determinants'!$D$41*$D11))))),0)</f>
        <v>0</v>
      </c>
      <c r="V11" s="145">
        <f>IFERROR(IF(V$4="",0,IF($E11="kWh",VLOOKUP(V$4,'4. Billing Determinants'!$B$19:$R$41,4,0)/'4. Billing Determinants'!$E$41*$D11,IF($E11="kW",VLOOKUP(V$4,'4. Billing Determinants'!$B$19:$R$41,5,0)/'4. Billing Determinants'!$F$41*$D11,IF($E11="Non-RPP kWh",VLOOKUP(V$4,'4. Billing Determinants'!$B$19:$T$41,18,0)/'4. Billing Determinants'!$S$41*$D11,IF($E11="Distribution Rev.",VLOOKUP(V$4,'4. Billing Determinants'!$B$19:$R$41,8,0)/'4. Billing Determinants'!$I$41*$D11, VLOOKUP(V$4,'4. Billing Determinants'!$B$19:$R$41,3,0)/'4. Billing Determinants'!$D$41*$D11))))),0)</f>
        <v>0</v>
      </c>
      <c r="W11" s="145">
        <f>IFERROR(IF(W$4="",0,IF($E11="kWh",VLOOKUP(W$4,'4. Billing Determinants'!$B$19:$R$41,4,0)/'4. Billing Determinants'!$E$41*$D11,IF($E11="kW",VLOOKUP(W$4,'4. Billing Determinants'!$B$19:$R$41,5,0)/'4. Billing Determinants'!$F$41*$D11,IF($E11="Non-RPP kWh",VLOOKUP(W$4,'4. Billing Determinants'!$B$19:$T$41,18,0)/'4. Billing Determinants'!$S$41*$D11,IF($E11="Distribution Rev.",VLOOKUP(W$4,'4. Billing Determinants'!$B$19:$R$41,8,0)/'4. Billing Determinants'!$I$41*$D11, VLOOKUP(W$4,'4. Billing Determinants'!$B$19:$R$41,3,0)/'4. Billing Determinants'!$D$41*$D11))))),0)</f>
        <v>0</v>
      </c>
      <c r="X11" s="145">
        <f>IFERROR(IF(X$4="",0,IF($E11="kWh",VLOOKUP(X$4,'4. Billing Determinants'!$B$19:$R$41,4,0)/'4. Billing Determinants'!$E$41*$D11,IF($E11="kW",VLOOKUP(X$4,'4. Billing Determinants'!$B$19:$R$41,5,0)/'4. Billing Determinants'!$F$41*$D11,IF($E11="Non-RPP kWh",VLOOKUP(X$4,'4. Billing Determinants'!$B$19:$T$41,18,0)/'4. Billing Determinants'!$S$41*$D11,IF($E11="Distribution Rev.",VLOOKUP(X$4,'4. Billing Determinants'!$B$19:$R$41,8,0)/'4. Billing Determinants'!$I$41*$D11, VLOOKUP(X$4,'4. Billing Determinants'!$B$19:$R$41,3,0)/'4. Billing Determinants'!$D$41*$D11))))),0)</f>
        <v>0</v>
      </c>
      <c r="Y11" s="145">
        <f>IFERROR(IF(Y$4="",0,IF($E11="kWh",VLOOKUP(Y$4,'4. Billing Determinants'!$B$19:$R$41,4,0)/'4. Billing Determinants'!$E$41*$D11,IF($E11="kW",VLOOKUP(Y$4,'4. Billing Determinants'!$B$19:$R$41,5,0)/'4. Billing Determinants'!$F$41*$D11,IF($E11="Non-RPP kWh",VLOOKUP(Y$4,'4. Billing Determinants'!$B$19:$T$41,18,0)/'4. Billing Determinants'!$S$41*$D11,IF($E11="Distribution Rev.",VLOOKUP(Y$4,'4. Billing Determinants'!$B$19:$R$41,8,0)/'4. Billing Determinants'!$I$41*$D11, VLOOKUP(Y$4,'4. Billing Determinants'!$B$19:$R$41,3,0)/'4. Billing Determinants'!$D$41*$D11))))),0)</f>
        <v>0</v>
      </c>
    </row>
    <row r="12" spans="1:27" hidden="1" x14ac:dyDescent="0.2">
      <c r="A12" s="37">
        <v>9</v>
      </c>
      <c r="B12" s="33" t="s">
        <v>55</v>
      </c>
      <c r="C12" s="31">
        <v>1595</v>
      </c>
      <c r="D12" s="32">
        <f>'2a. Continuity Schedule'!BT33</f>
        <v>0</v>
      </c>
      <c r="E12" s="38" t="s">
        <v>146</v>
      </c>
      <c r="F12" s="32">
        <f>IFERROR(IF(F$4="",0,IF($E12="kWh",VLOOKUP(F$4,'4. Billing Determinants'!$B$19:$R$41,4,0)/'4. Billing Determinants'!$E$41*$D12,IF($E12="kW",VLOOKUP(F$4,'4. Billing Determinants'!$B$19:$R$41,5,0)/'4. Billing Determinants'!$F$41*$D12,IF($E12="Non-RPP kWh",VLOOKUP(F$4,'4. Billing Determinants'!$B$19:$R$41,6,0)/'4. Billing Determinants'!$G$41*$D12, VLOOKUP(F$4,'4. Billing Determinants'!$B$19:$AA$41,20,0)*$D12)))),0)</f>
        <v>0</v>
      </c>
      <c r="G12" s="32">
        <f>IFERROR(IF(G$4="",0,IF($E12="kWh",VLOOKUP(G$4,'4. Billing Determinants'!$B$19:$R$41,4,0)/'4. Billing Determinants'!$E$41*$D12,IF($E12="kW",VLOOKUP(G$4,'4. Billing Determinants'!$B$19:$R$41,5,0)/'4. Billing Determinants'!$F$41*$D12,IF($E12="Non-RPP kWh",VLOOKUP(G$4,'4. Billing Determinants'!$B$19:$R$41,6,0)/'4. Billing Determinants'!$G$41*$D12, VLOOKUP(G$4,'4. Billing Determinants'!$B$19:$AA$41,20,0)*$D12)))),0)</f>
        <v>0</v>
      </c>
      <c r="H12" s="32">
        <f>IFERROR(IF(H$4="",0,IF($E12="kWh",VLOOKUP(H$4,'4. Billing Determinants'!$B$19:$R$41,4,0)/'4. Billing Determinants'!$E$41*$D12,IF($E12="kW",VLOOKUP(H$4,'4. Billing Determinants'!$B$19:$R$41,5,0)/'4. Billing Determinants'!$F$41*$D12,IF($E12="Non-RPP kWh",VLOOKUP(H$4,'4. Billing Determinants'!$B$19:$R$41,6,0)/'4. Billing Determinants'!$G$41*$D12, VLOOKUP(H$4,'4. Billing Determinants'!$B$19:$AA$41,20,0)*$D12)))),0)</f>
        <v>0</v>
      </c>
      <c r="I12" s="32">
        <f>IFERROR(IF(I$4="",0,IF($E12="kWh",VLOOKUP(I$4,'4. Billing Determinants'!$B$19:$R$41,4,0)/'4. Billing Determinants'!$E$41*$D12,IF($E12="kW",VLOOKUP(I$4,'4. Billing Determinants'!$B$19:$R$41,5,0)/'4. Billing Determinants'!$F$41*$D12,IF($E12="Non-RPP kWh",VLOOKUP(I$4,'4. Billing Determinants'!$B$19:$R$41,6,0)/'4. Billing Determinants'!$G$41*$D12, VLOOKUP(I$4,'4. Billing Determinants'!$B$19:$AA$41,20,0)*$D12)))),0)</f>
        <v>0</v>
      </c>
      <c r="J12" s="32">
        <f>IFERROR(IF(J$4="",0,IF($E12="kWh",VLOOKUP(J$4,'4. Billing Determinants'!$B$19:$R$41,4,0)/'4. Billing Determinants'!$E$41*$D12,IF($E12="kW",VLOOKUP(J$4,'4. Billing Determinants'!$B$19:$R$41,5,0)/'4. Billing Determinants'!$F$41*$D12,IF($E12="Non-RPP kWh",VLOOKUP(J$4,'4. Billing Determinants'!$B$19:$R$41,6,0)/'4. Billing Determinants'!$G$41*$D12, VLOOKUP(J$4,'4. Billing Determinants'!$B$19:$AA$41,20,0)*$D12)))),0)</f>
        <v>0</v>
      </c>
      <c r="K12" s="32">
        <f>IFERROR(IF(K$4="",0,IF($E12="kWh",VLOOKUP(K$4,'4. Billing Determinants'!$B$19:$R$41,4,0)/'4. Billing Determinants'!$E$41*$D12,IF($E12="kW",VLOOKUP(K$4,'4. Billing Determinants'!$B$19:$R$41,5,0)/'4. Billing Determinants'!$F$41*$D12,IF($E12="Non-RPP kWh",VLOOKUP(K$4,'4. Billing Determinants'!$B$19:$R$41,6,0)/'4. Billing Determinants'!$G$41*$D12, VLOOKUP(K$4,'4. Billing Determinants'!$B$19:$AA$41,20,0)*$D12)))),0)</f>
        <v>0</v>
      </c>
      <c r="L12" s="32">
        <f>IFERROR(IF(L$4="",0,IF($E12="kWh",VLOOKUP(L$4,'4. Billing Determinants'!$B$19:$R$41,4,0)/'4. Billing Determinants'!$E$41*$D12,IF($E12="kW",VLOOKUP(L$4,'4. Billing Determinants'!$B$19:$R$41,5,0)/'4. Billing Determinants'!$F$41*$D12,IF($E12="Non-RPP kWh",VLOOKUP(L$4,'4. Billing Determinants'!$B$19:$R$41,6,0)/'4. Billing Determinants'!$G$41*$D12, VLOOKUP(L$4,'4. Billing Determinants'!$B$19:$AA$41,20,0)*$D12)))),0)</f>
        <v>0</v>
      </c>
      <c r="M12" s="32">
        <f>IFERROR(IF(M$4="",0,IF($E12="kWh",VLOOKUP(M$4,'4. Billing Determinants'!$B$19:$R$41,4,0)/'4. Billing Determinants'!$E$41*$D12,IF($E12="kW",VLOOKUP(M$4,'4. Billing Determinants'!$B$19:$R$41,5,0)/'4. Billing Determinants'!$F$41*$D12,IF($E12="Non-RPP kWh",VLOOKUP(M$4,'4. Billing Determinants'!$B$19:$R$41,6,0)/'4. Billing Determinants'!$G$41*$D12, VLOOKUP(M$4,'4. Billing Determinants'!$B$19:$AA$41,20,0)*$D12)))),0)</f>
        <v>0</v>
      </c>
      <c r="N12" s="32">
        <f>IFERROR(IF(N$4="",0,IF($E12="kWh",VLOOKUP(N$4,'4. Billing Determinants'!$B$19:$R$41,4,0)/'4. Billing Determinants'!$E$41*$D12,IF($E12="kW",VLOOKUP(N$4,'4. Billing Determinants'!$B$19:$R$41,5,0)/'4. Billing Determinants'!$F$41*$D12,IF($E12="Non-RPP kWh",VLOOKUP(N$4,'4. Billing Determinants'!$B$19:$R$41,6,0)/'4. Billing Determinants'!$G$41*$D12, VLOOKUP(N$4,'4. Billing Determinants'!$B$19:$AA$41,20,0)*$D12)))),0)</f>
        <v>0</v>
      </c>
      <c r="O12" s="32">
        <f>IFERROR(IF(O$4="",0,IF($E12="kWh",VLOOKUP(O$4,'4. Billing Determinants'!$B$19:$R$41,4,0)/'4. Billing Determinants'!$E$41*$D12,IF($E12="kW",VLOOKUP(O$4,'4. Billing Determinants'!$B$19:$R$41,5,0)/'4. Billing Determinants'!$F$41*$D12,IF($E12="Non-RPP kWh",VLOOKUP(O$4,'4. Billing Determinants'!$B$19:$R$41,6,0)/'4. Billing Determinants'!$G$41*$D12, VLOOKUP(O$4,'4. Billing Determinants'!$B$19:$AA$41,20,0)*$D12)))),0)</f>
        <v>0</v>
      </c>
      <c r="P12" s="32">
        <f>IFERROR(IF(P$4="",0,IF($E12="kWh",VLOOKUP(P$4,'4. Billing Determinants'!$B$19:$R$41,4,0)/'4. Billing Determinants'!$E$41*$D12,IF($E12="kW",VLOOKUP(P$4,'4. Billing Determinants'!$B$19:$R$41,5,0)/'4. Billing Determinants'!$F$41*$D12,IF($E12="Non-RPP kWh",VLOOKUP(P$4,'4. Billing Determinants'!$B$19:$R$41,6,0)/'4. Billing Determinants'!$G$41*$D12, VLOOKUP(P$4,'4. Billing Determinants'!$B$19:$AA$41,20,0)*$D12)))),0)</f>
        <v>0</v>
      </c>
      <c r="Q12" s="32">
        <f>IFERROR(IF(Q$4="",0,IF($E12="kWh",VLOOKUP(Q$4,'4. Billing Determinants'!$B$19:$R$41,4,0)/'4. Billing Determinants'!$E$41*$D12,IF($E12="kW",VLOOKUP(Q$4,'4. Billing Determinants'!$B$19:$R$41,5,0)/'4. Billing Determinants'!$F$41*$D12,IF($E12="Non-RPP kWh",VLOOKUP(Q$4,'4. Billing Determinants'!$B$19:$R$41,6,0)/'4. Billing Determinants'!$G$41*$D12, VLOOKUP(Q$4,'4. Billing Determinants'!$B$19:$AA$41,20,0)*$D12)))),0)</f>
        <v>0</v>
      </c>
      <c r="R12" s="32">
        <f>IFERROR(IF(R$4="",0,IF($E12="kWh",VLOOKUP(R$4,'4. Billing Determinants'!$B$19:$R$41,4,0)/'4. Billing Determinants'!$E$41*$D12,IF($E12="kW",VLOOKUP(R$4,'4. Billing Determinants'!$B$19:$R$41,5,0)/'4. Billing Determinants'!$F$41*$D12,IF($E12="Non-RPP kWh",VLOOKUP(R$4,'4. Billing Determinants'!$B$19:$R$41,6,0)/'4. Billing Determinants'!$G$41*$D12, VLOOKUP(R$4,'4. Billing Determinants'!$B$19:$AA$41,20,0)*$D12)))),0)</f>
        <v>0</v>
      </c>
      <c r="S12" s="32">
        <f>IFERROR(IF(S$4="",0,IF($E12="kWh",VLOOKUP(S$4,'4. Billing Determinants'!$B$19:$R$41,4,0)/'4. Billing Determinants'!$E$41*$D12,IF($E12="kW",VLOOKUP(S$4,'4. Billing Determinants'!$B$19:$R$41,5,0)/'4. Billing Determinants'!$F$41*$D12,IF($E12="Non-RPP kWh",VLOOKUP(S$4,'4. Billing Determinants'!$B$19:$R$41,6,0)/'4. Billing Determinants'!$G$41*$D12, VLOOKUP(S$4,'4. Billing Determinants'!$B$19:$AA$41,20,0)*$D12)))),0)</f>
        <v>0</v>
      </c>
      <c r="T12" s="32">
        <f>IFERROR(IF(T$4="",0,IF($E12="kWh",VLOOKUP(T$4,'4. Billing Determinants'!$B$19:$R$41,4,0)/'4. Billing Determinants'!$E$41*$D12,IF($E12="kW",VLOOKUP(T$4,'4. Billing Determinants'!$B$19:$R$41,5,0)/'4. Billing Determinants'!$F$41*$D12,IF($E12="Non-RPP kWh",VLOOKUP(T$4,'4. Billing Determinants'!$B$19:$R$41,6,0)/'4. Billing Determinants'!$G$41*$D12, VLOOKUP(T$4,'4. Billing Determinants'!$B$19:$AA$41,20,0)*$D12)))),0)</f>
        <v>0</v>
      </c>
      <c r="U12" s="32">
        <f>IFERROR(IF(U$4="",0,IF($E12="kWh",VLOOKUP(U$4,'4. Billing Determinants'!$B$19:$R$41,4,0)/'4. Billing Determinants'!$E$41*$D12,IF($E12="kW",VLOOKUP(U$4,'4. Billing Determinants'!$B$19:$R$41,5,0)/'4. Billing Determinants'!$F$41*$D12,IF($E12="Non-RPP kWh",VLOOKUP(U$4,'4. Billing Determinants'!$B$19:$R$41,6,0)/'4. Billing Determinants'!$G$41*$D12, VLOOKUP(U$4,'4. Billing Determinants'!$B$19:$AA$41,20,0)*$D12)))),0)</f>
        <v>0</v>
      </c>
      <c r="V12" s="32">
        <f>IFERROR(IF(V$4="",0,IF($E12="kWh",VLOOKUP(V$4,'4. Billing Determinants'!$B$19:$R$41,4,0)/'4. Billing Determinants'!$E$41*$D12,IF($E12="kW",VLOOKUP(V$4,'4. Billing Determinants'!$B$19:$R$41,5,0)/'4. Billing Determinants'!$F$41*$D12,IF($E12="Non-RPP kWh",VLOOKUP(V$4,'4. Billing Determinants'!$B$19:$R$41,6,0)/'4. Billing Determinants'!$G$41*$D12, VLOOKUP(V$4,'4. Billing Determinants'!$B$19:$AA$41,20,0)*$D12)))),0)</f>
        <v>0</v>
      </c>
      <c r="W12" s="32">
        <f>IFERROR(IF(W$4="",0,IF($E12="kWh",VLOOKUP(W$4,'4. Billing Determinants'!$B$19:$R$41,4,0)/'4. Billing Determinants'!$E$41*$D12,IF($E12="kW",VLOOKUP(W$4,'4. Billing Determinants'!$B$19:$R$41,5,0)/'4. Billing Determinants'!$F$41*$D12,IF($E12="Non-RPP kWh",VLOOKUP(W$4,'4. Billing Determinants'!$B$19:$R$41,6,0)/'4. Billing Determinants'!$G$41*$D12, VLOOKUP(W$4,'4. Billing Determinants'!$B$19:$AA$41,20,0)*$D12)))),0)</f>
        <v>0</v>
      </c>
      <c r="X12" s="32">
        <f>IFERROR(IF(X$4="",0,IF($E12="kWh",VLOOKUP(X$4,'4. Billing Determinants'!$B$19:$R$41,4,0)/'4. Billing Determinants'!$E$41*$D12,IF($E12="kW",VLOOKUP(X$4,'4. Billing Determinants'!$B$19:$R$41,5,0)/'4. Billing Determinants'!$F$41*$D12,IF($E12="Non-RPP kWh",VLOOKUP(X$4,'4. Billing Determinants'!$B$19:$R$41,6,0)/'4. Billing Determinants'!$G$41*$D12, VLOOKUP(X$4,'4. Billing Determinants'!$B$19:$AA$41,20,0)*$D12)))),0)</f>
        <v>0</v>
      </c>
      <c r="Y12" s="32">
        <f>IFERROR(IF(Y$4="",0,IF($E12="kWh",VLOOKUP(Y$4,'4. Billing Determinants'!$B$19:$R$41,4,0)/'4. Billing Determinants'!$E$41*$D12,IF($E12="kW",VLOOKUP(Y$4,'4. Billing Determinants'!$B$19:$R$41,5,0)/'4. Billing Determinants'!$F$41*$D12,IF($E12="Non-RPP kWh",VLOOKUP(Y$4,'4. Billing Determinants'!$B$19:$R$41,6,0)/'4. Billing Determinants'!$G$41*$D12, VLOOKUP(Y$4,'4. Billing Determinants'!$B$19:$AA$41,20,0)*$D12)))),0)</f>
        <v>0</v>
      </c>
    </row>
    <row r="13" spans="1:27" hidden="1" x14ac:dyDescent="0.2">
      <c r="A13" s="37">
        <v>10</v>
      </c>
      <c r="B13" s="33" t="s">
        <v>3435</v>
      </c>
      <c r="C13" s="31">
        <v>1595</v>
      </c>
      <c r="D13" s="32">
        <f>'2a. Continuity Schedule'!BT34</f>
        <v>0</v>
      </c>
      <c r="E13" s="38" t="s">
        <v>146</v>
      </c>
      <c r="F13" s="257">
        <f>IFERROR(IF(F$4="",0,IF($E13="kWh",VLOOKUP(F$4,'4. Billing Determinants'!$B$19:$R$41,4,0)/'4. Billing Determinants'!$E$41*$D13,IF($E13="kW",VLOOKUP(F$4,'4. Billing Determinants'!$B$19:$R$41,5,0)/'4. Billing Determinants'!$F$41*$D13,IF($E13="Non-RPP kWh",VLOOKUP(F$4,'4. Billing Determinants'!$B$19:$R$41,6,0)/'4. Billing Determinants'!$G$41*$D13,VLOOKUP(F$4,'4. Billing Determinants'!$B$19:$AA$41,21,0)*$D13)))),0)</f>
        <v>0</v>
      </c>
      <c r="G13" s="257">
        <f>IFERROR(IF(G$4="",0,IF($E13="kWh",VLOOKUP(G$4,'4. Billing Determinants'!$B$19:$R$41,4,0)/'4. Billing Determinants'!$E$41*$D13,IF($E13="kW",VLOOKUP(G$4,'4. Billing Determinants'!$B$19:$R$41,5,0)/'4. Billing Determinants'!$F$41*$D13,IF($E13="Non-RPP kWh",VLOOKUP(G$4,'4. Billing Determinants'!$B$19:$R$41,6,0)/'4. Billing Determinants'!$G$41*$D13,VLOOKUP(G$4,'4. Billing Determinants'!$B$19:$AA$41,21,0)*$D13)))),0)</f>
        <v>0</v>
      </c>
      <c r="H13" s="257">
        <f>IFERROR(IF(H$4="",0,IF($E13="kWh",VLOOKUP(H$4,'4. Billing Determinants'!$B$19:$R$41,4,0)/'4. Billing Determinants'!$E$41*$D13,IF($E13="kW",VLOOKUP(H$4,'4. Billing Determinants'!$B$19:$R$41,5,0)/'4. Billing Determinants'!$F$41*$D13,IF($E13="Non-RPP kWh",VLOOKUP(H$4,'4. Billing Determinants'!$B$19:$R$41,6,0)/'4. Billing Determinants'!$G$41*$D13,VLOOKUP(H$4,'4. Billing Determinants'!$B$19:$AA$41,21,0)*$D13)))),0)</f>
        <v>0</v>
      </c>
      <c r="I13" s="257">
        <f>IFERROR(IF(I$4="",0,IF($E13="kWh",VLOOKUP(I$4,'4. Billing Determinants'!$B$19:$R$41,4,0)/'4. Billing Determinants'!$E$41*$D13,IF($E13="kW",VLOOKUP(I$4,'4. Billing Determinants'!$B$19:$R$41,5,0)/'4. Billing Determinants'!$F$41*$D13,IF($E13="Non-RPP kWh",VLOOKUP(I$4,'4. Billing Determinants'!$B$19:$R$41,6,0)/'4. Billing Determinants'!$G$41*$D13,VLOOKUP(I$4,'4. Billing Determinants'!$B$19:$AA$41,21,0)*$D13)))),0)</f>
        <v>0</v>
      </c>
      <c r="J13" s="257">
        <f>IFERROR(IF(J$4="",0,IF($E13="kWh",VLOOKUP(J$4,'4. Billing Determinants'!$B$19:$R$41,4,0)/'4. Billing Determinants'!$E$41*$D13,IF($E13="kW",VLOOKUP(J$4,'4. Billing Determinants'!$B$19:$R$41,5,0)/'4. Billing Determinants'!$F$41*$D13,IF($E13="Non-RPP kWh",VLOOKUP(J$4,'4. Billing Determinants'!$B$19:$R$41,6,0)/'4. Billing Determinants'!$G$41*$D13,VLOOKUP(J$4,'4. Billing Determinants'!$B$19:$AA$41,21,0)*$D13)))),0)</f>
        <v>0</v>
      </c>
      <c r="K13" s="257">
        <f>IFERROR(IF(K$4="",0,IF($E13="kWh",VLOOKUP(K$4,'4. Billing Determinants'!$B$19:$R$41,4,0)/'4. Billing Determinants'!$E$41*$D13,IF($E13="kW",VLOOKUP(K$4,'4. Billing Determinants'!$B$19:$R$41,5,0)/'4. Billing Determinants'!$F$41*$D13,IF($E13="Non-RPP kWh",VLOOKUP(K$4,'4. Billing Determinants'!$B$19:$R$41,6,0)/'4. Billing Determinants'!$G$41*$D13,VLOOKUP(K$4,'4. Billing Determinants'!$B$19:$AA$41,21,0)*$D13)))),0)</f>
        <v>0</v>
      </c>
      <c r="L13" s="257">
        <f>IFERROR(IF(L$4="",0,IF($E13="kWh",VLOOKUP(L$4,'4. Billing Determinants'!$B$19:$R$41,4,0)/'4. Billing Determinants'!$E$41*$D13,IF($E13="kW",VLOOKUP(L$4,'4. Billing Determinants'!$B$19:$R$41,5,0)/'4. Billing Determinants'!$F$41*$D13,IF($E13="Non-RPP kWh",VLOOKUP(L$4,'4. Billing Determinants'!$B$19:$R$41,6,0)/'4. Billing Determinants'!$G$41*$D13,VLOOKUP(L$4,'4. Billing Determinants'!$B$19:$AA$41,21,0)*$D13)))),0)</f>
        <v>0</v>
      </c>
      <c r="M13" s="257">
        <f>IFERROR(IF(M$4="",0,IF($E13="kWh",VLOOKUP(M$4,'4. Billing Determinants'!$B$19:$R$41,4,0)/'4. Billing Determinants'!$E$41*$D13,IF($E13="kW",VLOOKUP(M$4,'4. Billing Determinants'!$B$19:$R$41,5,0)/'4. Billing Determinants'!$F$41*$D13,IF($E13="Non-RPP kWh",VLOOKUP(M$4,'4. Billing Determinants'!$B$19:$R$41,6,0)/'4. Billing Determinants'!$G$41*$D13,VLOOKUP(M$4,'4. Billing Determinants'!$B$19:$AA$41,21,0)*$D13)))),0)</f>
        <v>0</v>
      </c>
      <c r="N13" s="257">
        <f>IFERROR(IF(N$4="",0,IF($E13="kWh",VLOOKUP(N$4,'4. Billing Determinants'!$B$19:$R$41,4,0)/'4. Billing Determinants'!$E$41*$D13,IF($E13="kW",VLOOKUP(N$4,'4. Billing Determinants'!$B$19:$R$41,5,0)/'4. Billing Determinants'!$F$41*$D13,IF($E13="Non-RPP kWh",VLOOKUP(N$4,'4. Billing Determinants'!$B$19:$R$41,6,0)/'4. Billing Determinants'!$G$41*$D13,VLOOKUP(N$4,'4. Billing Determinants'!$B$19:$AA$41,21,0)*$D13)))),0)</f>
        <v>0</v>
      </c>
      <c r="O13" s="257">
        <f>IFERROR(IF(O$4="",0,IF($E13="kWh",VLOOKUP(O$4,'4. Billing Determinants'!$B$19:$R$41,4,0)/'4. Billing Determinants'!$E$41*$D13,IF($E13="kW",VLOOKUP(O$4,'4. Billing Determinants'!$B$19:$R$41,5,0)/'4. Billing Determinants'!$F$41*$D13,IF($E13="Non-RPP kWh",VLOOKUP(O$4,'4. Billing Determinants'!$B$19:$R$41,6,0)/'4. Billing Determinants'!$G$41*$D13,VLOOKUP(O$4,'4. Billing Determinants'!$B$19:$AA$41,21,0)*$D13)))),0)</f>
        <v>0</v>
      </c>
      <c r="P13" s="257">
        <f>IFERROR(IF(P$4="",0,IF($E13="kWh",VLOOKUP(P$4,'4. Billing Determinants'!$B$19:$R$41,4,0)/'4. Billing Determinants'!$E$41*$D13,IF($E13="kW",VLOOKUP(P$4,'4. Billing Determinants'!$B$19:$R$41,5,0)/'4. Billing Determinants'!$F$41*$D13,IF($E13="Non-RPP kWh",VLOOKUP(P$4,'4. Billing Determinants'!$B$19:$R$41,6,0)/'4. Billing Determinants'!$G$41*$D13,VLOOKUP(P$4,'4. Billing Determinants'!$B$19:$AA$41,21,0)*$D13)))),0)</f>
        <v>0</v>
      </c>
      <c r="Q13" s="257">
        <f>IFERROR(IF(Q$4="",0,IF($E13="kWh",VLOOKUP(Q$4,'4. Billing Determinants'!$B$19:$R$41,4,0)/'4. Billing Determinants'!$E$41*$D13,IF($E13="kW",VLOOKUP(Q$4,'4. Billing Determinants'!$B$19:$R$41,5,0)/'4. Billing Determinants'!$F$41*$D13,IF($E13="Non-RPP kWh",VLOOKUP(Q$4,'4. Billing Determinants'!$B$19:$R$41,6,0)/'4. Billing Determinants'!$G$41*$D13,VLOOKUP(Q$4,'4. Billing Determinants'!$B$19:$AA$41,21,0)*$D13)))),0)</f>
        <v>0</v>
      </c>
      <c r="R13" s="257">
        <f>IFERROR(IF(R$4="",0,IF($E13="kWh",VLOOKUP(R$4,'4. Billing Determinants'!$B$19:$R$41,4,0)/'4. Billing Determinants'!$E$41*$D13,IF($E13="kW",VLOOKUP(R$4,'4. Billing Determinants'!$B$19:$R$41,5,0)/'4. Billing Determinants'!$F$41*$D13,IF($E13="Non-RPP kWh",VLOOKUP(R$4,'4. Billing Determinants'!$B$19:$R$41,6,0)/'4. Billing Determinants'!$G$41*$D13,VLOOKUP(R$4,'4. Billing Determinants'!$B$19:$AA$41,21,0)*$D13)))),0)</f>
        <v>0</v>
      </c>
      <c r="S13" s="257">
        <f>IFERROR(IF(S$4="",0,IF($E13="kWh",VLOOKUP(S$4,'4. Billing Determinants'!$B$19:$R$41,4,0)/'4. Billing Determinants'!$E$41*$D13,IF($E13="kW",VLOOKUP(S$4,'4. Billing Determinants'!$B$19:$R$41,5,0)/'4. Billing Determinants'!$F$41*$D13,IF($E13="Non-RPP kWh",VLOOKUP(S$4,'4. Billing Determinants'!$B$19:$R$41,6,0)/'4. Billing Determinants'!$G$41*$D13,VLOOKUP(S$4,'4. Billing Determinants'!$B$19:$AA$41,21,0)*$D13)))),0)</f>
        <v>0</v>
      </c>
      <c r="T13" s="257">
        <f>IFERROR(IF(T$4="",0,IF($E13="kWh",VLOOKUP(T$4,'4. Billing Determinants'!$B$19:$R$41,4,0)/'4. Billing Determinants'!$E$41*$D13,IF($E13="kW",VLOOKUP(T$4,'4. Billing Determinants'!$B$19:$R$41,5,0)/'4. Billing Determinants'!$F$41*$D13,IF($E13="Non-RPP kWh",VLOOKUP(T$4,'4. Billing Determinants'!$B$19:$R$41,6,0)/'4. Billing Determinants'!$G$41*$D13,VLOOKUP(T$4,'4. Billing Determinants'!$B$19:$AA$41,21,0)*$D13)))),0)</f>
        <v>0</v>
      </c>
      <c r="U13" s="257">
        <f>IFERROR(IF(U$4="",0,IF($E13="kWh",VLOOKUP(U$4,'4. Billing Determinants'!$B$19:$R$41,4,0)/'4. Billing Determinants'!$E$41*$D13,IF($E13="kW",VLOOKUP(U$4,'4. Billing Determinants'!$B$19:$R$41,5,0)/'4. Billing Determinants'!$F$41*$D13,IF($E13="Non-RPP kWh",VLOOKUP(U$4,'4. Billing Determinants'!$B$19:$R$41,6,0)/'4. Billing Determinants'!$G$41*$D13,VLOOKUP(U$4,'4. Billing Determinants'!$B$19:$AA$41,21,0)*$D13)))),0)</f>
        <v>0</v>
      </c>
      <c r="V13" s="257">
        <f>IFERROR(IF(V$4="",0,IF($E13="kWh",VLOOKUP(V$4,'4. Billing Determinants'!$B$19:$R$41,4,0)/'4. Billing Determinants'!$E$41*$D13,IF($E13="kW",VLOOKUP(V$4,'4. Billing Determinants'!$B$19:$R$41,5,0)/'4. Billing Determinants'!$F$41*$D13,IF($E13="Non-RPP kWh",VLOOKUP(V$4,'4. Billing Determinants'!$B$19:$R$41,6,0)/'4. Billing Determinants'!$G$41*$D13,VLOOKUP(V$4,'4. Billing Determinants'!$B$19:$AA$41,21,0)*$D13)))),0)</f>
        <v>0</v>
      </c>
      <c r="W13" s="257">
        <f>IFERROR(IF(W$4="",0,IF($E13="kWh",VLOOKUP(W$4,'4. Billing Determinants'!$B$19:$R$41,4,0)/'4. Billing Determinants'!$E$41*$D13,IF($E13="kW",VLOOKUP(W$4,'4. Billing Determinants'!$B$19:$R$41,5,0)/'4. Billing Determinants'!$F$41*$D13,IF($E13="Non-RPP kWh",VLOOKUP(W$4,'4. Billing Determinants'!$B$19:$R$41,6,0)/'4. Billing Determinants'!$G$41*$D13,VLOOKUP(W$4,'4. Billing Determinants'!$B$19:$AA$41,21,0)*$D13)))),0)</f>
        <v>0</v>
      </c>
      <c r="X13" s="257">
        <f>IFERROR(IF(X$4="",0,IF($E13="kWh",VLOOKUP(X$4,'4. Billing Determinants'!$B$19:$R$41,4,0)/'4. Billing Determinants'!$E$41*$D13,IF($E13="kW",VLOOKUP(X$4,'4. Billing Determinants'!$B$19:$R$41,5,0)/'4. Billing Determinants'!$F$41*$D13,IF($E13="Non-RPP kWh",VLOOKUP(X$4,'4. Billing Determinants'!$B$19:$R$41,6,0)/'4. Billing Determinants'!$G$41*$D13,VLOOKUP(X$4,'4. Billing Determinants'!$B$19:$AA$41,21,0)*$D13)))),0)</f>
        <v>0</v>
      </c>
      <c r="Y13" s="257">
        <f>IFERROR(IF(Y$4="",0,IF($E13="kWh",VLOOKUP(Y$4,'4. Billing Determinants'!$B$19:$R$41,4,0)/'4. Billing Determinants'!$E$41*$D13,IF($E13="kW",VLOOKUP(Y$4,'4. Billing Determinants'!$B$19:$R$41,5,0)/'4. Billing Determinants'!$F$41*$D13,IF($E13="Non-RPP kWh",VLOOKUP(Y$4,'4. Billing Determinants'!$B$19:$R$41,6,0)/'4. Billing Determinants'!$G$41*$D13,VLOOKUP(Y$4,'4. Billing Determinants'!$B$19:$AA$41,21,0)*$D13)))),0)</f>
        <v>0</v>
      </c>
    </row>
    <row r="14" spans="1:27" hidden="1" x14ac:dyDescent="0.2">
      <c r="A14" s="37">
        <v>11</v>
      </c>
      <c r="B14" s="33" t="s">
        <v>425</v>
      </c>
      <c r="C14" s="31">
        <v>1595</v>
      </c>
      <c r="D14" s="32">
        <f>'2a. Continuity Schedule'!BT35</f>
        <v>0</v>
      </c>
      <c r="E14" s="38" t="s">
        <v>146</v>
      </c>
      <c r="F14" s="257">
        <f>IFERROR(IF(F$4="",0,IF($E14="kWh",VLOOKUP(F$4,'4. Billing Determinants'!$B$19:$R$41,4,0)/'4. Billing Determinants'!$E$41*$D14,IF($E14="kW",VLOOKUP(F$4,'4. Billing Determinants'!$B$19:$R$41,5,0)/'4. Billing Determinants'!$F$41*$D14,IF($E14="Non-RPP kWh",VLOOKUP(F$4,'4. Billing Determinants'!$B$19:$R$41,6,0)/'4. Billing Determinants'!$G$41*$D14, VLOOKUP(F$4,'4. Billing Determinants'!$B$19:$AA$41,22,0)*$D14)))),0)</f>
        <v>0</v>
      </c>
      <c r="G14" s="257">
        <f>IFERROR(IF(G$4="",0,IF($E14="kWh",VLOOKUP(G$4,'4. Billing Determinants'!$B$19:$R$41,4,0)/'4. Billing Determinants'!$E$41*$D14,IF($E14="kW",VLOOKUP(G$4,'4. Billing Determinants'!$B$19:$R$41,5,0)/'4. Billing Determinants'!$F$41*$D14,IF($E14="Non-RPP kWh",VLOOKUP(G$4,'4. Billing Determinants'!$B$19:$R$41,6,0)/'4. Billing Determinants'!$G$41*$D14, VLOOKUP(G$4,'4. Billing Determinants'!$B$19:$AA$41,22,0)*$D14)))),0)</f>
        <v>0</v>
      </c>
      <c r="H14" s="257">
        <f>IFERROR(IF(H$4="",0,IF($E14="kWh",VLOOKUP(H$4,'4. Billing Determinants'!$B$19:$R$41,4,0)/'4. Billing Determinants'!$E$41*$D14,IF($E14="kW",VLOOKUP(H$4,'4. Billing Determinants'!$B$19:$R$41,5,0)/'4. Billing Determinants'!$F$41*$D14,IF($E14="Non-RPP kWh",VLOOKUP(H$4,'4. Billing Determinants'!$B$19:$R$41,6,0)/'4. Billing Determinants'!$G$41*$D14, VLOOKUP(H$4,'4. Billing Determinants'!$B$19:$AA$41,22,0)*$D14)))),0)</f>
        <v>0</v>
      </c>
      <c r="I14" s="257">
        <f>IFERROR(IF(I$4="",0,IF($E14="kWh",VLOOKUP(I$4,'4. Billing Determinants'!$B$19:$R$41,4,0)/'4. Billing Determinants'!$E$41*$D14,IF($E14="kW",VLOOKUP(I$4,'4. Billing Determinants'!$B$19:$R$41,5,0)/'4. Billing Determinants'!$F$41*$D14,IF($E14="Non-RPP kWh",VLOOKUP(I$4,'4. Billing Determinants'!$B$19:$R$41,6,0)/'4. Billing Determinants'!$G$41*$D14, VLOOKUP(I$4,'4. Billing Determinants'!$B$19:$AA$41,22,0)*$D14)))),0)</f>
        <v>0</v>
      </c>
      <c r="J14" s="257">
        <f>IFERROR(IF(J$4="",0,IF($E14="kWh",VLOOKUP(J$4,'4. Billing Determinants'!$B$19:$R$41,4,0)/'4. Billing Determinants'!$E$41*$D14,IF($E14="kW",VLOOKUP(J$4,'4. Billing Determinants'!$B$19:$R$41,5,0)/'4. Billing Determinants'!$F$41*$D14,IF($E14="Non-RPP kWh",VLOOKUP(J$4,'4. Billing Determinants'!$B$19:$R$41,6,0)/'4. Billing Determinants'!$G$41*$D14, VLOOKUP(J$4,'4. Billing Determinants'!$B$19:$AA$41,22,0)*$D14)))),0)</f>
        <v>0</v>
      </c>
      <c r="K14" s="257">
        <f>IFERROR(IF(K$4="",0,IF($E14="kWh",VLOOKUP(K$4,'4. Billing Determinants'!$B$19:$R$41,4,0)/'4. Billing Determinants'!$E$41*$D14,IF($E14="kW",VLOOKUP(K$4,'4. Billing Determinants'!$B$19:$R$41,5,0)/'4. Billing Determinants'!$F$41*$D14,IF($E14="Non-RPP kWh",VLOOKUP(K$4,'4. Billing Determinants'!$B$19:$R$41,6,0)/'4. Billing Determinants'!$G$41*$D14, VLOOKUP(K$4,'4. Billing Determinants'!$B$19:$AA$41,22,0)*$D14)))),0)</f>
        <v>0</v>
      </c>
      <c r="L14" s="257">
        <f>IFERROR(IF(L$4="",0,IF($E14="kWh",VLOOKUP(L$4,'4. Billing Determinants'!$B$19:$R$41,4,0)/'4. Billing Determinants'!$E$41*$D14,IF($E14="kW",VLOOKUP(L$4,'4. Billing Determinants'!$B$19:$R$41,5,0)/'4. Billing Determinants'!$F$41*$D14,IF($E14="Non-RPP kWh",VLOOKUP(L$4,'4. Billing Determinants'!$B$19:$R$41,6,0)/'4. Billing Determinants'!$G$41*$D14, VLOOKUP(L$4,'4. Billing Determinants'!$B$19:$AA$41,22,0)*$D14)))),0)</f>
        <v>0</v>
      </c>
      <c r="M14" s="257">
        <f>IFERROR(IF(M$4="",0,IF($E14="kWh",VLOOKUP(M$4,'4. Billing Determinants'!$B$19:$R$41,4,0)/'4. Billing Determinants'!$E$41*$D14,IF($E14="kW",VLOOKUP(M$4,'4. Billing Determinants'!$B$19:$R$41,5,0)/'4. Billing Determinants'!$F$41*$D14,IF($E14="Non-RPP kWh",VLOOKUP(M$4,'4. Billing Determinants'!$B$19:$R$41,6,0)/'4. Billing Determinants'!$G$41*$D14, VLOOKUP(M$4,'4. Billing Determinants'!$B$19:$AA$41,22,0)*$D14)))),0)</f>
        <v>0</v>
      </c>
      <c r="N14" s="257">
        <f>IFERROR(IF(N$4="",0,IF($E14="kWh",VLOOKUP(N$4,'4. Billing Determinants'!$B$19:$R$41,4,0)/'4. Billing Determinants'!$E$41*$D14,IF($E14="kW",VLOOKUP(N$4,'4. Billing Determinants'!$B$19:$R$41,5,0)/'4. Billing Determinants'!$F$41*$D14,IF($E14="Non-RPP kWh",VLOOKUP(N$4,'4. Billing Determinants'!$B$19:$R$41,6,0)/'4. Billing Determinants'!$G$41*$D14, VLOOKUP(N$4,'4. Billing Determinants'!$B$19:$AA$41,22,0)*$D14)))),0)</f>
        <v>0</v>
      </c>
      <c r="O14" s="257">
        <f>IFERROR(IF(O$4="",0,IF($E14="kWh",VLOOKUP(O$4,'4. Billing Determinants'!$B$19:$R$41,4,0)/'4. Billing Determinants'!$E$41*$D14,IF($E14="kW",VLOOKUP(O$4,'4. Billing Determinants'!$B$19:$R$41,5,0)/'4. Billing Determinants'!$F$41*$D14,IF($E14="Non-RPP kWh",VLOOKUP(O$4,'4. Billing Determinants'!$B$19:$R$41,6,0)/'4. Billing Determinants'!$G$41*$D14, VLOOKUP(O$4,'4. Billing Determinants'!$B$19:$AA$41,22,0)*$D14)))),0)</f>
        <v>0</v>
      </c>
      <c r="P14" s="257">
        <f>IFERROR(IF(P$4="",0,IF($E14="kWh",VLOOKUP(P$4,'4. Billing Determinants'!$B$19:$R$41,4,0)/'4. Billing Determinants'!$E$41*$D14,IF($E14="kW",VLOOKUP(P$4,'4. Billing Determinants'!$B$19:$R$41,5,0)/'4. Billing Determinants'!$F$41*$D14,IF($E14="Non-RPP kWh",VLOOKUP(P$4,'4. Billing Determinants'!$B$19:$R$41,6,0)/'4. Billing Determinants'!$G$41*$D14, VLOOKUP(P$4,'4. Billing Determinants'!$B$19:$AA$41,22,0)*$D14)))),0)</f>
        <v>0</v>
      </c>
      <c r="Q14" s="257">
        <f>IFERROR(IF(Q$4="",0,IF($E14="kWh",VLOOKUP(Q$4,'4. Billing Determinants'!$B$19:$R$41,4,0)/'4. Billing Determinants'!$E$41*$D14,IF($E14="kW",VLOOKUP(Q$4,'4. Billing Determinants'!$B$19:$R$41,5,0)/'4. Billing Determinants'!$F$41*$D14,IF($E14="Non-RPP kWh",VLOOKUP(Q$4,'4. Billing Determinants'!$B$19:$R$41,6,0)/'4. Billing Determinants'!$G$41*$D14, VLOOKUP(Q$4,'4. Billing Determinants'!$B$19:$AA$41,22,0)*$D14)))),0)</f>
        <v>0</v>
      </c>
      <c r="R14" s="257">
        <f>IFERROR(IF(R$4="",0,IF($E14="kWh",VLOOKUP(R$4,'4. Billing Determinants'!$B$19:$R$41,4,0)/'4. Billing Determinants'!$E$41*$D14,IF($E14="kW",VLOOKUP(R$4,'4. Billing Determinants'!$B$19:$R$41,5,0)/'4. Billing Determinants'!$F$41*$D14,IF($E14="Non-RPP kWh",VLOOKUP(R$4,'4. Billing Determinants'!$B$19:$R$41,6,0)/'4. Billing Determinants'!$G$41*$D14, VLOOKUP(R$4,'4. Billing Determinants'!$B$19:$AA$41,22,0)*$D14)))),0)</f>
        <v>0</v>
      </c>
      <c r="S14" s="257">
        <f>IFERROR(IF(S$4="",0,IF($E14="kWh",VLOOKUP(S$4,'4. Billing Determinants'!$B$19:$R$41,4,0)/'4. Billing Determinants'!$E$41*$D14,IF($E14="kW",VLOOKUP(S$4,'4. Billing Determinants'!$B$19:$R$41,5,0)/'4. Billing Determinants'!$F$41*$D14,IF($E14="Non-RPP kWh",VLOOKUP(S$4,'4. Billing Determinants'!$B$19:$R$41,6,0)/'4. Billing Determinants'!$G$41*$D14, VLOOKUP(S$4,'4. Billing Determinants'!$B$19:$AA$41,22,0)*$D14)))),0)</f>
        <v>0</v>
      </c>
      <c r="T14" s="257">
        <f>IFERROR(IF(T$4="",0,IF($E14="kWh",VLOOKUP(T$4,'4. Billing Determinants'!$B$19:$R$41,4,0)/'4. Billing Determinants'!$E$41*$D14,IF($E14="kW",VLOOKUP(T$4,'4. Billing Determinants'!$B$19:$R$41,5,0)/'4. Billing Determinants'!$F$41*$D14,IF($E14="Non-RPP kWh",VLOOKUP(T$4,'4. Billing Determinants'!$B$19:$R$41,6,0)/'4. Billing Determinants'!$G$41*$D14, VLOOKUP(T$4,'4. Billing Determinants'!$B$19:$AA$41,22,0)*$D14)))),0)</f>
        <v>0</v>
      </c>
      <c r="U14" s="257">
        <f>IFERROR(IF(U$4="",0,IF($E14="kWh",VLOOKUP(U$4,'4. Billing Determinants'!$B$19:$R$41,4,0)/'4. Billing Determinants'!$E$41*$D14,IF($E14="kW",VLOOKUP(U$4,'4. Billing Determinants'!$B$19:$R$41,5,0)/'4. Billing Determinants'!$F$41*$D14,IF($E14="Non-RPP kWh",VLOOKUP(U$4,'4. Billing Determinants'!$B$19:$R$41,6,0)/'4. Billing Determinants'!$G$41*$D14, VLOOKUP(U$4,'4. Billing Determinants'!$B$19:$AA$41,22,0)*$D14)))),0)</f>
        <v>0</v>
      </c>
      <c r="V14" s="257">
        <f>IFERROR(IF(V$4="",0,IF($E14="kWh",VLOOKUP(V$4,'4. Billing Determinants'!$B$19:$R$41,4,0)/'4. Billing Determinants'!$E$41*$D14,IF($E14="kW",VLOOKUP(V$4,'4. Billing Determinants'!$B$19:$R$41,5,0)/'4. Billing Determinants'!$F$41*$D14,IF($E14="Non-RPP kWh",VLOOKUP(V$4,'4. Billing Determinants'!$B$19:$R$41,6,0)/'4. Billing Determinants'!$G$41*$D14, VLOOKUP(V$4,'4. Billing Determinants'!$B$19:$AA$41,22,0)*$D14)))),0)</f>
        <v>0</v>
      </c>
      <c r="W14" s="257">
        <f>IFERROR(IF(W$4="",0,IF($E14="kWh",VLOOKUP(W$4,'4. Billing Determinants'!$B$19:$R$41,4,0)/'4. Billing Determinants'!$E$41*$D14,IF($E14="kW",VLOOKUP(W$4,'4. Billing Determinants'!$B$19:$R$41,5,0)/'4. Billing Determinants'!$F$41*$D14,IF($E14="Non-RPP kWh",VLOOKUP(W$4,'4. Billing Determinants'!$B$19:$R$41,6,0)/'4. Billing Determinants'!$G$41*$D14, VLOOKUP(W$4,'4. Billing Determinants'!$B$19:$AA$41,22,0)*$D14)))),0)</f>
        <v>0</v>
      </c>
      <c r="X14" s="257">
        <f>IFERROR(IF(X$4="",0,IF($E14="kWh",VLOOKUP(X$4,'4. Billing Determinants'!$B$19:$R$41,4,0)/'4. Billing Determinants'!$E$41*$D14,IF($E14="kW",VLOOKUP(X$4,'4. Billing Determinants'!$B$19:$R$41,5,0)/'4. Billing Determinants'!$F$41*$D14,IF($E14="Non-RPP kWh",VLOOKUP(X$4,'4. Billing Determinants'!$B$19:$R$41,6,0)/'4. Billing Determinants'!$G$41*$D14, VLOOKUP(X$4,'4. Billing Determinants'!$B$19:$AA$41,22,0)*$D14)))),0)</f>
        <v>0</v>
      </c>
      <c r="Y14" s="257">
        <f>IFERROR(IF(Y$4="",0,IF($E14="kWh",VLOOKUP(Y$4,'4. Billing Determinants'!$B$19:$R$41,4,0)/'4. Billing Determinants'!$E$41*$D14,IF($E14="kW",VLOOKUP(Y$4,'4. Billing Determinants'!$B$19:$R$41,5,0)/'4. Billing Determinants'!$F$41*$D14,IF($E14="Non-RPP kWh",VLOOKUP(Y$4,'4. Billing Determinants'!$B$19:$R$41,6,0)/'4. Billing Determinants'!$G$41*$D14, VLOOKUP(Y$4,'4. Billing Determinants'!$B$19:$AA$41,22,0)*$D14)))),0)</f>
        <v>0</v>
      </c>
    </row>
    <row r="15" spans="1:27" x14ac:dyDescent="0.2">
      <c r="A15" s="37">
        <v>12</v>
      </c>
      <c r="B15" s="33" t="s">
        <v>443</v>
      </c>
      <c r="C15" s="31">
        <v>1595</v>
      </c>
      <c r="D15" s="32">
        <f>'2a. Continuity Schedule'!BT36</f>
        <v>0</v>
      </c>
      <c r="E15" s="38" t="s">
        <v>146</v>
      </c>
      <c r="F15" s="257">
        <f>IFERROR(IF(F$4="",0,IF($E15="kWh",VLOOKUP(F$4,'4. Billing Determinants'!$B$19:$R$41,4,0)/'4. Billing Determinants'!$E$41*$D15,IF($E15="kW",VLOOKUP(F$4,'4. Billing Determinants'!$B$19:$R$41,5,0)/'4. Billing Determinants'!$F$41*$D15,IF($E15="Non-RPP kWh",VLOOKUP(F$4,'4. Billing Determinants'!$B$19:$R$41,6,0)/'4. Billing Determinants'!$G$41*$D15, VLOOKUP(F$4,'4. Billing Determinants'!$B$19:$AA$41,23,0)*$D15)))),0)</f>
        <v>0</v>
      </c>
      <c r="G15" s="257">
        <f>IFERROR(IF(G$4="",0,IF($E15="kWh",VLOOKUP(G$4,'4. Billing Determinants'!$B$19:$R$41,4,0)/'4. Billing Determinants'!$E$41*$D15,IF($E15="kW",VLOOKUP(G$4,'4. Billing Determinants'!$B$19:$R$41,5,0)/'4. Billing Determinants'!$F$41*$D15,IF($E15="Non-RPP kWh",VLOOKUP(G$4,'4. Billing Determinants'!$B$19:$R$41,6,0)/'4. Billing Determinants'!$G$41*$D15, VLOOKUP(G$4,'4. Billing Determinants'!$B$19:$AA$41,23,0)*$D15)))),0)</f>
        <v>0</v>
      </c>
      <c r="H15" s="257">
        <f>IFERROR(IF(H$4="",0,IF($E15="kWh",VLOOKUP(H$4,'4. Billing Determinants'!$B$19:$R$41,4,0)/'4. Billing Determinants'!$E$41*$D15,IF($E15="kW",VLOOKUP(H$4,'4. Billing Determinants'!$B$19:$R$41,5,0)/'4. Billing Determinants'!$F$41*$D15,IF($E15="Non-RPP kWh",VLOOKUP(H$4,'4. Billing Determinants'!$B$19:$R$41,6,0)/'4. Billing Determinants'!$G$41*$D15, VLOOKUP(H$4,'4. Billing Determinants'!$B$19:$AA$41,23,0)*$D15)))),0)</f>
        <v>0</v>
      </c>
      <c r="I15" s="257">
        <f>IFERROR(IF(I$4="",0,IF($E15="kWh",VLOOKUP(I$4,'4. Billing Determinants'!$B$19:$R$41,4,0)/'4. Billing Determinants'!$E$41*$D15,IF($E15="kW",VLOOKUP(I$4,'4. Billing Determinants'!$B$19:$R$41,5,0)/'4. Billing Determinants'!$F$41*$D15,IF($E15="Non-RPP kWh",VLOOKUP(I$4,'4. Billing Determinants'!$B$19:$R$41,6,0)/'4. Billing Determinants'!$G$41*$D15, VLOOKUP(I$4,'4. Billing Determinants'!$B$19:$AA$41,23,0)*$D15)))),0)</f>
        <v>0</v>
      </c>
      <c r="J15" s="257">
        <f>IFERROR(IF(J$4="",0,IF($E15="kWh",VLOOKUP(J$4,'4. Billing Determinants'!$B$19:$R$41,4,0)/'4. Billing Determinants'!$E$41*$D15,IF($E15="kW",VLOOKUP(J$4,'4. Billing Determinants'!$B$19:$R$41,5,0)/'4. Billing Determinants'!$F$41*$D15,IF($E15="Non-RPP kWh",VLOOKUP(J$4,'4. Billing Determinants'!$B$19:$R$41,6,0)/'4. Billing Determinants'!$G$41*$D15, VLOOKUP(J$4,'4. Billing Determinants'!$B$19:$AA$41,23,0)*$D15)))),0)</f>
        <v>0</v>
      </c>
      <c r="K15" s="257">
        <f>IFERROR(IF(K$4="",0,IF($E15="kWh",VLOOKUP(K$4,'4. Billing Determinants'!$B$19:$R$41,4,0)/'4. Billing Determinants'!$E$41*$D15,IF($E15="kW",VLOOKUP(K$4,'4. Billing Determinants'!$B$19:$R$41,5,0)/'4. Billing Determinants'!$F$41*$D15,IF($E15="Non-RPP kWh",VLOOKUP(K$4,'4. Billing Determinants'!$B$19:$R$41,6,0)/'4. Billing Determinants'!$G$41*$D15, VLOOKUP(K$4,'4. Billing Determinants'!$B$19:$AA$41,23,0)*$D15)))),0)</f>
        <v>0</v>
      </c>
      <c r="L15" s="257">
        <f>IFERROR(IF(L$4="",0,IF($E15="kWh",VLOOKUP(L$4,'4. Billing Determinants'!$B$19:$R$41,4,0)/'4. Billing Determinants'!$E$41*$D15,IF($E15="kW",VLOOKUP(L$4,'4. Billing Determinants'!$B$19:$R$41,5,0)/'4. Billing Determinants'!$F$41*$D15,IF($E15="Non-RPP kWh",VLOOKUP(L$4,'4. Billing Determinants'!$B$19:$R$41,6,0)/'4. Billing Determinants'!$G$41*$D15, VLOOKUP(L$4,'4. Billing Determinants'!$B$19:$AA$41,23,0)*$D15)))),0)</f>
        <v>0</v>
      </c>
      <c r="M15" s="257">
        <f>IFERROR(IF(M$4="",0,IF($E15="kWh",VLOOKUP(M$4,'4. Billing Determinants'!$B$19:$R$41,4,0)/'4. Billing Determinants'!$E$41*$D15,IF($E15="kW",VLOOKUP(M$4,'4. Billing Determinants'!$B$19:$R$41,5,0)/'4. Billing Determinants'!$F$41*$D15,IF($E15="Non-RPP kWh",VLOOKUP(M$4,'4. Billing Determinants'!$B$19:$R$41,6,0)/'4. Billing Determinants'!$G$41*$D15, VLOOKUP(M$4,'4. Billing Determinants'!$B$19:$AA$41,23,0)*$D15)))),0)</f>
        <v>0</v>
      </c>
      <c r="N15" s="257">
        <f>IFERROR(IF(N$4="",0,IF($E15="kWh",VLOOKUP(N$4,'4. Billing Determinants'!$B$19:$R$41,4,0)/'4. Billing Determinants'!$E$41*$D15,IF($E15="kW",VLOOKUP(N$4,'4. Billing Determinants'!$B$19:$R$41,5,0)/'4. Billing Determinants'!$F$41*$D15,IF($E15="Non-RPP kWh",VLOOKUP(N$4,'4. Billing Determinants'!$B$19:$R$41,6,0)/'4. Billing Determinants'!$G$41*$D15, VLOOKUP(N$4,'4. Billing Determinants'!$B$19:$AA$41,23,0)*$D15)))),0)</f>
        <v>0</v>
      </c>
      <c r="O15" s="257">
        <f>IFERROR(IF(O$4="",0,IF($E15="kWh",VLOOKUP(O$4,'4. Billing Determinants'!$B$19:$R$41,4,0)/'4. Billing Determinants'!$E$41*$D15,IF($E15="kW",VLOOKUP(O$4,'4. Billing Determinants'!$B$19:$R$41,5,0)/'4. Billing Determinants'!$F$41*$D15,IF($E15="Non-RPP kWh",VLOOKUP(O$4,'4. Billing Determinants'!$B$19:$R$41,6,0)/'4. Billing Determinants'!$G$41*$D15, VLOOKUP(O$4,'4. Billing Determinants'!$B$19:$AA$41,23,0)*$D15)))),0)</f>
        <v>0</v>
      </c>
      <c r="P15" s="257">
        <f>IFERROR(IF(P$4="",0,IF($E15="kWh",VLOOKUP(P$4,'4. Billing Determinants'!$B$19:$R$41,4,0)/'4. Billing Determinants'!$E$41*$D15,IF($E15="kW",VLOOKUP(P$4,'4. Billing Determinants'!$B$19:$R$41,5,0)/'4. Billing Determinants'!$F$41*$D15,IF($E15="Non-RPP kWh",VLOOKUP(P$4,'4. Billing Determinants'!$B$19:$R$41,6,0)/'4. Billing Determinants'!$G$41*$D15, VLOOKUP(P$4,'4. Billing Determinants'!$B$19:$AA$41,23,0)*$D15)))),0)</f>
        <v>0</v>
      </c>
      <c r="Q15" s="257">
        <f>IFERROR(IF(Q$4="",0,IF($E15="kWh",VLOOKUP(Q$4,'4. Billing Determinants'!$B$19:$R$41,4,0)/'4. Billing Determinants'!$E$41*$D15,IF($E15="kW",VLOOKUP(Q$4,'4. Billing Determinants'!$B$19:$R$41,5,0)/'4. Billing Determinants'!$F$41*$D15,IF($E15="Non-RPP kWh",VLOOKUP(Q$4,'4. Billing Determinants'!$B$19:$R$41,6,0)/'4. Billing Determinants'!$G$41*$D15, VLOOKUP(Q$4,'4. Billing Determinants'!$B$19:$AA$41,23,0)*$D15)))),0)</f>
        <v>0</v>
      </c>
      <c r="R15" s="257">
        <f>IFERROR(IF(R$4="",0,IF($E15="kWh",VLOOKUP(R$4,'4. Billing Determinants'!$B$19:$R$41,4,0)/'4. Billing Determinants'!$E$41*$D15,IF($E15="kW",VLOOKUP(R$4,'4. Billing Determinants'!$B$19:$R$41,5,0)/'4. Billing Determinants'!$F$41*$D15,IF($E15="Non-RPP kWh",VLOOKUP(R$4,'4. Billing Determinants'!$B$19:$R$41,6,0)/'4. Billing Determinants'!$G$41*$D15, VLOOKUP(R$4,'4. Billing Determinants'!$B$19:$AA$41,23,0)*$D15)))),0)</f>
        <v>0</v>
      </c>
      <c r="S15" s="257">
        <f>IFERROR(IF(S$4="",0,IF($E15="kWh",VLOOKUP(S$4,'4. Billing Determinants'!$B$19:$R$41,4,0)/'4. Billing Determinants'!$E$41*$D15,IF($E15="kW",VLOOKUP(S$4,'4. Billing Determinants'!$B$19:$R$41,5,0)/'4. Billing Determinants'!$F$41*$D15,IF($E15="Non-RPP kWh",VLOOKUP(S$4,'4. Billing Determinants'!$B$19:$R$41,6,0)/'4. Billing Determinants'!$G$41*$D15, VLOOKUP(S$4,'4. Billing Determinants'!$B$19:$AA$41,23,0)*$D15)))),0)</f>
        <v>0</v>
      </c>
      <c r="T15" s="257">
        <f>IFERROR(IF(T$4="",0,IF($E15="kWh",VLOOKUP(T$4,'4. Billing Determinants'!$B$19:$R$41,4,0)/'4. Billing Determinants'!$E$41*$D15,IF($E15="kW",VLOOKUP(T$4,'4. Billing Determinants'!$B$19:$R$41,5,0)/'4. Billing Determinants'!$F$41*$D15,IF($E15="Non-RPP kWh",VLOOKUP(T$4,'4. Billing Determinants'!$B$19:$R$41,6,0)/'4. Billing Determinants'!$G$41*$D15, VLOOKUP(T$4,'4. Billing Determinants'!$B$19:$AA$41,23,0)*$D15)))),0)</f>
        <v>0</v>
      </c>
      <c r="U15" s="257">
        <f>IFERROR(IF(U$4="",0,IF($E15="kWh",VLOOKUP(U$4,'4. Billing Determinants'!$B$19:$R$41,4,0)/'4. Billing Determinants'!$E$41*$D15,IF($E15="kW",VLOOKUP(U$4,'4. Billing Determinants'!$B$19:$R$41,5,0)/'4. Billing Determinants'!$F$41*$D15,IF($E15="Non-RPP kWh",VLOOKUP(U$4,'4. Billing Determinants'!$B$19:$R$41,6,0)/'4. Billing Determinants'!$G$41*$D15, VLOOKUP(U$4,'4. Billing Determinants'!$B$19:$AA$41,23,0)*$D15)))),0)</f>
        <v>0</v>
      </c>
      <c r="V15" s="257">
        <f>IFERROR(IF(V$4="",0,IF($E15="kWh",VLOOKUP(V$4,'4. Billing Determinants'!$B$19:$R$41,4,0)/'4. Billing Determinants'!$E$41*$D15,IF($E15="kW",VLOOKUP(V$4,'4. Billing Determinants'!$B$19:$R$41,5,0)/'4. Billing Determinants'!$F$41*$D15,IF($E15="Non-RPP kWh",VLOOKUP(V$4,'4. Billing Determinants'!$B$19:$R$41,6,0)/'4. Billing Determinants'!$G$41*$D15, VLOOKUP(V$4,'4. Billing Determinants'!$B$19:$AA$41,23,0)*$D15)))),0)</f>
        <v>0</v>
      </c>
      <c r="W15" s="257">
        <f>IFERROR(IF(W$4="",0,IF($E15="kWh",VLOOKUP(W$4,'4. Billing Determinants'!$B$19:$R$41,4,0)/'4. Billing Determinants'!$E$41*$D15,IF($E15="kW",VLOOKUP(W$4,'4. Billing Determinants'!$B$19:$R$41,5,0)/'4. Billing Determinants'!$F$41*$D15,IF($E15="Non-RPP kWh",VLOOKUP(W$4,'4. Billing Determinants'!$B$19:$R$41,6,0)/'4. Billing Determinants'!$G$41*$D15, VLOOKUP(W$4,'4. Billing Determinants'!$B$19:$AA$41,23,0)*$D15)))),0)</f>
        <v>0</v>
      </c>
      <c r="X15" s="257">
        <f>IFERROR(IF(X$4="",0,IF($E15="kWh",VLOOKUP(X$4,'4. Billing Determinants'!$B$19:$R$41,4,0)/'4. Billing Determinants'!$E$41*$D15,IF($E15="kW",VLOOKUP(X$4,'4. Billing Determinants'!$B$19:$R$41,5,0)/'4. Billing Determinants'!$F$41*$D15,IF($E15="Non-RPP kWh",VLOOKUP(X$4,'4. Billing Determinants'!$B$19:$R$41,6,0)/'4. Billing Determinants'!$G$41*$D15, VLOOKUP(X$4,'4. Billing Determinants'!$B$19:$AA$41,23,0)*$D15)))),0)</f>
        <v>0</v>
      </c>
      <c r="Y15" s="257">
        <f>IFERROR(IF(Y$4="",0,IF($E15="kWh",VLOOKUP(Y$4,'4. Billing Determinants'!$B$19:$R$41,4,0)/'4. Billing Determinants'!$E$41*$D15,IF($E15="kW",VLOOKUP(Y$4,'4. Billing Determinants'!$B$19:$R$41,5,0)/'4. Billing Determinants'!$F$41*$D15,IF($E15="Non-RPP kWh",VLOOKUP(Y$4,'4. Billing Determinants'!$B$19:$R$41,6,0)/'4. Billing Determinants'!$G$41*$D15, VLOOKUP(Y$4,'4. Billing Determinants'!$B$19:$AA$41,23,0)*$D15)))),0)</f>
        <v>0</v>
      </c>
    </row>
    <row r="16" spans="1:27" x14ac:dyDescent="0.2">
      <c r="A16" s="37">
        <v>13</v>
      </c>
      <c r="B16" s="33" t="s">
        <v>3024</v>
      </c>
      <c r="C16" s="31">
        <v>1595</v>
      </c>
      <c r="D16" s="32">
        <f>'2a. Continuity Schedule'!BT37</f>
        <v>0</v>
      </c>
      <c r="E16" s="38" t="s">
        <v>146</v>
      </c>
      <c r="F16" s="257">
        <f>IFERROR(IF(F$4="",0,IF($E16="kWh",VLOOKUP(F$4,'4. Billing Determinants'!$B$19:$R$41,4,0)/'4. Billing Determinants'!$E$41*$D16,IF($E16="kW",VLOOKUP(F$4,'4. Billing Determinants'!$B$19:$R$41,5,0)/'4. Billing Determinants'!$F$41*$D16,IF($E16="Non-RPP kWh",VLOOKUP(F$4,'4. Billing Determinants'!$B$19:$R$41,6,0)/'4. Billing Determinants'!$G$41*$D16, VLOOKUP(F$4,'4. Billing Determinants'!$B$19:$AA$41,24,0)*$D16)))),0)</f>
        <v>0</v>
      </c>
      <c r="G16" s="257">
        <f>IFERROR(IF(G$4="",0,IF($E16="kWh",VLOOKUP(G$4,'4. Billing Determinants'!$B$19:$R$41,4,0)/'4. Billing Determinants'!$E$41*$D16,IF($E16="kW",VLOOKUP(G$4,'4. Billing Determinants'!$B$19:$R$41,5,0)/'4. Billing Determinants'!$F$41*$D16,IF($E16="Non-RPP kWh",VLOOKUP(G$4,'4. Billing Determinants'!$B$19:$R$41,6,0)/'4. Billing Determinants'!$G$41*$D16, VLOOKUP(G$4,'4. Billing Determinants'!$B$19:$AA$41,24,0)*$D16)))),0)</f>
        <v>0</v>
      </c>
      <c r="H16" s="257">
        <f>IFERROR(IF(H$4="",0,IF($E16="kWh",VLOOKUP(H$4,'4. Billing Determinants'!$B$19:$R$41,4,0)/'4. Billing Determinants'!$E$41*$D16,IF($E16="kW",VLOOKUP(H$4,'4. Billing Determinants'!$B$19:$R$41,5,0)/'4. Billing Determinants'!$F$41*$D16,IF($E16="Non-RPP kWh",VLOOKUP(H$4,'4. Billing Determinants'!$B$19:$R$41,6,0)/'4. Billing Determinants'!$G$41*$D16, VLOOKUP(H$4,'4. Billing Determinants'!$B$19:$AA$41,24,0)*$D16)))),0)</f>
        <v>0</v>
      </c>
      <c r="I16" s="257">
        <f>IFERROR(IF(I$4="",0,IF($E16="kWh",VLOOKUP(I$4,'4. Billing Determinants'!$B$19:$R$41,4,0)/'4. Billing Determinants'!$E$41*$D16,IF($E16="kW",VLOOKUP(I$4,'4. Billing Determinants'!$B$19:$R$41,5,0)/'4. Billing Determinants'!$F$41*$D16,IF($E16="Non-RPP kWh",VLOOKUP(I$4,'4. Billing Determinants'!$B$19:$R$41,6,0)/'4. Billing Determinants'!$G$41*$D16, VLOOKUP(I$4,'4. Billing Determinants'!$B$19:$AA$41,24,0)*$D16)))),0)</f>
        <v>0</v>
      </c>
      <c r="J16" s="257">
        <f>IFERROR(IF(J$4="",0,IF($E16="kWh",VLOOKUP(J$4,'4. Billing Determinants'!$B$19:$R$41,4,0)/'4. Billing Determinants'!$E$41*$D16,IF($E16="kW",VLOOKUP(J$4,'4. Billing Determinants'!$B$19:$R$41,5,0)/'4. Billing Determinants'!$F$41*$D16,IF($E16="Non-RPP kWh",VLOOKUP(J$4,'4. Billing Determinants'!$B$19:$R$41,6,0)/'4. Billing Determinants'!$G$41*$D16, VLOOKUP(J$4,'4. Billing Determinants'!$B$19:$AA$41,24,0)*$D16)))),0)</f>
        <v>0</v>
      </c>
      <c r="K16" s="257">
        <f>IFERROR(IF(K$4="",0,IF($E16="kWh",VLOOKUP(K$4,'4. Billing Determinants'!$B$19:$R$41,4,0)/'4. Billing Determinants'!$E$41*$D16,IF($E16="kW",VLOOKUP(K$4,'4. Billing Determinants'!$B$19:$R$41,5,0)/'4. Billing Determinants'!$F$41*$D16,IF($E16="Non-RPP kWh",VLOOKUP(K$4,'4. Billing Determinants'!$B$19:$R$41,6,0)/'4. Billing Determinants'!$G$41*$D16, VLOOKUP(K$4,'4. Billing Determinants'!$B$19:$AA$41,24,0)*$D16)))),0)</f>
        <v>0</v>
      </c>
      <c r="L16" s="257">
        <f>IFERROR(IF(L$4="",0,IF($E16="kWh",VLOOKUP(L$4,'4. Billing Determinants'!$B$19:$R$41,4,0)/'4. Billing Determinants'!$E$41*$D16,IF($E16="kW",VLOOKUP(L$4,'4. Billing Determinants'!$B$19:$R$41,5,0)/'4. Billing Determinants'!$F$41*$D16,IF($E16="Non-RPP kWh",VLOOKUP(L$4,'4. Billing Determinants'!$B$19:$R$41,6,0)/'4. Billing Determinants'!$G$41*$D16, VLOOKUP(L$4,'4. Billing Determinants'!$B$19:$AA$41,24,0)*$D16)))),0)</f>
        <v>0</v>
      </c>
      <c r="M16" s="257">
        <f>IFERROR(IF(M$4="",0,IF($E16="kWh",VLOOKUP(M$4,'4. Billing Determinants'!$B$19:$R$41,4,0)/'4. Billing Determinants'!$E$41*$D16,IF($E16="kW",VLOOKUP(M$4,'4. Billing Determinants'!$B$19:$R$41,5,0)/'4. Billing Determinants'!$F$41*$D16,IF($E16="Non-RPP kWh",VLOOKUP(M$4,'4. Billing Determinants'!$B$19:$R$41,6,0)/'4. Billing Determinants'!$G$41*$D16, VLOOKUP(M$4,'4. Billing Determinants'!$B$19:$AA$41,24,0)*$D16)))),0)</f>
        <v>0</v>
      </c>
      <c r="N16" s="257">
        <f>IFERROR(IF(N$4="",0,IF($E16="kWh",VLOOKUP(N$4,'4. Billing Determinants'!$B$19:$R$41,4,0)/'4. Billing Determinants'!$E$41*$D16,IF($E16="kW",VLOOKUP(N$4,'4. Billing Determinants'!$B$19:$R$41,5,0)/'4. Billing Determinants'!$F$41*$D16,IF($E16="Non-RPP kWh",VLOOKUP(N$4,'4. Billing Determinants'!$B$19:$R$41,6,0)/'4. Billing Determinants'!$G$41*$D16, VLOOKUP(N$4,'4. Billing Determinants'!$B$19:$AA$41,24,0)*$D16)))),0)</f>
        <v>0</v>
      </c>
      <c r="O16" s="257">
        <f>IFERROR(IF(O$4="",0,IF($E16="kWh",VLOOKUP(O$4,'4. Billing Determinants'!$B$19:$R$41,4,0)/'4. Billing Determinants'!$E$41*$D16,IF($E16="kW",VLOOKUP(O$4,'4. Billing Determinants'!$B$19:$R$41,5,0)/'4. Billing Determinants'!$F$41*$D16,IF($E16="Non-RPP kWh",VLOOKUP(O$4,'4. Billing Determinants'!$B$19:$R$41,6,0)/'4. Billing Determinants'!$G$41*$D16, VLOOKUP(O$4,'4. Billing Determinants'!$B$19:$AA$41,24,0)*$D16)))),0)</f>
        <v>0</v>
      </c>
      <c r="P16" s="257">
        <f>IFERROR(IF(P$4="",0,IF($E16="kWh",VLOOKUP(P$4,'4. Billing Determinants'!$B$19:$R$41,4,0)/'4. Billing Determinants'!$E$41*$D16,IF($E16="kW",VLOOKUP(P$4,'4. Billing Determinants'!$B$19:$R$41,5,0)/'4. Billing Determinants'!$F$41*$D16,IF($E16="Non-RPP kWh",VLOOKUP(P$4,'4. Billing Determinants'!$B$19:$R$41,6,0)/'4. Billing Determinants'!$G$41*$D16, VLOOKUP(P$4,'4. Billing Determinants'!$B$19:$AA$41,24,0)*$D16)))),0)</f>
        <v>0</v>
      </c>
      <c r="Q16" s="257">
        <f>IFERROR(IF(Q$4="",0,IF($E16="kWh",VLOOKUP(Q$4,'4. Billing Determinants'!$B$19:$R$41,4,0)/'4. Billing Determinants'!$E$41*$D16,IF($E16="kW",VLOOKUP(Q$4,'4. Billing Determinants'!$B$19:$R$41,5,0)/'4. Billing Determinants'!$F$41*$D16,IF($E16="Non-RPP kWh",VLOOKUP(Q$4,'4. Billing Determinants'!$B$19:$R$41,6,0)/'4. Billing Determinants'!$G$41*$D16, VLOOKUP(Q$4,'4. Billing Determinants'!$B$19:$AA$41,24,0)*$D16)))),0)</f>
        <v>0</v>
      </c>
      <c r="R16" s="257">
        <f>IFERROR(IF(R$4="",0,IF($E16="kWh",VLOOKUP(R$4,'4. Billing Determinants'!$B$19:$R$41,4,0)/'4. Billing Determinants'!$E$41*$D16,IF($E16="kW",VLOOKUP(R$4,'4. Billing Determinants'!$B$19:$R$41,5,0)/'4. Billing Determinants'!$F$41*$D16,IF($E16="Non-RPP kWh",VLOOKUP(R$4,'4. Billing Determinants'!$B$19:$R$41,6,0)/'4. Billing Determinants'!$G$41*$D16, VLOOKUP(R$4,'4. Billing Determinants'!$B$19:$AA$41,24,0)*$D16)))),0)</f>
        <v>0</v>
      </c>
      <c r="S16" s="257">
        <f>IFERROR(IF(S$4="",0,IF($E16="kWh",VLOOKUP(S$4,'4. Billing Determinants'!$B$19:$R$41,4,0)/'4. Billing Determinants'!$E$41*$D16,IF($E16="kW",VLOOKUP(S$4,'4. Billing Determinants'!$B$19:$R$41,5,0)/'4. Billing Determinants'!$F$41*$D16,IF($E16="Non-RPP kWh",VLOOKUP(S$4,'4. Billing Determinants'!$B$19:$R$41,6,0)/'4. Billing Determinants'!$G$41*$D16, VLOOKUP(S$4,'4. Billing Determinants'!$B$19:$AA$41,24,0)*$D16)))),0)</f>
        <v>0</v>
      </c>
      <c r="T16" s="257">
        <f>IFERROR(IF(T$4="",0,IF($E16="kWh",VLOOKUP(T$4,'4. Billing Determinants'!$B$19:$R$41,4,0)/'4. Billing Determinants'!$E$41*$D16,IF($E16="kW",VLOOKUP(T$4,'4. Billing Determinants'!$B$19:$R$41,5,0)/'4. Billing Determinants'!$F$41*$D16,IF($E16="Non-RPP kWh",VLOOKUP(T$4,'4. Billing Determinants'!$B$19:$R$41,6,0)/'4. Billing Determinants'!$G$41*$D16, VLOOKUP(T$4,'4. Billing Determinants'!$B$19:$AA$41,24,0)*$D16)))),0)</f>
        <v>0</v>
      </c>
      <c r="U16" s="257">
        <f>IFERROR(IF(U$4="",0,IF($E16="kWh",VLOOKUP(U$4,'4. Billing Determinants'!$B$19:$R$41,4,0)/'4. Billing Determinants'!$E$41*$D16,IF($E16="kW",VLOOKUP(U$4,'4. Billing Determinants'!$B$19:$R$41,5,0)/'4. Billing Determinants'!$F$41*$D16,IF($E16="Non-RPP kWh",VLOOKUP(U$4,'4. Billing Determinants'!$B$19:$R$41,6,0)/'4. Billing Determinants'!$G$41*$D16, VLOOKUP(U$4,'4. Billing Determinants'!$B$19:$AA$41,24,0)*$D16)))),0)</f>
        <v>0</v>
      </c>
      <c r="V16" s="257">
        <f>IFERROR(IF(V$4="",0,IF($E16="kWh",VLOOKUP(V$4,'4. Billing Determinants'!$B$19:$R$41,4,0)/'4. Billing Determinants'!$E$41*$D16,IF($E16="kW",VLOOKUP(V$4,'4. Billing Determinants'!$B$19:$R$41,5,0)/'4. Billing Determinants'!$F$41*$D16,IF($E16="Non-RPP kWh",VLOOKUP(V$4,'4. Billing Determinants'!$B$19:$R$41,6,0)/'4. Billing Determinants'!$G$41*$D16, VLOOKUP(V$4,'4. Billing Determinants'!$B$19:$AA$41,24,0)*$D16)))),0)</f>
        <v>0</v>
      </c>
      <c r="W16" s="257">
        <f>IFERROR(IF(W$4="",0,IF($E16="kWh",VLOOKUP(W$4,'4. Billing Determinants'!$B$19:$R$41,4,0)/'4. Billing Determinants'!$E$41*$D16,IF($E16="kW",VLOOKUP(W$4,'4. Billing Determinants'!$B$19:$R$41,5,0)/'4. Billing Determinants'!$F$41*$D16,IF($E16="Non-RPP kWh",VLOOKUP(W$4,'4. Billing Determinants'!$B$19:$R$41,6,0)/'4. Billing Determinants'!$G$41*$D16, VLOOKUP(W$4,'4. Billing Determinants'!$B$19:$AA$41,24,0)*$D16)))),0)</f>
        <v>0</v>
      </c>
      <c r="X16" s="257">
        <f>IFERROR(IF(X$4="",0,IF($E16="kWh",VLOOKUP(X$4,'4. Billing Determinants'!$B$19:$R$41,4,0)/'4. Billing Determinants'!$E$41*$D16,IF($E16="kW",VLOOKUP(X$4,'4. Billing Determinants'!$B$19:$R$41,5,0)/'4. Billing Determinants'!$F$41*$D16,IF($E16="Non-RPP kWh",VLOOKUP(X$4,'4. Billing Determinants'!$B$19:$R$41,6,0)/'4. Billing Determinants'!$G$41*$D16, VLOOKUP(X$4,'4. Billing Determinants'!$B$19:$AA$41,24,0)*$D16)))),0)</f>
        <v>0</v>
      </c>
      <c r="Y16" s="257">
        <f>IFERROR(IF(Y$4="",0,IF($E16="kWh",VLOOKUP(Y$4,'4. Billing Determinants'!$B$19:$R$41,4,0)/'4. Billing Determinants'!$E$41*$D16,IF($E16="kW",VLOOKUP(Y$4,'4. Billing Determinants'!$B$19:$R$41,5,0)/'4. Billing Determinants'!$F$41*$D16,IF($E16="Non-RPP kWh",VLOOKUP(Y$4,'4. Billing Determinants'!$B$19:$R$41,6,0)/'4. Billing Determinants'!$G$41*$D16, VLOOKUP(Y$4,'4. Billing Determinants'!$B$19:$AA$41,24,0)*$D16)))),0)</f>
        <v>0</v>
      </c>
    </row>
    <row r="17" spans="1:25" x14ac:dyDescent="0.2">
      <c r="A17" s="37">
        <v>14</v>
      </c>
      <c r="B17" s="33" t="s">
        <v>3066</v>
      </c>
      <c r="C17" s="31">
        <v>1595</v>
      </c>
      <c r="D17" s="32">
        <f>'2a. Continuity Schedule'!BT38</f>
        <v>0</v>
      </c>
      <c r="E17" s="38" t="s">
        <v>146</v>
      </c>
      <c r="F17" s="257">
        <f>IFERROR(IF(F$4="",0,IF($E17="kWh",VLOOKUP(F$4,'4. Billing Determinants'!$B$19:$R$41,4,0)/'4. Billing Determinants'!$E$41*$D17,IF($E17="kW",VLOOKUP(F$4,'4. Billing Determinants'!$B$19:$R$41,5,0)/'4. Billing Determinants'!$F$41*$D17,IF($E17="Non-RPP kWh",VLOOKUP(F$4,'4. Billing Determinants'!$B$19:$R$41,6,0)/'4. Billing Determinants'!$G$41*$D17, VLOOKUP(F$4,'4. Billing Determinants'!$B$19:$AA$41,25,0)*$D17)))),0)</f>
        <v>0</v>
      </c>
      <c r="G17" s="257">
        <f>IFERROR(IF(G$4="",0,IF($E17="kWh",VLOOKUP(G$4,'4. Billing Determinants'!$B$19:$R$41,4,0)/'4. Billing Determinants'!$E$41*$D17,IF($E17="kW",VLOOKUP(G$4,'4. Billing Determinants'!$B$19:$R$41,5,0)/'4. Billing Determinants'!$F$41*$D17,IF($E17="Non-RPP kWh",VLOOKUP(G$4,'4. Billing Determinants'!$B$19:$R$41,6,0)/'4. Billing Determinants'!$G$41*$D17, VLOOKUP(G$4,'4. Billing Determinants'!$B$19:$AA$41,25,0)*$D17)))),0)</f>
        <v>0</v>
      </c>
      <c r="H17" s="257">
        <f>IFERROR(IF(H$4="",0,IF($E17="kWh",VLOOKUP(H$4,'4. Billing Determinants'!$B$19:$R$41,4,0)/'4. Billing Determinants'!$E$41*$D17,IF($E17="kW",VLOOKUP(H$4,'4. Billing Determinants'!$B$19:$R$41,5,0)/'4. Billing Determinants'!$F$41*$D17,IF($E17="Non-RPP kWh",VLOOKUP(H$4,'4. Billing Determinants'!$B$19:$R$41,6,0)/'4. Billing Determinants'!$G$41*$D17, VLOOKUP(H$4,'4. Billing Determinants'!$B$19:$AA$41,25,0)*$D17)))),0)</f>
        <v>0</v>
      </c>
      <c r="I17" s="257">
        <f>IFERROR(IF(I$4="",0,IF($E17="kWh",VLOOKUP(I$4,'4. Billing Determinants'!$B$19:$R$41,4,0)/'4. Billing Determinants'!$E$41*$D17,IF($E17="kW",VLOOKUP(I$4,'4. Billing Determinants'!$B$19:$R$41,5,0)/'4. Billing Determinants'!$F$41*$D17,IF($E17="Non-RPP kWh",VLOOKUP(I$4,'4. Billing Determinants'!$B$19:$R$41,6,0)/'4. Billing Determinants'!$G$41*$D17, VLOOKUP(I$4,'4. Billing Determinants'!$B$19:$AA$41,25,0)*$D17)))),0)</f>
        <v>0</v>
      </c>
      <c r="J17" s="257">
        <f>IFERROR(IF(J$4="",0,IF($E17="kWh",VLOOKUP(J$4,'4. Billing Determinants'!$B$19:$R$41,4,0)/'4. Billing Determinants'!$E$41*$D17,IF($E17="kW",VLOOKUP(J$4,'4. Billing Determinants'!$B$19:$R$41,5,0)/'4. Billing Determinants'!$F$41*$D17,IF($E17="Non-RPP kWh",VLOOKUP(J$4,'4. Billing Determinants'!$B$19:$R$41,6,0)/'4. Billing Determinants'!$G$41*$D17, VLOOKUP(J$4,'4. Billing Determinants'!$B$19:$AA$41,25,0)*$D17)))),0)</f>
        <v>0</v>
      </c>
      <c r="K17" s="257">
        <f>IFERROR(IF(K$4="",0,IF($E17="kWh",VLOOKUP(K$4,'4. Billing Determinants'!$B$19:$R$41,4,0)/'4. Billing Determinants'!$E$41*$D17,IF($E17="kW",VLOOKUP(K$4,'4. Billing Determinants'!$B$19:$R$41,5,0)/'4. Billing Determinants'!$F$41*$D17,IF($E17="Non-RPP kWh",VLOOKUP(K$4,'4. Billing Determinants'!$B$19:$R$41,6,0)/'4. Billing Determinants'!$G$41*$D17, VLOOKUP(K$4,'4. Billing Determinants'!$B$19:$AA$41,25,0)*$D17)))),0)</f>
        <v>0</v>
      </c>
      <c r="L17" s="257">
        <f>IFERROR(IF(L$4="",0,IF($E17="kWh",VLOOKUP(L$4,'4. Billing Determinants'!$B$19:$R$41,4,0)/'4. Billing Determinants'!$E$41*$D17,IF($E17="kW",VLOOKUP(L$4,'4. Billing Determinants'!$B$19:$R$41,5,0)/'4. Billing Determinants'!$F$41*$D17,IF($E17="Non-RPP kWh",VLOOKUP(L$4,'4. Billing Determinants'!$B$19:$R$41,6,0)/'4. Billing Determinants'!$G$41*$D17, VLOOKUP(L$4,'4. Billing Determinants'!$B$19:$AA$41,25,0)*$D17)))),0)</f>
        <v>0</v>
      </c>
      <c r="M17" s="257">
        <f>IFERROR(IF(M$4="",0,IF($E17="kWh",VLOOKUP(M$4,'4. Billing Determinants'!$B$19:$R$41,4,0)/'4. Billing Determinants'!$E$41*$D17,IF($E17="kW",VLOOKUP(M$4,'4. Billing Determinants'!$B$19:$R$41,5,0)/'4. Billing Determinants'!$F$41*$D17,IF($E17="Non-RPP kWh",VLOOKUP(M$4,'4. Billing Determinants'!$B$19:$R$41,6,0)/'4. Billing Determinants'!$G$41*$D17, VLOOKUP(M$4,'4. Billing Determinants'!$B$19:$AA$41,25,0)*$D17)))),0)</f>
        <v>0</v>
      </c>
      <c r="N17" s="257">
        <f>IFERROR(IF(N$4="",0,IF($E17="kWh",VLOOKUP(N$4,'4. Billing Determinants'!$B$19:$R$41,4,0)/'4. Billing Determinants'!$E$41*$D17,IF($E17="kW",VLOOKUP(N$4,'4. Billing Determinants'!$B$19:$R$41,5,0)/'4. Billing Determinants'!$F$41*$D17,IF($E17="Non-RPP kWh",VLOOKUP(N$4,'4. Billing Determinants'!$B$19:$R$41,6,0)/'4. Billing Determinants'!$G$41*$D17, VLOOKUP(N$4,'4. Billing Determinants'!$B$19:$AA$41,25,0)*$D17)))),0)</f>
        <v>0</v>
      </c>
      <c r="O17" s="257">
        <f>IFERROR(IF(O$4="",0,IF($E17="kWh",VLOOKUP(O$4,'4. Billing Determinants'!$B$19:$R$41,4,0)/'4. Billing Determinants'!$E$41*$D17,IF($E17="kW",VLOOKUP(O$4,'4. Billing Determinants'!$B$19:$R$41,5,0)/'4. Billing Determinants'!$F$41*$D17,IF($E17="Non-RPP kWh",VLOOKUP(O$4,'4. Billing Determinants'!$B$19:$R$41,6,0)/'4. Billing Determinants'!$G$41*$D17, VLOOKUP(O$4,'4. Billing Determinants'!$B$19:$AA$41,25,0)*$D17)))),0)</f>
        <v>0</v>
      </c>
      <c r="P17" s="257">
        <f>IFERROR(IF(P$4="",0,IF($E17="kWh",VLOOKUP(P$4,'4. Billing Determinants'!$B$19:$R$41,4,0)/'4. Billing Determinants'!$E$41*$D17,IF($E17="kW",VLOOKUP(P$4,'4. Billing Determinants'!$B$19:$R$41,5,0)/'4. Billing Determinants'!$F$41*$D17,IF($E17="Non-RPP kWh",VLOOKUP(P$4,'4. Billing Determinants'!$B$19:$R$41,6,0)/'4. Billing Determinants'!$G$41*$D17, VLOOKUP(P$4,'4. Billing Determinants'!$B$19:$AA$41,25,0)*$D17)))),0)</f>
        <v>0</v>
      </c>
      <c r="Q17" s="257">
        <f>IFERROR(IF(Q$4="",0,IF($E17="kWh",VLOOKUP(Q$4,'4. Billing Determinants'!$B$19:$R$41,4,0)/'4. Billing Determinants'!$E$41*$D17,IF($E17="kW",VLOOKUP(Q$4,'4. Billing Determinants'!$B$19:$R$41,5,0)/'4. Billing Determinants'!$F$41*$D17,IF($E17="Non-RPP kWh",VLOOKUP(Q$4,'4. Billing Determinants'!$B$19:$R$41,6,0)/'4. Billing Determinants'!$G$41*$D17, VLOOKUP(Q$4,'4. Billing Determinants'!$B$19:$AA$41,25,0)*$D17)))),0)</f>
        <v>0</v>
      </c>
      <c r="R17" s="257">
        <f>IFERROR(IF(R$4="",0,IF($E17="kWh",VLOOKUP(R$4,'4. Billing Determinants'!$B$19:$R$41,4,0)/'4. Billing Determinants'!$E$41*$D17,IF($E17="kW",VLOOKUP(R$4,'4. Billing Determinants'!$B$19:$R$41,5,0)/'4. Billing Determinants'!$F$41*$D17,IF($E17="Non-RPP kWh",VLOOKUP(R$4,'4. Billing Determinants'!$B$19:$R$41,6,0)/'4. Billing Determinants'!$G$41*$D17, VLOOKUP(R$4,'4. Billing Determinants'!$B$19:$AA$41,25,0)*$D17)))),0)</f>
        <v>0</v>
      </c>
      <c r="S17" s="257">
        <f>IFERROR(IF(S$4="",0,IF($E17="kWh",VLOOKUP(S$4,'4. Billing Determinants'!$B$19:$R$41,4,0)/'4. Billing Determinants'!$E$41*$D17,IF($E17="kW",VLOOKUP(S$4,'4. Billing Determinants'!$B$19:$R$41,5,0)/'4. Billing Determinants'!$F$41*$D17,IF($E17="Non-RPP kWh",VLOOKUP(S$4,'4. Billing Determinants'!$B$19:$R$41,6,0)/'4. Billing Determinants'!$G$41*$D17, VLOOKUP(S$4,'4. Billing Determinants'!$B$19:$AA$41,25,0)*$D17)))),0)</f>
        <v>0</v>
      </c>
      <c r="T17" s="257">
        <f>IFERROR(IF(T$4="",0,IF($E17="kWh",VLOOKUP(T$4,'4. Billing Determinants'!$B$19:$R$41,4,0)/'4. Billing Determinants'!$E$41*$D17,IF($E17="kW",VLOOKUP(T$4,'4. Billing Determinants'!$B$19:$R$41,5,0)/'4. Billing Determinants'!$F$41*$D17,IF($E17="Non-RPP kWh",VLOOKUP(T$4,'4. Billing Determinants'!$B$19:$R$41,6,0)/'4. Billing Determinants'!$G$41*$D17, VLOOKUP(T$4,'4. Billing Determinants'!$B$19:$AA$41,25,0)*$D17)))),0)</f>
        <v>0</v>
      </c>
      <c r="U17" s="257">
        <f>IFERROR(IF(U$4="",0,IF($E17="kWh",VLOOKUP(U$4,'4. Billing Determinants'!$B$19:$R$41,4,0)/'4. Billing Determinants'!$E$41*$D17,IF($E17="kW",VLOOKUP(U$4,'4. Billing Determinants'!$B$19:$R$41,5,0)/'4. Billing Determinants'!$F$41*$D17,IF($E17="Non-RPP kWh",VLOOKUP(U$4,'4. Billing Determinants'!$B$19:$R$41,6,0)/'4. Billing Determinants'!$G$41*$D17, VLOOKUP(U$4,'4. Billing Determinants'!$B$19:$AA$41,25,0)*$D17)))),0)</f>
        <v>0</v>
      </c>
      <c r="V17" s="257">
        <f>IFERROR(IF(V$4="",0,IF($E17="kWh",VLOOKUP(V$4,'4. Billing Determinants'!$B$19:$R$41,4,0)/'4. Billing Determinants'!$E$41*$D17,IF($E17="kW",VLOOKUP(V$4,'4. Billing Determinants'!$B$19:$R$41,5,0)/'4. Billing Determinants'!$F$41*$D17,IF($E17="Non-RPP kWh",VLOOKUP(V$4,'4. Billing Determinants'!$B$19:$R$41,6,0)/'4. Billing Determinants'!$G$41*$D17, VLOOKUP(V$4,'4. Billing Determinants'!$B$19:$AA$41,25,0)*$D17)))),0)</f>
        <v>0</v>
      </c>
      <c r="W17" s="257">
        <f>IFERROR(IF(W$4="",0,IF($E17="kWh",VLOOKUP(W$4,'4. Billing Determinants'!$B$19:$R$41,4,0)/'4. Billing Determinants'!$E$41*$D17,IF($E17="kW",VLOOKUP(W$4,'4. Billing Determinants'!$B$19:$R$41,5,0)/'4. Billing Determinants'!$F$41*$D17,IF($E17="Non-RPP kWh",VLOOKUP(W$4,'4. Billing Determinants'!$B$19:$R$41,6,0)/'4. Billing Determinants'!$G$41*$D17, VLOOKUP(W$4,'4. Billing Determinants'!$B$19:$AA$41,25,0)*$D17)))),0)</f>
        <v>0</v>
      </c>
      <c r="X17" s="257">
        <f>IFERROR(IF(X$4="",0,IF($E17="kWh",VLOOKUP(X$4,'4. Billing Determinants'!$B$19:$R$41,4,0)/'4. Billing Determinants'!$E$41*$D17,IF($E17="kW",VLOOKUP(X$4,'4. Billing Determinants'!$B$19:$R$41,5,0)/'4. Billing Determinants'!$F$41*$D17,IF($E17="Non-RPP kWh",VLOOKUP(X$4,'4. Billing Determinants'!$B$19:$R$41,6,0)/'4. Billing Determinants'!$G$41*$D17, VLOOKUP(X$4,'4. Billing Determinants'!$B$19:$AA$41,25,0)*$D17)))),0)</f>
        <v>0</v>
      </c>
      <c r="Y17" s="257">
        <f>IFERROR(IF(Y$4="",0,IF($E17="kWh",VLOOKUP(Y$4,'4. Billing Determinants'!$B$19:$R$41,4,0)/'4. Billing Determinants'!$E$41*$D17,IF($E17="kW",VLOOKUP(Y$4,'4. Billing Determinants'!$B$19:$R$41,5,0)/'4. Billing Determinants'!$F$41*$D17,IF($E17="Non-RPP kWh",VLOOKUP(Y$4,'4. Billing Determinants'!$B$19:$R$41,6,0)/'4. Billing Determinants'!$G$41*$D17, VLOOKUP(Y$4,'4. Billing Determinants'!$B$19:$AA$41,25,0)*$D17)))),0)</f>
        <v>0</v>
      </c>
    </row>
    <row r="18" spans="1:25" x14ac:dyDescent="0.2">
      <c r="A18" s="37">
        <v>15</v>
      </c>
      <c r="B18" s="33" t="s">
        <v>3071</v>
      </c>
      <c r="C18" s="31">
        <v>1595</v>
      </c>
      <c r="D18" s="32">
        <f>'2a. Continuity Schedule'!BT39</f>
        <v>0</v>
      </c>
      <c r="E18" s="38" t="s">
        <v>146</v>
      </c>
      <c r="F18" s="257">
        <f>IFERROR(IF(F$4="",0,IF($E18="kWh",VLOOKUP(F$4,'4. Billing Determinants'!$B$19:$R$41,4,0)/'4. Billing Determinants'!$E$41*$D18,IF($E18="kW",VLOOKUP(F$4,'4. Billing Determinants'!$B$19:$R$41,5,0)/'4. Billing Determinants'!$F$41*$D18,IF($E18="Non-RPP kWh",VLOOKUP(F$4,'4. Billing Determinants'!$B$19:$R$41,6,0)/'4. Billing Determinants'!$G$41*$D18, VLOOKUP(F$4,'4. Billing Determinants'!$B$19:$AA$41,26,0)*$D18)))),0)</f>
        <v>0</v>
      </c>
      <c r="G18" s="257">
        <f>IFERROR(IF(G$4="",0,IF($E18="kWh",VLOOKUP(G$4,'4. Billing Determinants'!$B$19:$R$41,4,0)/'4. Billing Determinants'!$E$41*$D18,IF($E18="kW",VLOOKUP(G$4,'4. Billing Determinants'!$B$19:$R$41,5,0)/'4. Billing Determinants'!$F$41*$D18,IF($E18="Non-RPP kWh",VLOOKUP(G$4,'4. Billing Determinants'!$B$19:$R$41,6,0)/'4. Billing Determinants'!$G$41*$D18, VLOOKUP(G$4,'4. Billing Determinants'!$B$19:$AA$41,26,0)*$D18)))),0)</f>
        <v>0</v>
      </c>
      <c r="H18" s="257">
        <f>IFERROR(IF(H$4="",0,IF($E18="kWh",VLOOKUP(H$4,'4. Billing Determinants'!$B$19:$R$41,4,0)/'4. Billing Determinants'!$E$41*$D18,IF($E18="kW",VLOOKUP(H$4,'4. Billing Determinants'!$B$19:$R$41,5,0)/'4. Billing Determinants'!$F$41*$D18,IF($E18="Non-RPP kWh",VLOOKUP(H$4,'4. Billing Determinants'!$B$19:$R$41,6,0)/'4. Billing Determinants'!$G$41*$D18, VLOOKUP(H$4,'4. Billing Determinants'!$B$19:$AA$41,26,0)*$D18)))),0)</f>
        <v>0</v>
      </c>
      <c r="I18" s="257">
        <f>IFERROR(IF(I$4="",0,IF($E18="kWh",VLOOKUP(I$4,'4. Billing Determinants'!$B$19:$R$41,4,0)/'4. Billing Determinants'!$E$41*$D18,IF($E18="kW",VLOOKUP(I$4,'4. Billing Determinants'!$B$19:$R$41,5,0)/'4. Billing Determinants'!$F$41*$D18,IF($E18="Non-RPP kWh",VLOOKUP(I$4,'4. Billing Determinants'!$B$19:$R$41,6,0)/'4. Billing Determinants'!$G$41*$D18, VLOOKUP(I$4,'4. Billing Determinants'!$B$19:$AA$41,26,0)*$D18)))),0)</f>
        <v>0</v>
      </c>
      <c r="J18" s="257">
        <f>IFERROR(IF(J$4="",0,IF($E18="kWh",VLOOKUP(J$4,'4. Billing Determinants'!$B$19:$R$41,4,0)/'4. Billing Determinants'!$E$41*$D18,IF($E18="kW",VLOOKUP(J$4,'4. Billing Determinants'!$B$19:$R$41,5,0)/'4. Billing Determinants'!$F$41*$D18,IF($E18="Non-RPP kWh",VLOOKUP(J$4,'4. Billing Determinants'!$B$19:$R$41,6,0)/'4. Billing Determinants'!$G$41*$D18, VLOOKUP(J$4,'4. Billing Determinants'!$B$19:$AA$41,26,0)*$D18)))),0)</f>
        <v>0</v>
      </c>
      <c r="K18" s="257">
        <f>IFERROR(IF(K$4="",0,IF($E18="kWh",VLOOKUP(K$4,'4. Billing Determinants'!$B$19:$R$41,4,0)/'4. Billing Determinants'!$E$41*$D18,IF($E18="kW",VLOOKUP(K$4,'4. Billing Determinants'!$B$19:$R$41,5,0)/'4. Billing Determinants'!$F$41*$D18,IF($E18="Non-RPP kWh",VLOOKUP(K$4,'4. Billing Determinants'!$B$19:$R$41,6,0)/'4. Billing Determinants'!$G$41*$D18, VLOOKUP(K$4,'4. Billing Determinants'!$B$19:$AA$41,26,0)*$D18)))),0)</f>
        <v>0</v>
      </c>
      <c r="L18" s="257">
        <f>IFERROR(IF(L$4="",0,IF($E18="kWh",VLOOKUP(L$4,'4. Billing Determinants'!$B$19:$R$41,4,0)/'4. Billing Determinants'!$E$41*$D18,IF($E18="kW",VLOOKUP(L$4,'4. Billing Determinants'!$B$19:$R$41,5,0)/'4. Billing Determinants'!$F$41*$D18,IF($E18="Non-RPP kWh",VLOOKUP(L$4,'4. Billing Determinants'!$B$19:$R$41,6,0)/'4. Billing Determinants'!$G$41*$D18, VLOOKUP(L$4,'4. Billing Determinants'!$B$19:$AA$41,26,0)*$D18)))),0)</f>
        <v>0</v>
      </c>
      <c r="M18" s="257">
        <f>IFERROR(IF(M$4="",0,IF($E18="kWh",VLOOKUP(M$4,'4. Billing Determinants'!$B$19:$R$41,4,0)/'4. Billing Determinants'!$E$41*$D18,IF($E18="kW",VLOOKUP(M$4,'4. Billing Determinants'!$B$19:$R$41,5,0)/'4. Billing Determinants'!$F$41*$D18,IF($E18="Non-RPP kWh",VLOOKUP(M$4,'4. Billing Determinants'!$B$19:$R$41,6,0)/'4. Billing Determinants'!$G$41*$D18, VLOOKUP(M$4,'4. Billing Determinants'!$B$19:$AA$41,26,0)*$D18)))),0)</f>
        <v>0</v>
      </c>
      <c r="N18" s="257">
        <f>IFERROR(IF(N$4="",0,IF($E18="kWh",VLOOKUP(N$4,'4. Billing Determinants'!$B$19:$R$41,4,0)/'4. Billing Determinants'!$E$41*$D18,IF($E18="kW",VLOOKUP(N$4,'4. Billing Determinants'!$B$19:$R$41,5,0)/'4. Billing Determinants'!$F$41*$D18,IF($E18="Non-RPP kWh",VLOOKUP(N$4,'4. Billing Determinants'!$B$19:$R$41,6,0)/'4. Billing Determinants'!$G$41*$D18, VLOOKUP(N$4,'4. Billing Determinants'!$B$19:$AA$41,26,0)*$D18)))),0)</f>
        <v>0</v>
      </c>
      <c r="O18" s="257">
        <f>IFERROR(IF(O$4="",0,IF($E18="kWh",VLOOKUP(O$4,'4. Billing Determinants'!$B$19:$R$41,4,0)/'4. Billing Determinants'!$E$41*$D18,IF($E18="kW",VLOOKUP(O$4,'4. Billing Determinants'!$B$19:$R$41,5,0)/'4. Billing Determinants'!$F$41*$D18,IF($E18="Non-RPP kWh",VLOOKUP(O$4,'4. Billing Determinants'!$B$19:$R$41,6,0)/'4. Billing Determinants'!$G$41*$D18, VLOOKUP(O$4,'4. Billing Determinants'!$B$19:$AA$41,26,0)*$D18)))),0)</f>
        <v>0</v>
      </c>
      <c r="P18" s="257">
        <f>IFERROR(IF(P$4="",0,IF($E18="kWh",VLOOKUP(P$4,'4. Billing Determinants'!$B$19:$R$41,4,0)/'4. Billing Determinants'!$E$41*$D18,IF($E18="kW",VLOOKUP(P$4,'4. Billing Determinants'!$B$19:$R$41,5,0)/'4. Billing Determinants'!$F$41*$D18,IF($E18="Non-RPP kWh",VLOOKUP(P$4,'4. Billing Determinants'!$B$19:$R$41,6,0)/'4. Billing Determinants'!$G$41*$D18, VLOOKUP(P$4,'4. Billing Determinants'!$B$19:$AA$41,26,0)*$D18)))),0)</f>
        <v>0</v>
      </c>
      <c r="Q18" s="257">
        <f>IFERROR(IF(Q$4="",0,IF($E18="kWh",VLOOKUP(Q$4,'4. Billing Determinants'!$B$19:$R$41,4,0)/'4. Billing Determinants'!$E$41*$D18,IF($E18="kW",VLOOKUP(Q$4,'4. Billing Determinants'!$B$19:$R$41,5,0)/'4. Billing Determinants'!$F$41*$D18,IF($E18="Non-RPP kWh",VLOOKUP(Q$4,'4. Billing Determinants'!$B$19:$R$41,6,0)/'4. Billing Determinants'!$G$41*$D18, VLOOKUP(Q$4,'4. Billing Determinants'!$B$19:$AA$41,26,0)*$D18)))),0)</f>
        <v>0</v>
      </c>
      <c r="R18" s="257">
        <f>IFERROR(IF(R$4="",0,IF($E18="kWh",VLOOKUP(R$4,'4. Billing Determinants'!$B$19:$R$41,4,0)/'4. Billing Determinants'!$E$41*$D18,IF($E18="kW",VLOOKUP(R$4,'4. Billing Determinants'!$B$19:$R$41,5,0)/'4. Billing Determinants'!$F$41*$D18,IF($E18="Non-RPP kWh",VLOOKUP(R$4,'4. Billing Determinants'!$B$19:$R$41,6,0)/'4. Billing Determinants'!$G$41*$D18, VLOOKUP(R$4,'4. Billing Determinants'!$B$19:$AA$41,26,0)*$D18)))),0)</f>
        <v>0</v>
      </c>
      <c r="S18" s="257">
        <f>IFERROR(IF(S$4="",0,IF($E18="kWh",VLOOKUP(S$4,'4. Billing Determinants'!$B$19:$R$41,4,0)/'4. Billing Determinants'!$E$41*$D18,IF($E18="kW",VLOOKUP(S$4,'4. Billing Determinants'!$B$19:$R$41,5,0)/'4. Billing Determinants'!$F$41*$D18,IF($E18="Non-RPP kWh",VLOOKUP(S$4,'4. Billing Determinants'!$B$19:$R$41,6,0)/'4. Billing Determinants'!$G$41*$D18, VLOOKUP(S$4,'4. Billing Determinants'!$B$19:$AA$41,26,0)*$D18)))),0)</f>
        <v>0</v>
      </c>
      <c r="T18" s="257">
        <f>IFERROR(IF(T$4="",0,IF($E18="kWh",VLOOKUP(T$4,'4. Billing Determinants'!$B$19:$R$41,4,0)/'4. Billing Determinants'!$E$41*$D18,IF($E18="kW",VLOOKUP(T$4,'4. Billing Determinants'!$B$19:$R$41,5,0)/'4. Billing Determinants'!$F$41*$D18,IF($E18="Non-RPP kWh",VLOOKUP(T$4,'4. Billing Determinants'!$B$19:$R$41,6,0)/'4. Billing Determinants'!$G$41*$D18, VLOOKUP(T$4,'4. Billing Determinants'!$B$19:$AA$41,26,0)*$D18)))),0)</f>
        <v>0</v>
      </c>
      <c r="U18" s="257">
        <f>IFERROR(IF(U$4="",0,IF($E18="kWh",VLOOKUP(U$4,'4. Billing Determinants'!$B$19:$R$41,4,0)/'4. Billing Determinants'!$E$41*$D18,IF($E18="kW",VLOOKUP(U$4,'4. Billing Determinants'!$B$19:$R$41,5,0)/'4. Billing Determinants'!$F$41*$D18,IF($E18="Non-RPP kWh",VLOOKUP(U$4,'4. Billing Determinants'!$B$19:$R$41,6,0)/'4. Billing Determinants'!$G$41*$D18, VLOOKUP(U$4,'4. Billing Determinants'!$B$19:$AA$41,26,0)*$D18)))),0)</f>
        <v>0</v>
      </c>
      <c r="V18" s="257">
        <f>IFERROR(IF(V$4="",0,IF($E18="kWh",VLOOKUP(V$4,'4. Billing Determinants'!$B$19:$R$41,4,0)/'4. Billing Determinants'!$E$41*$D18,IF($E18="kW",VLOOKUP(V$4,'4. Billing Determinants'!$B$19:$R$41,5,0)/'4. Billing Determinants'!$F$41*$D18,IF($E18="Non-RPP kWh",VLOOKUP(V$4,'4. Billing Determinants'!$B$19:$R$41,6,0)/'4. Billing Determinants'!$G$41*$D18, VLOOKUP(V$4,'4. Billing Determinants'!$B$19:$AA$41,26,0)*$D18)))),0)</f>
        <v>0</v>
      </c>
      <c r="W18" s="257">
        <f>IFERROR(IF(W$4="",0,IF($E18="kWh",VLOOKUP(W$4,'4. Billing Determinants'!$B$19:$R$41,4,0)/'4. Billing Determinants'!$E$41*$D18,IF($E18="kW",VLOOKUP(W$4,'4. Billing Determinants'!$B$19:$R$41,5,0)/'4. Billing Determinants'!$F$41*$D18,IF($E18="Non-RPP kWh",VLOOKUP(W$4,'4. Billing Determinants'!$B$19:$R$41,6,0)/'4. Billing Determinants'!$G$41*$D18, VLOOKUP(W$4,'4. Billing Determinants'!$B$19:$AA$41,26,0)*$D18)))),0)</f>
        <v>0</v>
      </c>
      <c r="X18" s="257">
        <f>IFERROR(IF(X$4="",0,IF($E18="kWh",VLOOKUP(X$4,'4. Billing Determinants'!$B$19:$R$41,4,0)/'4. Billing Determinants'!$E$41*$D18,IF($E18="kW",VLOOKUP(X$4,'4. Billing Determinants'!$B$19:$R$41,5,0)/'4. Billing Determinants'!$F$41*$D18,IF($E18="Non-RPP kWh",VLOOKUP(X$4,'4. Billing Determinants'!$B$19:$R$41,6,0)/'4. Billing Determinants'!$G$41*$D18, VLOOKUP(X$4,'4. Billing Determinants'!$B$19:$AA$41,26,0)*$D18)))),0)</f>
        <v>0</v>
      </c>
      <c r="Y18" s="257">
        <f>IFERROR(IF(Y$4="",0,IF($E18="kWh",VLOOKUP(Y$4,'4. Billing Determinants'!$B$19:$R$41,4,0)/'4. Billing Determinants'!$E$41*$D18,IF($E18="kW",VLOOKUP(Y$4,'4. Billing Determinants'!$B$19:$R$41,5,0)/'4. Billing Determinants'!$F$41*$D18,IF($E18="Non-RPP kWh",VLOOKUP(Y$4,'4. Billing Determinants'!$B$19:$R$41,6,0)/'4. Billing Determinants'!$G$41*$D18, VLOOKUP(Y$4,'4. Billing Determinants'!$B$19:$AA$41,26,0)*$D18)))),0)</f>
        <v>0</v>
      </c>
    </row>
    <row r="19" spans="1:25" x14ac:dyDescent="0.2">
      <c r="B19" s="33" t="s">
        <v>3436</v>
      </c>
      <c r="C19" s="31">
        <v>1595</v>
      </c>
      <c r="D19" s="32">
        <f>'2a. Continuity Schedule'!BT40</f>
        <v>0</v>
      </c>
      <c r="E19" s="38" t="s">
        <v>146</v>
      </c>
      <c r="F19" s="257">
        <f>IFERROR(IF(F$4="",0,IF($E19="kWh",VLOOKUP(F$4,'4. Billing Determinants'!$B$19:$R$41,4,0)/'4. Billing Determinants'!$E$41*$D19,IF($E19="kW",VLOOKUP(F$4,'4. Billing Determinants'!$B$19:$R$41,5,0)/'4. Billing Determinants'!$F$41*$D19,IF($E19="Non-RPP kWh",VLOOKUP(F$4,'4. Billing Determinants'!$B$19:$R$41,6,0)/'4. Billing Determinants'!$G$41*$D19, VLOOKUP(F$4,'4. Billing Determinants'!$B$19:$AB$41,27,0)*$D19)))),0)</f>
        <v>0</v>
      </c>
      <c r="G19" s="257">
        <f>IFERROR(IF(G$4="",0,IF($E19="kWh",VLOOKUP(G$4,'4. Billing Determinants'!$B$19:$R$41,4,0)/'4. Billing Determinants'!$E$41*$D19,IF($E19="kW",VLOOKUP(G$4,'4. Billing Determinants'!$B$19:$R$41,5,0)/'4. Billing Determinants'!$F$41*$D19,IF($E19="Non-RPP kWh",VLOOKUP(G$4,'4. Billing Determinants'!$B$19:$R$41,6,0)/'4. Billing Determinants'!$G$41*$D19, VLOOKUP(G$4,'4. Billing Determinants'!$B$19:$AB$41,27,0)*$D19)))),0)</f>
        <v>0</v>
      </c>
      <c r="H19" s="257">
        <f>IFERROR(IF(H$4="",0,IF($E19="kWh",VLOOKUP(H$4,'4. Billing Determinants'!$B$19:$R$41,4,0)/'4. Billing Determinants'!$E$41*$D19,IF($E19="kW",VLOOKUP(H$4,'4. Billing Determinants'!$B$19:$R$41,5,0)/'4. Billing Determinants'!$F$41*$D19,IF($E19="Non-RPP kWh",VLOOKUP(H$4,'4. Billing Determinants'!$B$19:$R$41,6,0)/'4. Billing Determinants'!$G$41*$D19, VLOOKUP(H$4,'4. Billing Determinants'!$B$19:$AB$41,27,0)*$D19)))),0)</f>
        <v>0</v>
      </c>
      <c r="I19" s="257">
        <f>IFERROR(IF(I$4="",0,IF($E19="kWh",VLOOKUP(I$4,'4. Billing Determinants'!$B$19:$R$41,4,0)/'4. Billing Determinants'!$E$41*$D19,IF($E19="kW",VLOOKUP(I$4,'4. Billing Determinants'!$B$19:$R$41,5,0)/'4. Billing Determinants'!$F$41*$D19,IF($E19="Non-RPP kWh",VLOOKUP(I$4,'4. Billing Determinants'!$B$19:$R$41,6,0)/'4. Billing Determinants'!$G$41*$D19, VLOOKUP(I$4,'4. Billing Determinants'!$B$19:$AB$41,27,0)*$D19)))),0)</f>
        <v>0</v>
      </c>
      <c r="J19" s="257">
        <f>IFERROR(IF(J$4="",0,IF($E19="kWh",VLOOKUP(J$4,'4. Billing Determinants'!$B$19:$R$41,4,0)/'4. Billing Determinants'!$E$41*$D19,IF($E19="kW",VLOOKUP(J$4,'4. Billing Determinants'!$B$19:$R$41,5,0)/'4. Billing Determinants'!$F$41*$D19,IF($E19="Non-RPP kWh",VLOOKUP(J$4,'4. Billing Determinants'!$B$19:$R$41,6,0)/'4. Billing Determinants'!$G$41*$D19, VLOOKUP(J$4,'4. Billing Determinants'!$B$19:$AB$41,27,0)*$D19)))),0)</f>
        <v>0</v>
      </c>
      <c r="K19" s="257">
        <f>IFERROR(IF(K$4="",0,IF($E19="kWh",VLOOKUP(K$4,'4. Billing Determinants'!$B$19:$R$41,4,0)/'4. Billing Determinants'!$E$41*$D19,IF($E19="kW",VLOOKUP(K$4,'4. Billing Determinants'!$B$19:$R$41,5,0)/'4. Billing Determinants'!$F$41*$D19,IF($E19="Non-RPP kWh",VLOOKUP(K$4,'4. Billing Determinants'!$B$19:$R$41,6,0)/'4. Billing Determinants'!$G$41*$D19, VLOOKUP(K$4,'4. Billing Determinants'!$B$19:$AB$41,27,0)*$D19)))),0)</f>
        <v>0</v>
      </c>
      <c r="L19" s="257">
        <f>IFERROR(IF(L$4="",0,IF($E19="kWh",VLOOKUP(L$4,'4. Billing Determinants'!$B$19:$R$41,4,0)/'4. Billing Determinants'!$E$41*$D19,IF($E19="kW",VLOOKUP(L$4,'4. Billing Determinants'!$B$19:$R$41,5,0)/'4. Billing Determinants'!$F$41*$D19,IF($E19="Non-RPP kWh",VLOOKUP(L$4,'4. Billing Determinants'!$B$19:$R$41,6,0)/'4. Billing Determinants'!$G$41*$D19, VLOOKUP(L$4,'4. Billing Determinants'!$B$19:$AB$41,27,0)*$D19)))),0)</f>
        <v>0</v>
      </c>
      <c r="M19" s="257">
        <f>IFERROR(IF(M$4="",0,IF($E19="kWh",VLOOKUP(M$4,'4. Billing Determinants'!$B$19:$R$41,4,0)/'4. Billing Determinants'!$E$41*$D19,IF($E19="kW",VLOOKUP(M$4,'4. Billing Determinants'!$B$19:$R$41,5,0)/'4. Billing Determinants'!$F$41*$D19,IF($E19="Non-RPP kWh",VLOOKUP(M$4,'4. Billing Determinants'!$B$19:$R$41,6,0)/'4. Billing Determinants'!$G$41*$D19, VLOOKUP(M$4,'4. Billing Determinants'!$B$19:$AB$41,27,0)*$D19)))),0)</f>
        <v>0</v>
      </c>
      <c r="N19" s="257">
        <f>IFERROR(IF(N$4="",0,IF($E19="kWh",VLOOKUP(N$4,'4. Billing Determinants'!$B$19:$R$41,4,0)/'4. Billing Determinants'!$E$41*$D19,IF($E19="kW",VLOOKUP(N$4,'4. Billing Determinants'!$B$19:$R$41,5,0)/'4. Billing Determinants'!$F$41*$D19,IF($E19="Non-RPP kWh",VLOOKUP(N$4,'4. Billing Determinants'!$B$19:$R$41,6,0)/'4. Billing Determinants'!$G$41*$D19, VLOOKUP(N$4,'4. Billing Determinants'!$B$19:$AB$41,27,0)*$D19)))),0)</f>
        <v>0</v>
      </c>
      <c r="O19" s="257">
        <f>IFERROR(IF(O$4="",0,IF($E19="kWh",VLOOKUP(O$4,'4. Billing Determinants'!$B$19:$R$41,4,0)/'4. Billing Determinants'!$E$41*$D19,IF($E19="kW",VLOOKUP(O$4,'4. Billing Determinants'!$B$19:$R$41,5,0)/'4. Billing Determinants'!$F$41*$D19,IF($E19="Non-RPP kWh",VLOOKUP(O$4,'4. Billing Determinants'!$B$19:$R$41,6,0)/'4. Billing Determinants'!$G$41*$D19, VLOOKUP(O$4,'4. Billing Determinants'!$B$19:$AB$41,27,0)*$D19)))),0)</f>
        <v>0</v>
      </c>
      <c r="P19" s="257">
        <f>IFERROR(IF(P$4="",0,IF($E19="kWh",VLOOKUP(P$4,'4. Billing Determinants'!$B$19:$R$41,4,0)/'4. Billing Determinants'!$E$41*$D19,IF($E19="kW",VLOOKUP(P$4,'4. Billing Determinants'!$B$19:$R$41,5,0)/'4. Billing Determinants'!$F$41*$D19,IF($E19="Non-RPP kWh",VLOOKUP(P$4,'4. Billing Determinants'!$B$19:$R$41,6,0)/'4. Billing Determinants'!$G$41*$D19, VLOOKUP(P$4,'4. Billing Determinants'!$B$19:$AB$41,27,0)*$D19)))),0)</f>
        <v>0</v>
      </c>
      <c r="Q19" s="257">
        <f>IFERROR(IF(Q$4="",0,IF($E19="kWh",VLOOKUP(Q$4,'4. Billing Determinants'!$B$19:$R$41,4,0)/'4. Billing Determinants'!$E$41*$D19,IF($E19="kW",VLOOKUP(Q$4,'4. Billing Determinants'!$B$19:$R$41,5,0)/'4. Billing Determinants'!$F$41*$D19,IF($E19="Non-RPP kWh",VLOOKUP(Q$4,'4. Billing Determinants'!$B$19:$R$41,6,0)/'4. Billing Determinants'!$G$41*$D19, VLOOKUP(Q$4,'4. Billing Determinants'!$B$19:$AB$41,27,0)*$D19)))),0)</f>
        <v>0</v>
      </c>
      <c r="R19" s="257">
        <f>IFERROR(IF(R$4="",0,IF($E19="kWh",VLOOKUP(R$4,'4. Billing Determinants'!$B$19:$R$41,4,0)/'4. Billing Determinants'!$E$41*$D19,IF($E19="kW",VLOOKUP(R$4,'4. Billing Determinants'!$B$19:$R$41,5,0)/'4. Billing Determinants'!$F$41*$D19,IF($E19="Non-RPP kWh",VLOOKUP(R$4,'4. Billing Determinants'!$B$19:$R$41,6,0)/'4. Billing Determinants'!$G$41*$D19, VLOOKUP(R$4,'4. Billing Determinants'!$B$19:$AB$41,27,0)*$D19)))),0)</f>
        <v>0</v>
      </c>
      <c r="S19" s="257">
        <f>IFERROR(IF(S$4="",0,IF($E19="kWh",VLOOKUP(S$4,'4. Billing Determinants'!$B$19:$R$41,4,0)/'4. Billing Determinants'!$E$41*$D19,IF($E19="kW",VLOOKUP(S$4,'4. Billing Determinants'!$B$19:$R$41,5,0)/'4. Billing Determinants'!$F$41*$D19,IF($E19="Non-RPP kWh",VLOOKUP(S$4,'4. Billing Determinants'!$B$19:$R$41,6,0)/'4. Billing Determinants'!$G$41*$D19, VLOOKUP(S$4,'4. Billing Determinants'!$B$19:$AB$41,27,0)*$D19)))),0)</f>
        <v>0</v>
      </c>
      <c r="T19" s="257">
        <f>IFERROR(IF(T$4="",0,IF($E19="kWh",VLOOKUP(T$4,'4. Billing Determinants'!$B$19:$R$41,4,0)/'4. Billing Determinants'!$E$41*$D19,IF($E19="kW",VLOOKUP(T$4,'4. Billing Determinants'!$B$19:$R$41,5,0)/'4. Billing Determinants'!$F$41*$D19,IF($E19="Non-RPP kWh",VLOOKUP(T$4,'4. Billing Determinants'!$B$19:$R$41,6,0)/'4. Billing Determinants'!$G$41*$D19, VLOOKUP(T$4,'4. Billing Determinants'!$B$19:$AB$41,27,0)*$D19)))),0)</f>
        <v>0</v>
      </c>
      <c r="U19" s="257">
        <f>IFERROR(IF(U$4="",0,IF($E19="kWh",VLOOKUP(U$4,'4. Billing Determinants'!$B$19:$R$41,4,0)/'4. Billing Determinants'!$E$41*$D19,IF($E19="kW",VLOOKUP(U$4,'4. Billing Determinants'!$B$19:$R$41,5,0)/'4. Billing Determinants'!$F$41*$D19,IF($E19="Non-RPP kWh",VLOOKUP(U$4,'4. Billing Determinants'!$B$19:$R$41,6,0)/'4. Billing Determinants'!$G$41*$D19, VLOOKUP(U$4,'4. Billing Determinants'!$B$19:$AB$41,27,0)*$D19)))),0)</f>
        <v>0</v>
      </c>
      <c r="V19" s="257">
        <f>IFERROR(IF(V$4="",0,IF($E19="kWh",VLOOKUP(V$4,'4. Billing Determinants'!$B$19:$R$41,4,0)/'4. Billing Determinants'!$E$41*$D19,IF($E19="kW",VLOOKUP(V$4,'4. Billing Determinants'!$B$19:$R$41,5,0)/'4. Billing Determinants'!$F$41*$D19,IF($E19="Non-RPP kWh",VLOOKUP(V$4,'4. Billing Determinants'!$B$19:$R$41,6,0)/'4. Billing Determinants'!$G$41*$D19, VLOOKUP(V$4,'4. Billing Determinants'!$B$19:$AB$41,27,0)*$D19)))),0)</f>
        <v>0</v>
      </c>
      <c r="W19" s="257">
        <f>IFERROR(IF(W$4="",0,IF($E19="kWh",VLOOKUP(W$4,'4. Billing Determinants'!$B$19:$R$41,4,0)/'4. Billing Determinants'!$E$41*$D19,IF($E19="kW",VLOOKUP(W$4,'4. Billing Determinants'!$B$19:$R$41,5,0)/'4. Billing Determinants'!$F$41*$D19,IF($E19="Non-RPP kWh",VLOOKUP(W$4,'4. Billing Determinants'!$B$19:$R$41,6,0)/'4. Billing Determinants'!$G$41*$D19, VLOOKUP(W$4,'4. Billing Determinants'!$B$19:$AB$41,27,0)*$D19)))),0)</f>
        <v>0</v>
      </c>
      <c r="X19" s="257">
        <f>IFERROR(IF(X$4="",0,IF($E19="kWh",VLOOKUP(X$4,'4. Billing Determinants'!$B$19:$R$41,4,0)/'4. Billing Determinants'!$E$41*$D19,IF($E19="kW",VLOOKUP(X$4,'4. Billing Determinants'!$B$19:$R$41,5,0)/'4. Billing Determinants'!$F$41*$D19,IF($E19="Non-RPP kWh",VLOOKUP(X$4,'4. Billing Determinants'!$B$19:$R$41,6,0)/'4. Billing Determinants'!$G$41*$D19, VLOOKUP(X$4,'4. Billing Determinants'!$B$19:$AB$41,27,0)*$D19)))),0)</f>
        <v>0</v>
      </c>
      <c r="Y19" s="257">
        <f>IFERROR(IF(Y$4="",0,IF($E19="kWh",VLOOKUP(Y$4,'4. Billing Determinants'!$B$19:$R$41,4,0)/'4. Billing Determinants'!$E$41*$D19,IF($E19="kW",VLOOKUP(Y$4,'4. Billing Determinants'!$B$19:$R$41,5,0)/'4. Billing Determinants'!$F$41*$D19,IF($E19="Non-RPP kWh",VLOOKUP(Y$4,'4. Billing Determinants'!$B$19:$R$41,6,0)/'4. Billing Determinants'!$G$41*$D19, VLOOKUP(Y$4,'4. Billing Determinants'!$B$19:$AB$41,27,0)*$D19)))),0)</f>
        <v>0</v>
      </c>
    </row>
    <row r="20" spans="1:25" s="1" customFormat="1" x14ac:dyDescent="0.2">
      <c r="A20" s="37">
        <v>16</v>
      </c>
      <c r="B20" s="327" t="s">
        <v>3062</v>
      </c>
      <c r="C20" s="327"/>
      <c r="D20" s="328">
        <f>SUM(D5:D19)-D11</f>
        <v>161842.37249774905</v>
      </c>
      <c r="E20" s="469"/>
      <c r="F20" s="328">
        <f>SUM(F5:F19)-F11</f>
        <v>68174.907543391106</v>
      </c>
      <c r="G20" s="328">
        <f>SUM(G5:G19)-G11</f>
        <v>23849.803267676529</v>
      </c>
      <c r="H20" s="328">
        <f>SUM(H5:H19)-H11</f>
        <v>68773.437696527049</v>
      </c>
      <c r="I20" s="328">
        <f t="shared" ref="I20:X20" si="0">SUM(I5:I19)-I11</f>
        <v>259.70717438226757</v>
      </c>
      <c r="J20" s="328">
        <f t="shared" si="0"/>
        <v>727.21426151167816</v>
      </c>
      <c r="K20" s="328">
        <f t="shared" si="0"/>
        <v>57.302554260573572</v>
      </c>
      <c r="L20" s="328">
        <f t="shared" si="0"/>
        <v>0</v>
      </c>
      <c r="M20" s="328">
        <f t="shared" si="0"/>
        <v>0</v>
      </c>
      <c r="N20" s="328">
        <f t="shared" si="0"/>
        <v>0</v>
      </c>
      <c r="O20" s="328">
        <f t="shared" si="0"/>
        <v>0</v>
      </c>
      <c r="P20" s="328">
        <f t="shared" si="0"/>
        <v>0</v>
      </c>
      <c r="Q20" s="328">
        <f t="shared" si="0"/>
        <v>0</v>
      </c>
      <c r="R20" s="328">
        <f t="shared" si="0"/>
        <v>0</v>
      </c>
      <c r="S20" s="328">
        <f t="shared" si="0"/>
        <v>0</v>
      </c>
      <c r="T20" s="328">
        <f t="shared" si="0"/>
        <v>0</v>
      </c>
      <c r="U20" s="328">
        <f t="shared" si="0"/>
        <v>0</v>
      </c>
      <c r="V20" s="328">
        <f t="shared" si="0"/>
        <v>0</v>
      </c>
      <c r="W20" s="328">
        <f t="shared" si="0"/>
        <v>0</v>
      </c>
      <c r="X20" s="328">
        <f t="shared" si="0"/>
        <v>0</v>
      </c>
      <c r="Y20" s="328">
        <f>SUM(Y5:Y19)-Y11</f>
        <v>0</v>
      </c>
    </row>
    <row r="21" spans="1:25" ht="8.25" customHeight="1" x14ac:dyDescent="0.2">
      <c r="A21" s="37">
        <v>17</v>
      </c>
      <c r="B21" s="1"/>
      <c r="C21" s="1"/>
      <c r="D21" s="470"/>
      <c r="E21" s="471"/>
    </row>
    <row r="22" spans="1:25" x14ac:dyDescent="0.2">
      <c r="A22" s="37">
        <v>18</v>
      </c>
      <c r="B22" s="30" t="s">
        <v>3075</v>
      </c>
      <c r="C22" s="31">
        <v>1508</v>
      </c>
      <c r="D22" s="32">
        <f>'2b. Continuity Schedule'!BT48</f>
        <v>0</v>
      </c>
      <c r="E22" s="48" t="s">
        <v>139</v>
      </c>
      <c r="F22" s="32">
        <f>IFERROR(IF(F$4="",0,IF($E22="kWh",VLOOKUP(F$4,'4. Billing Determinants'!$B$19:$R$41,4,0)/'4. Billing Determinants'!$E$41*$D22,IF($E22="kW",VLOOKUP(F$4,'4. Billing Determinants'!$B$19:$R$41,5,0)/'4. Billing Determinants'!$F$41*$D22,IF($E22="Non-RPP kWh",VLOOKUP(F$4,'4. Billing Determinants'!$B$19:$R$41,6,0)/'4. Billing Determinants'!$G$41*$D22,IF($E22="Distribution Rev.",VLOOKUP(F$4,'4. Billing Determinants'!$B$19:$R$41,8,0)/'4. Billing Determinants'!$I$41*$D22, VLOOKUP(F$4,'4. Billing Determinants'!$B$19:$R$41,3,0)/'4. Billing Determinants'!$D$41*$D22))))),0)</f>
        <v>0</v>
      </c>
      <c r="G22" s="32">
        <f>IFERROR(IF(G$4="",0,IF($E22="kWh",VLOOKUP(G$4,'4. Billing Determinants'!$B$19:$R$41,4,0)/'4. Billing Determinants'!$E$41*$D22,IF($E22="kW",VLOOKUP(G$4,'4. Billing Determinants'!$B$19:$R$41,5,0)/'4. Billing Determinants'!$F$41*$D22,IF($E22="Non-RPP kWh",VLOOKUP(G$4,'4. Billing Determinants'!$B$19:$R$41,6,0)/'4. Billing Determinants'!$G$41*$D22,IF($E22="Distribution Rev.",VLOOKUP(G$4,'4. Billing Determinants'!$B$19:$R$41,8,0)/'4. Billing Determinants'!$I$41*$D22, VLOOKUP(G$4,'4. Billing Determinants'!$B$19:$R$41,3,0)/'4. Billing Determinants'!$D$41*$D22))))),0)</f>
        <v>0</v>
      </c>
      <c r="H22" s="32">
        <f>IFERROR(IF(H$4="",0,IF($E22="kWh",VLOOKUP(H$4,'4. Billing Determinants'!$B$19:$R$41,4,0)/'4. Billing Determinants'!$E$41*$D22,IF($E22="kW",VLOOKUP(H$4,'4. Billing Determinants'!$B$19:$R$41,5,0)/'4. Billing Determinants'!$F$41*$D22,IF($E22="Non-RPP kWh",VLOOKUP(H$4,'4. Billing Determinants'!$B$19:$R$41,6,0)/'4. Billing Determinants'!$G$41*$D22,IF($E22="Distribution Rev.",VLOOKUP(H$4,'4. Billing Determinants'!$B$19:$R$41,8,0)/'4. Billing Determinants'!$I$41*$D22, VLOOKUP(H$4,'4. Billing Determinants'!$B$19:$R$41,3,0)/'4. Billing Determinants'!$D$41*$D22))))),0)</f>
        <v>0</v>
      </c>
      <c r="I22" s="32">
        <f>IFERROR(IF(I$4="",0,IF($E22="kWh",VLOOKUP(I$4,'4. Billing Determinants'!$B$19:$R$41,4,0)/'4. Billing Determinants'!$E$41*$D22,IF($E22="kW",VLOOKUP(I$4,'4. Billing Determinants'!$B$19:$R$41,5,0)/'4. Billing Determinants'!$F$41*$D22,IF($E22="Non-RPP kWh",VLOOKUP(I$4,'4. Billing Determinants'!$B$19:$R$41,6,0)/'4. Billing Determinants'!$G$41*$D22,IF($E22="Distribution Rev.",VLOOKUP(I$4,'4. Billing Determinants'!$B$19:$R$41,8,0)/'4. Billing Determinants'!$I$41*$D22, VLOOKUP(I$4,'4. Billing Determinants'!$B$19:$R$41,3,0)/'4. Billing Determinants'!$D$41*$D22))))),0)</f>
        <v>0</v>
      </c>
      <c r="J22" s="32">
        <f>IFERROR(IF(J$4="",0,IF($E22="kWh",VLOOKUP(J$4,'4. Billing Determinants'!$B$19:$R$41,4,0)/'4. Billing Determinants'!$E$41*$D22,IF($E22="kW",VLOOKUP(J$4,'4. Billing Determinants'!$B$19:$R$41,5,0)/'4. Billing Determinants'!$F$41*$D22,IF($E22="Non-RPP kWh",VLOOKUP(J$4,'4. Billing Determinants'!$B$19:$R$41,6,0)/'4. Billing Determinants'!$G$41*$D22,IF($E22="Distribution Rev.",VLOOKUP(J$4,'4. Billing Determinants'!$B$19:$R$41,8,0)/'4. Billing Determinants'!$I$41*$D22, VLOOKUP(J$4,'4. Billing Determinants'!$B$19:$R$41,3,0)/'4. Billing Determinants'!$D$41*$D22))))),0)</f>
        <v>0</v>
      </c>
      <c r="K22" s="32">
        <f>IFERROR(IF(K$4="",0,IF($E22="kWh",VLOOKUP(K$4,'4. Billing Determinants'!$B$19:$R$41,4,0)/'4. Billing Determinants'!$E$41*$D22,IF($E22="kW",VLOOKUP(K$4,'4. Billing Determinants'!$B$19:$R$41,5,0)/'4. Billing Determinants'!$F$41*$D22,IF($E22="Non-RPP kWh",VLOOKUP(K$4,'4. Billing Determinants'!$B$19:$R$41,6,0)/'4. Billing Determinants'!$G$41*$D22,IF($E22="Distribution Rev.",VLOOKUP(K$4,'4. Billing Determinants'!$B$19:$R$41,8,0)/'4. Billing Determinants'!$I$41*$D22, VLOOKUP(K$4,'4. Billing Determinants'!$B$19:$R$41,3,0)/'4. Billing Determinants'!$D$41*$D22))))),0)</f>
        <v>0</v>
      </c>
      <c r="L22" s="32">
        <f>IFERROR(IF(L$4="",0,IF($E22="kWh",VLOOKUP(L$4,'4. Billing Determinants'!$B$19:$R$41,4,0)/'4. Billing Determinants'!$E$41*$D22,IF($E22="kW",VLOOKUP(L$4,'4. Billing Determinants'!$B$19:$R$41,5,0)/'4. Billing Determinants'!$F$41*$D22,IF($E22="Non-RPP kWh",VLOOKUP(L$4,'4. Billing Determinants'!$B$19:$R$41,6,0)/'4. Billing Determinants'!$G$41*$D22,IF($E22="Distribution Rev.",VLOOKUP(L$4,'4. Billing Determinants'!$B$19:$R$41,8,0)/'4. Billing Determinants'!$I$41*$D22, VLOOKUP(L$4,'4. Billing Determinants'!$B$19:$R$41,3,0)/'4. Billing Determinants'!$D$41*$D22))))),0)</f>
        <v>0</v>
      </c>
      <c r="M22" s="32">
        <f>IFERROR(IF(M$4="",0,IF($E22="kWh",VLOOKUP(M$4,'4. Billing Determinants'!$B$19:$R$41,4,0)/'4. Billing Determinants'!$E$41*$D22,IF($E22="kW",VLOOKUP(M$4,'4. Billing Determinants'!$B$19:$R$41,5,0)/'4. Billing Determinants'!$F$41*$D22,IF($E22="Non-RPP kWh",VLOOKUP(M$4,'4. Billing Determinants'!$B$19:$R$41,6,0)/'4. Billing Determinants'!$G$41*$D22,IF($E22="Distribution Rev.",VLOOKUP(M$4,'4. Billing Determinants'!$B$19:$R$41,8,0)/'4. Billing Determinants'!$I$41*$D22, VLOOKUP(M$4,'4. Billing Determinants'!$B$19:$R$41,3,0)/'4. Billing Determinants'!$D$41*$D22))))),0)</f>
        <v>0</v>
      </c>
      <c r="N22" s="32">
        <f>IFERROR(IF(N$4="",0,IF($E22="kWh",VLOOKUP(N$4,'4. Billing Determinants'!$B$19:$R$41,4,0)/'4. Billing Determinants'!$E$41*$D22,IF($E22="kW",VLOOKUP(N$4,'4. Billing Determinants'!$B$19:$R$41,5,0)/'4. Billing Determinants'!$F$41*$D22,IF($E22="Non-RPP kWh",VLOOKUP(N$4,'4. Billing Determinants'!$B$19:$R$41,6,0)/'4. Billing Determinants'!$G$41*$D22,IF($E22="Distribution Rev.",VLOOKUP(N$4,'4. Billing Determinants'!$B$19:$R$41,8,0)/'4. Billing Determinants'!$I$41*$D22, VLOOKUP(N$4,'4. Billing Determinants'!$B$19:$R$41,3,0)/'4. Billing Determinants'!$D$41*$D22))))),0)</f>
        <v>0</v>
      </c>
      <c r="O22" s="32">
        <f>IFERROR(IF(O$4="",0,IF($E22="kWh",VLOOKUP(O$4,'4. Billing Determinants'!$B$19:$R$41,4,0)/'4. Billing Determinants'!$E$41*$D22,IF($E22="kW",VLOOKUP(O$4,'4. Billing Determinants'!$B$19:$R$41,5,0)/'4. Billing Determinants'!$F$41*$D22,IF($E22="Non-RPP kWh",VLOOKUP(O$4,'4. Billing Determinants'!$B$19:$R$41,6,0)/'4. Billing Determinants'!$G$41*$D22,IF($E22="Distribution Rev.",VLOOKUP(O$4,'4. Billing Determinants'!$B$19:$R$41,8,0)/'4. Billing Determinants'!$I$41*$D22, VLOOKUP(O$4,'4. Billing Determinants'!$B$19:$R$41,3,0)/'4. Billing Determinants'!$D$41*$D22))))),0)</f>
        <v>0</v>
      </c>
      <c r="P22" s="32">
        <f>IFERROR(IF(P$4="",0,IF($E22="kWh",VLOOKUP(P$4,'4. Billing Determinants'!$B$19:$R$41,4,0)/'4. Billing Determinants'!$E$41*$D22,IF($E22="kW",VLOOKUP(P$4,'4. Billing Determinants'!$B$19:$R$41,5,0)/'4. Billing Determinants'!$F$41*$D22,IF($E22="Non-RPP kWh",VLOOKUP(P$4,'4. Billing Determinants'!$B$19:$R$41,6,0)/'4. Billing Determinants'!$G$41*$D22,IF($E22="Distribution Rev.",VLOOKUP(P$4,'4. Billing Determinants'!$B$19:$R$41,8,0)/'4. Billing Determinants'!$I$41*$D22, VLOOKUP(P$4,'4. Billing Determinants'!$B$19:$R$41,3,0)/'4. Billing Determinants'!$D$41*$D22))))),0)</f>
        <v>0</v>
      </c>
      <c r="Q22" s="32">
        <f>IFERROR(IF(Q$4="",0,IF($E22="kWh",VLOOKUP(Q$4,'4. Billing Determinants'!$B$19:$R$41,4,0)/'4. Billing Determinants'!$E$41*$D22,IF($E22="kW",VLOOKUP(Q$4,'4. Billing Determinants'!$B$19:$R$41,5,0)/'4. Billing Determinants'!$F$41*$D22,IF($E22="Non-RPP kWh",VLOOKUP(Q$4,'4. Billing Determinants'!$B$19:$R$41,6,0)/'4. Billing Determinants'!$G$41*$D22,IF($E22="Distribution Rev.",VLOOKUP(Q$4,'4. Billing Determinants'!$B$19:$R$41,8,0)/'4. Billing Determinants'!$I$41*$D22, VLOOKUP(Q$4,'4. Billing Determinants'!$B$19:$R$41,3,0)/'4. Billing Determinants'!$D$41*$D22))))),0)</f>
        <v>0</v>
      </c>
      <c r="R22" s="32">
        <f>IFERROR(IF(R$4="",0,IF($E22="kWh",VLOOKUP(R$4,'4. Billing Determinants'!$B$19:$R$41,4,0)/'4. Billing Determinants'!$E$41*$D22,IF($E22="kW",VLOOKUP(R$4,'4. Billing Determinants'!$B$19:$R$41,5,0)/'4. Billing Determinants'!$F$41*$D22,IF($E22="Non-RPP kWh",VLOOKUP(R$4,'4. Billing Determinants'!$B$19:$R$41,6,0)/'4. Billing Determinants'!$G$41*$D22,IF($E22="Distribution Rev.",VLOOKUP(R$4,'4. Billing Determinants'!$B$19:$R$41,8,0)/'4. Billing Determinants'!$I$41*$D22, VLOOKUP(R$4,'4. Billing Determinants'!$B$19:$R$41,3,0)/'4. Billing Determinants'!$D$41*$D22))))),0)</f>
        <v>0</v>
      </c>
      <c r="S22" s="32">
        <f>IFERROR(IF(S$4="",0,IF($E22="kWh",VLOOKUP(S$4,'4. Billing Determinants'!$B$19:$R$41,4,0)/'4. Billing Determinants'!$E$41*$D22,IF($E22="kW",VLOOKUP(S$4,'4. Billing Determinants'!$B$19:$R$41,5,0)/'4. Billing Determinants'!$F$41*$D22,IF($E22="Non-RPP kWh",VLOOKUP(S$4,'4. Billing Determinants'!$B$19:$R$41,6,0)/'4. Billing Determinants'!$G$41*$D22,IF($E22="Distribution Rev.",VLOOKUP(S$4,'4. Billing Determinants'!$B$19:$R$41,8,0)/'4. Billing Determinants'!$I$41*$D22, VLOOKUP(S$4,'4. Billing Determinants'!$B$19:$R$41,3,0)/'4. Billing Determinants'!$D$41*$D22))))),0)</f>
        <v>0</v>
      </c>
      <c r="T22" s="32">
        <f>IFERROR(IF(T$4="",0,IF($E22="kWh",VLOOKUP(T$4,'4. Billing Determinants'!$B$19:$R$41,4,0)/'4. Billing Determinants'!$E$41*$D22,IF($E22="kW",VLOOKUP(T$4,'4. Billing Determinants'!$B$19:$R$41,5,0)/'4. Billing Determinants'!$F$41*$D22,IF($E22="Non-RPP kWh",VLOOKUP(T$4,'4. Billing Determinants'!$B$19:$R$41,6,0)/'4. Billing Determinants'!$G$41*$D22,IF($E22="Distribution Rev.",VLOOKUP(T$4,'4. Billing Determinants'!$B$19:$R$41,8,0)/'4. Billing Determinants'!$I$41*$D22, VLOOKUP(T$4,'4. Billing Determinants'!$B$19:$R$41,3,0)/'4. Billing Determinants'!$D$41*$D22))))),0)</f>
        <v>0</v>
      </c>
      <c r="U22" s="32">
        <f>IFERROR(IF(U$4="",0,IF($E22="kWh",VLOOKUP(U$4,'4. Billing Determinants'!$B$19:$R$41,4,0)/'4. Billing Determinants'!$E$41*$D22,IF($E22="kW",VLOOKUP(U$4,'4. Billing Determinants'!$B$19:$R$41,5,0)/'4. Billing Determinants'!$F$41*$D22,IF($E22="Non-RPP kWh",VLOOKUP(U$4,'4. Billing Determinants'!$B$19:$R$41,6,0)/'4. Billing Determinants'!$G$41*$D22,IF($E22="Distribution Rev.",VLOOKUP(U$4,'4. Billing Determinants'!$B$19:$R$41,8,0)/'4. Billing Determinants'!$I$41*$D22, VLOOKUP(U$4,'4. Billing Determinants'!$B$19:$R$41,3,0)/'4. Billing Determinants'!$D$41*$D22))))),0)</f>
        <v>0</v>
      </c>
      <c r="V22" s="32">
        <f>IFERROR(IF(V$4="",0,IF($E22="kWh",VLOOKUP(V$4,'4. Billing Determinants'!$B$19:$R$41,4,0)/'4. Billing Determinants'!$E$41*$D22,IF($E22="kW",VLOOKUP(V$4,'4. Billing Determinants'!$B$19:$R$41,5,0)/'4. Billing Determinants'!$F$41*$D22,IF($E22="Non-RPP kWh",VLOOKUP(V$4,'4. Billing Determinants'!$B$19:$R$41,6,0)/'4. Billing Determinants'!$G$41*$D22,IF($E22="Distribution Rev.",VLOOKUP(V$4,'4. Billing Determinants'!$B$19:$R$41,8,0)/'4. Billing Determinants'!$I$41*$D22, VLOOKUP(V$4,'4. Billing Determinants'!$B$19:$R$41,3,0)/'4. Billing Determinants'!$D$41*$D22))))),0)</f>
        <v>0</v>
      </c>
      <c r="W22" s="32">
        <f>IFERROR(IF(W$4="",0,IF($E22="kWh",VLOOKUP(W$4,'4. Billing Determinants'!$B$19:$R$41,4,0)/'4. Billing Determinants'!$E$41*$D22,IF($E22="kW",VLOOKUP(W$4,'4. Billing Determinants'!$B$19:$R$41,5,0)/'4. Billing Determinants'!$F$41*$D22,IF($E22="Non-RPP kWh",VLOOKUP(W$4,'4. Billing Determinants'!$B$19:$R$41,6,0)/'4. Billing Determinants'!$G$41*$D22,IF($E22="Distribution Rev.",VLOOKUP(W$4,'4. Billing Determinants'!$B$19:$R$41,8,0)/'4. Billing Determinants'!$I$41*$D22, VLOOKUP(W$4,'4. Billing Determinants'!$B$19:$R$41,3,0)/'4. Billing Determinants'!$D$41*$D22))))),0)</f>
        <v>0</v>
      </c>
      <c r="X22" s="32">
        <f>IFERROR(IF(X$4="",0,IF($E22="kWh",VLOOKUP(X$4,'4. Billing Determinants'!$B$19:$R$41,4,0)/'4. Billing Determinants'!$E$41*$D22,IF($E22="kW",VLOOKUP(X$4,'4. Billing Determinants'!$B$19:$R$41,5,0)/'4. Billing Determinants'!$F$41*$D22,IF($E22="Non-RPP kWh",VLOOKUP(X$4,'4. Billing Determinants'!$B$19:$R$41,6,0)/'4. Billing Determinants'!$G$41*$D22,IF($E22="Distribution Rev.",VLOOKUP(X$4,'4. Billing Determinants'!$B$19:$R$41,8,0)/'4. Billing Determinants'!$I$41*$D22, VLOOKUP(X$4,'4. Billing Determinants'!$B$19:$R$41,3,0)/'4. Billing Determinants'!$D$41*$D22))))),0)</f>
        <v>0</v>
      </c>
      <c r="Y22" s="32">
        <f>IFERROR(IF(Y$4="",0,IF($E22="kWh",VLOOKUP(Y$4,'4. Billing Determinants'!$B$19:$R$41,4,0)/'4. Billing Determinants'!$E$41*$D22,IF($E22="kW",VLOOKUP(Y$4,'4. Billing Determinants'!$B$19:$R$41,5,0)/'4. Billing Determinants'!$F$41*$D22,IF($E22="Non-RPP kWh",VLOOKUP(Y$4,'4. Billing Determinants'!$B$19:$R$41,6,0)/'4. Billing Determinants'!$G$41*$D22,IF($E22="Distribution Rev.",VLOOKUP(Y$4,'4. Billing Determinants'!$B$19:$R$41,8,0)/'4. Billing Determinants'!$I$41*$D22, VLOOKUP(Y$4,'4. Billing Determinants'!$B$19:$R$41,3,0)/'4. Billing Determinants'!$D$41*$D22))))),0)</f>
        <v>0</v>
      </c>
    </row>
    <row r="23" spans="1:25" x14ac:dyDescent="0.2">
      <c r="A23" s="37">
        <v>19</v>
      </c>
      <c r="B23" s="30" t="s">
        <v>444</v>
      </c>
      <c r="C23" s="31">
        <v>1508</v>
      </c>
      <c r="D23" s="32">
        <f>'2b. Continuity Schedule'!BT49</f>
        <v>69333.602744499993</v>
      </c>
      <c r="E23" s="259" t="s">
        <v>3041</v>
      </c>
      <c r="F23" s="32">
        <f>IFERROR(IF(F$4="",0,IF($E23="kWh",VLOOKUP(F$4,'4. Billing Determinants'!$B$19:$R$41,4,0)/'4. Billing Determinants'!$E$41*$D23,IF($E23="kW",VLOOKUP(F$4,'4. Billing Determinants'!$B$19:$R$41,5,0)/'4. Billing Determinants'!$F$41*$D23,IF($E23="Non-RPP kWh",VLOOKUP(F$4,'4. Billing Determinants'!$B$19:$R$41,6,0)/'4. Billing Determinants'!$G$41*$D23,IF($E23="Distribution Rev.",VLOOKUP(F$4,'4. Billing Determinants'!$B$19:$R$41,8,0)/'4. Billing Determinants'!$I$41*$D23, VLOOKUP(F$4,'4. Billing Determinants'!$B$19:$R$41,3,0)/'4. Billing Determinants'!$D$41*$D23))))),0)</f>
        <v>41951.393908593011</v>
      </c>
      <c r="G23" s="32">
        <f>IFERROR(IF(G$4="",0,IF($E23="kWh",VLOOKUP(G$4,'4. Billing Determinants'!$B$19:$R$41,4,0)/'4. Billing Determinants'!$E$41*$D23,IF($E23="kW",VLOOKUP(G$4,'4. Billing Determinants'!$B$19:$R$41,5,0)/'4. Billing Determinants'!$F$41*$D23,IF($E23="Non-RPP kWh",VLOOKUP(G$4,'4. Billing Determinants'!$B$19:$R$41,6,0)/'4. Billing Determinants'!$G$41*$D23,IF($E23="Distribution Rev.",VLOOKUP(G$4,'4. Billing Determinants'!$B$19:$R$41,8,0)/'4. Billing Determinants'!$I$41*$D23, VLOOKUP(G$4,'4. Billing Determinants'!$B$19:$R$41,3,0)/'4. Billing Determinants'!$D$41*$D23))))),0)</f>
        <v>10627.744166291637</v>
      </c>
      <c r="H23" s="32">
        <f>IFERROR(IF(H$4="",0,IF($E23="kWh",VLOOKUP(H$4,'4. Billing Determinants'!$B$19:$R$41,4,0)/'4. Billing Determinants'!$E$41*$D23,IF($E23="kW",VLOOKUP(H$4,'4. Billing Determinants'!$B$19:$R$41,5,0)/'4. Billing Determinants'!$F$41*$D23,IF($E23="Non-RPP kWh",VLOOKUP(H$4,'4. Billing Determinants'!$B$19:$R$41,6,0)/'4. Billing Determinants'!$G$41*$D23,IF($E23="Distribution Rev.",VLOOKUP(H$4,'4. Billing Determinants'!$B$19:$R$41,8,0)/'4. Billing Determinants'!$I$41*$D23, VLOOKUP(H$4,'4. Billing Determinants'!$B$19:$R$41,3,0)/'4. Billing Determinants'!$D$41*$D23))))),0)</f>
        <v>15682.889493940145</v>
      </c>
      <c r="I23" s="32">
        <f>IFERROR(IF(I$4="",0,IF($E23="kWh",VLOOKUP(I$4,'4. Billing Determinants'!$B$19:$R$41,4,0)/'4. Billing Determinants'!$E$41*$D23,IF($E23="kW",VLOOKUP(I$4,'4. Billing Determinants'!$B$19:$R$41,5,0)/'4. Billing Determinants'!$F$41*$D23,IF($E23="Non-RPP kWh",VLOOKUP(I$4,'4. Billing Determinants'!$B$19:$R$41,6,0)/'4. Billing Determinants'!$G$41*$D23,IF($E23="Distribution Rev.",VLOOKUP(I$4,'4. Billing Determinants'!$B$19:$R$41,8,0)/'4. Billing Determinants'!$I$41*$D23, VLOOKUP(I$4,'4. Billing Determinants'!$B$19:$R$41,3,0)/'4. Billing Determinants'!$D$41*$D23))))),0)</f>
        <v>137.1432727267497</v>
      </c>
      <c r="J23" s="32">
        <f>IFERROR(IF(J$4="",0,IF($E23="kWh",VLOOKUP(J$4,'4. Billing Determinants'!$B$19:$R$41,4,0)/'4. Billing Determinants'!$E$41*$D23,IF($E23="kW",VLOOKUP(J$4,'4. Billing Determinants'!$B$19:$R$41,5,0)/'4. Billing Determinants'!$F$41*$D23,IF($E23="Non-RPP kWh",VLOOKUP(J$4,'4. Billing Determinants'!$B$19:$R$41,6,0)/'4. Billing Determinants'!$G$41*$D23,IF($E23="Distribution Rev.",VLOOKUP(J$4,'4. Billing Determinants'!$B$19:$R$41,8,0)/'4. Billing Determinants'!$I$41*$D23, VLOOKUP(J$4,'4. Billing Determinants'!$B$19:$R$41,3,0)/'4. Billing Determinants'!$D$41*$D23))))),0)</f>
        <v>811.89212317603517</v>
      </c>
      <c r="K23" s="32">
        <f>IFERROR(IF(K$4="",0,IF($E23="kWh",VLOOKUP(K$4,'4. Billing Determinants'!$B$19:$R$41,4,0)/'4. Billing Determinants'!$E$41*$D23,IF($E23="kW",VLOOKUP(K$4,'4. Billing Determinants'!$B$19:$R$41,5,0)/'4. Billing Determinants'!$F$41*$D23,IF($E23="Non-RPP kWh",VLOOKUP(K$4,'4. Billing Determinants'!$B$19:$R$41,6,0)/'4. Billing Determinants'!$G$41*$D23,IF($E23="Distribution Rev.",VLOOKUP(K$4,'4. Billing Determinants'!$B$19:$R$41,8,0)/'4. Billing Determinants'!$I$41*$D23, VLOOKUP(K$4,'4. Billing Determinants'!$B$19:$R$41,3,0)/'4. Billing Determinants'!$D$41*$D23))))),0)</f>
        <v>122.53977977241475</v>
      </c>
      <c r="L23" s="32">
        <f>IFERROR(IF(L$4="",0,IF($E23="kWh",VLOOKUP(L$4,'4. Billing Determinants'!$B$19:$R$41,4,0)/'4. Billing Determinants'!$E$41*$D23,IF($E23="kW",VLOOKUP(L$4,'4. Billing Determinants'!$B$19:$R$41,5,0)/'4. Billing Determinants'!$F$41*$D23,IF($E23="Non-RPP kWh",VLOOKUP(L$4,'4. Billing Determinants'!$B$19:$R$41,6,0)/'4. Billing Determinants'!$G$41*$D23,IF($E23="Distribution Rev.",VLOOKUP(L$4,'4. Billing Determinants'!$B$19:$R$41,8,0)/'4. Billing Determinants'!$I$41*$D23, VLOOKUP(L$4,'4. Billing Determinants'!$B$19:$R$41,3,0)/'4. Billing Determinants'!$D$41*$D23))))),0)</f>
        <v>0</v>
      </c>
      <c r="M23" s="32">
        <f>IFERROR(IF(M$4="",0,IF($E23="kWh",VLOOKUP(M$4,'4. Billing Determinants'!$B$19:$R$41,4,0)/'4. Billing Determinants'!$E$41*$D23,IF($E23="kW",VLOOKUP(M$4,'4. Billing Determinants'!$B$19:$R$41,5,0)/'4. Billing Determinants'!$F$41*$D23,IF($E23="Non-RPP kWh",VLOOKUP(M$4,'4. Billing Determinants'!$B$19:$R$41,6,0)/'4. Billing Determinants'!$G$41*$D23,IF($E23="Distribution Rev.",VLOOKUP(M$4,'4. Billing Determinants'!$B$19:$R$41,8,0)/'4. Billing Determinants'!$I$41*$D23, VLOOKUP(M$4,'4. Billing Determinants'!$B$19:$R$41,3,0)/'4. Billing Determinants'!$D$41*$D23))))),0)</f>
        <v>0</v>
      </c>
      <c r="N23" s="32">
        <f>IFERROR(IF(N$4="",0,IF($E23="kWh",VLOOKUP(N$4,'4. Billing Determinants'!$B$19:$R$41,4,0)/'4. Billing Determinants'!$E$41*$D23,IF($E23="kW",VLOOKUP(N$4,'4. Billing Determinants'!$B$19:$R$41,5,0)/'4. Billing Determinants'!$F$41*$D23,IF($E23="Non-RPP kWh",VLOOKUP(N$4,'4. Billing Determinants'!$B$19:$R$41,6,0)/'4. Billing Determinants'!$G$41*$D23,IF($E23="Distribution Rev.",VLOOKUP(N$4,'4. Billing Determinants'!$B$19:$R$41,8,0)/'4. Billing Determinants'!$I$41*$D23, VLOOKUP(N$4,'4. Billing Determinants'!$B$19:$R$41,3,0)/'4. Billing Determinants'!$D$41*$D23))))),0)</f>
        <v>0</v>
      </c>
      <c r="O23" s="32">
        <f>IFERROR(IF(O$4="",0,IF($E23="kWh",VLOOKUP(O$4,'4. Billing Determinants'!$B$19:$R$41,4,0)/'4. Billing Determinants'!$E$41*$D23,IF($E23="kW",VLOOKUP(O$4,'4. Billing Determinants'!$B$19:$R$41,5,0)/'4. Billing Determinants'!$F$41*$D23,IF($E23="Non-RPP kWh",VLOOKUP(O$4,'4. Billing Determinants'!$B$19:$R$41,6,0)/'4. Billing Determinants'!$G$41*$D23,IF($E23="Distribution Rev.",VLOOKUP(O$4,'4. Billing Determinants'!$B$19:$R$41,8,0)/'4. Billing Determinants'!$I$41*$D23, VLOOKUP(O$4,'4. Billing Determinants'!$B$19:$R$41,3,0)/'4. Billing Determinants'!$D$41*$D23))))),0)</f>
        <v>0</v>
      </c>
      <c r="P23" s="32">
        <f>IFERROR(IF(P$4="",0,IF($E23="kWh",VLOOKUP(P$4,'4. Billing Determinants'!$B$19:$R$41,4,0)/'4. Billing Determinants'!$E$41*$D23,IF($E23="kW",VLOOKUP(P$4,'4. Billing Determinants'!$B$19:$R$41,5,0)/'4. Billing Determinants'!$F$41*$D23,IF($E23="Non-RPP kWh",VLOOKUP(P$4,'4. Billing Determinants'!$B$19:$R$41,6,0)/'4. Billing Determinants'!$G$41*$D23,IF($E23="Distribution Rev.",VLOOKUP(P$4,'4. Billing Determinants'!$B$19:$R$41,8,0)/'4. Billing Determinants'!$I$41*$D23, VLOOKUP(P$4,'4. Billing Determinants'!$B$19:$R$41,3,0)/'4. Billing Determinants'!$D$41*$D23))))),0)</f>
        <v>0</v>
      </c>
      <c r="Q23" s="32">
        <f>IFERROR(IF(Q$4="",0,IF($E23="kWh",VLOOKUP(Q$4,'4. Billing Determinants'!$B$19:$R$41,4,0)/'4. Billing Determinants'!$E$41*$D23,IF($E23="kW",VLOOKUP(Q$4,'4. Billing Determinants'!$B$19:$R$41,5,0)/'4. Billing Determinants'!$F$41*$D23,IF($E23="Non-RPP kWh",VLOOKUP(Q$4,'4. Billing Determinants'!$B$19:$R$41,6,0)/'4. Billing Determinants'!$G$41*$D23,IF($E23="Distribution Rev.",VLOOKUP(Q$4,'4. Billing Determinants'!$B$19:$R$41,8,0)/'4. Billing Determinants'!$I$41*$D23, VLOOKUP(Q$4,'4. Billing Determinants'!$B$19:$R$41,3,0)/'4. Billing Determinants'!$D$41*$D23))))),0)</f>
        <v>0</v>
      </c>
      <c r="R23" s="32">
        <f>IFERROR(IF(R$4="",0,IF($E23="kWh",VLOOKUP(R$4,'4. Billing Determinants'!$B$19:$R$41,4,0)/'4. Billing Determinants'!$E$41*$D23,IF($E23="kW",VLOOKUP(R$4,'4. Billing Determinants'!$B$19:$R$41,5,0)/'4. Billing Determinants'!$F$41*$D23,IF($E23="Non-RPP kWh",VLOOKUP(R$4,'4. Billing Determinants'!$B$19:$R$41,6,0)/'4. Billing Determinants'!$G$41*$D23,IF($E23="Distribution Rev.",VLOOKUP(R$4,'4. Billing Determinants'!$B$19:$R$41,8,0)/'4. Billing Determinants'!$I$41*$D23, VLOOKUP(R$4,'4. Billing Determinants'!$B$19:$R$41,3,0)/'4. Billing Determinants'!$D$41*$D23))))),0)</f>
        <v>0</v>
      </c>
      <c r="S23" s="32">
        <f>IFERROR(IF(S$4="",0,IF($E23="kWh",VLOOKUP(S$4,'4. Billing Determinants'!$B$19:$R$41,4,0)/'4. Billing Determinants'!$E$41*$D23,IF($E23="kW",VLOOKUP(S$4,'4. Billing Determinants'!$B$19:$R$41,5,0)/'4. Billing Determinants'!$F$41*$D23,IF($E23="Non-RPP kWh",VLOOKUP(S$4,'4. Billing Determinants'!$B$19:$R$41,6,0)/'4. Billing Determinants'!$G$41*$D23,IF($E23="Distribution Rev.",VLOOKUP(S$4,'4. Billing Determinants'!$B$19:$R$41,8,0)/'4. Billing Determinants'!$I$41*$D23, VLOOKUP(S$4,'4. Billing Determinants'!$B$19:$R$41,3,0)/'4. Billing Determinants'!$D$41*$D23))))),0)</f>
        <v>0</v>
      </c>
      <c r="T23" s="32">
        <f>IFERROR(IF(T$4="",0,IF($E23="kWh",VLOOKUP(T$4,'4. Billing Determinants'!$B$19:$R$41,4,0)/'4. Billing Determinants'!$E$41*$D23,IF($E23="kW",VLOOKUP(T$4,'4. Billing Determinants'!$B$19:$R$41,5,0)/'4. Billing Determinants'!$F$41*$D23,IF($E23="Non-RPP kWh",VLOOKUP(T$4,'4. Billing Determinants'!$B$19:$R$41,6,0)/'4. Billing Determinants'!$G$41*$D23,IF($E23="Distribution Rev.",VLOOKUP(T$4,'4. Billing Determinants'!$B$19:$R$41,8,0)/'4. Billing Determinants'!$I$41*$D23, VLOOKUP(T$4,'4. Billing Determinants'!$B$19:$R$41,3,0)/'4. Billing Determinants'!$D$41*$D23))))),0)</f>
        <v>0</v>
      </c>
      <c r="U23" s="32">
        <f>IFERROR(IF(U$4="",0,IF($E23="kWh",VLOOKUP(U$4,'4. Billing Determinants'!$B$19:$R$41,4,0)/'4. Billing Determinants'!$E$41*$D23,IF($E23="kW",VLOOKUP(U$4,'4. Billing Determinants'!$B$19:$R$41,5,0)/'4. Billing Determinants'!$F$41*$D23,IF($E23="Non-RPP kWh",VLOOKUP(U$4,'4. Billing Determinants'!$B$19:$R$41,6,0)/'4. Billing Determinants'!$G$41*$D23,IF($E23="Distribution Rev.",VLOOKUP(U$4,'4. Billing Determinants'!$B$19:$R$41,8,0)/'4. Billing Determinants'!$I$41*$D23, VLOOKUP(U$4,'4. Billing Determinants'!$B$19:$R$41,3,0)/'4. Billing Determinants'!$D$41*$D23))))),0)</f>
        <v>0</v>
      </c>
      <c r="V23" s="32">
        <f>IFERROR(IF(V$4="",0,IF($E23="kWh",VLOOKUP(V$4,'4. Billing Determinants'!$B$19:$R$41,4,0)/'4. Billing Determinants'!$E$41*$D23,IF($E23="kW",VLOOKUP(V$4,'4. Billing Determinants'!$B$19:$R$41,5,0)/'4. Billing Determinants'!$F$41*$D23,IF($E23="Non-RPP kWh",VLOOKUP(V$4,'4. Billing Determinants'!$B$19:$R$41,6,0)/'4. Billing Determinants'!$G$41*$D23,IF($E23="Distribution Rev.",VLOOKUP(V$4,'4. Billing Determinants'!$B$19:$R$41,8,0)/'4. Billing Determinants'!$I$41*$D23, VLOOKUP(V$4,'4. Billing Determinants'!$B$19:$R$41,3,0)/'4. Billing Determinants'!$D$41*$D23))))),0)</f>
        <v>0</v>
      </c>
      <c r="W23" s="32">
        <f>IFERROR(IF(W$4="",0,IF($E23="kWh",VLOOKUP(W$4,'4. Billing Determinants'!$B$19:$R$41,4,0)/'4. Billing Determinants'!$E$41*$D23,IF($E23="kW",VLOOKUP(W$4,'4. Billing Determinants'!$B$19:$R$41,5,0)/'4. Billing Determinants'!$F$41*$D23,IF($E23="Non-RPP kWh",VLOOKUP(W$4,'4. Billing Determinants'!$B$19:$R$41,6,0)/'4. Billing Determinants'!$G$41*$D23,IF($E23="Distribution Rev.",VLOOKUP(W$4,'4. Billing Determinants'!$B$19:$R$41,8,0)/'4. Billing Determinants'!$I$41*$D23, VLOOKUP(W$4,'4. Billing Determinants'!$B$19:$R$41,3,0)/'4. Billing Determinants'!$D$41*$D23))))),0)</f>
        <v>0</v>
      </c>
      <c r="X23" s="32">
        <f>IFERROR(IF(X$4="",0,IF($E23="kWh",VLOOKUP(X$4,'4. Billing Determinants'!$B$19:$R$41,4,0)/'4. Billing Determinants'!$E$41*$D23,IF($E23="kW",VLOOKUP(X$4,'4. Billing Determinants'!$B$19:$R$41,5,0)/'4. Billing Determinants'!$F$41*$D23,IF($E23="Non-RPP kWh",VLOOKUP(X$4,'4. Billing Determinants'!$B$19:$R$41,6,0)/'4. Billing Determinants'!$G$41*$D23,IF($E23="Distribution Rev.",VLOOKUP(X$4,'4. Billing Determinants'!$B$19:$R$41,8,0)/'4. Billing Determinants'!$I$41*$D23, VLOOKUP(X$4,'4. Billing Determinants'!$B$19:$R$41,3,0)/'4. Billing Determinants'!$D$41*$D23))))),0)</f>
        <v>0</v>
      </c>
      <c r="Y23" s="32">
        <f>IFERROR(IF(Y$4="",0,IF($E23="kWh",VLOOKUP(Y$4,'4. Billing Determinants'!$B$19:$R$41,4,0)/'4. Billing Determinants'!$E$41*$D23,IF($E23="kW",VLOOKUP(Y$4,'4. Billing Determinants'!$B$19:$R$41,5,0)/'4. Billing Determinants'!$F$41*$D23,IF($E23="Non-RPP kWh",VLOOKUP(Y$4,'4. Billing Determinants'!$B$19:$R$41,6,0)/'4. Billing Determinants'!$G$41*$D23,IF($E23="Distribution Rev.",VLOOKUP(Y$4,'4. Billing Determinants'!$B$19:$R$41,8,0)/'4. Billing Determinants'!$I$41*$D23, VLOOKUP(Y$4,'4. Billing Determinants'!$B$19:$R$41,3,0)/'4. Billing Determinants'!$D$41*$D23))))),0)</f>
        <v>0</v>
      </c>
    </row>
    <row r="24" spans="1:25" x14ac:dyDescent="0.2">
      <c r="A24" s="37">
        <v>20</v>
      </c>
      <c r="B24" s="89" t="s">
        <v>445</v>
      </c>
      <c r="C24" s="31">
        <v>1508</v>
      </c>
      <c r="D24" s="32">
        <f>'2b. Continuity Schedule'!BT50</f>
        <v>0</v>
      </c>
      <c r="E24" s="48" t="s">
        <v>59</v>
      </c>
      <c r="F24" s="32">
        <f>IFERROR(IF(F$4="",0,IF($E24="kWh",VLOOKUP(F$4,'4. Billing Determinants'!$B$19:$R$41,4,0)/'4. Billing Determinants'!$E$41*$D24,IF($E24="kW",VLOOKUP(F$4,'4. Billing Determinants'!$B$19:$R$41,5,0)/'4. Billing Determinants'!$F$41*$D24,IF($E24="Non-RPP kWh",VLOOKUP(F$4,'4. Billing Determinants'!$B$19:$R$41,6,0)/'4. Billing Determinants'!$G$41*$D24,IF($E24="Distribution Rev.",VLOOKUP(F$4,'4. Billing Determinants'!$B$19:$R$41,8,0)/'4. Billing Determinants'!$I$41*$D24, VLOOKUP(F$4,'4. Billing Determinants'!$B$19:$R$41,3,0)/'4. Billing Determinants'!$D$41*$D24))))),0)</f>
        <v>0</v>
      </c>
      <c r="G24" s="32">
        <f>IFERROR(IF(G$4="",0,IF($E24="kWh",VLOOKUP(G$4,'4. Billing Determinants'!$B$19:$R$41,4,0)/'4. Billing Determinants'!$E$41*$D24,IF($E24="kW",VLOOKUP(G$4,'4. Billing Determinants'!$B$19:$R$41,5,0)/'4. Billing Determinants'!$F$41*$D24,IF($E24="Non-RPP kWh",VLOOKUP(G$4,'4. Billing Determinants'!$B$19:$R$41,6,0)/'4. Billing Determinants'!$G$41*$D24,IF($E24="Distribution Rev.",VLOOKUP(G$4,'4. Billing Determinants'!$B$19:$R$41,8,0)/'4. Billing Determinants'!$I$41*$D24, VLOOKUP(G$4,'4. Billing Determinants'!$B$19:$R$41,3,0)/'4. Billing Determinants'!$D$41*$D24))))),0)</f>
        <v>0</v>
      </c>
      <c r="H24" s="32">
        <f>IFERROR(IF(H$4="",0,IF($E24="kWh",VLOOKUP(H$4,'4. Billing Determinants'!$B$19:$R$41,4,0)/'4. Billing Determinants'!$E$41*$D24,IF($E24="kW",VLOOKUP(H$4,'4. Billing Determinants'!$B$19:$R$41,5,0)/'4. Billing Determinants'!$F$41*$D24,IF($E24="Non-RPP kWh",VLOOKUP(H$4,'4. Billing Determinants'!$B$19:$R$41,6,0)/'4. Billing Determinants'!$G$41*$D24,IF($E24="Distribution Rev.",VLOOKUP(H$4,'4. Billing Determinants'!$B$19:$R$41,8,0)/'4. Billing Determinants'!$I$41*$D24, VLOOKUP(H$4,'4. Billing Determinants'!$B$19:$R$41,3,0)/'4. Billing Determinants'!$D$41*$D24))))),0)</f>
        <v>0</v>
      </c>
      <c r="I24" s="32">
        <f>IFERROR(IF(I$4="",0,IF($E24="kWh",VLOOKUP(I$4,'4. Billing Determinants'!$B$19:$R$41,4,0)/'4. Billing Determinants'!$E$41*$D24,IF($E24="kW",VLOOKUP(I$4,'4. Billing Determinants'!$B$19:$R$41,5,0)/'4. Billing Determinants'!$F$41*$D24,IF($E24="Non-RPP kWh",VLOOKUP(I$4,'4. Billing Determinants'!$B$19:$R$41,6,0)/'4. Billing Determinants'!$G$41*$D24,IF($E24="Distribution Rev.",VLOOKUP(I$4,'4. Billing Determinants'!$B$19:$R$41,8,0)/'4. Billing Determinants'!$I$41*$D24, VLOOKUP(I$4,'4. Billing Determinants'!$B$19:$R$41,3,0)/'4. Billing Determinants'!$D$41*$D24))))),0)</f>
        <v>0</v>
      </c>
      <c r="J24" s="32">
        <f>IFERROR(IF(J$4="",0,IF($E24="kWh",VLOOKUP(J$4,'4. Billing Determinants'!$B$19:$R$41,4,0)/'4. Billing Determinants'!$E$41*$D24,IF($E24="kW",VLOOKUP(J$4,'4. Billing Determinants'!$B$19:$R$41,5,0)/'4. Billing Determinants'!$F$41*$D24,IF($E24="Non-RPP kWh",VLOOKUP(J$4,'4. Billing Determinants'!$B$19:$R$41,6,0)/'4. Billing Determinants'!$G$41*$D24,IF($E24="Distribution Rev.",VLOOKUP(J$4,'4. Billing Determinants'!$B$19:$R$41,8,0)/'4. Billing Determinants'!$I$41*$D24, VLOOKUP(J$4,'4. Billing Determinants'!$B$19:$R$41,3,0)/'4. Billing Determinants'!$D$41*$D24))))),0)</f>
        <v>0</v>
      </c>
      <c r="K24" s="32">
        <f>IFERROR(IF(K$4="",0,IF($E24="kWh",VLOOKUP(K$4,'4. Billing Determinants'!$B$19:$R$41,4,0)/'4. Billing Determinants'!$E$41*$D24,IF($E24="kW",VLOOKUP(K$4,'4. Billing Determinants'!$B$19:$R$41,5,0)/'4. Billing Determinants'!$F$41*$D24,IF($E24="Non-RPP kWh",VLOOKUP(K$4,'4. Billing Determinants'!$B$19:$R$41,6,0)/'4. Billing Determinants'!$G$41*$D24,IF($E24="Distribution Rev.",VLOOKUP(K$4,'4. Billing Determinants'!$B$19:$R$41,8,0)/'4. Billing Determinants'!$I$41*$D24, VLOOKUP(K$4,'4. Billing Determinants'!$B$19:$R$41,3,0)/'4. Billing Determinants'!$D$41*$D24))))),0)</f>
        <v>0</v>
      </c>
      <c r="L24" s="32">
        <f>IFERROR(IF(L$4="",0,IF($E24="kWh",VLOOKUP(L$4,'4. Billing Determinants'!$B$19:$R$41,4,0)/'4. Billing Determinants'!$E$41*$D24,IF($E24="kW",VLOOKUP(L$4,'4. Billing Determinants'!$B$19:$R$41,5,0)/'4. Billing Determinants'!$F$41*$D24,IF($E24="Non-RPP kWh",VLOOKUP(L$4,'4. Billing Determinants'!$B$19:$R$41,6,0)/'4. Billing Determinants'!$G$41*$D24,IF($E24="Distribution Rev.",VLOOKUP(L$4,'4. Billing Determinants'!$B$19:$R$41,8,0)/'4. Billing Determinants'!$I$41*$D24, VLOOKUP(L$4,'4. Billing Determinants'!$B$19:$R$41,3,0)/'4. Billing Determinants'!$D$41*$D24))))),0)</f>
        <v>0</v>
      </c>
      <c r="M24" s="32">
        <f>IFERROR(IF(M$4="",0,IF($E24="kWh",VLOOKUP(M$4,'4. Billing Determinants'!$B$19:$R$41,4,0)/'4. Billing Determinants'!$E$41*$D24,IF($E24="kW",VLOOKUP(M$4,'4. Billing Determinants'!$B$19:$R$41,5,0)/'4. Billing Determinants'!$F$41*$D24,IF($E24="Non-RPP kWh",VLOOKUP(M$4,'4. Billing Determinants'!$B$19:$R$41,6,0)/'4. Billing Determinants'!$G$41*$D24,IF($E24="Distribution Rev.",VLOOKUP(M$4,'4. Billing Determinants'!$B$19:$R$41,8,0)/'4. Billing Determinants'!$I$41*$D24, VLOOKUP(M$4,'4. Billing Determinants'!$B$19:$R$41,3,0)/'4. Billing Determinants'!$D$41*$D24))))),0)</f>
        <v>0</v>
      </c>
      <c r="N24" s="32">
        <f>IFERROR(IF(N$4="",0,IF($E24="kWh",VLOOKUP(N$4,'4. Billing Determinants'!$B$19:$R$41,4,0)/'4. Billing Determinants'!$E$41*$D24,IF($E24="kW",VLOOKUP(N$4,'4. Billing Determinants'!$B$19:$R$41,5,0)/'4. Billing Determinants'!$F$41*$D24,IF($E24="Non-RPP kWh",VLOOKUP(N$4,'4. Billing Determinants'!$B$19:$R$41,6,0)/'4. Billing Determinants'!$G$41*$D24,IF($E24="Distribution Rev.",VLOOKUP(N$4,'4. Billing Determinants'!$B$19:$R$41,8,0)/'4. Billing Determinants'!$I$41*$D24, VLOOKUP(N$4,'4. Billing Determinants'!$B$19:$R$41,3,0)/'4. Billing Determinants'!$D$41*$D24))))),0)</f>
        <v>0</v>
      </c>
      <c r="O24" s="32">
        <f>IFERROR(IF(O$4="",0,IF($E24="kWh",VLOOKUP(O$4,'4. Billing Determinants'!$B$19:$R$41,4,0)/'4. Billing Determinants'!$E$41*$D24,IF($E24="kW",VLOOKUP(O$4,'4. Billing Determinants'!$B$19:$R$41,5,0)/'4. Billing Determinants'!$F$41*$D24,IF($E24="Non-RPP kWh",VLOOKUP(O$4,'4. Billing Determinants'!$B$19:$R$41,6,0)/'4. Billing Determinants'!$G$41*$D24,IF($E24="Distribution Rev.",VLOOKUP(O$4,'4. Billing Determinants'!$B$19:$R$41,8,0)/'4. Billing Determinants'!$I$41*$D24, VLOOKUP(O$4,'4. Billing Determinants'!$B$19:$R$41,3,0)/'4. Billing Determinants'!$D$41*$D24))))),0)</f>
        <v>0</v>
      </c>
      <c r="P24" s="32">
        <f>IFERROR(IF(P$4="",0,IF($E24="kWh",VLOOKUP(P$4,'4. Billing Determinants'!$B$19:$R$41,4,0)/'4. Billing Determinants'!$E$41*$D24,IF($E24="kW",VLOOKUP(P$4,'4. Billing Determinants'!$B$19:$R$41,5,0)/'4. Billing Determinants'!$F$41*$D24,IF($E24="Non-RPP kWh",VLOOKUP(P$4,'4. Billing Determinants'!$B$19:$R$41,6,0)/'4. Billing Determinants'!$G$41*$D24,IF($E24="Distribution Rev.",VLOOKUP(P$4,'4. Billing Determinants'!$B$19:$R$41,8,0)/'4. Billing Determinants'!$I$41*$D24, VLOOKUP(P$4,'4. Billing Determinants'!$B$19:$R$41,3,0)/'4. Billing Determinants'!$D$41*$D24))))),0)</f>
        <v>0</v>
      </c>
      <c r="Q24" s="32">
        <f>IFERROR(IF(Q$4="",0,IF($E24="kWh",VLOOKUP(Q$4,'4. Billing Determinants'!$B$19:$R$41,4,0)/'4. Billing Determinants'!$E$41*$D24,IF($E24="kW",VLOOKUP(Q$4,'4. Billing Determinants'!$B$19:$R$41,5,0)/'4. Billing Determinants'!$F$41*$D24,IF($E24="Non-RPP kWh",VLOOKUP(Q$4,'4. Billing Determinants'!$B$19:$R$41,6,0)/'4. Billing Determinants'!$G$41*$D24,IF($E24="Distribution Rev.",VLOOKUP(Q$4,'4. Billing Determinants'!$B$19:$R$41,8,0)/'4. Billing Determinants'!$I$41*$D24, VLOOKUP(Q$4,'4. Billing Determinants'!$B$19:$R$41,3,0)/'4. Billing Determinants'!$D$41*$D24))))),0)</f>
        <v>0</v>
      </c>
      <c r="R24" s="32">
        <f>IFERROR(IF(R$4="",0,IF($E24="kWh",VLOOKUP(R$4,'4. Billing Determinants'!$B$19:$R$41,4,0)/'4. Billing Determinants'!$E$41*$D24,IF($E24="kW",VLOOKUP(R$4,'4. Billing Determinants'!$B$19:$R$41,5,0)/'4. Billing Determinants'!$F$41*$D24,IF($E24="Non-RPP kWh",VLOOKUP(R$4,'4. Billing Determinants'!$B$19:$R$41,6,0)/'4. Billing Determinants'!$G$41*$D24,IF($E24="Distribution Rev.",VLOOKUP(R$4,'4. Billing Determinants'!$B$19:$R$41,8,0)/'4. Billing Determinants'!$I$41*$D24, VLOOKUP(R$4,'4. Billing Determinants'!$B$19:$R$41,3,0)/'4. Billing Determinants'!$D$41*$D24))))),0)</f>
        <v>0</v>
      </c>
      <c r="S24" s="32">
        <f>IFERROR(IF(S$4="",0,IF($E24="kWh",VLOOKUP(S$4,'4. Billing Determinants'!$B$19:$R$41,4,0)/'4. Billing Determinants'!$E$41*$D24,IF($E24="kW",VLOOKUP(S$4,'4. Billing Determinants'!$B$19:$R$41,5,0)/'4. Billing Determinants'!$F$41*$D24,IF($E24="Non-RPP kWh",VLOOKUP(S$4,'4. Billing Determinants'!$B$19:$R$41,6,0)/'4. Billing Determinants'!$G$41*$D24,IF($E24="Distribution Rev.",VLOOKUP(S$4,'4. Billing Determinants'!$B$19:$R$41,8,0)/'4. Billing Determinants'!$I$41*$D24, VLOOKUP(S$4,'4. Billing Determinants'!$B$19:$R$41,3,0)/'4. Billing Determinants'!$D$41*$D24))))),0)</f>
        <v>0</v>
      </c>
      <c r="T24" s="32">
        <f>IFERROR(IF(T$4="",0,IF($E24="kWh",VLOOKUP(T$4,'4. Billing Determinants'!$B$19:$R$41,4,0)/'4. Billing Determinants'!$E$41*$D24,IF($E24="kW",VLOOKUP(T$4,'4. Billing Determinants'!$B$19:$R$41,5,0)/'4. Billing Determinants'!$F$41*$D24,IF($E24="Non-RPP kWh",VLOOKUP(T$4,'4. Billing Determinants'!$B$19:$R$41,6,0)/'4. Billing Determinants'!$G$41*$D24,IF($E24="Distribution Rev.",VLOOKUP(T$4,'4. Billing Determinants'!$B$19:$R$41,8,0)/'4. Billing Determinants'!$I$41*$D24, VLOOKUP(T$4,'4. Billing Determinants'!$B$19:$R$41,3,0)/'4. Billing Determinants'!$D$41*$D24))))),0)</f>
        <v>0</v>
      </c>
      <c r="U24" s="32">
        <f>IFERROR(IF(U$4="",0,IF($E24="kWh",VLOOKUP(U$4,'4. Billing Determinants'!$B$19:$R$41,4,0)/'4. Billing Determinants'!$E$41*$D24,IF($E24="kW",VLOOKUP(U$4,'4. Billing Determinants'!$B$19:$R$41,5,0)/'4. Billing Determinants'!$F$41*$D24,IF($E24="Non-RPP kWh",VLOOKUP(U$4,'4. Billing Determinants'!$B$19:$R$41,6,0)/'4. Billing Determinants'!$G$41*$D24,IF($E24="Distribution Rev.",VLOOKUP(U$4,'4. Billing Determinants'!$B$19:$R$41,8,0)/'4. Billing Determinants'!$I$41*$D24, VLOOKUP(U$4,'4. Billing Determinants'!$B$19:$R$41,3,0)/'4. Billing Determinants'!$D$41*$D24))))),0)</f>
        <v>0</v>
      </c>
      <c r="V24" s="32">
        <f>IFERROR(IF(V$4="",0,IF($E24="kWh",VLOOKUP(V$4,'4. Billing Determinants'!$B$19:$R$41,4,0)/'4. Billing Determinants'!$E$41*$D24,IF($E24="kW",VLOOKUP(V$4,'4. Billing Determinants'!$B$19:$R$41,5,0)/'4. Billing Determinants'!$F$41*$D24,IF($E24="Non-RPP kWh",VLOOKUP(V$4,'4. Billing Determinants'!$B$19:$R$41,6,0)/'4. Billing Determinants'!$G$41*$D24,IF($E24="Distribution Rev.",VLOOKUP(V$4,'4. Billing Determinants'!$B$19:$R$41,8,0)/'4. Billing Determinants'!$I$41*$D24, VLOOKUP(V$4,'4. Billing Determinants'!$B$19:$R$41,3,0)/'4. Billing Determinants'!$D$41*$D24))))),0)</f>
        <v>0</v>
      </c>
      <c r="W24" s="32">
        <f>IFERROR(IF(W$4="",0,IF($E24="kWh",VLOOKUP(W$4,'4. Billing Determinants'!$B$19:$R$41,4,0)/'4. Billing Determinants'!$E$41*$D24,IF($E24="kW",VLOOKUP(W$4,'4. Billing Determinants'!$B$19:$R$41,5,0)/'4. Billing Determinants'!$F$41*$D24,IF($E24="Non-RPP kWh",VLOOKUP(W$4,'4. Billing Determinants'!$B$19:$R$41,6,0)/'4. Billing Determinants'!$G$41*$D24,IF($E24="Distribution Rev.",VLOOKUP(W$4,'4. Billing Determinants'!$B$19:$R$41,8,0)/'4. Billing Determinants'!$I$41*$D24, VLOOKUP(W$4,'4. Billing Determinants'!$B$19:$R$41,3,0)/'4. Billing Determinants'!$D$41*$D24))))),0)</f>
        <v>0</v>
      </c>
      <c r="X24" s="32">
        <f>IFERROR(IF(X$4="",0,IF($E24="kWh",VLOOKUP(X$4,'4. Billing Determinants'!$B$19:$R$41,4,0)/'4. Billing Determinants'!$E$41*$D24,IF($E24="kW",VLOOKUP(X$4,'4. Billing Determinants'!$B$19:$R$41,5,0)/'4. Billing Determinants'!$F$41*$D24,IF($E24="Non-RPP kWh",VLOOKUP(X$4,'4. Billing Determinants'!$B$19:$R$41,6,0)/'4. Billing Determinants'!$G$41*$D24,IF($E24="Distribution Rev.",VLOOKUP(X$4,'4. Billing Determinants'!$B$19:$R$41,8,0)/'4. Billing Determinants'!$I$41*$D24, VLOOKUP(X$4,'4. Billing Determinants'!$B$19:$R$41,3,0)/'4. Billing Determinants'!$D$41*$D24))))),0)</f>
        <v>0</v>
      </c>
      <c r="Y24" s="32">
        <f>IFERROR(IF(Y$4="",0,IF($E24="kWh",VLOOKUP(Y$4,'4. Billing Determinants'!$B$19:$R$41,4,0)/'4. Billing Determinants'!$E$41*$D24,IF($E24="kW",VLOOKUP(Y$4,'4. Billing Determinants'!$B$19:$R$41,5,0)/'4. Billing Determinants'!$F$41*$D24,IF($E24="Non-RPP kWh",VLOOKUP(Y$4,'4. Billing Determinants'!$B$19:$R$41,6,0)/'4. Billing Determinants'!$G$41*$D24,IF($E24="Distribution Rev.",VLOOKUP(Y$4,'4. Billing Determinants'!$B$19:$R$41,8,0)/'4. Billing Determinants'!$I$41*$D24, VLOOKUP(Y$4,'4. Billing Determinants'!$B$19:$R$41,3,0)/'4. Billing Determinants'!$D$41*$D24))))),0)</f>
        <v>0</v>
      </c>
    </row>
    <row r="25" spans="1:25" x14ac:dyDescent="0.2">
      <c r="A25" s="37">
        <v>21</v>
      </c>
      <c r="B25" s="300" t="str">
        <f>IF('2b. Continuity Schedule'!C51="","",LEFT('2b. Continuity Schedule'!C51,LEN('2b. Continuity Schedule'!C51)-1))</f>
        <v>Customer Choice Initiative Costs</v>
      </c>
      <c r="C25" s="31">
        <v>1508</v>
      </c>
      <c r="D25" s="32">
        <f>'2b. Continuity Schedule'!BT51</f>
        <v>0</v>
      </c>
      <c r="E25" s="48" t="s">
        <v>139</v>
      </c>
      <c r="F25" s="32">
        <f>IFERROR(IF(F$4="",0,IF($E25="kWh",VLOOKUP(F$4,'4. Billing Determinants'!$B$19:$R$41,4,0)/'4. Billing Determinants'!$E$41*$D25,IF($E25="kW",VLOOKUP(F$4,'4. Billing Determinants'!$B$19:$R$41,5,0)/'4. Billing Determinants'!$F$41*$D25,IF($E25="Non-RPP kWh",VLOOKUP(F$4,'4. Billing Determinants'!$B$19:$R$41,6,0)/'4. Billing Determinants'!$G$41*$D25,IF($E25="Distribution Rev.",VLOOKUP(F$4,'4. Billing Determinants'!$B$19:$R$41,8,0)/'4. Billing Determinants'!$I$41*$D25, VLOOKUP(F$4,'4. Billing Determinants'!$B$19:$R$41,3,0)/'4. Billing Determinants'!$D$41*$D25))))),0)</f>
        <v>0</v>
      </c>
      <c r="G25" s="32">
        <f>IFERROR(IF(G$4="",0,IF($E25="kWh",VLOOKUP(G$4,'4. Billing Determinants'!$B$19:$R$41,4,0)/'4. Billing Determinants'!$E$41*$D25,IF($E25="kW",VLOOKUP(G$4,'4. Billing Determinants'!$B$19:$R$41,5,0)/'4. Billing Determinants'!$F$41*$D25,IF($E25="Non-RPP kWh",VLOOKUP(G$4,'4. Billing Determinants'!$B$19:$R$41,6,0)/'4. Billing Determinants'!$G$41*$D25,IF($E25="Distribution Rev.",VLOOKUP(G$4,'4. Billing Determinants'!$B$19:$R$41,8,0)/'4. Billing Determinants'!$I$41*$D25, VLOOKUP(G$4,'4. Billing Determinants'!$B$19:$R$41,3,0)/'4. Billing Determinants'!$D$41*$D25))))),0)</f>
        <v>0</v>
      </c>
      <c r="H25" s="32">
        <f>IFERROR(IF(H$4="",0,IF($E25="kWh",VLOOKUP(H$4,'4. Billing Determinants'!$B$19:$R$41,4,0)/'4. Billing Determinants'!$E$41*$D25,IF($E25="kW",VLOOKUP(H$4,'4. Billing Determinants'!$B$19:$R$41,5,0)/'4. Billing Determinants'!$F$41*$D25,IF($E25="Non-RPP kWh",VLOOKUP(H$4,'4. Billing Determinants'!$B$19:$R$41,6,0)/'4. Billing Determinants'!$G$41*$D25,IF($E25="Distribution Rev.",VLOOKUP(H$4,'4. Billing Determinants'!$B$19:$R$41,8,0)/'4. Billing Determinants'!$I$41*$D25, VLOOKUP(H$4,'4. Billing Determinants'!$B$19:$R$41,3,0)/'4. Billing Determinants'!$D$41*$D25))))),0)</f>
        <v>0</v>
      </c>
      <c r="I25" s="32">
        <f>IFERROR(IF(I$4="",0,IF($E25="kWh",VLOOKUP(I$4,'4. Billing Determinants'!$B$19:$R$41,4,0)/'4. Billing Determinants'!$E$41*$D25,IF($E25="kW",VLOOKUP(I$4,'4. Billing Determinants'!$B$19:$R$41,5,0)/'4. Billing Determinants'!$F$41*$D25,IF($E25="Non-RPP kWh",VLOOKUP(I$4,'4. Billing Determinants'!$B$19:$R$41,6,0)/'4. Billing Determinants'!$G$41*$D25,IF($E25="Distribution Rev.",VLOOKUP(I$4,'4. Billing Determinants'!$B$19:$R$41,8,0)/'4. Billing Determinants'!$I$41*$D25, VLOOKUP(I$4,'4. Billing Determinants'!$B$19:$R$41,3,0)/'4. Billing Determinants'!$D$41*$D25))))),0)</f>
        <v>0</v>
      </c>
      <c r="J25" s="32">
        <f>IFERROR(IF(J$4="",0,IF($E25="kWh",VLOOKUP(J$4,'4. Billing Determinants'!$B$19:$R$41,4,0)/'4. Billing Determinants'!$E$41*$D25,IF($E25="kW",VLOOKUP(J$4,'4. Billing Determinants'!$B$19:$R$41,5,0)/'4. Billing Determinants'!$F$41*$D25,IF($E25="Non-RPP kWh",VLOOKUP(J$4,'4. Billing Determinants'!$B$19:$R$41,6,0)/'4. Billing Determinants'!$G$41*$D25,IF($E25="Distribution Rev.",VLOOKUP(J$4,'4. Billing Determinants'!$B$19:$R$41,8,0)/'4. Billing Determinants'!$I$41*$D25, VLOOKUP(J$4,'4. Billing Determinants'!$B$19:$R$41,3,0)/'4. Billing Determinants'!$D$41*$D25))))),0)</f>
        <v>0</v>
      </c>
      <c r="K25" s="32">
        <f>IFERROR(IF(K$4="",0,IF($E25="kWh",VLOOKUP(K$4,'4. Billing Determinants'!$B$19:$R$41,4,0)/'4. Billing Determinants'!$E$41*$D25,IF($E25="kW",VLOOKUP(K$4,'4. Billing Determinants'!$B$19:$R$41,5,0)/'4. Billing Determinants'!$F$41*$D25,IF($E25="Non-RPP kWh",VLOOKUP(K$4,'4. Billing Determinants'!$B$19:$R$41,6,0)/'4. Billing Determinants'!$G$41*$D25,IF($E25="Distribution Rev.",VLOOKUP(K$4,'4. Billing Determinants'!$B$19:$R$41,8,0)/'4. Billing Determinants'!$I$41*$D25, VLOOKUP(K$4,'4. Billing Determinants'!$B$19:$R$41,3,0)/'4. Billing Determinants'!$D$41*$D25))))),0)</f>
        <v>0</v>
      </c>
      <c r="L25" s="32">
        <f>IFERROR(IF(L$4="",0,IF($E25="kWh",VLOOKUP(L$4,'4. Billing Determinants'!$B$19:$R$41,4,0)/'4. Billing Determinants'!$E$41*$D25,IF($E25="kW",VLOOKUP(L$4,'4. Billing Determinants'!$B$19:$R$41,5,0)/'4. Billing Determinants'!$F$41*$D25,IF($E25="Non-RPP kWh",VLOOKUP(L$4,'4. Billing Determinants'!$B$19:$R$41,6,0)/'4. Billing Determinants'!$G$41*$D25,IF($E25="Distribution Rev.",VLOOKUP(L$4,'4. Billing Determinants'!$B$19:$R$41,8,0)/'4. Billing Determinants'!$I$41*$D25, VLOOKUP(L$4,'4. Billing Determinants'!$B$19:$R$41,3,0)/'4. Billing Determinants'!$D$41*$D25))))),0)</f>
        <v>0</v>
      </c>
      <c r="M25" s="32">
        <f>IFERROR(IF(M$4="",0,IF($E25="kWh",VLOOKUP(M$4,'4. Billing Determinants'!$B$19:$R$41,4,0)/'4. Billing Determinants'!$E$41*$D25,IF($E25="kW",VLOOKUP(M$4,'4. Billing Determinants'!$B$19:$R$41,5,0)/'4. Billing Determinants'!$F$41*$D25,IF($E25="Non-RPP kWh",VLOOKUP(M$4,'4. Billing Determinants'!$B$19:$R$41,6,0)/'4. Billing Determinants'!$G$41*$D25,IF($E25="Distribution Rev.",VLOOKUP(M$4,'4. Billing Determinants'!$B$19:$R$41,8,0)/'4. Billing Determinants'!$I$41*$D25, VLOOKUP(M$4,'4. Billing Determinants'!$B$19:$R$41,3,0)/'4. Billing Determinants'!$D$41*$D25))))),0)</f>
        <v>0</v>
      </c>
      <c r="N25" s="32">
        <f>IFERROR(IF(N$4="",0,IF($E25="kWh",VLOOKUP(N$4,'4. Billing Determinants'!$B$19:$R$41,4,0)/'4. Billing Determinants'!$E$41*$D25,IF($E25="kW",VLOOKUP(N$4,'4. Billing Determinants'!$B$19:$R$41,5,0)/'4. Billing Determinants'!$F$41*$D25,IF($E25="Non-RPP kWh",VLOOKUP(N$4,'4. Billing Determinants'!$B$19:$R$41,6,0)/'4. Billing Determinants'!$G$41*$D25,IF($E25="Distribution Rev.",VLOOKUP(N$4,'4. Billing Determinants'!$B$19:$R$41,8,0)/'4. Billing Determinants'!$I$41*$D25, VLOOKUP(N$4,'4. Billing Determinants'!$B$19:$R$41,3,0)/'4. Billing Determinants'!$D$41*$D25))))),0)</f>
        <v>0</v>
      </c>
      <c r="O25" s="32">
        <f>IFERROR(IF(O$4="",0,IF($E25="kWh",VLOOKUP(O$4,'4. Billing Determinants'!$B$19:$R$41,4,0)/'4. Billing Determinants'!$E$41*$D25,IF($E25="kW",VLOOKUP(O$4,'4. Billing Determinants'!$B$19:$R$41,5,0)/'4. Billing Determinants'!$F$41*$D25,IF($E25="Non-RPP kWh",VLOOKUP(O$4,'4. Billing Determinants'!$B$19:$R$41,6,0)/'4. Billing Determinants'!$G$41*$D25,IF($E25="Distribution Rev.",VLOOKUP(O$4,'4. Billing Determinants'!$B$19:$R$41,8,0)/'4. Billing Determinants'!$I$41*$D25, VLOOKUP(O$4,'4. Billing Determinants'!$B$19:$R$41,3,0)/'4. Billing Determinants'!$D$41*$D25))))),0)</f>
        <v>0</v>
      </c>
      <c r="P25" s="32">
        <f>IFERROR(IF(P$4="",0,IF($E25="kWh",VLOOKUP(P$4,'4. Billing Determinants'!$B$19:$R$41,4,0)/'4. Billing Determinants'!$E$41*$D25,IF($E25="kW",VLOOKUP(P$4,'4. Billing Determinants'!$B$19:$R$41,5,0)/'4. Billing Determinants'!$F$41*$D25,IF($E25="Non-RPP kWh",VLOOKUP(P$4,'4. Billing Determinants'!$B$19:$R$41,6,0)/'4. Billing Determinants'!$G$41*$D25,IF($E25="Distribution Rev.",VLOOKUP(P$4,'4. Billing Determinants'!$B$19:$R$41,8,0)/'4. Billing Determinants'!$I$41*$D25, VLOOKUP(P$4,'4. Billing Determinants'!$B$19:$R$41,3,0)/'4. Billing Determinants'!$D$41*$D25))))),0)</f>
        <v>0</v>
      </c>
      <c r="Q25" s="32">
        <f>IFERROR(IF(Q$4="",0,IF($E25="kWh",VLOOKUP(Q$4,'4. Billing Determinants'!$B$19:$R$41,4,0)/'4. Billing Determinants'!$E$41*$D25,IF($E25="kW",VLOOKUP(Q$4,'4. Billing Determinants'!$B$19:$R$41,5,0)/'4. Billing Determinants'!$F$41*$D25,IF($E25="Non-RPP kWh",VLOOKUP(Q$4,'4. Billing Determinants'!$B$19:$R$41,6,0)/'4. Billing Determinants'!$G$41*$D25,IF($E25="Distribution Rev.",VLOOKUP(Q$4,'4. Billing Determinants'!$B$19:$R$41,8,0)/'4. Billing Determinants'!$I$41*$D25, VLOOKUP(Q$4,'4. Billing Determinants'!$B$19:$R$41,3,0)/'4. Billing Determinants'!$D$41*$D25))))),0)</f>
        <v>0</v>
      </c>
      <c r="R25" s="32">
        <f>IFERROR(IF(R$4="",0,IF($E25="kWh",VLOOKUP(R$4,'4. Billing Determinants'!$B$19:$R$41,4,0)/'4. Billing Determinants'!$E$41*$D25,IF($E25="kW",VLOOKUP(R$4,'4. Billing Determinants'!$B$19:$R$41,5,0)/'4. Billing Determinants'!$F$41*$D25,IF($E25="Non-RPP kWh",VLOOKUP(R$4,'4. Billing Determinants'!$B$19:$R$41,6,0)/'4. Billing Determinants'!$G$41*$D25,IF($E25="Distribution Rev.",VLOOKUP(R$4,'4. Billing Determinants'!$B$19:$R$41,8,0)/'4. Billing Determinants'!$I$41*$D25, VLOOKUP(R$4,'4. Billing Determinants'!$B$19:$R$41,3,0)/'4. Billing Determinants'!$D$41*$D25))))),0)</f>
        <v>0</v>
      </c>
      <c r="S25" s="32">
        <f>IFERROR(IF(S$4="",0,IF($E25="kWh",VLOOKUP(S$4,'4. Billing Determinants'!$B$19:$R$41,4,0)/'4. Billing Determinants'!$E$41*$D25,IF($E25="kW",VLOOKUP(S$4,'4. Billing Determinants'!$B$19:$R$41,5,0)/'4. Billing Determinants'!$F$41*$D25,IF($E25="Non-RPP kWh",VLOOKUP(S$4,'4. Billing Determinants'!$B$19:$R$41,6,0)/'4. Billing Determinants'!$G$41*$D25,IF($E25="Distribution Rev.",VLOOKUP(S$4,'4. Billing Determinants'!$B$19:$R$41,8,0)/'4. Billing Determinants'!$I$41*$D25, VLOOKUP(S$4,'4. Billing Determinants'!$B$19:$R$41,3,0)/'4. Billing Determinants'!$D$41*$D25))))),0)</f>
        <v>0</v>
      </c>
      <c r="T25" s="32">
        <f>IFERROR(IF(T$4="",0,IF($E25="kWh",VLOOKUP(T$4,'4. Billing Determinants'!$B$19:$R$41,4,0)/'4. Billing Determinants'!$E$41*$D25,IF($E25="kW",VLOOKUP(T$4,'4. Billing Determinants'!$B$19:$R$41,5,0)/'4. Billing Determinants'!$F$41*$D25,IF($E25="Non-RPP kWh",VLOOKUP(T$4,'4. Billing Determinants'!$B$19:$R$41,6,0)/'4. Billing Determinants'!$G$41*$D25,IF($E25="Distribution Rev.",VLOOKUP(T$4,'4. Billing Determinants'!$B$19:$R$41,8,0)/'4. Billing Determinants'!$I$41*$D25, VLOOKUP(T$4,'4. Billing Determinants'!$B$19:$R$41,3,0)/'4. Billing Determinants'!$D$41*$D25))))),0)</f>
        <v>0</v>
      </c>
      <c r="U25" s="32">
        <f>IFERROR(IF(U$4="",0,IF($E25="kWh",VLOOKUP(U$4,'4. Billing Determinants'!$B$19:$R$41,4,0)/'4. Billing Determinants'!$E$41*$D25,IF($E25="kW",VLOOKUP(U$4,'4. Billing Determinants'!$B$19:$R$41,5,0)/'4. Billing Determinants'!$F$41*$D25,IF($E25="Non-RPP kWh",VLOOKUP(U$4,'4. Billing Determinants'!$B$19:$R$41,6,0)/'4. Billing Determinants'!$G$41*$D25,IF($E25="Distribution Rev.",VLOOKUP(U$4,'4. Billing Determinants'!$B$19:$R$41,8,0)/'4. Billing Determinants'!$I$41*$D25, VLOOKUP(U$4,'4. Billing Determinants'!$B$19:$R$41,3,0)/'4. Billing Determinants'!$D$41*$D25))))),0)</f>
        <v>0</v>
      </c>
      <c r="V25" s="32">
        <f>IFERROR(IF(V$4="",0,IF($E25="kWh",VLOOKUP(V$4,'4. Billing Determinants'!$B$19:$R$41,4,0)/'4. Billing Determinants'!$E$41*$D25,IF($E25="kW",VLOOKUP(V$4,'4. Billing Determinants'!$B$19:$R$41,5,0)/'4. Billing Determinants'!$F$41*$D25,IF($E25="Non-RPP kWh",VLOOKUP(V$4,'4. Billing Determinants'!$B$19:$R$41,6,0)/'4. Billing Determinants'!$G$41*$D25,IF($E25="Distribution Rev.",VLOOKUP(V$4,'4. Billing Determinants'!$B$19:$R$41,8,0)/'4. Billing Determinants'!$I$41*$D25, VLOOKUP(V$4,'4. Billing Determinants'!$B$19:$R$41,3,0)/'4. Billing Determinants'!$D$41*$D25))))),0)</f>
        <v>0</v>
      </c>
      <c r="W25" s="32">
        <f>IFERROR(IF(W$4="",0,IF($E25="kWh",VLOOKUP(W$4,'4. Billing Determinants'!$B$19:$R$41,4,0)/'4. Billing Determinants'!$E$41*$D25,IF($E25="kW",VLOOKUP(W$4,'4. Billing Determinants'!$B$19:$R$41,5,0)/'4. Billing Determinants'!$F$41*$D25,IF($E25="Non-RPP kWh",VLOOKUP(W$4,'4. Billing Determinants'!$B$19:$R$41,6,0)/'4. Billing Determinants'!$G$41*$D25,IF($E25="Distribution Rev.",VLOOKUP(W$4,'4. Billing Determinants'!$B$19:$R$41,8,0)/'4. Billing Determinants'!$I$41*$D25, VLOOKUP(W$4,'4. Billing Determinants'!$B$19:$R$41,3,0)/'4. Billing Determinants'!$D$41*$D25))))),0)</f>
        <v>0</v>
      </c>
      <c r="X25" s="32">
        <f>IFERROR(IF(X$4="",0,IF($E25="kWh",VLOOKUP(X$4,'4. Billing Determinants'!$B$19:$R$41,4,0)/'4. Billing Determinants'!$E$41*$D25,IF($E25="kW",VLOOKUP(X$4,'4. Billing Determinants'!$B$19:$R$41,5,0)/'4. Billing Determinants'!$F$41*$D25,IF($E25="Non-RPP kWh",VLOOKUP(X$4,'4. Billing Determinants'!$B$19:$R$41,6,0)/'4. Billing Determinants'!$G$41*$D25,IF($E25="Distribution Rev.",VLOOKUP(X$4,'4. Billing Determinants'!$B$19:$R$41,8,0)/'4. Billing Determinants'!$I$41*$D25, VLOOKUP(X$4,'4. Billing Determinants'!$B$19:$R$41,3,0)/'4. Billing Determinants'!$D$41*$D25))))),0)</f>
        <v>0</v>
      </c>
      <c r="Y25" s="32">
        <f>IFERROR(IF(Y$4="",0,IF($E25="kWh",VLOOKUP(Y$4,'4. Billing Determinants'!$B$19:$R$41,4,0)/'4. Billing Determinants'!$E$41*$D25,IF($E25="kW",VLOOKUP(Y$4,'4. Billing Determinants'!$B$19:$R$41,5,0)/'4. Billing Determinants'!$F$41*$D25,IF($E25="Non-RPP kWh",VLOOKUP(Y$4,'4. Billing Determinants'!$B$19:$R$41,6,0)/'4. Billing Determinants'!$G$41*$D25,IF($E25="Distribution Rev.",VLOOKUP(Y$4,'4. Billing Determinants'!$B$19:$R$41,8,0)/'4. Billing Determinants'!$I$41*$D25, VLOOKUP(Y$4,'4. Billing Determinants'!$B$19:$R$41,3,0)/'4. Billing Determinants'!$D$41*$D25))))),0)</f>
        <v>0</v>
      </c>
    </row>
    <row r="26" spans="1:25" x14ac:dyDescent="0.2">
      <c r="B26" s="300" t="str">
        <f>IF('2b. Continuity Schedule'!C52="","",LEFT('2b. Continuity Schedule'!C52,LEN('2b. Continuity Schedule'!C52)-1))</f>
        <v>Local Initiatives Program Costs</v>
      </c>
      <c r="C26" s="31">
        <v>1508</v>
      </c>
      <c r="D26" s="32">
        <f>'2b. Continuity Schedule'!BT52</f>
        <v>0</v>
      </c>
      <c r="E26" s="48" t="s">
        <v>139</v>
      </c>
      <c r="F26" s="32">
        <f>IFERROR(IF(F$4="",0,IF($E26="kWh",VLOOKUP(F$4,'4. Billing Determinants'!$B$19:$R$41,4,0)/'4. Billing Determinants'!$E$41*$D26,IF($E26="kW",VLOOKUP(F$4,'4. Billing Determinants'!$B$19:$R$41,5,0)/'4. Billing Determinants'!$F$41*$D26,IF($E26="Non-RPP kWh",VLOOKUP(F$4,'4. Billing Determinants'!$B$19:$R$41,6,0)/'4. Billing Determinants'!$G$41*$D26,IF($E26="Distribution Rev.",VLOOKUP(F$4,'4. Billing Determinants'!$B$19:$R$41,8,0)/'4. Billing Determinants'!$I$41*$D26, VLOOKUP(F$4,'4. Billing Determinants'!$B$19:$R$41,3,0)/'4. Billing Determinants'!$D$41*$D26))))),0)</f>
        <v>0</v>
      </c>
      <c r="G26" s="32">
        <f>IFERROR(IF(G$4="",0,IF($E26="kWh",VLOOKUP(G$4,'4. Billing Determinants'!$B$19:$R$41,4,0)/'4. Billing Determinants'!$E$41*$D26,IF($E26="kW",VLOOKUP(G$4,'4. Billing Determinants'!$B$19:$R$41,5,0)/'4. Billing Determinants'!$F$41*$D26,IF($E26="Non-RPP kWh",VLOOKUP(G$4,'4. Billing Determinants'!$B$19:$R$41,6,0)/'4. Billing Determinants'!$G$41*$D26,IF($E26="Distribution Rev.",VLOOKUP(G$4,'4. Billing Determinants'!$B$19:$R$41,8,0)/'4. Billing Determinants'!$I$41*$D26, VLOOKUP(G$4,'4. Billing Determinants'!$B$19:$R$41,3,0)/'4. Billing Determinants'!$D$41*$D26))))),0)</f>
        <v>0</v>
      </c>
      <c r="H26" s="32">
        <f>IFERROR(IF(H$4="",0,IF($E26="kWh",VLOOKUP(H$4,'4. Billing Determinants'!$B$19:$R$41,4,0)/'4. Billing Determinants'!$E$41*$D26,IF($E26="kW",VLOOKUP(H$4,'4. Billing Determinants'!$B$19:$R$41,5,0)/'4. Billing Determinants'!$F$41*$D26,IF($E26="Non-RPP kWh",VLOOKUP(H$4,'4. Billing Determinants'!$B$19:$R$41,6,0)/'4. Billing Determinants'!$G$41*$D26,IF($E26="Distribution Rev.",VLOOKUP(H$4,'4. Billing Determinants'!$B$19:$R$41,8,0)/'4. Billing Determinants'!$I$41*$D26, VLOOKUP(H$4,'4. Billing Determinants'!$B$19:$R$41,3,0)/'4. Billing Determinants'!$D$41*$D26))))),0)</f>
        <v>0</v>
      </c>
      <c r="I26" s="32">
        <f>IFERROR(IF(I$4="",0,IF($E26="kWh",VLOOKUP(I$4,'4. Billing Determinants'!$B$19:$R$41,4,0)/'4. Billing Determinants'!$E$41*$D26,IF($E26="kW",VLOOKUP(I$4,'4. Billing Determinants'!$B$19:$R$41,5,0)/'4. Billing Determinants'!$F$41*$D26,IF($E26="Non-RPP kWh",VLOOKUP(I$4,'4. Billing Determinants'!$B$19:$R$41,6,0)/'4. Billing Determinants'!$G$41*$D26,IF($E26="Distribution Rev.",VLOOKUP(I$4,'4. Billing Determinants'!$B$19:$R$41,8,0)/'4. Billing Determinants'!$I$41*$D26, VLOOKUP(I$4,'4. Billing Determinants'!$B$19:$R$41,3,0)/'4. Billing Determinants'!$D$41*$D26))))),0)</f>
        <v>0</v>
      </c>
      <c r="J26" s="32">
        <f>IFERROR(IF(J$4="",0,IF($E26="kWh",VLOOKUP(J$4,'4. Billing Determinants'!$B$19:$R$41,4,0)/'4. Billing Determinants'!$E$41*$D26,IF($E26="kW",VLOOKUP(J$4,'4. Billing Determinants'!$B$19:$R$41,5,0)/'4. Billing Determinants'!$F$41*$D26,IF($E26="Non-RPP kWh",VLOOKUP(J$4,'4. Billing Determinants'!$B$19:$R$41,6,0)/'4. Billing Determinants'!$G$41*$D26,IF($E26="Distribution Rev.",VLOOKUP(J$4,'4. Billing Determinants'!$B$19:$R$41,8,0)/'4. Billing Determinants'!$I$41*$D26, VLOOKUP(J$4,'4. Billing Determinants'!$B$19:$R$41,3,0)/'4. Billing Determinants'!$D$41*$D26))))),0)</f>
        <v>0</v>
      </c>
      <c r="K26" s="32">
        <f>IFERROR(IF(K$4="",0,IF($E26="kWh",VLOOKUP(K$4,'4. Billing Determinants'!$B$19:$R$41,4,0)/'4. Billing Determinants'!$E$41*$D26,IF($E26="kW",VLOOKUP(K$4,'4. Billing Determinants'!$B$19:$R$41,5,0)/'4. Billing Determinants'!$F$41*$D26,IF($E26="Non-RPP kWh",VLOOKUP(K$4,'4. Billing Determinants'!$B$19:$R$41,6,0)/'4. Billing Determinants'!$G$41*$D26,IF($E26="Distribution Rev.",VLOOKUP(K$4,'4. Billing Determinants'!$B$19:$R$41,8,0)/'4. Billing Determinants'!$I$41*$D26, VLOOKUP(K$4,'4. Billing Determinants'!$B$19:$R$41,3,0)/'4. Billing Determinants'!$D$41*$D26))))),0)</f>
        <v>0</v>
      </c>
      <c r="L26" s="32">
        <f>IFERROR(IF(L$4="",0,IF($E26="kWh",VLOOKUP(L$4,'4. Billing Determinants'!$B$19:$R$41,4,0)/'4. Billing Determinants'!$E$41*$D26,IF($E26="kW",VLOOKUP(L$4,'4. Billing Determinants'!$B$19:$R$41,5,0)/'4. Billing Determinants'!$F$41*$D26,IF($E26="Non-RPP kWh",VLOOKUP(L$4,'4. Billing Determinants'!$B$19:$R$41,6,0)/'4. Billing Determinants'!$G$41*$D26,IF($E26="Distribution Rev.",VLOOKUP(L$4,'4. Billing Determinants'!$B$19:$R$41,8,0)/'4. Billing Determinants'!$I$41*$D26, VLOOKUP(L$4,'4. Billing Determinants'!$B$19:$R$41,3,0)/'4. Billing Determinants'!$D$41*$D26))))),0)</f>
        <v>0</v>
      </c>
      <c r="M26" s="32">
        <f>IFERROR(IF(M$4="",0,IF($E26="kWh",VLOOKUP(M$4,'4. Billing Determinants'!$B$19:$R$41,4,0)/'4. Billing Determinants'!$E$41*$D26,IF($E26="kW",VLOOKUP(M$4,'4. Billing Determinants'!$B$19:$R$41,5,0)/'4. Billing Determinants'!$F$41*$D26,IF($E26="Non-RPP kWh",VLOOKUP(M$4,'4. Billing Determinants'!$B$19:$R$41,6,0)/'4. Billing Determinants'!$G$41*$D26,IF($E26="Distribution Rev.",VLOOKUP(M$4,'4. Billing Determinants'!$B$19:$R$41,8,0)/'4. Billing Determinants'!$I$41*$D26, VLOOKUP(M$4,'4. Billing Determinants'!$B$19:$R$41,3,0)/'4. Billing Determinants'!$D$41*$D26))))),0)</f>
        <v>0</v>
      </c>
      <c r="N26" s="32">
        <f>IFERROR(IF(N$4="",0,IF($E26="kWh",VLOOKUP(N$4,'4. Billing Determinants'!$B$19:$R$41,4,0)/'4. Billing Determinants'!$E$41*$D26,IF($E26="kW",VLOOKUP(N$4,'4. Billing Determinants'!$B$19:$R$41,5,0)/'4. Billing Determinants'!$F$41*$D26,IF($E26="Non-RPP kWh",VLOOKUP(N$4,'4. Billing Determinants'!$B$19:$R$41,6,0)/'4. Billing Determinants'!$G$41*$D26,IF($E26="Distribution Rev.",VLOOKUP(N$4,'4. Billing Determinants'!$B$19:$R$41,8,0)/'4. Billing Determinants'!$I$41*$D26, VLOOKUP(N$4,'4. Billing Determinants'!$B$19:$R$41,3,0)/'4. Billing Determinants'!$D$41*$D26))))),0)</f>
        <v>0</v>
      </c>
      <c r="O26" s="32">
        <f>IFERROR(IF(O$4="",0,IF($E26="kWh",VLOOKUP(O$4,'4. Billing Determinants'!$B$19:$R$41,4,0)/'4. Billing Determinants'!$E$41*$D26,IF($E26="kW",VLOOKUP(O$4,'4. Billing Determinants'!$B$19:$R$41,5,0)/'4. Billing Determinants'!$F$41*$D26,IF($E26="Non-RPP kWh",VLOOKUP(O$4,'4. Billing Determinants'!$B$19:$R$41,6,0)/'4. Billing Determinants'!$G$41*$D26,IF($E26="Distribution Rev.",VLOOKUP(O$4,'4. Billing Determinants'!$B$19:$R$41,8,0)/'4. Billing Determinants'!$I$41*$D26, VLOOKUP(O$4,'4. Billing Determinants'!$B$19:$R$41,3,0)/'4. Billing Determinants'!$D$41*$D26))))),0)</f>
        <v>0</v>
      </c>
      <c r="P26" s="32">
        <f>IFERROR(IF(P$4="",0,IF($E26="kWh",VLOOKUP(P$4,'4. Billing Determinants'!$B$19:$R$41,4,0)/'4. Billing Determinants'!$E$41*$D26,IF($E26="kW",VLOOKUP(P$4,'4. Billing Determinants'!$B$19:$R$41,5,0)/'4. Billing Determinants'!$F$41*$D26,IF($E26="Non-RPP kWh",VLOOKUP(P$4,'4. Billing Determinants'!$B$19:$R$41,6,0)/'4. Billing Determinants'!$G$41*$D26,IF($E26="Distribution Rev.",VLOOKUP(P$4,'4. Billing Determinants'!$B$19:$R$41,8,0)/'4. Billing Determinants'!$I$41*$D26, VLOOKUP(P$4,'4. Billing Determinants'!$B$19:$R$41,3,0)/'4. Billing Determinants'!$D$41*$D26))))),0)</f>
        <v>0</v>
      </c>
      <c r="Q26" s="32">
        <f>IFERROR(IF(Q$4="",0,IF($E26="kWh",VLOOKUP(Q$4,'4. Billing Determinants'!$B$19:$R$41,4,0)/'4. Billing Determinants'!$E$41*$D26,IF($E26="kW",VLOOKUP(Q$4,'4. Billing Determinants'!$B$19:$R$41,5,0)/'4. Billing Determinants'!$F$41*$D26,IF($E26="Non-RPP kWh",VLOOKUP(Q$4,'4. Billing Determinants'!$B$19:$R$41,6,0)/'4. Billing Determinants'!$G$41*$D26,IF($E26="Distribution Rev.",VLOOKUP(Q$4,'4. Billing Determinants'!$B$19:$R$41,8,0)/'4. Billing Determinants'!$I$41*$D26, VLOOKUP(Q$4,'4. Billing Determinants'!$B$19:$R$41,3,0)/'4. Billing Determinants'!$D$41*$D26))))),0)</f>
        <v>0</v>
      </c>
      <c r="R26" s="32">
        <f>IFERROR(IF(R$4="",0,IF($E26="kWh",VLOOKUP(R$4,'4. Billing Determinants'!$B$19:$R$41,4,0)/'4. Billing Determinants'!$E$41*$D26,IF($E26="kW",VLOOKUP(R$4,'4. Billing Determinants'!$B$19:$R$41,5,0)/'4. Billing Determinants'!$F$41*$D26,IF($E26="Non-RPP kWh",VLOOKUP(R$4,'4. Billing Determinants'!$B$19:$R$41,6,0)/'4. Billing Determinants'!$G$41*$D26,IF($E26="Distribution Rev.",VLOOKUP(R$4,'4. Billing Determinants'!$B$19:$R$41,8,0)/'4. Billing Determinants'!$I$41*$D26, VLOOKUP(R$4,'4. Billing Determinants'!$B$19:$R$41,3,0)/'4. Billing Determinants'!$D$41*$D26))))),0)</f>
        <v>0</v>
      </c>
      <c r="S26" s="32">
        <f>IFERROR(IF(S$4="",0,IF($E26="kWh",VLOOKUP(S$4,'4. Billing Determinants'!$B$19:$R$41,4,0)/'4. Billing Determinants'!$E$41*$D26,IF($E26="kW",VLOOKUP(S$4,'4. Billing Determinants'!$B$19:$R$41,5,0)/'4. Billing Determinants'!$F$41*$D26,IF($E26="Non-RPP kWh",VLOOKUP(S$4,'4. Billing Determinants'!$B$19:$R$41,6,0)/'4. Billing Determinants'!$G$41*$D26,IF($E26="Distribution Rev.",VLOOKUP(S$4,'4. Billing Determinants'!$B$19:$R$41,8,0)/'4. Billing Determinants'!$I$41*$D26, VLOOKUP(S$4,'4. Billing Determinants'!$B$19:$R$41,3,0)/'4. Billing Determinants'!$D$41*$D26))))),0)</f>
        <v>0</v>
      </c>
      <c r="T26" s="32">
        <f>IFERROR(IF(T$4="",0,IF($E26="kWh",VLOOKUP(T$4,'4. Billing Determinants'!$B$19:$R$41,4,0)/'4. Billing Determinants'!$E$41*$D26,IF($E26="kW",VLOOKUP(T$4,'4. Billing Determinants'!$B$19:$R$41,5,0)/'4. Billing Determinants'!$F$41*$D26,IF($E26="Non-RPP kWh",VLOOKUP(T$4,'4. Billing Determinants'!$B$19:$R$41,6,0)/'4. Billing Determinants'!$G$41*$D26,IF($E26="Distribution Rev.",VLOOKUP(T$4,'4. Billing Determinants'!$B$19:$R$41,8,0)/'4. Billing Determinants'!$I$41*$D26, VLOOKUP(T$4,'4. Billing Determinants'!$B$19:$R$41,3,0)/'4. Billing Determinants'!$D$41*$D26))))),0)</f>
        <v>0</v>
      </c>
      <c r="U26" s="32">
        <f>IFERROR(IF(U$4="",0,IF($E26="kWh",VLOOKUP(U$4,'4. Billing Determinants'!$B$19:$R$41,4,0)/'4. Billing Determinants'!$E$41*$D26,IF($E26="kW",VLOOKUP(U$4,'4. Billing Determinants'!$B$19:$R$41,5,0)/'4. Billing Determinants'!$F$41*$D26,IF($E26="Non-RPP kWh",VLOOKUP(U$4,'4. Billing Determinants'!$B$19:$R$41,6,0)/'4. Billing Determinants'!$G$41*$D26,IF($E26="Distribution Rev.",VLOOKUP(U$4,'4. Billing Determinants'!$B$19:$R$41,8,0)/'4. Billing Determinants'!$I$41*$D26, VLOOKUP(U$4,'4. Billing Determinants'!$B$19:$R$41,3,0)/'4. Billing Determinants'!$D$41*$D26))))),0)</f>
        <v>0</v>
      </c>
      <c r="V26" s="32">
        <f>IFERROR(IF(V$4="",0,IF($E26="kWh",VLOOKUP(V$4,'4. Billing Determinants'!$B$19:$R$41,4,0)/'4. Billing Determinants'!$E$41*$D26,IF($E26="kW",VLOOKUP(V$4,'4. Billing Determinants'!$B$19:$R$41,5,0)/'4. Billing Determinants'!$F$41*$D26,IF($E26="Non-RPP kWh",VLOOKUP(V$4,'4. Billing Determinants'!$B$19:$R$41,6,0)/'4. Billing Determinants'!$G$41*$D26,IF($E26="Distribution Rev.",VLOOKUP(V$4,'4. Billing Determinants'!$B$19:$R$41,8,0)/'4. Billing Determinants'!$I$41*$D26, VLOOKUP(V$4,'4. Billing Determinants'!$B$19:$R$41,3,0)/'4. Billing Determinants'!$D$41*$D26))))),0)</f>
        <v>0</v>
      </c>
      <c r="W26" s="32">
        <f>IFERROR(IF(W$4="",0,IF($E26="kWh",VLOOKUP(W$4,'4. Billing Determinants'!$B$19:$R$41,4,0)/'4. Billing Determinants'!$E$41*$D26,IF($E26="kW",VLOOKUP(W$4,'4. Billing Determinants'!$B$19:$R$41,5,0)/'4. Billing Determinants'!$F$41*$D26,IF($E26="Non-RPP kWh",VLOOKUP(W$4,'4. Billing Determinants'!$B$19:$R$41,6,0)/'4. Billing Determinants'!$G$41*$D26,IF($E26="Distribution Rev.",VLOOKUP(W$4,'4. Billing Determinants'!$B$19:$R$41,8,0)/'4. Billing Determinants'!$I$41*$D26, VLOOKUP(W$4,'4. Billing Determinants'!$B$19:$R$41,3,0)/'4. Billing Determinants'!$D$41*$D26))))),0)</f>
        <v>0</v>
      </c>
      <c r="X26" s="32">
        <f>IFERROR(IF(X$4="",0,IF($E26="kWh",VLOOKUP(X$4,'4. Billing Determinants'!$B$19:$R$41,4,0)/'4. Billing Determinants'!$E$41*$D26,IF($E26="kW",VLOOKUP(X$4,'4. Billing Determinants'!$B$19:$R$41,5,0)/'4. Billing Determinants'!$F$41*$D26,IF($E26="Non-RPP kWh",VLOOKUP(X$4,'4. Billing Determinants'!$B$19:$R$41,6,0)/'4. Billing Determinants'!$G$41*$D26,IF($E26="Distribution Rev.",VLOOKUP(X$4,'4. Billing Determinants'!$B$19:$R$41,8,0)/'4. Billing Determinants'!$I$41*$D26, VLOOKUP(X$4,'4. Billing Determinants'!$B$19:$R$41,3,0)/'4. Billing Determinants'!$D$41*$D26))))),0)</f>
        <v>0</v>
      </c>
      <c r="Y26" s="32">
        <f>IFERROR(IF(Y$4="",0,IF($E26="kWh",VLOOKUP(Y$4,'4. Billing Determinants'!$B$19:$R$41,4,0)/'4. Billing Determinants'!$E$41*$D26,IF($E26="kW",VLOOKUP(Y$4,'4. Billing Determinants'!$B$19:$R$41,5,0)/'4. Billing Determinants'!$F$41*$D26,IF($E26="Non-RPP kWh",VLOOKUP(Y$4,'4. Billing Determinants'!$B$19:$R$41,6,0)/'4. Billing Determinants'!$G$41*$D26,IF($E26="Distribution Rev.",VLOOKUP(Y$4,'4. Billing Determinants'!$B$19:$R$41,8,0)/'4. Billing Determinants'!$I$41*$D26, VLOOKUP(Y$4,'4. Billing Determinants'!$B$19:$R$41,3,0)/'4. Billing Determinants'!$D$41*$D26))))),0)</f>
        <v>0</v>
      </c>
    </row>
    <row r="27" spans="1:25" x14ac:dyDescent="0.2">
      <c r="B27" s="300" t="str">
        <f>IF('2b. Continuity Schedule'!C53="","",LEFT('2b. Continuity Schedule'!C53,LEN('2b. Continuity Schedule'!C53)-2))</f>
        <v>Green Button Initiative Costs</v>
      </c>
      <c r="C27" s="31">
        <v>1508</v>
      </c>
      <c r="D27" s="32">
        <f>'2b. Continuity Schedule'!BT53</f>
        <v>0</v>
      </c>
      <c r="E27" s="48" t="s">
        <v>139</v>
      </c>
      <c r="F27" s="32">
        <f>IFERROR(IF(F$4="",0,IF($E27="kWh",VLOOKUP(F$4,'4. Billing Determinants'!$B$19:$R$41,4,0)/'4. Billing Determinants'!$E$41*$D27,IF($E27="kW",VLOOKUP(F$4,'4. Billing Determinants'!$B$19:$R$41,5,0)/'4. Billing Determinants'!$F$41*$D27,IF($E27="Non-RPP kWh",VLOOKUP(F$4,'4. Billing Determinants'!$B$19:$R$41,6,0)/'4. Billing Determinants'!$G$41*$D27,IF($E27="Distribution Rev.",VLOOKUP(F$4,'4. Billing Determinants'!$B$19:$R$41,8,0)/'4. Billing Determinants'!$I$41*$D27, VLOOKUP(F$4,'4. Billing Determinants'!$B$19:$R$41,3,0)/'4. Billing Determinants'!$D$41*$D27))))),0)</f>
        <v>0</v>
      </c>
      <c r="G27" s="32">
        <f>IFERROR(IF(G$4="",0,IF($E27="kWh",VLOOKUP(G$4,'4. Billing Determinants'!$B$19:$R$41,4,0)/'4. Billing Determinants'!$E$41*$D27,IF($E27="kW",VLOOKUP(G$4,'4. Billing Determinants'!$B$19:$R$41,5,0)/'4. Billing Determinants'!$F$41*$D27,IF($E27="Non-RPP kWh",VLOOKUP(G$4,'4. Billing Determinants'!$B$19:$R$41,6,0)/'4. Billing Determinants'!$G$41*$D27,IF($E27="Distribution Rev.",VLOOKUP(G$4,'4. Billing Determinants'!$B$19:$R$41,8,0)/'4. Billing Determinants'!$I$41*$D27, VLOOKUP(G$4,'4. Billing Determinants'!$B$19:$R$41,3,0)/'4. Billing Determinants'!$D$41*$D27))))),0)</f>
        <v>0</v>
      </c>
      <c r="H27" s="32">
        <f>IFERROR(IF(H$4="",0,IF($E27="kWh",VLOOKUP(H$4,'4. Billing Determinants'!$B$19:$R$41,4,0)/'4. Billing Determinants'!$E$41*$D27,IF($E27="kW",VLOOKUP(H$4,'4. Billing Determinants'!$B$19:$R$41,5,0)/'4. Billing Determinants'!$F$41*$D27,IF($E27="Non-RPP kWh",VLOOKUP(H$4,'4. Billing Determinants'!$B$19:$R$41,6,0)/'4. Billing Determinants'!$G$41*$D27,IF($E27="Distribution Rev.",VLOOKUP(H$4,'4. Billing Determinants'!$B$19:$R$41,8,0)/'4. Billing Determinants'!$I$41*$D27, VLOOKUP(H$4,'4. Billing Determinants'!$B$19:$R$41,3,0)/'4. Billing Determinants'!$D$41*$D27))))),0)</f>
        <v>0</v>
      </c>
      <c r="I27" s="32">
        <f>IFERROR(IF(I$4="",0,IF($E27="kWh",VLOOKUP(I$4,'4. Billing Determinants'!$B$19:$R$41,4,0)/'4. Billing Determinants'!$E$41*$D27,IF($E27="kW",VLOOKUP(I$4,'4. Billing Determinants'!$B$19:$R$41,5,0)/'4. Billing Determinants'!$F$41*$D27,IF($E27="Non-RPP kWh",VLOOKUP(I$4,'4. Billing Determinants'!$B$19:$R$41,6,0)/'4. Billing Determinants'!$G$41*$D27,IF($E27="Distribution Rev.",VLOOKUP(I$4,'4. Billing Determinants'!$B$19:$R$41,8,0)/'4. Billing Determinants'!$I$41*$D27, VLOOKUP(I$4,'4. Billing Determinants'!$B$19:$R$41,3,0)/'4. Billing Determinants'!$D$41*$D27))))),0)</f>
        <v>0</v>
      </c>
      <c r="J27" s="32">
        <f>IFERROR(IF(J$4="",0,IF($E27="kWh",VLOOKUP(J$4,'4. Billing Determinants'!$B$19:$R$41,4,0)/'4. Billing Determinants'!$E$41*$D27,IF($E27="kW",VLOOKUP(J$4,'4. Billing Determinants'!$B$19:$R$41,5,0)/'4. Billing Determinants'!$F$41*$D27,IF($E27="Non-RPP kWh",VLOOKUP(J$4,'4. Billing Determinants'!$B$19:$R$41,6,0)/'4. Billing Determinants'!$G$41*$D27,IF($E27="Distribution Rev.",VLOOKUP(J$4,'4. Billing Determinants'!$B$19:$R$41,8,0)/'4. Billing Determinants'!$I$41*$D27, VLOOKUP(J$4,'4. Billing Determinants'!$B$19:$R$41,3,0)/'4. Billing Determinants'!$D$41*$D27))))),0)</f>
        <v>0</v>
      </c>
      <c r="K27" s="32">
        <f>IFERROR(IF(K$4="",0,IF($E27="kWh",VLOOKUP(K$4,'4. Billing Determinants'!$B$19:$R$41,4,0)/'4. Billing Determinants'!$E$41*$D27,IF($E27="kW",VLOOKUP(K$4,'4. Billing Determinants'!$B$19:$R$41,5,0)/'4. Billing Determinants'!$F$41*$D27,IF($E27="Non-RPP kWh",VLOOKUP(K$4,'4. Billing Determinants'!$B$19:$R$41,6,0)/'4. Billing Determinants'!$G$41*$D27,IF($E27="Distribution Rev.",VLOOKUP(K$4,'4. Billing Determinants'!$B$19:$R$41,8,0)/'4. Billing Determinants'!$I$41*$D27, VLOOKUP(K$4,'4. Billing Determinants'!$B$19:$R$41,3,0)/'4. Billing Determinants'!$D$41*$D27))))),0)</f>
        <v>0</v>
      </c>
      <c r="L27" s="32">
        <f>IFERROR(IF(L$4="",0,IF($E27="kWh",VLOOKUP(L$4,'4. Billing Determinants'!$B$19:$R$41,4,0)/'4. Billing Determinants'!$E$41*$D27,IF($E27="kW",VLOOKUP(L$4,'4. Billing Determinants'!$B$19:$R$41,5,0)/'4. Billing Determinants'!$F$41*$D27,IF($E27="Non-RPP kWh",VLOOKUP(L$4,'4. Billing Determinants'!$B$19:$R$41,6,0)/'4. Billing Determinants'!$G$41*$D27,IF($E27="Distribution Rev.",VLOOKUP(L$4,'4. Billing Determinants'!$B$19:$R$41,8,0)/'4. Billing Determinants'!$I$41*$D27, VLOOKUP(L$4,'4. Billing Determinants'!$B$19:$R$41,3,0)/'4. Billing Determinants'!$D$41*$D27))))),0)</f>
        <v>0</v>
      </c>
      <c r="M27" s="32">
        <f>IFERROR(IF(M$4="",0,IF($E27="kWh",VLOOKUP(M$4,'4. Billing Determinants'!$B$19:$R$41,4,0)/'4. Billing Determinants'!$E$41*$D27,IF($E27="kW",VLOOKUP(M$4,'4. Billing Determinants'!$B$19:$R$41,5,0)/'4. Billing Determinants'!$F$41*$D27,IF($E27="Non-RPP kWh",VLOOKUP(M$4,'4. Billing Determinants'!$B$19:$R$41,6,0)/'4. Billing Determinants'!$G$41*$D27,IF($E27="Distribution Rev.",VLOOKUP(M$4,'4. Billing Determinants'!$B$19:$R$41,8,0)/'4. Billing Determinants'!$I$41*$D27, VLOOKUP(M$4,'4. Billing Determinants'!$B$19:$R$41,3,0)/'4. Billing Determinants'!$D$41*$D27))))),0)</f>
        <v>0</v>
      </c>
      <c r="N27" s="32">
        <f>IFERROR(IF(N$4="",0,IF($E27="kWh",VLOOKUP(N$4,'4. Billing Determinants'!$B$19:$R$41,4,0)/'4. Billing Determinants'!$E$41*$D27,IF($E27="kW",VLOOKUP(N$4,'4. Billing Determinants'!$B$19:$R$41,5,0)/'4. Billing Determinants'!$F$41*$D27,IF($E27="Non-RPP kWh",VLOOKUP(N$4,'4. Billing Determinants'!$B$19:$R$41,6,0)/'4. Billing Determinants'!$G$41*$D27,IF($E27="Distribution Rev.",VLOOKUP(N$4,'4. Billing Determinants'!$B$19:$R$41,8,0)/'4. Billing Determinants'!$I$41*$D27, VLOOKUP(N$4,'4. Billing Determinants'!$B$19:$R$41,3,0)/'4. Billing Determinants'!$D$41*$D27))))),0)</f>
        <v>0</v>
      </c>
      <c r="O27" s="32">
        <f>IFERROR(IF(O$4="",0,IF($E27="kWh",VLOOKUP(O$4,'4. Billing Determinants'!$B$19:$R$41,4,0)/'4. Billing Determinants'!$E$41*$D27,IF($E27="kW",VLOOKUP(O$4,'4. Billing Determinants'!$B$19:$R$41,5,0)/'4. Billing Determinants'!$F$41*$D27,IF($E27="Non-RPP kWh",VLOOKUP(O$4,'4. Billing Determinants'!$B$19:$R$41,6,0)/'4. Billing Determinants'!$G$41*$D27,IF($E27="Distribution Rev.",VLOOKUP(O$4,'4. Billing Determinants'!$B$19:$R$41,8,0)/'4. Billing Determinants'!$I$41*$D27, VLOOKUP(O$4,'4. Billing Determinants'!$B$19:$R$41,3,0)/'4. Billing Determinants'!$D$41*$D27))))),0)</f>
        <v>0</v>
      </c>
      <c r="P27" s="32">
        <f>IFERROR(IF(P$4="",0,IF($E27="kWh",VLOOKUP(P$4,'4. Billing Determinants'!$B$19:$R$41,4,0)/'4. Billing Determinants'!$E$41*$D27,IF($E27="kW",VLOOKUP(P$4,'4. Billing Determinants'!$B$19:$R$41,5,0)/'4. Billing Determinants'!$F$41*$D27,IF($E27="Non-RPP kWh",VLOOKUP(P$4,'4. Billing Determinants'!$B$19:$R$41,6,0)/'4. Billing Determinants'!$G$41*$D27,IF($E27="Distribution Rev.",VLOOKUP(P$4,'4. Billing Determinants'!$B$19:$R$41,8,0)/'4. Billing Determinants'!$I$41*$D27, VLOOKUP(P$4,'4. Billing Determinants'!$B$19:$R$41,3,0)/'4. Billing Determinants'!$D$41*$D27))))),0)</f>
        <v>0</v>
      </c>
      <c r="Q27" s="32">
        <f>IFERROR(IF(Q$4="",0,IF($E27="kWh",VLOOKUP(Q$4,'4. Billing Determinants'!$B$19:$R$41,4,0)/'4. Billing Determinants'!$E$41*$D27,IF($E27="kW",VLOOKUP(Q$4,'4. Billing Determinants'!$B$19:$R$41,5,0)/'4. Billing Determinants'!$F$41*$D27,IF($E27="Non-RPP kWh",VLOOKUP(Q$4,'4. Billing Determinants'!$B$19:$R$41,6,0)/'4. Billing Determinants'!$G$41*$D27,IF($E27="Distribution Rev.",VLOOKUP(Q$4,'4. Billing Determinants'!$B$19:$R$41,8,0)/'4. Billing Determinants'!$I$41*$D27, VLOOKUP(Q$4,'4. Billing Determinants'!$B$19:$R$41,3,0)/'4. Billing Determinants'!$D$41*$D27))))),0)</f>
        <v>0</v>
      </c>
      <c r="R27" s="32">
        <f>IFERROR(IF(R$4="",0,IF($E27="kWh",VLOOKUP(R$4,'4. Billing Determinants'!$B$19:$R$41,4,0)/'4. Billing Determinants'!$E$41*$D27,IF($E27="kW",VLOOKUP(R$4,'4. Billing Determinants'!$B$19:$R$41,5,0)/'4. Billing Determinants'!$F$41*$D27,IF($E27="Non-RPP kWh",VLOOKUP(R$4,'4. Billing Determinants'!$B$19:$R$41,6,0)/'4. Billing Determinants'!$G$41*$D27,IF($E27="Distribution Rev.",VLOOKUP(R$4,'4. Billing Determinants'!$B$19:$R$41,8,0)/'4. Billing Determinants'!$I$41*$D27, VLOOKUP(R$4,'4. Billing Determinants'!$B$19:$R$41,3,0)/'4. Billing Determinants'!$D$41*$D27))))),0)</f>
        <v>0</v>
      </c>
      <c r="S27" s="32">
        <f>IFERROR(IF(S$4="",0,IF($E27="kWh",VLOOKUP(S$4,'4. Billing Determinants'!$B$19:$R$41,4,0)/'4. Billing Determinants'!$E$41*$D27,IF($E27="kW",VLOOKUP(S$4,'4. Billing Determinants'!$B$19:$R$41,5,0)/'4. Billing Determinants'!$F$41*$D27,IF($E27="Non-RPP kWh",VLOOKUP(S$4,'4. Billing Determinants'!$B$19:$R$41,6,0)/'4. Billing Determinants'!$G$41*$D27,IF($E27="Distribution Rev.",VLOOKUP(S$4,'4. Billing Determinants'!$B$19:$R$41,8,0)/'4. Billing Determinants'!$I$41*$D27, VLOOKUP(S$4,'4. Billing Determinants'!$B$19:$R$41,3,0)/'4. Billing Determinants'!$D$41*$D27))))),0)</f>
        <v>0</v>
      </c>
      <c r="T27" s="32">
        <f>IFERROR(IF(T$4="",0,IF($E27="kWh",VLOOKUP(T$4,'4. Billing Determinants'!$B$19:$R$41,4,0)/'4. Billing Determinants'!$E$41*$D27,IF($E27="kW",VLOOKUP(T$4,'4. Billing Determinants'!$B$19:$R$41,5,0)/'4. Billing Determinants'!$F$41*$D27,IF($E27="Non-RPP kWh",VLOOKUP(T$4,'4. Billing Determinants'!$B$19:$R$41,6,0)/'4. Billing Determinants'!$G$41*$D27,IF($E27="Distribution Rev.",VLOOKUP(T$4,'4. Billing Determinants'!$B$19:$R$41,8,0)/'4. Billing Determinants'!$I$41*$D27, VLOOKUP(T$4,'4. Billing Determinants'!$B$19:$R$41,3,0)/'4. Billing Determinants'!$D$41*$D27))))),0)</f>
        <v>0</v>
      </c>
      <c r="U27" s="32">
        <f>IFERROR(IF(U$4="",0,IF($E27="kWh",VLOOKUP(U$4,'4. Billing Determinants'!$B$19:$R$41,4,0)/'4. Billing Determinants'!$E$41*$D27,IF($E27="kW",VLOOKUP(U$4,'4. Billing Determinants'!$B$19:$R$41,5,0)/'4. Billing Determinants'!$F$41*$D27,IF($E27="Non-RPP kWh",VLOOKUP(U$4,'4. Billing Determinants'!$B$19:$R$41,6,0)/'4. Billing Determinants'!$G$41*$D27,IF($E27="Distribution Rev.",VLOOKUP(U$4,'4. Billing Determinants'!$B$19:$R$41,8,0)/'4. Billing Determinants'!$I$41*$D27, VLOOKUP(U$4,'4. Billing Determinants'!$B$19:$R$41,3,0)/'4. Billing Determinants'!$D$41*$D27))))),0)</f>
        <v>0</v>
      </c>
      <c r="V27" s="32">
        <f>IFERROR(IF(V$4="",0,IF($E27="kWh",VLOOKUP(V$4,'4. Billing Determinants'!$B$19:$R$41,4,0)/'4. Billing Determinants'!$E$41*$D27,IF($E27="kW",VLOOKUP(V$4,'4. Billing Determinants'!$B$19:$R$41,5,0)/'4. Billing Determinants'!$F$41*$D27,IF($E27="Non-RPP kWh",VLOOKUP(V$4,'4. Billing Determinants'!$B$19:$R$41,6,0)/'4. Billing Determinants'!$G$41*$D27,IF($E27="Distribution Rev.",VLOOKUP(V$4,'4. Billing Determinants'!$B$19:$R$41,8,0)/'4. Billing Determinants'!$I$41*$D27, VLOOKUP(V$4,'4. Billing Determinants'!$B$19:$R$41,3,0)/'4. Billing Determinants'!$D$41*$D27))))),0)</f>
        <v>0</v>
      </c>
      <c r="W27" s="32">
        <f>IFERROR(IF(W$4="",0,IF($E27="kWh",VLOOKUP(W$4,'4. Billing Determinants'!$B$19:$R$41,4,0)/'4. Billing Determinants'!$E$41*$D27,IF($E27="kW",VLOOKUP(W$4,'4. Billing Determinants'!$B$19:$R$41,5,0)/'4. Billing Determinants'!$F$41*$D27,IF($E27="Non-RPP kWh",VLOOKUP(W$4,'4. Billing Determinants'!$B$19:$R$41,6,0)/'4. Billing Determinants'!$G$41*$D27,IF($E27="Distribution Rev.",VLOOKUP(W$4,'4. Billing Determinants'!$B$19:$R$41,8,0)/'4. Billing Determinants'!$I$41*$D27, VLOOKUP(W$4,'4. Billing Determinants'!$B$19:$R$41,3,0)/'4. Billing Determinants'!$D$41*$D27))))),0)</f>
        <v>0</v>
      </c>
      <c r="X27" s="32">
        <f>IFERROR(IF(X$4="",0,IF($E27="kWh",VLOOKUP(X$4,'4. Billing Determinants'!$B$19:$R$41,4,0)/'4. Billing Determinants'!$E$41*$D27,IF($E27="kW",VLOOKUP(X$4,'4. Billing Determinants'!$B$19:$R$41,5,0)/'4. Billing Determinants'!$F$41*$D27,IF($E27="Non-RPP kWh",VLOOKUP(X$4,'4. Billing Determinants'!$B$19:$R$41,6,0)/'4. Billing Determinants'!$G$41*$D27,IF($E27="Distribution Rev.",VLOOKUP(X$4,'4. Billing Determinants'!$B$19:$R$41,8,0)/'4. Billing Determinants'!$I$41*$D27, VLOOKUP(X$4,'4. Billing Determinants'!$B$19:$R$41,3,0)/'4. Billing Determinants'!$D$41*$D27))))),0)</f>
        <v>0</v>
      </c>
      <c r="Y27" s="32">
        <f>IFERROR(IF(Y$4="",0,IF($E27="kWh",VLOOKUP(Y$4,'4. Billing Determinants'!$B$19:$R$41,4,0)/'4. Billing Determinants'!$E$41*$D27,IF($E27="kW",VLOOKUP(Y$4,'4. Billing Determinants'!$B$19:$R$41,5,0)/'4. Billing Determinants'!$F$41*$D27,IF($E27="Non-RPP kWh",VLOOKUP(Y$4,'4. Billing Determinants'!$B$19:$R$41,6,0)/'4. Billing Determinants'!$G$41*$D27,IF($E27="Distribution Rev.",VLOOKUP(Y$4,'4. Billing Determinants'!$B$19:$R$41,8,0)/'4. Billing Determinants'!$I$41*$D27, VLOOKUP(Y$4,'4. Billing Determinants'!$B$19:$R$41,3,0)/'4. Billing Determinants'!$D$41*$D27))))),0)</f>
        <v>0</v>
      </c>
    </row>
    <row r="28" spans="1:25" x14ac:dyDescent="0.2">
      <c r="B28" s="300" t="str">
        <f>IF('2b. Continuity Schedule'!C54="","",'2b. Continuity Schedule'!C54)</f>
        <v>Other Regulatory Assets - Sub-Account - ICM Substation 16 Capital</v>
      </c>
      <c r="C28" s="31">
        <v>1508</v>
      </c>
      <c r="D28" s="32">
        <f>'2b. Continuity Schedule'!BT54</f>
        <v>0</v>
      </c>
      <c r="E28" s="48" t="s">
        <v>139</v>
      </c>
      <c r="F28" s="32">
        <f>IFERROR(IF(F$4="",0,IF($E28="kWh",VLOOKUP(F$4,'4. Billing Determinants'!$B$19:$R$41,4,0)/'4. Billing Determinants'!$E$41*$D28,IF($E28="kW",VLOOKUP(F$4,'4. Billing Determinants'!$B$19:$R$41,5,0)/'4. Billing Determinants'!$F$41*$D28,IF($E28="Non-RPP kWh",VLOOKUP(F$4,'4. Billing Determinants'!$B$19:$R$41,6,0)/'4. Billing Determinants'!$G$41*$D28,IF($E28="Distribution Rev.",VLOOKUP(F$4,'4. Billing Determinants'!$B$19:$R$41,8,0)/'4. Billing Determinants'!$I$41*$D28, VLOOKUP(F$4,'4. Billing Determinants'!$B$19:$R$41,3,0)/'4. Billing Determinants'!$D$41*$D28))))),0)</f>
        <v>0</v>
      </c>
      <c r="G28" s="32">
        <f>IFERROR(IF(G$4="",0,IF($E28="kWh",VLOOKUP(G$4,'4. Billing Determinants'!$B$19:$R$41,4,0)/'4. Billing Determinants'!$E$41*$D28,IF($E28="kW",VLOOKUP(G$4,'4. Billing Determinants'!$B$19:$R$41,5,0)/'4. Billing Determinants'!$F$41*$D28,IF($E28="Non-RPP kWh",VLOOKUP(G$4,'4. Billing Determinants'!$B$19:$R$41,6,0)/'4. Billing Determinants'!$G$41*$D28,IF($E28="Distribution Rev.",VLOOKUP(G$4,'4. Billing Determinants'!$B$19:$R$41,8,0)/'4. Billing Determinants'!$I$41*$D28, VLOOKUP(G$4,'4. Billing Determinants'!$B$19:$R$41,3,0)/'4. Billing Determinants'!$D$41*$D28))))),0)</f>
        <v>0</v>
      </c>
      <c r="H28" s="32">
        <f>IFERROR(IF(H$4="",0,IF($E28="kWh",VLOOKUP(H$4,'4. Billing Determinants'!$B$19:$R$41,4,0)/'4. Billing Determinants'!$E$41*$D28,IF($E28="kW",VLOOKUP(H$4,'4. Billing Determinants'!$B$19:$R$41,5,0)/'4. Billing Determinants'!$F$41*$D28,IF($E28="Non-RPP kWh",VLOOKUP(H$4,'4. Billing Determinants'!$B$19:$R$41,6,0)/'4. Billing Determinants'!$G$41*$D28,IF($E28="Distribution Rev.",VLOOKUP(H$4,'4. Billing Determinants'!$B$19:$R$41,8,0)/'4. Billing Determinants'!$I$41*$D28, VLOOKUP(H$4,'4. Billing Determinants'!$B$19:$R$41,3,0)/'4. Billing Determinants'!$D$41*$D28))))),0)</f>
        <v>0</v>
      </c>
      <c r="I28" s="32">
        <f>IFERROR(IF(I$4="",0,IF($E28="kWh",VLOOKUP(I$4,'4. Billing Determinants'!$B$19:$R$41,4,0)/'4. Billing Determinants'!$E$41*$D28,IF($E28="kW",VLOOKUP(I$4,'4. Billing Determinants'!$B$19:$R$41,5,0)/'4. Billing Determinants'!$F$41*$D28,IF($E28="Non-RPP kWh",VLOOKUP(I$4,'4. Billing Determinants'!$B$19:$R$41,6,0)/'4. Billing Determinants'!$G$41*$D28,IF($E28="Distribution Rev.",VLOOKUP(I$4,'4. Billing Determinants'!$B$19:$R$41,8,0)/'4. Billing Determinants'!$I$41*$D28, VLOOKUP(I$4,'4. Billing Determinants'!$B$19:$R$41,3,0)/'4. Billing Determinants'!$D$41*$D28))))),0)</f>
        <v>0</v>
      </c>
      <c r="J28" s="32">
        <f>IFERROR(IF(J$4="",0,IF($E28="kWh",VLOOKUP(J$4,'4. Billing Determinants'!$B$19:$R$41,4,0)/'4. Billing Determinants'!$E$41*$D28,IF($E28="kW",VLOOKUP(J$4,'4. Billing Determinants'!$B$19:$R$41,5,0)/'4. Billing Determinants'!$F$41*$D28,IF($E28="Non-RPP kWh",VLOOKUP(J$4,'4. Billing Determinants'!$B$19:$R$41,6,0)/'4. Billing Determinants'!$G$41*$D28,IF($E28="Distribution Rev.",VLOOKUP(J$4,'4. Billing Determinants'!$B$19:$R$41,8,0)/'4. Billing Determinants'!$I$41*$D28, VLOOKUP(J$4,'4. Billing Determinants'!$B$19:$R$41,3,0)/'4. Billing Determinants'!$D$41*$D28))))),0)</f>
        <v>0</v>
      </c>
      <c r="K28" s="32">
        <f>IFERROR(IF(K$4="",0,IF($E28="kWh",VLOOKUP(K$4,'4. Billing Determinants'!$B$19:$R$41,4,0)/'4. Billing Determinants'!$E$41*$D28,IF($E28="kW",VLOOKUP(K$4,'4. Billing Determinants'!$B$19:$R$41,5,0)/'4. Billing Determinants'!$F$41*$D28,IF($E28="Non-RPP kWh",VLOOKUP(K$4,'4. Billing Determinants'!$B$19:$R$41,6,0)/'4. Billing Determinants'!$G$41*$D28,IF($E28="Distribution Rev.",VLOOKUP(K$4,'4. Billing Determinants'!$B$19:$R$41,8,0)/'4. Billing Determinants'!$I$41*$D28, VLOOKUP(K$4,'4. Billing Determinants'!$B$19:$R$41,3,0)/'4. Billing Determinants'!$D$41*$D28))))),0)</f>
        <v>0</v>
      </c>
      <c r="L28" s="32">
        <f>IFERROR(IF(L$4="",0,IF($E28="kWh",VLOOKUP(L$4,'4. Billing Determinants'!$B$19:$R$41,4,0)/'4. Billing Determinants'!$E$41*$D28,IF($E28="kW",VLOOKUP(L$4,'4. Billing Determinants'!$B$19:$R$41,5,0)/'4. Billing Determinants'!$F$41*$D28,IF($E28="Non-RPP kWh",VLOOKUP(L$4,'4. Billing Determinants'!$B$19:$R$41,6,0)/'4. Billing Determinants'!$G$41*$D28,IF($E28="Distribution Rev.",VLOOKUP(L$4,'4. Billing Determinants'!$B$19:$R$41,8,0)/'4. Billing Determinants'!$I$41*$D28, VLOOKUP(L$4,'4. Billing Determinants'!$B$19:$R$41,3,0)/'4. Billing Determinants'!$D$41*$D28))))),0)</f>
        <v>0</v>
      </c>
      <c r="M28" s="32">
        <f>IFERROR(IF(M$4="",0,IF($E28="kWh",VLOOKUP(M$4,'4. Billing Determinants'!$B$19:$R$41,4,0)/'4. Billing Determinants'!$E$41*$D28,IF($E28="kW",VLOOKUP(M$4,'4. Billing Determinants'!$B$19:$R$41,5,0)/'4. Billing Determinants'!$F$41*$D28,IF($E28="Non-RPP kWh",VLOOKUP(M$4,'4. Billing Determinants'!$B$19:$R$41,6,0)/'4. Billing Determinants'!$G$41*$D28,IF($E28="Distribution Rev.",VLOOKUP(M$4,'4. Billing Determinants'!$B$19:$R$41,8,0)/'4. Billing Determinants'!$I$41*$D28, VLOOKUP(M$4,'4. Billing Determinants'!$B$19:$R$41,3,0)/'4. Billing Determinants'!$D$41*$D28))))),0)</f>
        <v>0</v>
      </c>
      <c r="N28" s="32">
        <f>IFERROR(IF(N$4="",0,IF($E28="kWh",VLOOKUP(N$4,'4. Billing Determinants'!$B$19:$R$41,4,0)/'4. Billing Determinants'!$E$41*$D28,IF($E28="kW",VLOOKUP(N$4,'4. Billing Determinants'!$B$19:$R$41,5,0)/'4. Billing Determinants'!$F$41*$D28,IF($E28="Non-RPP kWh",VLOOKUP(N$4,'4. Billing Determinants'!$B$19:$R$41,6,0)/'4. Billing Determinants'!$G$41*$D28,IF($E28="Distribution Rev.",VLOOKUP(N$4,'4. Billing Determinants'!$B$19:$R$41,8,0)/'4. Billing Determinants'!$I$41*$D28, VLOOKUP(N$4,'4. Billing Determinants'!$B$19:$R$41,3,0)/'4. Billing Determinants'!$D$41*$D28))))),0)</f>
        <v>0</v>
      </c>
      <c r="O28" s="32">
        <f>IFERROR(IF(O$4="",0,IF($E28="kWh",VLOOKUP(O$4,'4. Billing Determinants'!$B$19:$R$41,4,0)/'4. Billing Determinants'!$E$41*$D28,IF($E28="kW",VLOOKUP(O$4,'4. Billing Determinants'!$B$19:$R$41,5,0)/'4. Billing Determinants'!$F$41*$D28,IF($E28="Non-RPP kWh",VLOOKUP(O$4,'4. Billing Determinants'!$B$19:$R$41,6,0)/'4. Billing Determinants'!$G$41*$D28,IF($E28="Distribution Rev.",VLOOKUP(O$4,'4. Billing Determinants'!$B$19:$R$41,8,0)/'4. Billing Determinants'!$I$41*$D28, VLOOKUP(O$4,'4. Billing Determinants'!$B$19:$R$41,3,0)/'4. Billing Determinants'!$D$41*$D28))))),0)</f>
        <v>0</v>
      </c>
      <c r="P28" s="32">
        <f>IFERROR(IF(P$4="",0,IF($E28="kWh",VLOOKUP(P$4,'4. Billing Determinants'!$B$19:$R$41,4,0)/'4. Billing Determinants'!$E$41*$D28,IF($E28="kW",VLOOKUP(P$4,'4. Billing Determinants'!$B$19:$R$41,5,0)/'4. Billing Determinants'!$F$41*$D28,IF($E28="Non-RPP kWh",VLOOKUP(P$4,'4. Billing Determinants'!$B$19:$R$41,6,0)/'4. Billing Determinants'!$G$41*$D28,IF($E28="Distribution Rev.",VLOOKUP(P$4,'4. Billing Determinants'!$B$19:$R$41,8,0)/'4. Billing Determinants'!$I$41*$D28, VLOOKUP(P$4,'4. Billing Determinants'!$B$19:$R$41,3,0)/'4. Billing Determinants'!$D$41*$D28))))),0)</f>
        <v>0</v>
      </c>
      <c r="Q28" s="32">
        <f>IFERROR(IF(Q$4="",0,IF($E28="kWh",VLOOKUP(Q$4,'4. Billing Determinants'!$B$19:$R$41,4,0)/'4. Billing Determinants'!$E$41*$D28,IF($E28="kW",VLOOKUP(Q$4,'4. Billing Determinants'!$B$19:$R$41,5,0)/'4. Billing Determinants'!$F$41*$D28,IF($E28="Non-RPP kWh",VLOOKUP(Q$4,'4. Billing Determinants'!$B$19:$R$41,6,0)/'4. Billing Determinants'!$G$41*$D28,IF($E28="Distribution Rev.",VLOOKUP(Q$4,'4. Billing Determinants'!$B$19:$R$41,8,0)/'4. Billing Determinants'!$I$41*$D28, VLOOKUP(Q$4,'4. Billing Determinants'!$B$19:$R$41,3,0)/'4. Billing Determinants'!$D$41*$D28))))),0)</f>
        <v>0</v>
      </c>
      <c r="R28" s="32">
        <f>IFERROR(IF(R$4="",0,IF($E28="kWh",VLOOKUP(R$4,'4. Billing Determinants'!$B$19:$R$41,4,0)/'4. Billing Determinants'!$E$41*$D28,IF($E28="kW",VLOOKUP(R$4,'4. Billing Determinants'!$B$19:$R$41,5,0)/'4. Billing Determinants'!$F$41*$D28,IF($E28="Non-RPP kWh",VLOOKUP(R$4,'4. Billing Determinants'!$B$19:$R$41,6,0)/'4. Billing Determinants'!$G$41*$D28,IF($E28="Distribution Rev.",VLOOKUP(R$4,'4. Billing Determinants'!$B$19:$R$41,8,0)/'4. Billing Determinants'!$I$41*$D28, VLOOKUP(R$4,'4. Billing Determinants'!$B$19:$R$41,3,0)/'4. Billing Determinants'!$D$41*$D28))))),0)</f>
        <v>0</v>
      </c>
      <c r="S28" s="32">
        <f>IFERROR(IF(S$4="",0,IF($E28="kWh",VLOOKUP(S$4,'4. Billing Determinants'!$B$19:$R$41,4,0)/'4. Billing Determinants'!$E$41*$D28,IF($E28="kW",VLOOKUP(S$4,'4. Billing Determinants'!$B$19:$R$41,5,0)/'4. Billing Determinants'!$F$41*$D28,IF($E28="Non-RPP kWh",VLOOKUP(S$4,'4. Billing Determinants'!$B$19:$R$41,6,0)/'4. Billing Determinants'!$G$41*$D28,IF($E28="Distribution Rev.",VLOOKUP(S$4,'4. Billing Determinants'!$B$19:$R$41,8,0)/'4. Billing Determinants'!$I$41*$D28, VLOOKUP(S$4,'4. Billing Determinants'!$B$19:$R$41,3,0)/'4. Billing Determinants'!$D$41*$D28))))),0)</f>
        <v>0</v>
      </c>
      <c r="T28" s="32">
        <f>IFERROR(IF(T$4="",0,IF($E28="kWh",VLOOKUP(T$4,'4. Billing Determinants'!$B$19:$R$41,4,0)/'4. Billing Determinants'!$E$41*$D28,IF($E28="kW",VLOOKUP(T$4,'4. Billing Determinants'!$B$19:$R$41,5,0)/'4. Billing Determinants'!$F$41*$D28,IF($E28="Non-RPP kWh",VLOOKUP(T$4,'4. Billing Determinants'!$B$19:$R$41,6,0)/'4. Billing Determinants'!$G$41*$D28,IF($E28="Distribution Rev.",VLOOKUP(T$4,'4. Billing Determinants'!$B$19:$R$41,8,0)/'4. Billing Determinants'!$I$41*$D28, VLOOKUP(T$4,'4. Billing Determinants'!$B$19:$R$41,3,0)/'4. Billing Determinants'!$D$41*$D28))))),0)</f>
        <v>0</v>
      </c>
      <c r="U28" s="32">
        <f>IFERROR(IF(U$4="",0,IF($E28="kWh",VLOOKUP(U$4,'4. Billing Determinants'!$B$19:$R$41,4,0)/'4. Billing Determinants'!$E$41*$D28,IF($E28="kW",VLOOKUP(U$4,'4. Billing Determinants'!$B$19:$R$41,5,0)/'4. Billing Determinants'!$F$41*$D28,IF($E28="Non-RPP kWh",VLOOKUP(U$4,'4. Billing Determinants'!$B$19:$R$41,6,0)/'4. Billing Determinants'!$G$41*$D28,IF($E28="Distribution Rev.",VLOOKUP(U$4,'4. Billing Determinants'!$B$19:$R$41,8,0)/'4. Billing Determinants'!$I$41*$D28, VLOOKUP(U$4,'4. Billing Determinants'!$B$19:$R$41,3,0)/'4. Billing Determinants'!$D$41*$D28))))),0)</f>
        <v>0</v>
      </c>
      <c r="V28" s="32">
        <f>IFERROR(IF(V$4="",0,IF($E28="kWh",VLOOKUP(V$4,'4. Billing Determinants'!$B$19:$R$41,4,0)/'4. Billing Determinants'!$E$41*$D28,IF($E28="kW",VLOOKUP(V$4,'4. Billing Determinants'!$B$19:$R$41,5,0)/'4. Billing Determinants'!$F$41*$D28,IF($E28="Non-RPP kWh",VLOOKUP(V$4,'4. Billing Determinants'!$B$19:$R$41,6,0)/'4. Billing Determinants'!$G$41*$D28,IF($E28="Distribution Rev.",VLOOKUP(V$4,'4. Billing Determinants'!$B$19:$R$41,8,0)/'4. Billing Determinants'!$I$41*$D28, VLOOKUP(V$4,'4. Billing Determinants'!$B$19:$R$41,3,0)/'4. Billing Determinants'!$D$41*$D28))))),0)</f>
        <v>0</v>
      </c>
      <c r="W28" s="32">
        <f>IFERROR(IF(W$4="",0,IF($E28="kWh",VLOOKUP(W$4,'4. Billing Determinants'!$B$19:$R$41,4,0)/'4. Billing Determinants'!$E$41*$D28,IF($E28="kW",VLOOKUP(W$4,'4. Billing Determinants'!$B$19:$R$41,5,0)/'4. Billing Determinants'!$F$41*$D28,IF($E28="Non-RPP kWh",VLOOKUP(W$4,'4. Billing Determinants'!$B$19:$R$41,6,0)/'4. Billing Determinants'!$G$41*$D28,IF($E28="Distribution Rev.",VLOOKUP(W$4,'4. Billing Determinants'!$B$19:$R$41,8,0)/'4. Billing Determinants'!$I$41*$D28, VLOOKUP(W$4,'4. Billing Determinants'!$B$19:$R$41,3,0)/'4. Billing Determinants'!$D$41*$D28))))),0)</f>
        <v>0</v>
      </c>
      <c r="X28" s="32">
        <f>IFERROR(IF(X$4="",0,IF($E28="kWh",VLOOKUP(X$4,'4. Billing Determinants'!$B$19:$R$41,4,0)/'4. Billing Determinants'!$E$41*$D28,IF($E28="kW",VLOOKUP(X$4,'4. Billing Determinants'!$B$19:$R$41,5,0)/'4. Billing Determinants'!$F$41*$D28,IF($E28="Non-RPP kWh",VLOOKUP(X$4,'4. Billing Determinants'!$B$19:$R$41,6,0)/'4. Billing Determinants'!$G$41*$D28,IF($E28="Distribution Rev.",VLOOKUP(X$4,'4. Billing Determinants'!$B$19:$R$41,8,0)/'4. Billing Determinants'!$I$41*$D28, VLOOKUP(X$4,'4. Billing Determinants'!$B$19:$R$41,3,0)/'4. Billing Determinants'!$D$41*$D28))))),0)</f>
        <v>0</v>
      </c>
      <c r="Y28" s="32">
        <f>IFERROR(IF(Y$4="",0,IF($E28="kWh",VLOOKUP(Y$4,'4. Billing Determinants'!$B$19:$R$41,4,0)/'4. Billing Determinants'!$E$41*$D28,IF($E28="kW",VLOOKUP(Y$4,'4. Billing Determinants'!$B$19:$R$41,5,0)/'4. Billing Determinants'!$F$41*$D28,IF($E28="Non-RPP kWh",VLOOKUP(Y$4,'4. Billing Determinants'!$B$19:$R$41,6,0)/'4. Billing Determinants'!$G$41*$D28,IF($E28="Distribution Rev.",VLOOKUP(Y$4,'4. Billing Determinants'!$B$19:$R$41,8,0)/'4. Billing Determinants'!$I$41*$D28, VLOOKUP(Y$4,'4. Billing Determinants'!$B$19:$R$41,3,0)/'4. Billing Determinants'!$D$41*$D28))))),0)</f>
        <v>0</v>
      </c>
    </row>
    <row r="29" spans="1:25" x14ac:dyDescent="0.2">
      <c r="B29" s="300" t="str">
        <f>IF('2b. Continuity Schedule'!C55="","",'2b. Continuity Schedule'!C55)</f>
        <v>Other Regulatory Assets - Sub-Account - ICM Substation 16 Depreciation</v>
      </c>
      <c r="C29" s="31">
        <v>1508</v>
      </c>
      <c r="D29" s="32">
        <f>'2b. Continuity Schedule'!BT55</f>
        <v>0</v>
      </c>
      <c r="E29" s="48" t="s">
        <v>139</v>
      </c>
      <c r="F29" s="32">
        <f>IFERROR(IF(F$4="",0,IF($E29="kWh",VLOOKUP(F$4,'4. Billing Determinants'!$B$19:$R$41,4,0)/'4. Billing Determinants'!$E$41*$D29,IF($E29="kW",VLOOKUP(F$4,'4. Billing Determinants'!$B$19:$R$41,5,0)/'4. Billing Determinants'!$F$41*$D29,IF($E29="Non-RPP kWh",VLOOKUP(F$4,'4. Billing Determinants'!$B$19:$R$41,6,0)/'4. Billing Determinants'!$G$41*$D29,IF($E29="Distribution Rev.",VLOOKUP(F$4,'4. Billing Determinants'!$B$19:$R$41,8,0)/'4. Billing Determinants'!$I$41*$D29, VLOOKUP(F$4,'4. Billing Determinants'!$B$19:$R$41,3,0)/'4. Billing Determinants'!$D$41*$D29))))),0)</f>
        <v>0</v>
      </c>
      <c r="G29" s="32">
        <f>IFERROR(IF(G$4="",0,IF($E29="kWh",VLOOKUP(G$4,'4. Billing Determinants'!$B$19:$R$41,4,0)/'4. Billing Determinants'!$E$41*$D29,IF($E29="kW",VLOOKUP(G$4,'4. Billing Determinants'!$B$19:$R$41,5,0)/'4. Billing Determinants'!$F$41*$D29,IF($E29="Non-RPP kWh",VLOOKUP(G$4,'4. Billing Determinants'!$B$19:$R$41,6,0)/'4. Billing Determinants'!$G$41*$D29,IF($E29="Distribution Rev.",VLOOKUP(G$4,'4. Billing Determinants'!$B$19:$R$41,8,0)/'4. Billing Determinants'!$I$41*$D29, VLOOKUP(G$4,'4. Billing Determinants'!$B$19:$R$41,3,0)/'4. Billing Determinants'!$D$41*$D29))))),0)</f>
        <v>0</v>
      </c>
      <c r="H29" s="32">
        <f>IFERROR(IF(H$4="",0,IF($E29="kWh",VLOOKUP(H$4,'4. Billing Determinants'!$B$19:$R$41,4,0)/'4. Billing Determinants'!$E$41*$D29,IF($E29="kW",VLOOKUP(H$4,'4. Billing Determinants'!$B$19:$R$41,5,0)/'4. Billing Determinants'!$F$41*$D29,IF($E29="Non-RPP kWh",VLOOKUP(H$4,'4. Billing Determinants'!$B$19:$R$41,6,0)/'4. Billing Determinants'!$G$41*$D29,IF($E29="Distribution Rev.",VLOOKUP(H$4,'4. Billing Determinants'!$B$19:$R$41,8,0)/'4. Billing Determinants'!$I$41*$D29, VLOOKUP(H$4,'4. Billing Determinants'!$B$19:$R$41,3,0)/'4. Billing Determinants'!$D$41*$D29))))),0)</f>
        <v>0</v>
      </c>
      <c r="I29" s="32">
        <f>IFERROR(IF(I$4="",0,IF($E29="kWh",VLOOKUP(I$4,'4. Billing Determinants'!$B$19:$R$41,4,0)/'4. Billing Determinants'!$E$41*$D29,IF($E29="kW",VLOOKUP(I$4,'4. Billing Determinants'!$B$19:$R$41,5,0)/'4. Billing Determinants'!$F$41*$D29,IF($E29="Non-RPP kWh",VLOOKUP(I$4,'4. Billing Determinants'!$B$19:$R$41,6,0)/'4. Billing Determinants'!$G$41*$D29,IF($E29="Distribution Rev.",VLOOKUP(I$4,'4. Billing Determinants'!$B$19:$R$41,8,0)/'4. Billing Determinants'!$I$41*$D29, VLOOKUP(I$4,'4. Billing Determinants'!$B$19:$R$41,3,0)/'4. Billing Determinants'!$D$41*$D29))))),0)</f>
        <v>0</v>
      </c>
      <c r="J29" s="32">
        <f>IFERROR(IF(J$4="",0,IF($E29="kWh",VLOOKUP(J$4,'4. Billing Determinants'!$B$19:$R$41,4,0)/'4. Billing Determinants'!$E$41*$D29,IF($E29="kW",VLOOKUP(J$4,'4. Billing Determinants'!$B$19:$R$41,5,0)/'4. Billing Determinants'!$F$41*$D29,IF($E29="Non-RPP kWh",VLOOKUP(J$4,'4. Billing Determinants'!$B$19:$R$41,6,0)/'4. Billing Determinants'!$G$41*$D29,IF($E29="Distribution Rev.",VLOOKUP(J$4,'4. Billing Determinants'!$B$19:$R$41,8,0)/'4. Billing Determinants'!$I$41*$D29, VLOOKUP(J$4,'4. Billing Determinants'!$B$19:$R$41,3,0)/'4. Billing Determinants'!$D$41*$D29))))),0)</f>
        <v>0</v>
      </c>
      <c r="K29" s="32">
        <f>IFERROR(IF(K$4="",0,IF($E29="kWh",VLOOKUP(K$4,'4. Billing Determinants'!$B$19:$R$41,4,0)/'4. Billing Determinants'!$E$41*$D29,IF($E29="kW",VLOOKUP(K$4,'4. Billing Determinants'!$B$19:$R$41,5,0)/'4. Billing Determinants'!$F$41*$D29,IF($E29="Non-RPP kWh",VLOOKUP(K$4,'4. Billing Determinants'!$B$19:$R$41,6,0)/'4. Billing Determinants'!$G$41*$D29,IF($E29="Distribution Rev.",VLOOKUP(K$4,'4. Billing Determinants'!$B$19:$R$41,8,0)/'4. Billing Determinants'!$I$41*$D29, VLOOKUP(K$4,'4. Billing Determinants'!$B$19:$R$41,3,0)/'4. Billing Determinants'!$D$41*$D29))))),0)</f>
        <v>0</v>
      </c>
      <c r="L29" s="32">
        <f>IFERROR(IF(L$4="",0,IF($E29="kWh",VLOOKUP(L$4,'4. Billing Determinants'!$B$19:$R$41,4,0)/'4. Billing Determinants'!$E$41*$D29,IF($E29="kW",VLOOKUP(L$4,'4. Billing Determinants'!$B$19:$R$41,5,0)/'4. Billing Determinants'!$F$41*$D29,IF($E29="Non-RPP kWh",VLOOKUP(L$4,'4. Billing Determinants'!$B$19:$R$41,6,0)/'4. Billing Determinants'!$G$41*$D29,IF($E29="Distribution Rev.",VLOOKUP(L$4,'4. Billing Determinants'!$B$19:$R$41,8,0)/'4. Billing Determinants'!$I$41*$D29, VLOOKUP(L$4,'4. Billing Determinants'!$B$19:$R$41,3,0)/'4. Billing Determinants'!$D$41*$D29))))),0)</f>
        <v>0</v>
      </c>
      <c r="M29" s="32">
        <f>IFERROR(IF(M$4="",0,IF($E29="kWh",VLOOKUP(M$4,'4. Billing Determinants'!$B$19:$R$41,4,0)/'4. Billing Determinants'!$E$41*$D29,IF($E29="kW",VLOOKUP(M$4,'4. Billing Determinants'!$B$19:$R$41,5,0)/'4. Billing Determinants'!$F$41*$D29,IF($E29="Non-RPP kWh",VLOOKUP(M$4,'4. Billing Determinants'!$B$19:$R$41,6,0)/'4. Billing Determinants'!$G$41*$D29,IF($E29="Distribution Rev.",VLOOKUP(M$4,'4. Billing Determinants'!$B$19:$R$41,8,0)/'4. Billing Determinants'!$I$41*$D29, VLOOKUP(M$4,'4. Billing Determinants'!$B$19:$R$41,3,0)/'4. Billing Determinants'!$D$41*$D29))))),0)</f>
        <v>0</v>
      </c>
      <c r="N29" s="32">
        <f>IFERROR(IF(N$4="",0,IF($E29="kWh",VLOOKUP(N$4,'4. Billing Determinants'!$B$19:$R$41,4,0)/'4. Billing Determinants'!$E$41*$D29,IF($E29="kW",VLOOKUP(N$4,'4. Billing Determinants'!$B$19:$R$41,5,0)/'4. Billing Determinants'!$F$41*$D29,IF($E29="Non-RPP kWh",VLOOKUP(N$4,'4. Billing Determinants'!$B$19:$R$41,6,0)/'4. Billing Determinants'!$G$41*$D29,IF($E29="Distribution Rev.",VLOOKUP(N$4,'4. Billing Determinants'!$B$19:$R$41,8,0)/'4. Billing Determinants'!$I$41*$D29, VLOOKUP(N$4,'4. Billing Determinants'!$B$19:$R$41,3,0)/'4. Billing Determinants'!$D$41*$D29))))),0)</f>
        <v>0</v>
      </c>
      <c r="O29" s="32">
        <f>IFERROR(IF(O$4="",0,IF($E29="kWh",VLOOKUP(O$4,'4. Billing Determinants'!$B$19:$R$41,4,0)/'4. Billing Determinants'!$E$41*$D29,IF($E29="kW",VLOOKUP(O$4,'4. Billing Determinants'!$B$19:$R$41,5,0)/'4. Billing Determinants'!$F$41*$D29,IF($E29="Non-RPP kWh",VLOOKUP(O$4,'4. Billing Determinants'!$B$19:$R$41,6,0)/'4. Billing Determinants'!$G$41*$D29,IF($E29="Distribution Rev.",VLOOKUP(O$4,'4. Billing Determinants'!$B$19:$R$41,8,0)/'4. Billing Determinants'!$I$41*$D29, VLOOKUP(O$4,'4. Billing Determinants'!$B$19:$R$41,3,0)/'4. Billing Determinants'!$D$41*$D29))))),0)</f>
        <v>0</v>
      </c>
      <c r="P29" s="32">
        <f>IFERROR(IF(P$4="",0,IF($E29="kWh",VLOOKUP(P$4,'4. Billing Determinants'!$B$19:$R$41,4,0)/'4. Billing Determinants'!$E$41*$D29,IF($E29="kW",VLOOKUP(P$4,'4. Billing Determinants'!$B$19:$R$41,5,0)/'4. Billing Determinants'!$F$41*$D29,IF($E29="Non-RPP kWh",VLOOKUP(P$4,'4. Billing Determinants'!$B$19:$R$41,6,0)/'4. Billing Determinants'!$G$41*$D29,IF($E29="Distribution Rev.",VLOOKUP(P$4,'4. Billing Determinants'!$B$19:$R$41,8,0)/'4. Billing Determinants'!$I$41*$D29, VLOOKUP(P$4,'4. Billing Determinants'!$B$19:$R$41,3,0)/'4. Billing Determinants'!$D$41*$D29))))),0)</f>
        <v>0</v>
      </c>
      <c r="Q29" s="32">
        <f>IFERROR(IF(Q$4="",0,IF($E29="kWh",VLOOKUP(Q$4,'4. Billing Determinants'!$B$19:$R$41,4,0)/'4. Billing Determinants'!$E$41*$D29,IF($E29="kW",VLOOKUP(Q$4,'4. Billing Determinants'!$B$19:$R$41,5,0)/'4. Billing Determinants'!$F$41*$D29,IF($E29="Non-RPP kWh",VLOOKUP(Q$4,'4. Billing Determinants'!$B$19:$R$41,6,0)/'4. Billing Determinants'!$G$41*$D29,IF($E29="Distribution Rev.",VLOOKUP(Q$4,'4. Billing Determinants'!$B$19:$R$41,8,0)/'4. Billing Determinants'!$I$41*$D29, VLOOKUP(Q$4,'4. Billing Determinants'!$B$19:$R$41,3,0)/'4. Billing Determinants'!$D$41*$D29))))),0)</f>
        <v>0</v>
      </c>
      <c r="R29" s="32">
        <f>IFERROR(IF(R$4="",0,IF($E29="kWh",VLOOKUP(R$4,'4. Billing Determinants'!$B$19:$R$41,4,0)/'4. Billing Determinants'!$E$41*$D29,IF($E29="kW",VLOOKUP(R$4,'4. Billing Determinants'!$B$19:$R$41,5,0)/'4. Billing Determinants'!$F$41*$D29,IF($E29="Non-RPP kWh",VLOOKUP(R$4,'4. Billing Determinants'!$B$19:$R$41,6,0)/'4. Billing Determinants'!$G$41*$D29,IF($E29="Distribution Rev.",VLOOKUP(R$4,'4. Billing Determinants'!$B$19:$R$41,8,0)/'4. Billing Determinants'!$I$41*$D29, VLOOKUP(R$4,'4. Billing Determinants'!$B$19:$R$41,3,0)/'4. Billing Determinants'!$D$41*$D29))))),0)</f>
        <v>0</v>
      </c>
      <c r="S29" s="32">
        <f>IFERROR(IF(S$4="",0,IF($E29="kWh",VLOOKUP(S$4,'4. Billing Determinants'!$B$19:$R$41,4,0)/'4. Billing Determinants'!$E$41*$D29,IF($E29="kW",VLOOKUP(S$4,'4. Billing Determinants'!$B$19:$R$41,5,0)/'4. Billing Determinants'!$F$41*$D29,IF($E29="Non-RPP kWh",VLOOKUP(S$4,'4. Billing Determinants'!$B$19:$R$41,6,0)/'4. Billing Determinants'!$G$41*$D29,IF($E29="Distribution Rev.",VLOOKUP(S$4,'4. Billing Determinants'!$B$19:$R$41,8,0)/'4. Billing Determinants'!$I$41*$D29, VLOOKUP(S$4,'4. Billing Determinants'!$B$19:$R$41,3,0)/'4. Billing Determinants'!$D$41*$D29))))),0)</f>
        <v>0</v>
      </c>
      <c r="T29" s="32">
        <f>IFERROR(IF(T$4="",0,IF($E29="kWh",VLOOKUP(T$4,'4. Billing Determinants'!$B$19:$R$41,4,0)/'4. Billing Determinants'!$E$41*$D29,IF($E29="kW",VLOOKUP(T$4,'4. Billing Determinants'!$B$19:$R$41,5,0)/'4. Billing Determinants'!$F$41*$D29,IF($E29="Non-RPP kWh",VLOOKUP(T$4,'4. Billing Determinants'!$B$19:$R$41,6,0)/'4. Billing Determinants'!$G$41*$D29,IF($E29="Distribution Rev.",VLOOKUP(T$4,'4. Billing Determinants'!$B$19:$R$41,8,0)/'4. Billing Determinants'!$I$41*$D29, VLOOKUP(T$4,'4. Billing Determinants'!$B$19:$R$41,3,0)/'4. Billing Determinants'!$D$41*$D29))))),0)</f>
        <v>0</v>
      </c>
      <c r="U29" s="32">
        <f>IFERROR(IF(U$4="",0,IF($E29="kWh",VLOOKUP(U$4,'4. Billing Determinants'!$B$19:$R$41,4,0)/'4. Billing Determinants'!$E$41*$D29,IF($E29="kW",VLOOKUP(U$4,'4. Billing Determinants'!$B$19:$R$41,5,0)/'4. Billing Determinants'!$F$41*$D29,IF($E29="Non-RPP kWh",VLOOKUP(U$4,'4. Billing Determinants'!$B$19:$R$41,6,0)/'4. Billing Determinants'!$G$41*$D29,IF($E29="Distribution Rev.",VLOOKUP(U$4,'4. Billing Determinants'!$B$19:$R$41,8,0)/'4. Billing Determinants'!$I$41*$D29, VLOOKUP(U$4,'4. Billing Determinants'!$B$19:$R$41,3,0)/'4. Billing Determinants'!$D$41*$D29))))),0)</f>
        <v>0</v>
      </c>
      <c r="V29" s="32">
        <f>IFERROR(IF(V$4="",0,IF($E29="kWh",VLOOKUP(V$4,'4. Billing Determinants'!$B$19:$R$41,4,0)/'4. Billing Determinants'!$E$41*$D29,IF($E29="kW",VLOOKUP(V$4,'4. Billing Determinants'!$B$19:$R$41,5,0)/'4. Billing Determinants'!$F$41*$D29,IF($E29="Non-RPP kWh",VLOOKUP(V$4,'4. Billing Determinants'!$B$19:$R$41,6,0)/'4. Billing Determinants'!$G$41*$D29,IF($E29="Distribution Rev.",VLOOKUP(V$4,'4. Billing Determinants'!$B$19:$R$41,8,0)/'4. Billing Determinants'!$I$41*$D29, VLOOKUP(V$4,'4. Billing Determinants'!$B$19:$R$41,3,0)/'4. Billing Determinants'!$D$41*$D29))))),0)</f>
        <v>0</v>
      </c>
      <c r="W29" s="32">
        <f>IFERROR(IF(W$4="",0,IF($E29="kWh",VLOOKUP(W$4,'4. Billing Determinants'!$B$19:$R$41,4,0)/'4. Billing Determinants'!$E$41*$D29,IF($E29="kW",VLOOKUP(W$4,'4. Billing Determinants'!$B$19:$R$41,5,0)/'4. Billing Determinants'!$F$41*$D29,IF($E29="Non-RPP kWh",VLOOKUP(W$4,'4. Billing Determinants'!$B$19:$R$41,6,0)/'4. Billing Determinants'!$G$41*$D29,IF($E29="Distribution Rev.",VLOOKUP(W$4,'4. Billing Determinants'!$B$19:$R$41,8,0)/'4. Billing Determinants'!$I$41*$D29, VLOOKUP(W$4,'4. Billing Determinants'!$B$19:$R$41,3,0)/'4. Billing Determinants'!$D$41*$D29))))),0)</f>
        <v>0</v>
      </c>
      <c r="X29" s="32">
        <f>IFERROR(IF(X$4="",0,IF($E29="kWh",VLOOKUP(X$4,'4. Billing Determinants'!$B$19:$R$41,4,0)/'4. Billing Determinants'!$E$41*$D29,IF($E29="kW",VLOOKUP(X$4,'4. Billing Determinants'!$B$19:$R$41,5,0)/'4. Billing Determinants'!$F$41*$D29,IF($E29="Non-RPP kWh",VLOOKUP(X$4,'4. Billing Determinants'!$B$19:$R$41,6,0)/'4. Billing Determinants'!$G$41*$D29,IF($E29="Distribution Rev.",VLOOKUP(X$4,'4. Billing Determinants'!$B$19:$R$41,8,0)/'4. Billing Determinants'!$I$41*$D29, VLOOKUP(X$4,'4. Billing Determinants'!$B$19:$R$41,3,0)/'4. Billing Determinants'!$D$41*$D29))))),0)</f>
        <v>0</v>
      </c>
      <c r="Y29" s="32">
        <f>IFERROR(IF(Y$4="",0,IF($E29="kWh",VLOOKUP(Y$4,'4. Billing Determinants'!$B$19:$R$41,4,0)/'4. Billing Determinants'!$E$41*$D29,IF($E29="kW",VLOOKUP(Y$4,'4. Billing Determinants'!$B$19:$R$41,5,0)/'4. Billing Determinants'!$F$41*$D29,IF($E29="Non-RPP kWh",VLOOKUP(Y$4,'4. Billing Determinants'!$B$19:$R$41,6,0)/'4. Billing Determinants'!$G$41*$D29,IF($E29="Distribution Rev.",VLOOKUP(Y$4,'4. Billing Determinants'!$B$19:$R$41,8,0)/'4. Billing Determinants'!$I$41*$D29, VLOOKUP(Y$4,'4. Billing Determinants'!$B$19:$R$41,3,0)/'4. Billing Determinants'!$D$41*$D29))))),0)</f>
        <v>0</v>
      </c>
    </row>
    <row r="30" spans="1:25" x14ac:dyDescent="0.2">
      <c r="B30" s="300" t="str">
        <f>IF('2b. Continuity Schedule'!C56="","",'2b. Continuity Schedule'!C56)</f>
        <v>Other Regulatory Assets - Sub-Account - ICM Substation 16 Accumulated Depreciation</v>
      </c>
      <c r="C30" s="31">
        <v>1508</v>
      </c>
      <c r="D30" s="32">
        <f>'2b. Continuity Schedule'!BT56</f>
        <v>0</v>
      </c>
      <c r="E30" s="48" t="s">
        <v>139</v>
      </c>
      <c r="F30" s="32">
        <f>IFERROR(IF(F$4="",0,IF($E30="kWh",VLOOKUP(F$4,'4. Billing Determinants'!$B$19:$R$41,4,0)/'4. Billing Determinants'!$E$41*$D30,IF($E30="kW",VLOOKUP(F$4,'4. Billing Determinants'!$B$19:$R$41,5,0)/'4. Billing Determinants'!$F$41*$D30,IF($E30="Non-RPP kWh",VLOOKUP(F$4,'4. Billing Determinants'!$B$19:$R$41,6,0)/'4. Billing Determinants'!$G$41*$D30,IF($E30="Distribution Rev.",VLOOKUP(F$4,'4. Billing Determinants'!$B$19:$R$41,8,0)/'4. Billing Determinants'!$I$41*$D30, VLOOKUP(F$4,'4. Billing Determinants'!$B$19:$R$41,3,0)/'4. Billing Determinants'!$D$41*$D30))))),0)</f>
        <v>0</v>
      </c>
      <c r="G30" s="32">
        <f>IFERROR(IF(G$4="",0,IF($E30="kWh",VLOOKUP(G$4,'4. Billing Determinants'!$B$19:$R$41,4,0)/'4. Billing Determinants'!$E$41*$D30,IF($E30="kW",VLOOKUP(G$4,'4. Billing Determinants'!$B$19:$R$41,5,0)/'4. Billing Determinants'!$F$41*$D30,IF($E30="Non-RPP kWh",VLOOKUP(G$4,'4. Billing Determinants'!$B$19:$R$41,6,0)/'4. Billing Determinants'!$G$41*$D30,IF($E30="Distribution Rev.",VLOOKUP(G$4,'4. Billing Determinants'!$B$19:$R$41,8,0)/'4. Billing Determinants'!$I$41*$D30, VLOOKUP(G$4,'4. Billing Determinants'!$B$19:$R$41,3,0)/'4. Billing Determinants'!$D$41*$D30))))),0)</f>
        <v>0</v>
      </c>
      <c r="H30" s="32">
        <f>IFERROR(IF(H$4="",0,IF($E30="kWh",VLOOKUP(H$4,'4. Billing Determinants'!$B$19:$R$41,4,0)/'4. Billing Determinants'!$E$41*$D30,IF($E30="kW",VLOOKUP(H$4,'4. Billing Determinants'!$B$19:$R$41,5,0)/'4. Billing Determinants'!$F$41*$D30,IF($E30="Non-RPP kWh",VLOOKUP(H$4,'4. Billing Determinants'!$B$19:$R$41,6,0)/'4. Billing Determinants'!$G$41*$D30,IF($E30="Distribution Rev.",VLOOKUP(H$4,'4. Billing Determinants'!$B$19:$R$41,8,0)/'4. Billing Determinants'!$I$41*$D30, VLOOKUP(H$4,'4. Billing Determinants'!$B$19:$R$41,3,0)/'4. Billing Determinants'!$D$41*$D30))))),0)</f>
        <v>0</v>
      </c>
      <c r="I30" s="32">
        <f>IFERROR(IF(I$4="",0,IF($E30="kWh",VLOOKUP(I$4,'4. Billing Determinants'!$B$19:$R$41,4,0)/'4. Billing Determinants'!$E$41*$D30,IF($E30="kW",VLOOKUP(I$4,'4. Billing Determinants'!$B$19:$R$41,5,0)/'4. Billing Determinants'!$F$41*$D30,IF($E30="Non-RPP kWh",VLOOKUP(I$4,'4. Billing Determinants'!$B$19:$R$41,6,0)/'4. Billing Determinants'!$G$41*$D30,IF($E30="Distribution Rev.",VLOOKUP(I$4,'4. Billing Determinants'!$B$19:$R$41,8,0)/'4. Billing Determinants'!$I$41*$D30, VLOOKUP(I$4,'4. Billing Determinants'!$B$19:$R$41,3,0)/'4. Billing Determinants'!$D$41*$D30))))),0)</f>
        <v>0</v>
      </c>
      <c r="J30" s="32">
        <f>IFERROR(IF(J$4="",0,IF($E30="kWh",VLOOKUP(J$4,'4. Billing Determinants'!$B$19:$R$41,4,0)/'4. Billing Determinants'!$E$41*$D30,IF($E30="kW",VLOOKUP(J$4,'4. Billing Determinants'!$B$19:$R$41,5,0)/'4. Billing Determinants'!$F$41*$D30,IF($E30="Non-RPP kWh",VLOOKUP(J$4,'4. Billing Determinants'!$B$19:$R$41,6,0)/'4. Billing Determinants'!$G$41*$D30,IF($E30="Distribution Rev.",VLOOKUP(J$4,'4. Billing Determinants'!$B$19:$R$41,8,0)/'4. Billing Determinants'!$I$41*$D30, VLOOKUP(J$4,'4. Billing Determinants'!$B$19:$R$41,3,0)/'4. Billing Determinants'!$D$41*$D30))))),0)</f>
        <v>0</v>
      </c>
      <c r="K30" s="32">
        <f>IFERROR(IF(K$4="",0,IF($E30="kWh",VLOOKUP(K$4,'4. Billing Determinants'!$B$19:$R$41,4,0)/'4. Billing Determinants'!$E$41*$D30,IF($E30="kW",VLOOKUP(K$4,'4. Billing Determinants'!$B$19:$R$41,5,0)/'4. Billing Determinants'!$F$41*$D30,IF($E30="Non-RPP kWh",VLOOKUP(K$4,'4. Billing Determinants'!$B$19:$R$41,6,0)/'4. Billing Determinants'!$G$41*$D30,IF($E30="Distribution Rev.",VLOOKUP(K$4,'4. Billing Determinants'!$B$19:$R$41,8,0)/'4. Billing Determinants'!$I$41*$D30, VLOOKUP(K$4,'4. Billing Determinants'!$B$19:$R$41,3,0)/'4. Billing Determinants'!$D$41*$D30))))),0)</f>
        <v>0</v>
      </c>
      <c r="L30" s="32">
        <f>IFERROR(IF(L$4="",0,IF($E30="kWh",VLOOKUP(L$4,'4. Billing Determinants'!$B$19:$R$41,4,0)/'4. Billing Determinants'!$E$41*$D30,IF($E30="kW",VLOOKUP(L$4,'4. Billing Determinants'!$B$19:$R$41,5,0)/'4. Billing Determinants'!$F$41*$D30,IF($E30="Non-RPP kWh",VLOOKUP(L$4,'4. Billing Determinants'!$B$19:$R$41,6,0)/'4. Billing Determinants'!$G$41*$D30,IF($E30="Distribution Rev.",VLOOKUP(L$4,'4. Billing Determinants'!$B$19:$R$41,8,0)/'4. Billing Determinants'!$I$41*$D30, VLOOKUP(L$4,'4. Billing Determinants'!$B$19:$R$41,3,0)/'4. Billing Determinants'!$D$41*$D30))))),0)</f>
        <v>0</v>
      </c>
      <c r="M30" s="32">
        <f>IFERROR(IF(M$4="",0,IF($E30="kWh",VLOOKUP(M$4,'4. Billing Determinants'!$B$19:$R$41,4,0)/'4. Billing Determinants'!$E$41*$D30,IF($E30="kW",VLOOKUP(M$4,'4. Billing Determinants'!$B$19:$R$41,5,0)/'4. Billing Determinants'!$F$41*$D30,IF($E30="Non-RPP kWh",VLOOKUP(M$4,'4. Billing Determinants'!$B$19:$R$41,6,0)/'4. Billing Determinants'!$G$41*$D30,IF($E30="Distribution Rev.",VLOOKUP(M$4,'4. Billing Determinants'!$B$19:$R$41,8,0)/'4. Billing Determinants'!$I$41*$D30, VLOOKUP(M$4,'4. Billing Determinants'!$B$19:$R$41,3,0)/'4. Billing Determinants'!$D$41*$D30))))),0)</f>
        <v>0</v>
      </c>
      <c r="N30" s="32">
        <f>IFERROR(IF(N$4="",0,IF($E30="kWh",VLOOKUP(N$4,'4. Billing Determinants'!$B$19:$R$41,4,0)/'4. Billing Determinants'!$E$41*$D30,IF($E30="kW",VLOOKUP(N$4,'4. Billing Determinants'!$B$19:$R$41,5,0)/'4. Billing Determinants'!$F$41*$D30,IF($E30="Non-RPP kWh",VLOOKUP(N$4,'4. Billing Determinants'!$B$19:$R$41,6,0)/'4. Billing Determinants'!$G$41*$D30,IF($E30="Distribution Rev.",VLOOKUP(N$4,'4. Billing Determinants'!$B$19:$R$41,8,0)/'4. Billing Determinants'!$I$41*$D30, VLOOKUP(N$4,'4. Billing Determinants'!$B$19:$R$41,3,0)/'4. Billing Determinants'!$D$41*$D30))))),0)</f>
        <v>0</v>
      </c>
      <c r="O30" s="32">
        <f>IFERROR(IF(O$4="",0,IF($E30="kWh",VLOOKUP(O$4,'4. Billing Determinants'!$B$19:$R$41,4,0)/'4. Billing Determinants'!$E$41*$D30,IF($E30="kW",VLOOKUP(O$4,'4. Billing Determinants'!$B$19:$R$41,5,0)/'4. Billing Determinants'!$F$41*$D30,IF($E30="Non-RPP kWh",VLOOKUP(O$4,'4. Billing Determinants'!$B$19:$R$41,6,0)/'4. Billing Determinants'!$G$41*$D30,IF($E30="Distribution Rev.",VLOOKUP(O$4,'4. Billing Determinants'!$B$19:$R$41,8,0)/'4. Billing Determinants'!$I$41*$D30, VLOOKUP(O$4,'4. Billing Determinants'!$B$19:$R$41,3,0)/'4. Billing Determinants'!$D$41*$D30))))),0)</f>
        <v>0</v>
      </c>
      <c r="P30" s="32">
        <f>IFERROR(IF(P$4="",0,IF($E30="kWh",VLOOKUP(P$4,'4. Billing Determinants'!$B$19:$R$41,4,0)/'4. Billing Determinants'!$E$41*$D30,IF($E30="kW",VLOOKUP(P$4,'4. Billing Determinants'!$B$19:$R$41,5,0)/'4. Billing Determinants'!$F$41*$D30,IF($E30="Non-RPP kWh",VLOOKUP(P$4,'4. Billing Determinants'!$B$19:$R$41,6,0)/'4. Billing Determinants'!$G$41*$D30,IF($E30="Distribution Rev.",VLOOKUP(P$4,'4. Billing Determinants'!$B$19:$R$41,8,0)/'4. Billing Determinants'!$I$41*$D30, VLOOKUP(P$4,'4. Billing Determinants'!$B$19:$R$41,3,0)/'4. Billing Determinants'!$D$41*$D30))))),0)</f>
        <v>0</v>
      </c>
      <c r="Q30" s="32">
        <f>IFERROR(IF(Q$4="",0,IF($E30="kWh",VLOOKUP(Q$4,'4. Billing Determinants'!$B$19:$R$41,4,0)/'4. Billing Determinants'!$E$41*$D30,IF($E30="kW",VLOOKUP(Q$4,'4. Billing Determinants'!$B$19:$R$41,5,0)/'4. Billing Determinants'!$F$41*$D30,IF($E30="Non-RPP kWh",VLOOKUP(Q$4,'4. Billing Determinants'!$B$19:$R$41,6,0)/'4. Billing Determinants'!$G$41*$D30,IF($E30="Distribution Rev.",VLOOKUP(Q$4,'4. Billing Determinants'!$B$19:$R$41,8,0)/'4. Billing Determinants'!$I$41*$D30, VLOOKUP(Q$4,'4. Billing Determinants'!$B$19:$R$41,3,0)/'4. Billing Determinants'!$D$41*$D30))))),0)</f>
        <v>0</v>
      </c>
      <c r="R30" s="32">
        <f>IFERROR(IF(R$4="",0,IF($E30="kWh",VLOOKUP(R$4,'4. Billing Determinants'!$B$19:$R$41,4,0)/'4. Billing Determinants'!$E$41*$D30,IF($E30="kW",VLOOKUP(R$4,'4. Billing Determinants'!$B$19:$R$41,5,0)/'4. Billing Determinants'!$F$41*$D30,IF($E30="Non-RPP kWh",VLOOKUP(R$4,'4. Billing Determinants'!$B$19:$R$41,6,0)/'4. Billing Determinants'!$G$41*$D30,IF($E30="Distribution Rev.",VLOOKUP(R$4,'4. Billing Determinants'!$B$19:$R$41,8,0)/'4. Billing Determinants'!$I$41*$D30, VLOOKUP(R$4,'4. Billing Determinants'!$B$19:$R$41,3,0)/'4. Billing Determinants'!$D$41*$D30))))),0)</f>
        <v>0</v>
      </c>
      <c r="S30" s="32">
        <f>IFERROR(IF(S$4="",0,IF($E30="kWh",VLOOKUP(S$4,'4. Billing Determinants'!$B$19:$R$41,4,0)/'4. Billing Determinants'!$E$41*$D30,IF($E30="kW",VLOOKUP(S$4,'4. Billing Determinants'!$B$19:$R$41,5,0)/'4. Billing Determinants'!$F$41*$D30,IF($E30="Non-RPP kWh",VLOOKUP(S$4,'4. Billing Determinants'!$B$19:$R$41,6,0)/'4. Billing Determinants'!$G$41*$D30,IF($E30="Distribution Rev.",VLOOKUP(S$4,'4. Billing Determinants'!$B$19:$R$41,8,0)/'4. Billing Determinants'!$I$41*$D30, VLOOKUP(S$4,'4. Billing Determinants'!$B$19:$R$41,3,0)/'4. Billing Determinants'!$D$41*$D30))))),0)</f>
        <v>0</v>
      </c>
      <c r="T30" s="32">
        <f>IFERROR(IF(T$4="",0,IF($E30="kWh",VLOOKUP(T$4,'4. Billing Determinants'!$B$19:$R$41,4,0)/'4. Billing Determinants'!$E$41*$D30,IF($E30="kW",VLOOKUP(T$4,'4. Billing Determinants'!$B$19:$R$41,5,0)/'4. Billing Determinants'!$F$41*$D30,IF($E30="Non-RPP kWh",VLOOKUP(T$4,'4. Billing Determinants'!$B$19:$R$41,6,0)/'4. Billing Determinants'!$G$41*$D30,IF($E30="Distribution Rev.",VLOOKUP(T$4,'4. Billing Determinants'!$B$19:$R$41,8,0)/'4. Billing Determinants'!$I$41*$D30, VLOOKUP(T$4,'4. Billing Determinants'!$B$19:$R$41,3,0)/'4. Billing Determinants'!$D$41*$D30))))),0)</f>
        <v>0</v>
      </c>
      <c r="U30" s="32">
        <f>IFERROR(IF(U$4="",0,IF($E30="kWh",VLOOKUP(U$4,'4. Billing Determinants'!$B$19:$R$41,4,0)/'4. Billing Determinants'!$E$41*$D30,IF($E30="kW",VLOOKUP(U$4,'4. Billing Determinants'!$B$19:$R$41,5,0)/'4. Billing Determinants'!$F$41*$D30,IF($E30="Non-RPP kWh",VLOOKUP(U$4,'4. Billing Determinants'!$B$19:$R$41,6,0)/'4. Billing Determinants'!$G$41*$D30,IF($E30="Distribution Rev.",VLOOKUP(U$4,'4. Billing Determinants'!$B$19:$R$41,8,0)/'4. Billing Determinants'!$I$41*$D30, VLOOKUP(U$4,'4. Billing Determinants'!$B$19:$R$41,3,0)/'4. Billing Determinants'!$D$41*$D30))))),0)</f>
        <v>0</v>
      </c>
      <c r="V30" s="32">
        <f>IFERROR(IF(V$4="",0,IF($E30="kWh",VLOOKUP(V$4,'4. Billing Determinants'!$B$19:$R$41,4,0)/'4. Billing Determinants'!$E$41*$D30,IF($E30="kW",VLOOKUP(V$4,'4. Billing Determinants'!$B$19:$R$41,5,0)/'4. Billing Determinants'!$F$41*$D30,IF($E30="Non-RPP kWh",VLOOKUP(V$4,'4. Billing Determinants'!$B$19:$R$41,6,0)/'4. Billing Determinants'!$G$41*$D30,IF($E30="Distribution Rev.",VLOOKUP(V$4,'4. Billing Determinants'!$B$19:$R$41,8,0)/'4. Billing Determinants'!$I$41*$D30, VLOOKUP(V$4,'4. Billing Determinants'!$B$19:$R$41,3,0)/'4. Billing Determinants'!$D$41*$D30))))),0)</f>
        <v>0</v>
      </c>
      <c r="W30" s="32">
        <f>IFERROR(IF(W$4="",0,IF($E30="kWh",VLOOKUP(W$4,'4. Billing Determinants'!$B$19:$R$41,4,0)/'4. Billing Determinants'!$E$41*$D30,IF($E30="kW",VLOOKUP(W$4,'4. Billing Determinants'!$B$19:$R$41,5,0)/'4. Billing Determinants'!$F$41*$D30,IF($E30="Non-RPP kWh",VLOOKUP(W$4,'4. Billing Determinants'!$B$19:$R$41,6,0)/'4. Billing Determinants'!$G$41*$D30,IF($E30="Distribution Rev.",VLOOKUP(W$4,'4. Billing Determinants'!$B$19:$R$41,8,0)/'4. Billing Determinants'!$I$41*$D30, VLOOKUP(W$4,'4. Billing Determinants'!$B$19:$R$41,3,0)/'4. Billing Determinants'!$D$41*$D30))))),0)</f>
        <v>0</v>
      </c>
      <c r="X30" s="32">
        <f>IFERROR(IF(X$4="",0,IF($E30="kWh",VLOOKUP(X$4,'4. Billing Determinants'!$B$19:$R$41,4,0)/'4. Billing Determinants'!$E$41*$D30,IF($E30="kW",VLOOKUP(X$4,'4. Billing Determinants'!$B$19:$R$41,5,0)/'4. Billing Determinants'!$F$41*$D30,IF($E30="Non-RPP kWh",VLOOKUP(X$4,'4. Billing Determinants'!$B$19:$R$41,6,0)/'4. Billing Determinants'!$G$41*$D30,IF($E30="Distribution Rev.",VLOOKUP(X$4,'4. Billing Determinants'!$B$19:$R$41,8,0)/'4. Billing Determinants'!$I$41*$D30, VLOOKUP(X$4,'4. Billing Determinants'!$B$19:$R$41,3,0)/'4. Billing Determinants'!$D$41*$D30))))),0)</f>
        <v>0</v>
      </c>
      <c r="Y30" s="32">
        <f>IFERROR(IF(Y$4="",0,IF($E30="kWh",VLOOKUP(Y$4,'4. Billing Determinants'!$B$19:$R$41,4,0)/'4. Billing Determinants'!$E$41*$D30,IF($E30="kW",VLOOKUP(Y$4,'4. Billing Determinants'!$B$19:$R$41,5,0)/'4. Billing Determinants'!$F$41*$D30,IF($E30="Non-RPP kWh",VLOOKUP(Y$4,'4. Billing Determinants'!$B$19:$R$41,6,0)/'4. Billing Determinants'!$G$41*$D30,IF($E30="Distribution Rev.",VLOOKUP(Y$4,'4. Billing Determinants'!$B$19:$R$41,8,0)/'4. Billing Determinants'!$I$41*$D30, VLOOKUP(Y$4,'4. Billing Determinants'!$B$19:$R$41,3,0)/'4. Billing Determinants'!$D$41*$D30))))),0)</f>
        <v>0</v>
      </c>
    </row>
    <row r="31" spans="1:25" x14ac:dyDescent="0.2">
      <c r="B31" s="300" t="str">
        <f>IF('2b. Continuity Schedule'!C57="","",'2b. Continuity Schedule'!C57)</f>
        <v>Other Regulatory Assets - Sub-Account - ICM Substation 16 Rate Riders</v>
      </c>
      <c r="C31" s="31">
        <v>1508</v>
      </c>
      <c r="D31" s="32">
        <f>'2b. Continuity Schedule'!BT57</f>
        <v>-583468.20728250197</v>
      </c>
      <c r="E31" s="48" t="s">
        <v>139</v>
      </c>
      <c r="F31" s="32">
        <f>IFERROR(IF(F$4="",0,IF($E31="kWh",VLOOKUP(F$4,'4. Billing Determinants'!$B$19:$R$41,4,0)/'4. Billing Determinants'!$E$41*$D31,IF($E31="kW",VLOOKUP(F$4,'4. Billing Determinants'!$B$19:$R$41,5,0)/'4. Billing Determinants'!$F$41*$D31,IF($E31="Non-RPP kWh",VLOOKUP(F$4,'4. Billing Determinants'!$B$19:$R$41,6,0)/'4. Billing Determinants'!$G$41*$D31,IF($E31="Distribution Rev.",VLOOKUP(F$4,'4. Billing Determinants'!$B$19:$R$41,8,0)/'4. Billing Determinants'!$I$41*$D31, VLOOKUP(F$4,'4. Billing Determinants'!$B$19:$R$41,3,0)/'4. Billing Determinants'!$D$41*$D31))))),0)</f>
        <v>-272565.58541801042</v>
      </c>
      <c r="G31" s="32">
        <f>IFERROR(IF(G$4="",0,IF($E31="kWh",VLOOKUP(G$4,'4. Billing Determinants'!$B$19:$R$41,4,0)/'4. Billing Determinants'!$E$41*$D31,IF($E31="kW",VLOOKUP(G$4,'4. Billing Determinants'!$B$19:$R$41,5,0)/'4. Billing Determinants'!$F$41*$D31,IF($E31="Non-RPP kWh",VLOOKUP(G$4,'4. Billing Determinants'!$B$19:$R$41,6,0)/'4. Billing Determinants'!$G$41*$D31,IF($E31="Distribution Rev.",VLOOKUP(G$4,'4. Billing Determinants'!$B$19:$R$41,8,0)/'4. Billing Determinants'!$I$41*$D31, VLOOKUP(G$4,'4. Billing Determinants'!$B$19:$R$41,3,0)/'4. Billing Determinants'!$D$41*$D31))))),0)</f>
        <v>-83371.56447859155</v>
      </c>
      <c r="H31" s="32">
        <f>IFERROR(IF(H$4="",0,IF($E31="kWh",VLOOKUP(H$4,'4. Billing Determinants'!$B$19:$R$41,4,0)/'4. Billing Determinants'!$E$41*$D31,IF($E31="kW",VLOOKUP(H$4,'4. Billing Determinants'!$B$19:$R$41,5,0)/'4. Billing Determinants'!$F$41*$D31,IF($E31="Non-RPP kWh",VLOOKUP(H$4,'4. Billing Determinants'!$B$19:$R$41,6,0)/'4. Billing Determinants'!$G$41*$D31,IF($E31="Distribution Rev.",VLOOKUP(H$4,'4. Billing Determinants'!$B$19:$R$41,8,0)/'4. Billing Determinants'!$I$41*$D31, VLOOKUP(H$4,'4. Billing Determinants'!$B$19:$R$41,3,0)/'4. Billing Determinants'!$D$41*$D31))))),0)</f>
        <v>-224128.00172795175</v>
      </c>
      <c r="I31" s="32">
        <f>IFERROR(IF(I$4="",0,IF($E31="kWh",VLOOKUP(I$4,'4. Billing Determinants'!$B$19:$R$41,4,0)/'4. Billing Determinants'!$E$41*$D31,IF($E31="kW",VLOOKUP(I$4,'4. Billing Determinants'!$B$19:$R$41,5,0)/'4. Billing Determinants'!$F$41*$D31,IF($E31="Non-RPP kWh",VLOOKUP(I$4,'4. Billing Determinants'!$B$19:$R$41,6,0)/'4. Billing Determinants'!$G$41*$D31,IF($E31="Distribution Rev.",VLOOKUP(I$4,'4. Billing Determinants'!$B$19:$R$41,8,0)/'4. Billing Determinants'!$I$41*$D31, VLOOKUP(I$4,'4. Billing Determinants'!$B$19:$R$41,3,0)/'4. Billing Determinants'!$D$41*$D31))))),0)</f>
        <v>-846.36819066047303</v>
      </c>
      <c r="J31" s="32">
        <f>IFERROR(IF(J$4="",0,IF($E31="kWh",VLOOKUP(J$4,'4. Billing Determinants'!$B$19:$R$41,4,0)/'4. Billing Determinants'!$E$41*$D31,IF($E31="kW",VLOOKUP(J$4,'4. Billing Determinants'!$B$19:$R$41,5,0)/'4. Billing Determinants'!$F$41*$D31,IF($E31="Non-RPP kWh",VLOOKUP(J$4,'4. Billing Determinants'!$B$19:$R$41,6,0)/'4. Billing Determinants'!$G$41*$D31,IF($E31="Distribution Rev.",VLOOKUP(J$4,'4. Billing Determinants'!$B$19:$R$41,8,0)/'4. Billing Determinants'!$I$41*$D31, VLOOKUP(J$4,'4. Billing Determinants'!$B$19:$R$41,3,0)/'4. Billing Determinants'!$D$41*$D31))))),0)</f>
        <v>-2369.9423021413313</v>
      </c>
      <c r="K31" s="32">
        <f>IFERROR(IF(K$4="",0,IF($E31="kWh",VLOOKUP(K$4,'4. Billing Determinants'!$B$19:$R$41,4,0)/'4. Billing Determinants'!$E$41*$D31,IF($E31="kW",VLOOKUP(K$4,'4. Billing Determinants'!$B$19:$R$41,5,0)/'4. Billing Determinants'!$F$41*$D31,IF($E31="Non-RPP kWh",VLOOKUP(K$4,'4. Billing Determinants'!$B$19:$R$41,6,0)/'4. Billing Determinants'!$G$41*$D31,IF($E31="Distribution Rev.",VLOOKUP(K$4,'4. Billing Determinants'!$B$19:$R$41,8,0)/'4. Billing Determinants'!$I$41*$D31, VLOOKUP(K$4,'4. Billing Determinants'!$B$19:$R$41,3,0)/'4. Billing Determinants'!$D$41*$D31))))),0)</f>
        <v>-186.74516514649133</v>
      </c>
      <c r="L31" s="32">
        <f>IFERROR(IF(L$4="",0,IF($E31="kWh",VLOOKUP(L$4,'4. Billing Determinants'!$B$19:$R$41,4,0)/'4. Billing Determinants'!$E$41*$D31,IF($E31="kW",VLOOKUP(L$4,'4. Billing Determinants'!$B$19:$R$41,5,0)/'4. Billing Determinants'!$F$41*$D31,IF($E31="Non-RPP kWh",VLOOKUP(L$4,'4. Billing Determinants'!$B$19:$R$41,6,0)/'4. Billing Determinants'!$G$41*$D31,IF($E31="Distribution Rev.",VLOOKUP(L$4,'4. Billing Determinants'!$B$19:$R$41,8,0)/'4. Billing Determinants'!$I$41*$D31, VLOOKUP(L$4,'4. Billing Determinants'!$B$19:$R$41,3,0)/'4. Billing Determinants'!$D$41*$D31))))),0)</f>
        <v>0</v>
      </c>
      <c r="M31" s="32">
        <f>IFERROR(IF(M$4="",0,IF($E31="kWh",VLOOKUP(M$4,'4. Billing Determinants'!$B$19:$R$41,4,0)/'4. Billing Determinants'!$E$41*$D31,IF($E31="kW",VLOOKUP(M$4,'4. Billing Determinants'!$B$19:$R$41,5,0)/'4. Billing Determinants'!$F$41*$D31,IF($E31="Non-RPP kWh",VLOOKUP(M$4,'4. Billing Determinants'!$B$19:$R$41,6,0)/'4. Billing Determinants'!$G$41*$D31,IF($E31="Distribution Rev.",VLOOKUP(M$4,'4. Billing Determinants'!$B$19:$R$41,8,0)/'4. Billing Determinants'!$I$41*$D31, VLOOKUP(M$4,'4. Billing Determinants'!$B$19:$R$41,3,0)/'4. Billing Determinants'!$D$41*$D31))))),0)</f>
        <v>0</v>
      </c>
      <c r="N31" s="32">
        <f>IFERROR(IF(N$4="",0,IF($E31="kWh",VLOOKUP(N$4,'4. Billing Determinants'!$B$19:$R$41,4,0)/'4. Billing Determinants'!$E$41*$D31,IF($E31="kW",VLOOKUP(N$4,'4. Billing Determinants'!$B$19:$R$41,5,0)/'4. Billing Determinants'!$F$41*$D31,IF($E31="Non-RPP kWh",VLOOKUP(N$4,'4. Billing Determinants'!$B$19:$R$41,6,0)/'4. Billing Determinants'!$G$41*$D31,IF($E31="Distribution Rev.",VLOOKUP(N$4,'4. Billing Determinants'!$B$19:$R$41,8,0)/'4. Billing Determinants'!$I$41*$D31, VLOOKUP(N$4,'4. Billing Determinants'!$B$19:$R$41,3,0)/'4. Billing Determinants'!$D$41*$D31))))),0)</f>
        <v>0</v>
      </c>
      <c r="O31" s="32">
        <f>IFERROR(IF(O$4="",0,IF($E31="kWh",VLOOKUP(O$4,'4. Billing Determinants'!$B$19:$R$41,4,0)/'4. Billing Determinants'!$E$41*$D31,IF($E31="kW",VLOOKUP(O$4,'4. Billing Determinants'!$B$19:$R$41,5,0)/'4. Billing Determinants'!$F$41*$D31,IF($E31="Non-RPP kWh",VLOOKUP(O$4,'4. Billing Determinants'!$B$19:$R$41,6,0)/'4. Billing Determinants'!$G$41*$D31,IF($E31="Distribution Rev.",VLOOKUP(O$4,'4. Billing Determinants'!$B$19:$R$41,8,0)/'4. Billing Determinants'!$I$41*$D31, VLOOKUP(O$4,'4. Billing Determinants'!$B$19:$R$41,3,0)/'4. Billing Determinants'!$D$41*$D31))))),0)</f>
        <v>0</v>
      </c>
      <c r="P31" s="32">
        <f>IFERROR(IF(P$4="",0,IF($E31="kWh",VLOOKUP(P$4,'4. Billing Determinants'!$B$19:$R$41,4,0)/'4. Billing Determinants'!$E$41*$D31,IF($E31="kW",VLOOKUP(P$4,'4. Billing Determinants'!$B$19:$R$41,5,0)/'4. Billing Determinants'!$F$41*$D31,IF($E31="Non-RPP kWh",VLOOKUP(P$4,'4. Billing Determinants'!$B$19:$R$41,6,0)/'4. Billing Determinants'!$G$41*$D31,IF($E31="Distribution Rev.",VLOOKUP(P$4,'4. Billing Determinants'!$B$19:$R$41,8,0)/'4. Billing Determinants'!$I$41*$D31, VLOOKUP(P$4,'4. Billing Determinants'!$B$19:$R$41,3,0)/'4. Billing Determinants'!$D$41*$D31))))),0)</f>
        <v>0</v>
      </c>
      <c r="Q31" s="32">
        <f>IFERROR(IF(Q$4="",0,IF($E31="kWh",VLOOKUP(Q$4,'4. Billing Determinants'!$B$19:$R$41,4,0)/'4. Billing Determinants'!$E$41*$D31,IF($E31="kW",VLOOKUP(Q$4,'4. Billing Determinants'!$B$19:$R$41,5,0)/'4. Billing Determinants'!$F$41*$D31,IF($E31="Non-RPP kWh",VLOOKUP(Q$4,'4. Billing Determinants'!$B$19:$R$41,6,0)/'4. Billing Determinants'!$G$41*$D31,IF($E31="Distribution Rev.",VLOOKUP(Q$4,'4. Billing Determinants'!$B$19:$R$41,8,0)/'4. Billing Determinants'!$I$41*$D31, VLOOKUP(Q$4,'4. Billing Determinants'!$B$19:$R$41,3,0)/'4. Billing Determinants'!$D$41*$D31))))),0)</f>
        <v>0</v>
      </c>
      <c r="R31" s="32">
        <f>IFERROR(IF(R$4="",0,IF($E31="kWh",VLOOKUP(R$4,'4. Billing Determinants'!$B$19:$R$41,4,0)/'4. Billing Determinants'!$E$41*$D31,IF($E31="kW",VLOOKUP(R$4,'4. Billing Determinants'!$B$19:$R$41,5,0)/'4. Billing Determinants'!$F$41*$D31,IF($E31="Non-RPP kWh",VLOOKUP(R$4,'4. Billing Determinants'!$B$19:$R$41,6,0)/'4. Billing Determinants'!$G$41*$D31,IF($E31="Distribution Rev.",VLOOKUP(R$4,'4. Billing Determinants'!$B$19:$R$41,8,0)/'4. Billing Determinants'!$I$41*$D31, VLOOKUP(R$4,'4. Billing Determinants'!$B$19:$R$41,3,0)/'4. Billing Determinants'!$D$41*$D31))))),0)</f>
        <v>0</v>
      </c>
      <c r="S31" s="32">
        <f>IFERROR(IF(S$4="",0,IF($E31="kWh",VLOOKUP(S$4,'4. Billing Determinants'!$B$19:$R$41,4,0)/'4. Billing Determinants'!$E$41*$D31,IF($E31="kW",VLOOKUP(S$4,'4. Billing Determinants'!$B$19:$R$41,5,0)/'4. Billing Determinants'!$F$41*$D31,IF($E31="Non-RPP kWh",VLOOKUP(S$4,'4. Billing Determinants'!$B$19:$R$41,6,0)/'4. Billing Determinants'!$G$41*$D31,IF($E31="Distribution Rev.",VLOOKUP(S$4,'4. Billing Determinants'!$B$19:$R$41,8,0)/'4. Billing Determinants'!$I$41*$D31, VLOOKUP(S$4,'4. Billing Determinants'!$B$19:$R$41,3,0)/'4. Billing Determinants'!$D$41*$D31))))),0)</f>
        <v>0</v>
      </c>
      <c r="T31" s="32">
        <f>IFERROR(IF(T$4="",0,IF($E31="kWh",VLOOKUP(T$4,'4. Billing Determinants'!$B$19:$R$41,4,0)/'4. Billing Determinants'!$E$41*$D31,IF($E31="kW",VLOOKUP(T$4,'4. Billing Determinants'!$B$19:$R$41,5,0)/'4. Billing Determinants'!$F$41*$D31,IF($E31="Non-RPP kWh",VLOOKUP(T$4,'4. Billing Determinants'!$B$19:$R$41,6,0)/'4. Billing Determinants'!$G$41*$D31,IF($E31="Distribution Rev.",VLOOKUP(T$4,'4. Billing Determinants'!$B$19:$R$41,8,0)/'4. Billing Determinants'!$I$41*$D31, VLOOKUP(T$4,'4. Billing Determinants'!$B$19:$R$41,3,0)/'4. Billing Determinants'!$D$41*$D31))))),0)</f>
        <v>0</v>
      </c>
      <c r="U31" s="32">
        <f>IFERROR(IF(U$4="",0,IF($E31="kWh",VLOOKUP(U$4,'4. Billing Determinants'!$B$19:$R$41,4,0)/'4. Billing Determinants'!$E$41*$D31,IF($E31="kW",VLOOKUP(U$4,'4. Billing Determinants'!$B$19:$R$41,5,0)/'4. Billing Determinants'!$F$41*$D31,IF($E31="Non-RPP kWh",VLOOKUP(U$4,'4. Billing Determinants'!$B$19:$R$41,6,0)/'4. Billing Determinants'!$G$41*$D31,IF($E31="Distribution Rev.",VLOOKUP(U$4,'4. Billing Determinants'!$B$19:$R$41,8,0)/'4. Billing Determinants'!$I$41*$D31, VLOOKUP(U$4,'4. Billing Determinants'!$B$19:$R$41,3,0)/'4. Billing Determinants'!$D$41*$D31))))),0)</f>
        <v>0</v>
      </c>
      <c r="V31" s="32">
        <f>IFERROR(IF(V$4="",0,IF($E31="kWh",VLOOKUP(V$4,'4. Billing Determinants'!$B$19:$R$41,4,0)/'4. Billing Determinants'!$E$41*$D31,IF($E31="kW",VLOOKUP(V$4,'4. Billing Determinants'!$B$19:$R$41,5,0)/'4. Billing Determinants'!$F$41*$D31,IF($E31="Non-RPP kWh",VLOOKUP(V$4,'4. Billing Determinants'!$B$19:$R$41,6,0)/'4. Billing Determinants'!$G$41*$D31,IF($E31="Distribution Rev.",VLOOKUP(V$4,'4. Billing Determinants'!$B$19:$R$41,8,0)/'4. Billing Determinants'!$I$41*$D31, VLOOKUP(V$4,'4. Billing Determinants'!$B$19:$R$41,3,0)/'4. Billing Determinants'!$D$41*$D31))))),0)</f>
        <v>0</v>
      </c>
      <c r="W31" s="32">
        <f>IFERROR(IF(W$4="",0,IF($E31="kWh",VLOOKUP(W$4,'4. Billing Determinants'!$B$19:$R$41,4,0)/'4. Billing Determinants'!$E$41*$D31,IF($E31="kW",VLOOKUP(W$4,'4. Billing Determinants'!$B$19:$R$41,5,0)/'4. Billing Determinants'!$F$41*$D31,IF($E31="Non-RPP kWh",VLOOKUP(W$4,'4. Billing Determinants'!$B$19:$R$41,6,0)/'4. Billing Determinants'!$G$41*$D31,IF($E31="Distribution Rev.",VLOOKUP(W$4,'4. Billing Determinants'!$B$19:$R$41,8,0)/'4. Billing Determinants'!$I$41*$D31, VLOOKUP(W$4,'4. Billing Determinants'!$B$19:$R$41,3,0)/'4. Billing Determinants'!$D$41*$D31))))),0)</f>
        <v>0</v>
      </c>
      <c r="X31" s="32">
        <f>IFERROR(IF(X$4="",0,IF($E31="kWh",VLOOKUP(X$4,'4. Billing Determinants'!$B$19:$R$41,4,0)/'4. Billing Determinants'!$E$41*$D31,IF($E31="kW",VLOOKUP(X$4,'4. Billing Determinants'!$B$19:$R$41,5,0)/'4. Billing Determinants'!$F$41*$D31,IF($E31="Non-RPP kWh",VLOOKUP(X$4,'4. Billing Determinants'!$B$19:$R$41,6,0)/'4. Billing Determinants'!$G$41*$D31,IF($E31="Distribution Rev.",VLOOKUP(X$4,'4. Billing Determinants'!$B$19:$R$41,8,0)/'4. Billing Determinants'!$I$41*$D31, VLOOKUP(X$4,'4. Billing Determinants'!$B$19:$R$41,3,0)/'4. Billing Determinants'!$D$41*$D31))))),0)</f>
        <v>0</v>
      </c>
      <c r="Y31" s="32">
        <f>IFERROR(IF(Y$4="",0,IF($E31="kWh",VLOOKUP(Y$4,'4. Billing Determinants'!$B$19:$R$41,4,0)/'4. Billing Determinants'!$E$41*$D31,IF($E31="kW",VLOOKUP(Y$4,'4. Billing Determinants'!$B$19:$R$41,5,0)/'4. Billing Determinants'!$F$41*$D31,IF($E31="Non-RPP kWh",VLOOKUP(Y$4,'4. Billing Determinants'!$B$19:$R$41,6,0)/'4. Billing Determinants'!$G$41*$D31,IF($E31="Distribution Rev.",VLOOKUP(Y$4,'4. Billing Determinants'!$B$19:$R$41,8,0)/'4. Billing Determinants'!$I$41*$D31, VLOOKUP(Y$4,'4. Billing Determinants'!$B$19:$R$41,3,0)/'4. Billing Determinants'!$D$41*$D31))))),0)</f>
        <v>0</v>
      </c>
    </row>
    <row r="32" spans="1:25" x14ac:dyDescent="0.2">
      <c r="B32" s="300" t="str">
        <f>IF('2b. Continuity Schedule'!C58="","",'2b. Continuity Schedule'!C58)</f>
        <v>Other Regulatory Assets - Sub-Account - ICM Substation 16 Delayed Rate Implementation</v>
      </c>
      <c r="C32" s="31">
        <v>1508</v>
      </c>
      <c r="D32" s="32">
        <f>'2b. Continuity Schedule'!BT58</f>
        <v>-115142</v>
      </c>
      <c r="E32" s="48" t="s">
        <v>139</v>
      </c>
      <c r="F32" s="32">
        <f>IFERROR(IF(F$4="",0,IF($E32="kWh",VLOOKUP(F$4,'4. Billing Determinants'!$B$19:$R$41,4,0)/'4. Billing Determinants'!$E$41*$D32,IF($E32="kW",VLOOKUP(F$4,'4. Billing Determinants'!$B$19:$R$41,5,0)/'4. Billing Determinants'!$F$41*$D32,IF($E32="Non-RPP kWh",VLOOKUP(F$4,'4. Billing Determinants'!$B$19:$R$41,6,0)/'4. Billing Determinants'!$G$41*$D32,IF($E32="Distribution Rev.",VLOOKUP(F$4,'4. Billing Determinants'!$B$19:$R$41,8,0)/'4. Billing Determinants'!$I$41*$D32, VLOOKUP(F$4,'4. Billing Determinants'!$B$19:$R$41,3,0)/'4. Billing Determinants'!$D$41*$D32))))),0)</f>
        <v>-53788.271999206394</v>
      </c>
      <c r="G32" s="32">
        <f>IFERROR(IF(G$4="",0,IF($E32="kWh",VLOOKUP(G$4,'4. Billing Determinants'!$B$19:$R$41,4,0)/'4. Billing Determinants'!$E$41*$D32,IF($E32="kW",VLOOKUP(G$4,'4. Billing Determinants'!$B$19:$R$41,5,0)/'4. Billing Determinants'!$F$41*$D32,IF($E32="Non-RPP kWh",VLOOKUP(G$4,'4. Billing Determinants'!$B$19:$R$41,6,0)/'4. Billing Determinants'!$G$41*$D32,IF($E32="Distribution Rev.",VLOOKUP(G$4,'4. Billing Determinants'!$B$19:$R$41,8,0)/'4. Billing Determinants'!$I$41*$D32, VLOOKUP(G$4,'4. Billing Determinants'!$B$19:$R$41,3,0)/'4. Billing Determinants'!$D$41*$D32))))),0)</f>
        <v>-16452.599400237923</v>
      </c>
      <c r="H32" s="32">
        <f>IFERROR(IF(H$4="",0,IF($E32="kWh",VLOOKUP(H$4,'4. Billing Determinants'!$B$19:$R$41,4,0)/'4. Billing Determinants'!$E$41*$D32,IF($E32="kW",VLOOKUP(H$4,'4. Billing Determinants'!$B$19:$R$41,5,0)/'4. Billing Determinants'!$F$41*$D32,IF($E32="Non-RPP kWh",VLOOKUP(H$4,'4. Billing Determinants'!$B$19:$R$41,6,0)/'4. Billing Determinants'!$G$41*$D32,IF($E32="Distribution Rev.",VLOOKUP(H$4,'4. Billing Determinants'!$B$19:$R$41,8,0)/'4. Billing Determinants'!$I$41*$D32, VLOOKUP(H$4,'4. Billing Determinants'!$B$19:$R$41,3,0)/'4. Billing Determinants'!$D$41*$D32))))),0)</f>
        <v>-44229.567357497646</v>
      </c>
      <c r="I32" s="32">
        <f>IFERROR(IF(I$4="",0,IF($E32="kWh",VLOOKUP(I$4,'4. Billing Determinants'!$B$19:$R$41,4,0)/'4. Billing Determinants'!$E$41*$D32,IF($E32="kW",VLOOKUP(I$4,'4. Billing Determinants'!$B$19:$R$41,5,0)/'4. Billing Determinants'!$F$41*$D32,IF($E32="Non-RPP kWh",VLOOKUP(I$4,'4. Billing Determinants'!$B$19:$R$41,6,0)/'4. Billing Determinants'!$G$41*$D32,IF($E32="Distribution Rev.",VLOOKUP(I$4,'4. Billing Determinants'!$B$19:$R$41,8,0)/'4. Billing Determinants'!$I$41*$D32, VLOOKUP(I$4,'4. Billing Determinants'!$B$19:$R$41,3,0)/'4. Billing Determinants'!$D$41*$D32))))),0)</f>
        <v>-167.02285573178438</v>
      </c>
      <c r="J32" s="32">
        <f>IFERROR(IF(J$4="",0,IF($E32="kWh",VLOOKUP(J$4,'4. Billing Determinants'!$B$19:$R$41,4,0)/'4. Billing Determinants'!$E$41*$D32,IF($E32="kW",VLOOKUP(J$4,'4. Billing Determinants'!$B$19:$R$41,5,0)/'4. Billing Determinants'!$F$41*$D32,IF($E32="Non-RPP kWh",VLOOKUP(J$4,'4. Billing Determinants'!$B$19:$R$41,6,0)/'4. Billing Determinants'!$G$41*$D32,IF($E32="Distribution Rev.",VLOOKUP(J$4,'4. Billing Determinants'!$B$19:$R$41,8,0)/'4. Billing Determinants'!$I$41*$D32, VLOOKUP(J$4,'4. Billing Determinants'!$B$19:$R$41,3,0)/'4. Billing Determinants'!$D$41*$D32))))),0)</f>
        <v>-467.68597354103127</v>
      </c>
      <c r="K32" s="32">
        <f>IFERROR(IF(K$4="",0,IF($E32="kWh",VLOOKUP(K$4,'4. Billing Determinants'!$B$19:$R$41,4,0)/'4. Billing Determinants'!$E$41*$D32,IF($E32="kW",VLOOKUP(K$4,'4. Billing Determinants'!$B$19:$R$41,5,0)/'4. Billing Determinants'!$F$41*$D32,IF($E32="Non-RPP kWh",VLOOKUP(K$4,'4. Billing Determinants'!$B$19:$R$41,6,0)/'4. Billing Determinants'!$G$41*$D32,IF($E32="Distribution Rev.",VLOOKUP(K$4,'4. Billing Determinants'!$B$19:$R$41,8,0)/'4. Billing Determinants'!$I$41*$D32, VLOOKUP(K$4,'4. Billing Determinants'!$B$19:$R$41,3,0)/'4. Billing Determinants'!$D$41*$D32))))),0)</f>
        <v>-36.852413785223476</v>
      </c>
      <c r="L32" s="32">
        <f>IFERROR(IF(L$4="",0,IF($E32="kWh",VLOOKUP(L$4,'4. Billing Determinants'!$B$19:$R$41,4,0)/'4. Billing Determinants'!$E$41*$D32,IF($E32="kW",VLOOKUP(L$4,'4. Billing Determinants'!$B$19:$R$41,5,0)/'4. Billing Determinants'!$F$41*$D32,IF($E32="Non-RPP kWh",VLOOKUP(L$4,'4. Billing Determinants'!$B$19:$R$41,6,0)/'4. Billing Determinants'!$G$41*$D32,IF($E32="Distribution Rev.",VLOOKUP(L$4,'4. Billing Determinants'!$B$19:$R$41,8,0)/'4. Billing Determinants'!$I$41*$D32, VLOOKUP(L$4,'4. Billing Determinants'!$B$19:$R$41,3,0)/'4. Billing Determinants'!$D$41*$D32))))),0)</f>
        <v>0</v>
      </c>
      <c r="M32" s="32">
        <f>IFERROR(IF(M$4="",0,IF($E32="kWh",VLOOKUP(M$4,'4. Billing Determinants'!$B$19:$R$41,4,0)/'4. Billing Determinants'!$E$41*$D32,IF($E32="kW",VLOOKUP(M$4,'4. Billing Determinants'!$B$19:$R$41,5,0)/'4. Billing Determinants'!$F$41*$D32,IF($E32="Non-RPP kWh",VLOOKUP(M$4,'4. Billing Determinants'!$B$19:$R$41,6,0)/'4. Billing Determinants'!$G$41*$D32,IF($E32="Distribution Rev.",VLOOKUP(M$4,'4. Billing Determinants'!$B$19:$R$41,8,0)/'4. Billing Determinants'!$I$41*$D32, VLOOKUP(M$4,'4. Billing Determinants'!$B$19:$R$41,3,0)/'4. Billing Determinants'!$D$41*$D32))))),0)</f>
        <v>0</v>
      </c>
      <c r="N32" s="32">
        <f>IFERROR(IF(N$4="",0,IF($E32="kWh",VLOOKUP(N$4,'4. Billing Determinants'!$B$19:$R$41,4,0)/'4. Billing Determinants'!$E$41*$D32,IF($E32="kW",VLOOKUP(N$4,'4. Billing Determinants'!$B$19:$R$41,5,0)/'4. Billing Determinants'!$F$41*$D32,IF($E32="Non-RPP kWh",VLOOKUP(N$4,'4. Billing Determinants'!$B$19:$R$41,6,0)/'4. Billing Determinants'!$G$41*$D32,IF($E32="Distribution Rev.",VLOOKUP(N$4,'4. Billing Determinants'!$B$19:$R$41,8,0)/'4. Billing Determinants'!$I$41*$D32, VLOOKUP(N$4,'4. Billing Determinants'!$B$19:$R$41,3,0)/'4. Billing Determinants'!$D$41*$D32))))),0)</f>
        <v>0</v>
      </c>
      <c r="O32" s="32">
        <f>IFERROR(IF(O$4="",0,IF($E32="kWh",VLOOKUP(O$4,'4. Billing Determinants'!$B$19:$R$41,4,0)/'4. Billing Determinants'!$E$41*$D32,IF($E32="kW",VLOOKUP(O$4,'4. Billing Determinants'!$B$19:$R$41,5,0)/'4. Billing Determinants'!$F$41*$D32,IF($E32="Non-RPP kWh",VLOOKUP(O$4,'4. Billing Determinants'!$B$19:$R$41,6,0)/'4. Billing Determinants'!$G$41*$D32,IF($E32="Distribution Rev.",VLOOKUP(O$4,'4. Billing Determinants'!$B$19:$R$41,8,0)/'4. Billing Determinants'!$I$41*$D32, VLOOKUP(O$4,'4. Billing Determinants'!$B$19:$R$41,3,0)/'4. Billing Determinants'!$D$41*$D32))))),0)</f>
        <v>0</v>
      </c>
      <c r="P32" s="32">
        <f>IFERROR(IF(P$4="",0,IF($E32="kWh",VLOOKUP(P$4,'4. Billing Determinants'!$B$19:$R$41,4,0)/'4. Billing Determinants'!$E$41*$D32,IF($E32="kW",VLOOKUP(P$4,'4. Billing Determinants'!$B$19:$R$41,5,0)/'4. Billing Determinants'!$F$41*$D32,IF($E32="Non-RPP kWh",VLOOKUP(P$4,'4. Billing Determinants'!$B$19:$R$41,6,0)/'4. Billing Determinants'!$G$41*$D32,IF($E32="Distribution Rev.",VLOOKUP(P$4,'4. Billing Determinants'!$B$19:$R$41,8,0)/'4. Billing Determinants'!$I$41*$D32, VLOOKUP(P$4,'4. Billing Determinants'!$B$19:$R$41,3,0)/'4. Billing Determinants'!$D$41*$D32))))),0)</f>
        <v>0</v>
      </c>
      <c r="Q32" s="32">
        <f>IFERROR(IF(Q$4="",0,IF($E32="kWh",VLOOKUP(Q$4,'4. Billing Determinants'!$B$19:$R$41,4,0)/'4. Billing Determinants'!$E$41*$D32,IF($E32="kW",VLOOKUP(Q$4,'4. Billing Determinants'!$B$19:$R$41,5,0)/'4. Billing Determinants'!$F$41*$D32,IF($E32="Non-RPP kWh",VLOOKUP(Q$4,'4. Billing Determinants'!$B$19:$R$41,6,0)/'4. Billing Determinants'!$G$41*$D32,IF($E32="Distribution Rev.",VLOOKUP(Q$4,'4. Billing Determinants'!$B$19:$R$41,8,0)/'4. Billing Determinants'!$I$41*$D32, VLOOKUP(Q$4,'4. Billing Determinants'!$B$19:$R$41,3,0)/'4. Billing Determinants'!$D$41*$D32))))),0)</f>
        <v>0</v>
      </c>
      <c r="R32" s="32">
        <f>IFERROR(IF(R$4="",0,IF($E32="kWh",VLOOKUP(R$4,'4. Billing Determinants'!$B$19:$R$41,4,0)/'4. Billing Determinants'!$E$41*$D32,IF($E32="kW",VLOOKUP(R$4,'4. Billing Determinants'!$B$19:$R$41,5,0)/'4. Billing Determinants'!$F$41*$D32,IF($E32="Non-RPP kWh",VLOOKUP(R$4,'4. Billing Determinants'!$B$19:$R$41,6,0)/'4. Billing Determinants'!$G$41*$D32,IF($E32="Distribution Rev.",VLOOKUP(R$4,'4. Billing Determinants'!$B$19:$R$41,8,0)/'4. Billing Determinants'!$I$41*$D32, VLOOKUP(R$4,'4. Billing Determinants'!$B$19:$R$41,3,0)/'4. Billing Determinants'!$D$41*$D32))))),0)</f>
        <v>0</v>
      </c>
      <c r="S32" s="32">
        <f>IFERROR(IF(S$4="",0,IF($E32="kWh",VLOOKUP(S$4,'4. Billing Determinants'!$B$19:$R$41,4,0)/'4. Billing Determinants'!$E$41*$D32,IF($E32="kW",VLOOKUP(S$4,'4. Billing Determinants'!$B$19:$R$41,5,0)/'4. Billing Determinants'!$F$41*$D32,IF($E32="Non-RPP kWh",VLOOKUP(S$4,'4. Billing Determinants'!$B$19:$R$41,6,0)/'4. Billing Determinants'!$G$41*$D32,IF($E32="Distribution Rev.",VLOOKUP(S$4,'4. Billing Determinants'!$B$19:$R$41,8,0)/'4. Billing Determinants'!$I$41*$D32, VLOOKUP(S$4,'4. Billing Determinants'!$B$19:$R$41,3,0)/'4. Billing Determinants'!$D$41*$D32))))),0)</f>
        <v>0</v>
      </c>
      <c r="T32" s="32">
        <f>IFERROR(IF(T$4="",0,IF($E32="kWh",VLOOKUP(T$4,'4. Billing Determinants'!$B$19:$R$41,4,0)/'4. Billing Determinants'!$E$41*$D32,IF($E32="kW",VLOOKUP(T$4,'4. Billing Determinants'!$B$19:$R$41,5,0)/'4. Billing Determinants'!$F$41*$D32,IF($E32="Non-RPP kWh",VLOOKUP(T$4,'4. Billing Determinants'!$B$19:$R$41,6,0)/'4. Billing Determinants'!$G$41*$D32,IF($E32="Distribution Rev.",VLOOKUP(T$4,'4. Billing Determinants'!$B$19:$R$41,8,0)/'4. Billing Determinants'!$I$41*$D32, VLOOKUP(T$4,'4. Billing Determinants'!$B$19:$R$41,3,0)/'4. Billing Determinants'!$D$41*$D32))))),0)</f>
        <v>0</v>
      </c>
      <c r="U32" s="32">
        <f>IFERROR(IF(U$4="",0,IF($E32="kWh",VLOOKUP(U$4,'4. Billing Determinants'!$B$19:$R$41,4,0)/'4. Billing Determinants'!$E$41*$D32,IF($E32="kW",VLOOKUP(U$4,'4. Billing Determinants'!$B$19:$R$41,5,0)/'4. Billing Determinants'!$F$41*$D32,IF($E32="Non-RPP kWh",VLOOKUP(U$4,'4. Billing Determinants'!$B$19:$R$41,6,0)/'4. Billing Determinants'!$G$41*$D32,IF($E32="Distribution Rev.",VLOOKUP(U$4,'4. Billing Determinants'!$B$19:$R$41,8,0)/'4. Billing Determinants'!$I$41*$D32, VLOOKUP(U$4,'4. Billing Determinants'!$B$19:$R$41,3,0)/'4. Billing Determinants'!$D$41*$D32))))),0)</f>
        <v>0</v>
      </c>
      <c r="V32" s="32">
        <f>IFERROR(IF(V$4="",0,IF($E32="kWh",VLOOKUP(V$4,'4. Billing Determinants'!$B$19:$R$41,4,0)/'4. Billing Determinants'!$E$41*$D32,IF($E32="kW",VLOOKUP(V$4,'4. Billing Determinants'!$B$19:$R$41,5,0)/'4. Billing Determinants'!$F$41*$D32,IF($E32="Non-RPP kWh",VLOOKUP(V$4,'4. Billing Determinants'!$B$19:$R$41,6,0)/'4. Billing Determinants'!$G$41*$D32,IF($E32="Distribution Rev.",VLOOKUP(V$4,'4. Billing Determinants'!$B$19:$R$41,8,0)/'4. Billing Determinants'!$I$41*$D32, VLOOKUP(V$4,'4. Billing Determinants'!$B$19:$R$41,3,0)/'4. Billing Determinants'!$D$41*$D32))))),0)</f>
        <v>0</v>
      </c>
      <c r="W32" s="32">
        <f>IFERROR(IF(W$4="",0,IF($E32="kWh",VLOOKUP(W$4,'4. Billing Determinants'!$B$19:$R$41,4,0)/'4. Billing Determinants'!$E$41*$D32,IF($E32="kW",VLOOKUP(W$4,'4. Billing Determinants'!$B$19:$R$41,5,0)/'4. Billing Determinants'!$F$41*$D32,IF($E32="Non-RPP kWh",VLOOKUP(W$4,'4. Billing Determinants'!$B$19:$R$41,6,0)/'4. Billing Determinants'!$G$41*$D32,IF($E32="Distribution Rev.",VLOOKUP(W$4,'4. Billing Determinants'!$B$19:$R$41,8,0)/'4. Billing Determinants'!$I$41*$D32, VLOOKUP(W$4,'4. Billing Determinants'!$B$19:$R$41,3,0)/'4. Billing Determinants'!$D$41*$D32))))),0)</f>
        <v>0</v>
      </c>
      <c r="X32" s="32">
        <f>IFERROR(IF(X$4="",0,IF($E32="kWh",VLOOKUP(X$4,'4. Billing Determinants'!$B$19:$R$41,4,0)/'4. Billing Determinants'!$E$41*$D32,IF($E32="kW",VLOOKUP(X$4,'4. Billing Determinants'!$B$19:$R$41,5,0)/'4. Billing Determinants'!$F$41*$D32,IF($E32="Non-RPP kWh",VLOOKUP(X$4,'4. Billing Determinants'!$B$19:$R$41,6,0)/'4. Billing Determinants'!$G$41*$D32,IF($E32="Distribution Rev.",VLOOKUP(X$4,'4. Billing Determinants'!$B$19:$R$41,8,0)/'4. Billing Determinants'!$I$41*$D32, VLOOKUP(X$4,'4. Billing Determinants'!$B$19:$R$41,3,0)/'4. Billing Determinants'!$D$41*$D32))))),0)</f>
        <v>0</v>
      </c>
      <c r="Y32" s="32">
        <f>IFERROR(IF(Y$4="",0,IF($E32="kWh",VLOOKUP(Y$4,'4. Billing Determinants'!$B$19:$R$41,4,0)/'4. Billing Determinants'!$E$41*$D32,IF($E32="kW",VLOOKUP(Y$4,'4. Billing Determinants'!$B$19:$R$41,5,0)/'4. Billing Determinants'!$F$41*$D32,IF($E32="Non-RPP kWh",VLOOKUP(Y$4,'4. Billing Determinants'!$B$19:$R$41,6,0)/'4. Billing Determinants'!$G$41*$D32,IF($E32="Distribution Rev.",VLOOKUP(Y$4,'4. Billing Determinants'!$B$19:$R$41,8,0)/'4. Billing Determinants'!$I$41*$D32, VLOOKUP(Y$4,'4. Billing Determinants'!$B$19:$R$41,3,0)/'4. Billing Determinants'!$D$41*$D32))))),0)</f>
        <v>0</v>
      </c>
    </row>
    <row r="33" spans="1:25" x14ac:dyDescent="0.2">
      <c r="B33" s="300" t="str">
        <f>IF('2b. Continuity Schedule'!C59="","",'2b. Continuity Schedule'!C59)</f>
        <v>COVID-19 Foregone Revenue - ICM Substation Delayed Rate Implementation</v>
      </c>
      <c r="C33" s="31">
        <v>1508</v>
      </c>
      <c r="D33" s="32">
        <f>'2b. Continuity Schedule'!BT59</f>
        <v>118832.3011</v>
      </c>
      <c r="E33" s="48" t="s">
        <v>139</v>
      </c>
      <c r="F33" s="32">
        <f>IFERROR(IF(F$4="",0,IF($E33="kWh",VLOOKUP(F$4,'4. Billing Determinants'!$B$19:$R$41,4,0)/'4. Billing Determinants'!$E$41*$D33,IF($E33="kW",VLOOKUP(F$4,'4. Billing Determinants'!$B$19:$R$41,5,0)/'4. Billing Determinants'!$F$41*$D33,IF($E33="Non-RPP kWh",VLOOKUP(F$4,'4. Billing Determinants'!$B$19:$R$41,6,0)/'4. Billing Determinants'!$G$41*$D33,IF($E33="Distribution Rev.",VLOOKUP(F$4,'4. Billing Determinants'!$B$19:$R$41,8,0)/'4. Billing Determinants'!$I$41*$D33, VLOOKUP(F$4,'4. Billing Determinants'!$B$19:$R$41,3,0)/'4. Billing Determinants'!$D$41*$D33))))),0)</f>
        <v>55512.186116780955</v>
      </c>
      <c r="G33" s="32">
        <f>IFERROR(IF(G$4="",0,IF($E33="kWh",VLOOKUP(G$4,'4. Billing Determinants'!$B$19:$R$41,4,0)/'4. Billing Determinants'!$E$41*$D33,IF($E33="kW",VLOOKUP(G$4,'4. Billing Determinants'!$B$19:$R$41,5,0)/'4. Billing Determinants'!$F$41*$D33,IF($E33="Non-RPP kWh",VLOOKUP(G$4,'4. Billing Determinants'!$B$19:$R$41,6,0)/'4. Billing Determinants'!$G$41*$D33,IF($E33="Distribution Rev.",VLOOKUP(G$4,'4. Billing Determinants'!$B$19:$R$41,8,0)/'4. Billing Determinants'!$I$41*$D33, VLOOKUP(G$4,'4. Billing Determinants'!$B$19:$R$41,3,0)/'4. Billing Determinants'!$D$41*$D33))))),0)</f>
        <v>16979.90521101555</v>
      </c>
      <c r="H33" s="32">
        <f>IFERROR(IF(H$4="",0,IF($E33="kWh",VLOOKUP(H$4,'4. Billing Determinants'!$B$19:$R$41,4,0)/'4. Billing Determinants'!$E$41*$D33,IF($E33="kW",VLOOKUP(H$4,'4. Billing Determinants'!$B$19:$R$41,5,0)/'4. Billing Determinants'!$F$41*$D33,IF($E33="Non-RPP kWh",VLOOKUP(H$4,'4. Billing Determinants'!$B$19:$R$41,6,0)/'4. Billing Determinants'!$G$41*$D33,IF($E33="Distribution Rev.",VLOOKUP(H$4,'4. Billing Determinants'!$B$19:$R$41,8,0)/'4. Billing Determinants'!$I$41*$D33, VLOOKUP(H$4,'4. Billing Determinants'!$B$19:$R$41,3,0)/'4. Billing Determinants'!$D$41*$D33))))),0)</f>
        <v>45647.124991305442</v>
      </c>
      <c r="I33" s="32">
        <f>IFERROR(IF(I$4="",0,IF($E33="kWh",VLOOKUP(I$4,'4. Billing Determinants'!$B$19:$R$41,4,0)/'4. Billing Determinants'!$E$41*$D33,IF($E33="kW",VLOOKUP(I$4,'4. Billing Determinants'!$B$19:$R$41,5,0)/'4. Billing Determinants'!$F$41*$D33,IF($E33="Non-RPP kWh",VLOOKUP(I$4,'4. Billing Determinants'!$B$19:$R$41,6,0)/'4. Billing Determinants'!$G$41*$D33,IF($E33="Distribution Rev.",VLOOKUP(I$4,'4. Billing Determinants'!$B$19:$R$41,8,0)/'4. Billing Determinants'!$I$41*$D33, VLOOKUP(I$4,'4. Billing Determinants'!$B$19:$R$41,3,0)/'4. Billing Determinants'!$D$41*$D33))))),0)</f>
        <v>172.37593825798805</v>
      </c>
      <c r="J33" s="32">
        <f>IFERROR(IF(J$4="",0,IF($E33="kWh",VLOOKUP(J$4,'4. Billing Determinants'!$B$19:$R$41,4,0)/'4. Billing Determinants'!$E$41*$D33,IF($E33="kW",VLOOKUP(J$4,'4. Billing Determinants'!$B$19:$R$41,5,0)/'4. Billing Determinants'!$F$41*$D33,IF($E33="Non-RPP kWh",VLOOKUP(J$4,'4. Billing Determinants'!$B$19:$R$41,6,0)/'4. Billing Determinants'!$G$41*$D33,IF($E33="Distribution Rev.",VLOOKUP(J$4,'4. Billing Determinants'!$B$19:$R$41,8,0)/'4. Billing Determinants'!$I$41*$D33, VLOOKUP(J$4,'4. Billing Determinants'!$B$19:$R$41,3,0)/'4. Billing Determinants'!$D$41*$D33))))),0)</f>
        <v>482.6753089930213</v>
      </c>
      <c r="K33" s="32">
        <f>IFERROR(IF(K$4="",0,IF($E33="kWh",VLOOKUP(K$4,'4. Billing Determinants'!$B$19:$R$41,4,0)/'4. Billing Determinants'!$E$41*$D33,IF($E33="kW",VLOOKUP(K$4,'4. Billing Determinants'!$B$19:$R$41,5,0)/'4. Billing Determinants'!$F$41*$D33,IF($E33="Non-RPP kWh",VLOOKUP(K$4,'4. Billing Determinants'!$B$19:$R$41,6,0)/'4. Billing Determinants'!$G$41*$D33,IF($E33="Distribution Rev.",VLOOKUP(K$4,'4. Billing Determinants'!$B$19:$R$41,8,0)/'4. Billing Determinants'!$I$41*$D33, VLOOKUP(K$4,'4. Billing Determinants'!$B$19:$R$41,3,0)/'4. Billing Determinants'!$D$41*$D33))))),0)</f>
        <v>38.033533647039889</v>
      </c>
      <c r="L33" s="32">
        <f>IFERROR(IF(L$4="",0,IF($E33="kWh",VLOOKUP(L$4,'4. Billing Determinants'!$B$19:$R$41,4,0)/'4. Billing Determinants'!$E$41*$D33,IF($E33="kW",VLOOKUP(L$4,'4. Billing Determinants'!$B$19:$R$41,5,0)/'4. Billing Determinants'!$F$41*$D33,IF($E33="Non-RPP kWh",VLOOKUP(L$4,'4. Billing Determinants'!$B$19:$R$41,6,0)/'4. Billing Determinants'!$G$41*$D33,IF($E33="Distribution Rev.",VLOOKUP(L$4,'4. Billing Determinants'!$B$19:$R$41,8,0)/'4. Billing Determinants'!$I$41*$D33, VLOOKUP(L$4,'4. Billing Determinants'!$B$19:$R$41,3,0)/'4. Billing Determinants'!$D$41*$D33))))),0)</f>
        <v>0</v>
      </c>
      <c r="M33" s="32">
        <f>IFERROR(IF(M$4="",0,IF($E33="kWh",VLOOKUP(M$4,'4. Billing Determinants'!$B$19:$R$41,4,0)/'4. Billing Determinants'!$E$41*$D33,IF($E33="kW",VLOOKUP(M$4,'4. Billing Determinants'!$B$19:$R$41,5,0)/'4. Billing Determinants'!$F$41*$D33,IF($E33="Non-RPP kWh",VLOOKUP(M$4,'4. Billing Determinants'!$B$19:$R$41,6,0)/'4. Billing Determinants'!$G$41*$D33,IF($E33="Distribution Rev.",VLOOKUP(M$4,'4. Billing Determinants'!$B$19:$R$41,8,0)/'4. Billing Determinants'!$I$41*$D33, VLOOKUP(M$4,'4. Billing Determinants'!$B$19:$R$41,3,0)/'4. Billing Determinants'!$D$41*$D33))))),0)</f>
        <v>0</v>
      </c>
      <c r="N33" s="32">
        <f>IFERROR(IF(N$4="",0,IF($E33="kWh",VLOOKUP(N$4,'4. Billing Determinants'!$B$19:$R$41,4,0)/'4. Billing Determinants'!$E$41*$D33,IF($E33="kW",VLOOKUP(N$4,'4. Billing Determinants'!$B$19:$R$41,5,0)/'4. Billing Determinants'!$F$41*$D33,IF($E33="Non-RPP kWh",VLOOKUP(N$4,'4. Billing Determinants'!$B$19:$R$41,6,0)/'4. Billing Determinants'!$G$41*$D33,IF($E33="Distribution Rev.",VLOOKUP(N$4,'4. Billing Determinants'!$B$19:$R$41,8,0)/'4. Billing Determinants'!$I$41*$D33, VLOOKUP(N$4,'4. Billing Determinants'!$B$19:$R$41,3,0)/'4. Billing Determinants'!$D$41*$D33))))),0)</f>
        <v>0</v>
      </c>
      <c r="O33" s="32">
        <f>IFERROR(IF(O$4="",0,IF($E33="kWh",VLOOKUP(O$4,'4. Billing Determinants'!$B$19:$R$41,4,0)/'4. Billing Determinants'!$E$41*$D33,IF($E33="kW",VLOOKUP(O$4,'4. Billing Determinants'!$B$19:$R$41,5,0)/'4. Billing Determinants'!$F$41*$D33,IF($E33="Non-RPP kWh",VLOOKUP(O$4,'4. Billing Determinants'!$B$19:$R$41,6,0)/'4. Billing Determinants'!$G$41*$D33,IF($E33="Distribution Rev.",VLOOKUP(O$4,'4. Billing Determinants'!$B$19:$R$41,8,0)/'4. Billing Determinants'!$I$41*$D33, VLOOKUP(O$4,'4. Billing Determinants'!$B$19:$R$41,3,0)/'4. Billing Determinants'!$D$41*$D33))))),0)</f>
        <v>0</v>
      </c>
      <c r="P33" s="32">
        <f>IFERROR(IF(P$4="",0,IF($E33="kWh",VLOOKUP(P$4,'4. Billing Determinants'!$B$19:$R$41,4,0)/'4. Billing Determinants'!$E$41*$D33,IF($E33="kW",VLOOKUP(P$4,'4. Billing Determinants'!$B$19:$R$41,5,0)/'4. Billing Determinants'!$F$41*$D33,IF($E33="Non-RPP kWh",VLOOKUP(P$4,'4. Billing Determinants'!$B$19:$R$41,6,0)/'4. Billing Determinants'!$G$41*$D33,IF($E33="Distribution Rev.",VLOOKUP(P$4,'4. Billing Determinants'!$B$19:$R$41,8,0)/'4. Billing Determinants'!$I$41*$D33, VLOOKUP(P$4,'4. Billing Determinants'!$B$19:$R$41,3,0)/'4. Billing Determinants'!$D$41*$D33))))),0)</f>
        <v>0</v>
      </c>
      <c r="Q33" s="32">
        <f>IFERROR(IF(Q$4="",0,IF($E33="kWh",VLOOKUP(Q$4,'4. Billing Determinants'!$B$19:$R$41,4,0)/'4. Billing Determinants'!$E$41*$D33,IF($E33="kW",VLOOKUP(Q$4,'4. Billing Determinants'!$B$19:$R$41,5,0)/'4. Billing Determinants'!$F$41*$D33,IF($E33="Non-RPP kWh",VLOOKUP(Q$4,'4. Billing Determinants'!$B$19:$R$41,6,0)/'4. Billing Determinants'!$G$41*$D33,IF($E33="Distribution Rev.",VLOOKUP(Q$4,'4. Billing Determinants'!$B$19:$R$41,8,0)/'4. Billing Determinants'!$I$41*$D33, VLOOKUP(Q$4,'4. Billing Determinants'!$B$19:$R$41,3,0)/'4. Billing Determinants'!$D$41*$D33))))),0)</f>
        <v>0</v>
      </c>
      <c r="R33" s="32">
        <f>IFERROR(IF(R$4="",0,IF($E33="kWh",VLOOKUP(R$4,'4. Billing Determinants'!$B$19:$R$41,4,0)/'4. Billing Determinants'!$E$41*$D33,IF($E33="kW",VLOOKUP(R$4,'4. Billing Determinants'!$B$19:$R$41,5,0)/'4. Billing Determinants'!$F$41*$D33,IF($E33="Non-RPP kWh",VLOOKUP(R$4,'4. Billing Determinants'!$B$19:$R$41,6,0)/'4. Billing Determinants'!$G$41*$D33,IF($E33="Distribution Rev.",VLOOKUP(R$4,'4. Billing Determinants'!$B$19:$R$41,8,0)/'4. Billing Determinants'!$I$41*$D33, VLOOKUP(R$4,'4. Billing Determinants'!$B$19:$R$41,3,0)/'4. Billing Determinants'!$D$41*$D33))))),0)</f>
        <v>0</v>
      </c>
      <c r="S33" s="32">
        <f>IFERROR(IF(S$4="",0,IF($E33="kWh",VLOOKUP(S$4,'4. Billing Determinants'!$B$19:$R$41,4,0)/'4. Billing Determinants'!$E$41*$D33,IF($E33="kW",VLOOKUP(S$4,'4. Billing Determinants'!$B$19:$R$41,5,0)/'4. Billing Determinants'!$F$41*$D33,IF($E33="Non-RPP kWh",VLOOKUP(S$4,'4. Billing Determinants'!$B$19:$R$41,6,0)/'4. Billing Determinants'!$G$41*$D33,IF($E33="Distribution Rev.",VLOOKUP(S$4,'4. Billing Determinants'!$B$19:$R$41,8,0)/'4. Billing Determinants'!$I$41*$D33, VLOOKUP(S$4,'4. Billing Determinants'!$B$19:$R$41,3,0)/'4. Billing Determinants'!$D$41*$D33))))),0)</f>
        <v>0</v>
      </c>
      <c r="T33" s="32">
        <f>IFERROR(IF(T$4="",0,IF($E33="kWh",VLOOKUP(T$4,'4. Billing Determinants'!$B$19:$R$41,4,0)/'4. Billing Determinants'!$E$41*$D33,IF($E33="kW",VLOOKUP(T$4,'4. Billing Determinants'!$B$19:$R$41,5,0)/'4. Billing Determinants'!$F$41*$D33,IF($E33="Non-RPP kWh",VLOOKUP(T$4,'4. Billing Determinants'!$B$19:$R$41,6,0)/'4. Billing Determinants'!$G$41*$D33,IF($E33="Distribution Rev.",VLOOKUP(T$4,'4. Billing Determinants'!$B$19:$R$41,8,0)/'4. Billing Determinants'!$I$41*$D33, VLOOKUP(T$4,'4. Billing Determinants'!$B$19:$R$41,3,0)/'4. Billing Determinants'!$D$41*$D33))))),0)</f>
        <v>0</v>
      </c>
      <c r="U33" s="32">
        <f>IFERROR(IF(U$4="",0,IF($E33="kWh",VLOOKUP(U$4,'4. Billing Determinants'!$B$19:$R$41,4,0)/'4. Billing Determinants'!$E$41*$D33,IF($E33="kW",VLOOKUP(U$4,'4. Billing Determinants'!$B$19:$R$41,5,0)/'4. Billing Determinants'!$F$41*$D33,IF($E33="Non-RPP kWh",VLOOKUP(U$4,'4. Billing Determinants'!$B$19:$R$41,6,0)/'4. Billing Determinants'!$G$41*$D33,IF($E33="Distribution Rev.",VLOOKUP(U$4,'4. Billing Determinants'!$B$19:$R$41,8,0)/'4. Billing Determinants'!$I$41*$D33, VLOOKUP(U$4,'4. Billing Determinants'!$B$19:$R$41,3,0)/'4. Billing Determinants'!$D$41*$D33))))),0)</f>
        <v>0</v>
      </c>
      <c r="V33" s="32">
        <f>IFERROR(IF(V$4="",0,IF($E33="kWh",VLOOKUP(V$4,'4. Billing Determinants'!$B$19:$R$41,4,0)/'4. Billing Determinants'!$E$41*$D33,IF($E33="kW",VLOOKUP(V$4,'4. Billing Determinants'!$B$19:$R$41,5,0)/'4. Billing Determinants'!$F$41*$D33,IF($E33="Non-RPP kWh",VLOOKUP(V$4,'4. Billing Determinants'!$B$19:$R$41,6,0)/'4. Billing Determinants'!$G$41*$D33,IF($E33="Distribution Rev.",VLOOKUP(V$4,'4. Billing Determinants'!$B$19:$R$41,8,0)/'4. Billing Determinants'!$I$41*$D33, VLOOKUP(V$4,'4. Billing Determinants'!$B$19:$R$41,3,0)/'4. Billing Determinants'!$D$41*$D33))))),0)</f>
        <v>0</v>
      </c>
      <c r="W33" s="32">
        <f>IFERROR(IF(W$4="",0,IF($E33="kWh",VLOOKUP(W$4,'4. Billing Determinants'!$B$19:$R$41,4,0)/'4. Billing Determinants'!$E$41*$D33,IF($E33="kW",VLOOKUP(W$4,'4. Billing Determinants'!$B$19:$R$41,5,0)/'4. Billing Determinants'!$F$41*$D33,IF($E33="Non-RPP kWh",VLOOKUP(W$4,'4. Billing Determinants'!$B$19:$R$41,6,0)/'4. Billing Determinants'!$G$41*$D33,IF($E33="Distribution Rev.",VLOOKUP(W$4,'4. Billing Determinants'!$B$19:$R$41,8,0)/'4. Billing Determinants'!$I$41*$D33, VLOOKUP(W$4,'4. Billing Determinants'!$B$19:$R$41,3,0)/'4. Billing Determinants'!$D$41*$D33))))),0)</f>
        <v>0</v>
      </c>
      <c r="X33" s="32">
        <f>IFERROR(IF(X$4="",0,IF($E33="kWh",VLOOKUP(X$4,'4. Billing Determinants'!$B$19:$R$41,4,0)/'4. Billing Determinants'!$E$41*$D33,IF($E33="kW",VLOOKUP(X$4,'4. Billing Determinants'!$B$19:$R$41,5,0)/'4. Billing Determinants'!$F$41*$D33,IF($E33="Non-RPP kWh",VLOOKUP(X$4,'4. Billing Determinants'!$B$19:$R$41,6,0)/'4. Billing Determinants'!$G$41*$D33,IF($E33="Distribution Rev.",VLOOKUP(X$4,'4. Billing Determinants'!$B$19:$R$41,8,0)/'4. Billing Determinants'!$I$41*$D33, VLOOKUP(X$4,'4. Billing Determinants'!$B$19:$R$41,3,0)/'4. Billing Determinants'!$D$41*$D33))))),0)</f>
        <v>0</v>
      </c>
      <c r="Y33" s="32">
        <f>IFERROR(IF(Y$4="",0,IF($E33="kWh",VLOOKUP(Y$4,'4. Billing Determinants'!$B$19:$R$41,4,0)/'4. Billing Determinants'!$E$41*$D33,IF($E33="kW",VLOOKUP(Y$4,'4. Billing Determinants'!$B$19:$R$41,5,0)/'4. Billing Determinants'!$F$41*$D33,IF($E33="Non-RPP kWh",VLOOKUP(Y$4,'4. Billing Determinants'!$B$19:$R$41,6,0)/'4. Billing Determinants'!$G$41*$D33,IF($E33="Distribution Rev.",VLOOKUP(Y$4,'4. Billing Determinants'!$B$19:$R$41,8,0)/'4. Billing Determinants'!$I$41*$D33, VLOOKUP(Y$4,'4. Billing Determinants'!$B$19:$R$41,3,0)/'4. Billing Determinants'!$D$41*$D33))))),0)</f>
        <v>0</v>
      </c>
    </row>
    <row r="34" spans="1:25" x14ac:dyDescent="0.2">
      <c r="B34" s="300" t="str">
        <f>IF('2b. Continuity Schedule'!C60="","",'2b. Continuity Schedule'!C60)</f>
        <v>COVID-19 Foregone Revenue - ICM Substation 16 Rate Rider</v>
      </c>
      <c r="C34" s="31">
        <v>1508</v>
      </c>
      <c r="D34" s="32">
        <f>'2b. Continuity Schedule'!BT60</f>
        <v>-104971.13684450001</v>
      </c>
      <c r="E34" s="48" t="s">
        <v>139</v>
      </c>
      <c r="F34" s="32">
        <f>IFERROR(IF(F$4="",0,IF($E34="kWh",VLOOKUP(F$4,'4. Billing Determinants'!$B$19:$R$41,4,0)/'4. Billing Determinants'!$E$41*$D34,IF($E34="kW",VLOOKUP(F$4,'4. Billing Determinants'!$B$19:$R$41,5,0)/'4. Billing Determinants'!$F$41*$D34,IF($E34="Non-RPP kWh",VLOOKUP(F$4,'4. Billing Determinants'!$B$19:$R$41,6,0)/'4. Billing Determinants'!$G$41*$D34,IF($E34="Distribution Rev.",VLOOKUP(F$4,'4. Billing Determinants'!$B$19:$R$41,8,0)/'4. Billing Determinants'!$I$41*$D34, VLOOKUP(F$4,'4. Billing Determinants'!$B$19:$R$41,3,0)/'4. Billing Determinants'!$D$41*$D34))))),0)</f>
        <v>-49036.980950981248</v>
      </c>
      <c r="G34" s="32">
        <f>IFERROR(IF(G$4="",0,IF($E34="kWh",VLOOKUP(G$4,'4. Billing Determinants'!$B$19:$R$41,4,0)/'4. Billing Determinants'!$E$41*$D34,IF($E34="kW",VLOOKUP(G$4,'4. Billing Determinants'!$B$19:$R$41,5,0)/'4. Billing Determinants'!$F$41*$D34,IF($E34="Non-RPP kWh",VLOOKUP(G$4,'4. Billing Determinants'!$B$19:$R$41,6,0)/'4. Billing Determinants'!$G$41*$D34,IF($E34="Distribution Rev.",VLOOKUP(G$4,'4. Billing Determinants'!$B$19:$R$41,8,0)/'4. Billing Determinants'!$I$41*$D34, VLOOKUP(G$4,'4. Billing Determinants'!$B$19:$R$41,3,0)/'4. Billing Determinants'!$D$41*$D34))))),0)</f>
        <v>-14999.288383822706</v>
      </c>
      <c r="H34" s="32">
        <f>IFERROR(IF(H$4="",0,IF($E34="kWh",VLOOKUP(H$4,'4. Billing Determinants'!$B$19:$R$41,4,0)/'4. Billing Determinants'!$E$41*$D34,IF($E34="kW",VLOOKUP(H$4,'4. Billing Determinants'!$B$19:$R$41,5,0)/'4. Billing Determinants'!$F$41*$D34,IF($E34="Non-RPP kWh",VLOOKUP(H$4,'4. Billing Determinants'!$B$19:$R$41,6,0)/'4. Billing Determinants'!$G$41*$D34,IF($E34="Distribution Rev.",VLOOKUP(H$4,'4. Billing Determinants'!$B$19:$R$41,8,0)/'4. Billing Determinants'!$I$41*$D34, VLOOKUP(H$4,'4. Billing Determinants'!$B$19:$R$41,3,0)/'4. Billing Determinants'!$D$41*$D34))))),0)</f>
        <v>-40322.627430971464</v>
      </c>
      <c r="I34" s="32">
        <f>IFERROR(IF(I$4="",0,IF($E34="kWh",VLOOKUP(I$4,'4. Billing Determinants'!$B$19:$R$41,4,0)/'4. Billing Determinants'!$E$41*$D34,IF($E34="kW",VLOOKUP(I$4,'4. Billing Determinants'!$B$19:$R$41,5,0)/'4. Billing Determinants'!$F$41*$D34,IF($E34="Non-RPP kWh",VLOOKUP(I$4,'4. Billing Determinants'!$B$19:$R$41,6,0)/'4. Billing Determinants'!$G$41*$D34,IF($E34="Distribution Rev.",VLOOKUP(I$4,'4. Billing Determinants'!$B$19:$R$41,8,0)/'4. Billing Determinants'!$I$41*$D34, VLOOKUP(I$4,'4. Billing Determinants'!$B$19:$R$41,3,0)/'4. Billing Determinants'!$D$41*$D34))))),0)</f>
        <v>-152.26918974119192</v>
      </c>
      <c r="J34" s="32">
        <f>IFERROR(IF(J$4="",0,IF($E34="kWh",VLOOKUP(J$4,'4. Billing Determinants'!$B$19:$R$41,4,0)/'4. Billing Determinants'!$E$41*$D34,IF($E34="kW",VLOOKUP(J$4,'4. Billing Determinants'!$B$19:$R$41,5,0)/'4. Billing Determinants'!$F$41*$D34,IF($E34="Non-RPP kWh",VLOOKUP(J$4,'4. Billing Determinants'!$B$19:$R$41,6,0)/'4. Billing Determinants'!$G$41*$D34,IF($E34="Distribution Rev.",VLOOKUP(J$4,'4. Billing Determinants'!$B$19:$R$41,8,0)/'4. Billing Determinants'!$I$41*$D34, VLOOKUP(J$4,'4. Billing Determinants'!$B$19:$R$41,3,0)/'4. Billing Determinants'!$D$41*$D34))))),0)</f>
        <v>-426.37376742482155</v>
      </c>
      <c r="K34" s="32">
        <f>IFERROR(IF(K$4="",0,IF($E34="kWh",VLOOKUP(K$4,'4. Billing Determinants'!$B$19:$R$41,4,0)/'4. Billing Determinants'!$E$41*$D34,IF($E34="kW",VLOOKUP(K$4,'4. Billing Determinants'!$B$19:$R$41,5,0)/'4. Billing Determinants'!$F$41*$D34,IF($E34="Non-RPP kWh",VLOOKUP(K$4,'4. Billing Determinants'!$B$19:$R$41,6,0)/'4. Billing Determinants'!$G$41*$D34,IF($E34="Distribution Rev.",VLOOKUP(K$4,'4. Billing Determinants'!$B$19:$R$41,8,0)/'4. Billing Determinants'!$I$41*$D34, VLOOKUP(K$4,'4. Billing Determinants'!$B$19:$R$41,3,0)/'4. Billing Determinants'!$D$41*$D34))))),0)</f>
        <v>-33.59712155858707</v>
      </c>
      <c r="L34" s="32">
        <f>IFERROR(IF(L$4="",0,IF($E34="kWh",VLOOKUP(L$4,'4. Billing Determinants'!$B$19:$R$41,4,0)/'4. Billing Determinants'!$E$41*$D34,IF($E34="kW",VLOOKUP(L$4,'4. Billing Determinants'!$B$19:$R$41,5,0)/'4. Billing Determinants'!$F$41*$D34,IF($E34="Non-RPP kWh",VLOOKUP(L$4,'4. Billing Determinants'!$B$19:$R$41,6,0)/'4. Billing Determinants'!$G$41*$D34,IF($E34="Distribution Rev.",VLOOKUP(L$4,'4. Billing Determinants'!$B$19:$R$41,8,0)/'4. Billing Determinants'!$I$41*$D34, VLOOKUP(L$4,'4. Billing Determinants'!$B$19:$R$41,3,0)/'4. Billing Determinants'!$D$41*$D34))))),0)</f>
        <v>0</v>
      </c>
      <c r="M34" s="32">
        <f>IFERROR(IF(M$4="",0,IF($E34="kWh",VLOOKUP(M$4,'4. Billing Determinants'!$B$19:$R$41,4,0)/'4. Billing Determinants'!$E$41*$D34,IF($E34="kW",VLOOKUP(M$4,'4. Billing Determinants'!$B$19:$R$41,5,0)/'4. Billing Determinants'!$F$41*$D34,IF($E34="Non-RPP kWh",VLOOKUP(M$4,'4. Billing Determinants'!$B$19:$R$41,6,0)/'4. Billing Determinants'!$G$41*$D34,IF($E34="Distribution Rev.",VLOOKUP(M$4,'4. Billing Determinants'!$B$19:$R$41,8,0)/'4. Billing Determinants'!$I$41*$D34, VLOOKUP(M$4,'4. Billing Determinants'!$B$19:$R$41,3,0)/'4. Billing Determinants'!$D$41*$D34))))),0)</f>
        <v>0</v>
      </c>
      <c r="N34" s="32">
        <f>IFERROR(IF(N$4="",0,IF($E34="kWh",VLOOKUP(N$4,'4. Billing Determinants'!$B$19:$R$41,4,0)/'4. Billing Determinants'!$E$41*$D34,IF($E34="kW",VLOOKUP(N$4,'4. Billing Determinants'!$B$19:$R$41,5,0)/'4. Billing Determinants'!$F$41*$D34,IF($E34="Non-RPP kWh",VLOOKUP(N$4,'4. Billing Determinants'!$B$19:$R$41,6,0)/'4. Billing Determinants'!$G$41*$D34,IF($E34="Distribution Rev.",VLOOKUP(N$4,'4. Billing Determinants'!$B$19:$R$41,8,0)/'4. Billing Determinants'!$I$41*$D34, VLOOKUP(N$4,'4. Billing Determinants'!$B$19:$R$41,3,0)/'4. Billing Determinants'!$D$41*$D34))))),0)</f>
        <v>0</v>
      </c>
      <c r="O34" s="32">
        <f>IFERROR(IF(O$4="",0,IF($E34="kWh",VLOOKUP(O$4,'4. Billing Determinants'!$B$19:$R$41,4,0)/'4. Billing Determinants'!$E$41*$D34,IF($E34="kW",VLOOKUP(O$4,'4. Billing Determinants'!$B$19:$R$41,5,0)/'4. Billing Determinants'!$F$41*$D34,IF($E34="Non-RPP kWh",VLOOKUP(O$4,'4. Billing Determinants'!$B$19:$R$41,6,0)/'4. Billing Determinants'!$G$41*$D34,IF($E34="Distribution Rev.",VLOOKUP(O$4,'4. Billing Determinants'!$B$19:$R$41,8,0)/'4. Billing Determinants'!$I$41*$D34, VLOOKUP(O$4,'4. Billing Determinants'!$B$19:$R$41,3,0)/'4. Billing Determinants'!$D$41*$D34))))),0)</f>
        <v>0</v>
      </c>
      <c r="P34" s="32">
        <f>IFERROR(IF(P$4="",0,IF($E34="kWh",VLOOKUP(P$4,'4. Billing Determinants'!$B$19:$R$41,4,0)/'4. Billing Determinants'!$E$41*$D34,IF($E34="kW",VLOOKUP(P$4,'4. Billing Determinants'!$B$19:$R$41,5,0)/'4. Billing Determinants'!$F$41*$D34,IF($E34="Non-RPP kWh",VLOOKUP(P$4,'4. Billing Determinants'!$B$19:$R$41,6,0)/'4. Billing Determinants'!$G$41*$D34,IF($E34="Distribution Rev.",VLOOKUP(P$4,'4. Billing Determinants'!$B$19:$R$41,8,0)/'4. Billing Determinants'!$I$41*$D34, VLOOKUP(P$4,'4. Billing Determinants'!$B$19:$R$41,3,0)/'4. Billing Determinants'!$D$41*$D34))))),0)</f>
        <v>0</v>
      </c>
      <c r="Q34" s="32">
        <f>IFERROR(IF(Q$4="",0,IF($E34="kWh",VLOOKUP(Q$4,'4. Billing Determinants'!$B$19:$R$41,4,0)/'4. Billing Determinants'!$E$41*$D34,IF($E34="kW",VLOOKUP(Q$4,'4. Billing Determinants'!$B$19:$R$41,5,0)/'4. Billing Determinants'!$F$41*$D34,IF($E34="Non-RPP kWh",VLOOKUP(Q$4,'4. Billing Determinants'!$B$19:$R$41,6,0)/'4. Billing Determinants'!$G$41*$D34,IF($E34="Distribution Rev.",VLOOKUP(Q$4,'4. Billing Determinants'!$B$19:$R$41,8,0)/'4. Billing Determinants'!$I$41*$D34, VLOOKUP(Q$4,'4. Billing Determinants'!$B$19:$R$41,3,0)/'4. Billing Determinants'!$D$41*$D34))))),0)</f>
        <v>0</v>
      </c>
      <c r="R34" s="32">
        <f>IFERROR(IF(R$4="",0,IF($E34="kWh",VLOOKUP(R$4,'4. Billing Determinants'!$B$19:$R$41,4,0)/'4. Billing Determinants'!$E$41*$D34,IF($E34="kW",VLOOKUP(R$4,'4. Billing Determinants'!$B$19:$R$41,5,0)/'4. Billing Determinants'!$F$41*$D34,IF($E34="Non-RPP kWh",VLOOKUP(R$4,'4. Billing Determinants'!$B$19:$R$41,6,0)/'4. Billing Determinants'!$G$41*$D34,IF($E34="Distribution Rev.",VLOOKUP(R$4,'4. Billing Determinants'!$B$19:$R$41,8,0)/'4. Billing Determinants'!$I$41*$D34, VLOOKUP(R$4,'4. Billing Determinants'!$B$19:$R$41,3,0)/'4. Billing Determinants'!$D$41*$D34))))),0)</f>
        <v>0</v>
      </c>
      <c r="S34" s="32">
        <f>IFERROR(IF(S$4="",0,IF($E34="kWh",VLOOKUP(S$4,'4. Billing Determinants'!$B$19:$R$41,4,0)/'4. Billing Determinants'!$E$41*$D34,IF($E34="kW",VLOOKUP(S$4,'4. Billing Determinants'!$B$19:$R$41,5,0)/'4. Billing Determinants'!$F$41*$D34,IF($E34="Non-RPP kWh",VLOOKUP(S$4,'4. Billing Determinants'!$B$19:$R$41,6,0)/'4. Billing Determinants'!$G$41*$D34,IF($E34="Distribution Rev.",VLOOKUP(S$4,'4. Billing Determinants'!$B$19:$R$41,8,0)/'4. Billing Determinants'!$I$41*$D34, VLOOKUP(S$4,'4. Billing Determinants'!$B$19:$R$41,3,0)/'4. Billing Determinants'!$D$41*$D34))))),0)</f>
        <v>0</v>
      </c>
      <c r="T34" s="32">
        <f>IFERROR(IF(T$4="",0,IF($E34="kWh",VLOOKUP(T$4,'4. Billing Determinants'!$B$19:$R$41,4,0)/'4. Billing Determinants'!$E$41*$D34,IF($E34="kW",VLOOKUP(T$4,'4. Billing Determinants'!$B$19:$R$41,5,0)/'4. Billing Determinants'!$F$41*$D34,IF($E34="Non-RPP kWh",VLOOKUP(T$4,'4. Billing Determinants'!$B$19:$R$41,6,0)/'4. Billing Determinants'!$G$41*$D34,IF($E34="Distribution Rev.",VLOOKUP(T$4,'4. Billing Determinants'!$B$19:$R$41,8,0)/'4. Billing Determinants'!$I$41*$D34, VLOOKUP(T$4,'4. Billing Determinants'!$B$19:$R$41,3,0)/'4. Billing Determinants'!$D$41*$D34))))),0)</f>
        <v>0</v>
      </c>
      <c r="U34" s="32">
        <f>IFERROR(IF(U$4="",0,IF($E34="kWh",VLOOKUP(U$4,'4. Billing Determinants'!$B$19:$R$41,4,0)/'4. Billing Determinants'!$E$41*$D34,IF($E34="kW",VLOOKUP(U$4,'4. Billing Determinants'!$B$19:$R$41,5,0)/'4. Billing Determinants'!$F$41*$D34,IF($E34="Non-RPP kWh",VLOOKUP(U$4,'4. Billing Determinants'!$B$19:$R$41,6,0)/'4. Billing Determinants'!$G$41*$D34,IF($E34="Distribution Rev.",VLOOKUP(U$4,'4. Billing Determinants'!$B$19:$R$41,8,0)/'4. Billing Determinants'!$I$41*$D34, VLOOKUP(U$4,'4. Billing Determinants'!$B$19:$R$41,3,0)/'4. Billing Determinants'!$D$41*$D34))))),0)</f>
        <v>0</v>
      </c>
      <c r="V34" s="32">
        <f>IFERROR(IF(V$4="",0,IF($E34="kWh",VLOOKUP(V$4,'4. Billing Determinants'!$B$19:$R$41,4,0)/'4. Billing Determinants'!$E$41*$D34,IF($E34="kW",VLOOKUP(V$4,'4. Billing Determinants'!$B$19:$R$41,5,0)/'4. Billing Determinants'!$F$41*$D34,IF($E34="Non-RPP kWh",VLOOKUP(V$4,'4. Billing Determinants'!$B$19:$R$41,6,0)/'4. Billing Determinants'!$G$41*$D34,IF($E34="Distribution Rev.",VLOOKUP(V$4,'4. Billing Determinants'!$B$19:$R$41,8,0)/'4. Billing Determinants'!$I$41*$D34, VLOOKUP(V$4,'4. Billing Determinants'!$B$19:$R$41,3,0)/'4. Billing Determinants'!$D$41*$D34))))),0)</f>
        <v>0</v>
      </c>
      <c r="W34" s="32">
        <f>IFERROR(IF(W$4="",0,IF($E34="kWh",VLOOKUP(W$4,'4. Billing Determinants'!$B$19:$R$41,4,0)/'4. Billing Determinants'!$E$41*$D34,IF($E34="kW",VLOOKUP(W$4,'4. Billing Determinants'!$B$19:$R$41,5,0)/'4. Billing Determinants'!$F$41*$D34,IF($E34="Non-RPP kWh",VLOOKUP(W$4,'4. Billing Determinants'!$B$19:$R$41,6,0)/'4. Billing Determinants'!$G$41*$D34,IF($E34="Distribution Rev.",VLOOKUP(W$4,'4. Billing Determinants'!$B$19:$R$41,8,0)/'4. Billing Determinants'!$I$41*$D34, VLOOKUP(W$4,'4. Billing Determinants'!$B$19:$R$41,3,0)/'4. Billing Determinants'!$D$41*$D34))))),0)</f>
        <v>0</v>
      </c>
      <c r="X34" s="32">
        <f>IFERROR(IF(X$4="",0,IF($E34="kWh",VLOOKUP(X$4,'4. Billing Determinants'!$B$19:$R$41,4,0)/'4. Billing Determinants'!$E$41*$D34,IF($E34="kW",VLOOKUP(X$4,'4. Billing Determinants'!$B$19:$R$41,5,0)/'4. Billing Determinants'!$F$41*$D34,IF($E34="Non-RPP kWh",VLOOKUP(X$4,'4. Billing Determinants'!$B$19:$R$41,6,0)/'4. Billing Determinants'!$G$41*$D34,IF($E34="Distribution Rev.",VLOOKUP(X$4,'4. Billing Determinants'!$B$19:$R$41,8,0)/'4. Billing Determinants'!$I$41*$D34, VLOOKUP(X$4,'4. Billing Determinants'!$B$19:$R$41,3,0)/'4. Billing Determinants'!$D$41*$D34))))),0)</f>
        <v>0</v>
      </c>
      <c r="Y34" s="32">
        <f>IFERROR(IF(Y$4="",0,IF($E34="kWh",VLOOKUP(Y$4,'4. Billing Determinants'!$B$19:$R$41,4,0)/'4. Billing Determinants'!$E$41*$D34,IF($E34="kW",VLOOKUP(Y$4,'4. Billing Determinants'!$B$19:$R$41,5,0)/'4. Billing Determinants'!$F$41*$D34,IF($E34="Non-RPP kWh",VLOOKUP(Y$4,'4. Billing Determinants'!$B$19:$R$41,6,0)/'4. Billing Determinants'!$G$41*$D34,IF($E34="Distribution Rev.",VLOOKUP(Y$4,'4. Billing Determinants'!$B$19:$R$41,8,0)/'4. Billing Determinants'!$I$41*$D34, VLOOKUP(Y$4,'4. Billing Determinants'!$B$19:$R$41,3,0)/'4. Billing Determinants'!$D$41*$D34))))),0)</f>
        <v>0</v>
      </c>
    </row>
    <row r="35" spans="1:25" x14ac:dyDescent="0.2">
      <c r="B35" s="300" t="str">
        <f>IF('2b. Continuity Schedule'!C61="","",'2b. Continuity Schedule'!C61)</f>
        <v>Other Regulatory Assets - Sub-Account - ICM Sault Smart Grid Capital</v>
      </c>
      <c r="C35" s="31">
        <v>1508</v>
      </c>
      <c r="D35" s="32">
        <f>'2b. Continuity Schedule'!BT61</f>
        <v>0</v>
      </c>
      <c r="E35" s="48" t="s">
        <v>139</v>
      </c>
      <c r="F35" s="32">
        <f>IFERROR(IF(F$4="",0,IF($E35="kWh",VLOOKUP(F$4,'4. Billing Determinants'!$B$19:$R$41,4,0)/'4. Billing Determinants'!$E$41*$D35,IF($E35="kW",VLOOKUP(F$4,'4. Billing Determinants'!$B$19:$R$41,5,0)/'4. Billing Determinants'!$F$41*$D35,IF($E35="Non-RPP kWh",VLOOKUP(F$4,'4. Billing Determinants'!$B$19:$R$41,6,0)/'4. Billing Determinants'!$G$41*$D35,IF($E35="Distribution Rev.",VLOOKUP(F$4,'4. Billing Determinants'!$B$19:$R$41,8,0)/'4. Billing Determinants'!$I$41*$D35, VLOOKUP(F$4,'4. Billing Determinants'!$B$19:$R$41,3,0)/'4. Billing Determinants'!$D$41*$D35))))),0)</f>
        <v>0</v>
      </c>
      <c r="G35" s="32">
        <f>IFERROR(IF(G$4="",0,IF($E35="kWh",VLOOKUP(G$4,'4. Billing Determinants'!$B$19:$R$41,4,0)/'4. Billing Determinants'!$E$41*$D35,IF($E35="kW",VLOOKUP(G$4,'4. Billing Determinants'!$B$19:$R$41,5,0)/'4. Billing Determinants'!$F$41*$D35,IF($E35="Non-RPP kWh",VLOOKUP(G$4,'4. Billing Determinants'!$B$19:$R$41,6,0)/'4. Billing Determinants'!$G$41*$D35,IF($E35="Distribution Rev.",VLOOKUP(G$4,'4. Billing Determinants'!$B$19:$R$41,8,0)/'4. Billing Determinants'!$I$41*$D35, VLOOKUP(G$4,'4. Billing Determinants'!$B$19:$R$41,3,0)/'4. Billing Determinants'!$D$41*$D35))))),0)</f>
        <v>0</v>
      </c>
      <c r="H35" s="32">
        <f>IFERROR(IF(H$4="",0,IF($E35="kWh",VLOOKUP(H$4,'4. Billing Determinants'!$B$19:$R$41,4,0)/'4. Billing Determinants'!$E$41*$D35,IF($E35="kW",VLOOKUP(H$4,'4. Billing Determinants'!$B$19:$R$41,5,0)/'4. Billing Determinants'!$F$41*$D35,IF($E35="Non-RPP kWh",VLOOKUP(H$4,'4. Billing Determinants'!$B$19:$R$41,6,0)/'4. Billing Determinants'!$G$41*$D35,IF($E35="Distribution Rev.",VLOOKUP(H$4,'4. Billing Determinants'!$B$19:$R$41,8,0)/'4. Billing Determinants'!$I$41*$D35, VLOOKUP(H$4,'4. Billing Determinants'!$B$19:$R$41,3,0)/'4. Billing Determinants'!$D$41*$D35))))),0)</f>
        <v>0</v>
      </c>
      <c r="I35" s="32">
        <f>IFERROR(IF(I$4="",0,IF($E35="kWh",VLOOKUP(I$4,'4. Billing Determinants'!$B$19:$R$41,4,0)/'4. Billing Determinants'!$E$41*$D35,IF($E35="kW",VLOOKUP(I$4,'4. Billing Determinants'!$B$19:$R$41,5,0)/'4. Billing Determinants'!$F$41*$D35,IF($E35="Non-RPP kWh",VLOOKUP(I$4,'4. Billing Determinants'!$B$19:$R$41,6,0)/'4. Billing Determinants'!$G$41*$D35,IF($E35="Distribution Rev.",VLOOKUP(I$4,'4. Billing Determinants'!$B$19:$R$41,8,0)/'4. Billing Determinants'!$I$41*$D35, VLOOKUP(I$4,'4. Billing Determinants'!$B$19:$R$41,3,0)/'4. Billing Determinants'!$D$41*$D35))))),0)</f>
        <v>0</v>
      </c>
      <c r="J35" s="32">
        <f>IFERROR(IF(J$4="",0,IF($E35="kWh",VLOOKUP(J$4,'4. Billing Determinants'!$B$19:$R$41,4,0)/'4. Billing Determinants'!$E$41*$D35,IF($E35="kW",VLOOKUP(J$4,'4. Billing Determinants'!$B$19:$R$41,5,0)/'4. Billing Determinants'!$F$41*$D35,IF($E35="Non-RPP kWh",VLOOKUP(J$4,'4. Billing Determinants'!$B$19:$R$41,6,0)/'4. Billing Determinants'!$G$41*$D35,IF($E35="Distribution Rev.",VLOOKUP(J$4,'4. Billing Determinants'!$B$19:$R$41,8,0)/'4. Billing Determinants'!$I$41*$D35, VLOOKUP(J$4,'4. Billing Determinants'!$B$19:$R$41,3,0)/'4. Billing Determinants'!$D$41*$D35))))),0)</f>
        <v>0</v>
      </c>
      <c r="K35" s="32">
        <f>IFERROR(IF(K$4="",0,IF($E35="kWh",VLOOKUP(K$4,'4. Billing Determinants'!$B$19:$R$41,4,0)/'4. Billing Determinants'!$E$41*$D35,IF($E35="kW",VLOOKUP(K$4,'4. Billing Determinants'!$B$19:$R$41,5,0)/'4. Billing Determinants'!$F$41*$D35,IF($E35="Non-RPP kWh",VLOOKUP(K$4,'4. Billing Determinants'!$B$19:$R$41,6,0)/'4. Billing Determinants'!$G$41*$D35,IF($E35="Distribution Rev.",VLOOKUP(K$4,'4. Billing Determinants'!$B$19:$R$41,8,0)/'4. Billing Determinants'!$I$41*$D35, VLOOKUP(K$4,'4. Billing Determinants'!$B$19:$R$41,3,0)/'4. Billing Determinants'!$D$41*$D35))))),0)</f>
        <v>0</v>
      </c>
      <c r="L35" s="32">
        <f>IFERROR(IF(L$4="",0,IF($E35="kWh",VLOOKUP(L$4,'4. Billing Determinants'!$B$19:$R$41,4,0)/'4. Billing Determinants'!$E$41*$D35,IF($E35="kW",VLOOKUP(L$4,'4. Billing Determinants'!$B$19:$R$41,5,0)/'4. Billing Determinants'!$F$41*$D35,IF($E35="Non-RPP kWh",VLOOKUP(L$4,'4. Billing Determinants'!$B$19:$R$41,6,0)/'4. Billing Determinants'!$G$41*$D35,IF($E35="Distribution Rev.",VLOOKUP(L$4,'4. Billing Determinants'!$B$19:$R$41,8,0)/'4. Billing Determinants'!$I$41*$D35, VLOOKUP(L$4,'4. Billing Determinants'!$B$19:$R$41,3,0)/'4. Billing Determinants'!$D$41*$D35))))),0)</f>
        <v>0</v>
      </c>
      <c r="M35" s="32">
        <f>IFERROR(IF(M$4="",0,IF($E35="kWh",VLOOKUP(M$4,'4. Billing Determinants'!$B$19:$R$41,4,0)/'4. Billing Determinants'!$E$41*$D35,IF($E35="kW",VLOOKUP(M$4,'4. Billing Determinants'!$B$19:$R$41,5,0)/'4. Billing Determinants'!$F$41*$D35,IF($E35="Non-RPP kWh",VLOOKUP(M$4,'4. Billing Determinants'!$B$19:$R$41,6,0)/'4. Billing Determinants'!$G$41*$D35,IF($E35="Distribution Rev.",VLOOKUP(M$4,'4. Billing Determinants'!$B$19:$R$41,8,0)/'4. Billing Determinants'!$I$41*$D35, VLOOKUP(M$4,'4. Billing Determinants'!$B$19:$R$41,3,0)/'4. Billing Determinants'!$D$41*$D35))))),0)</f>
        <v>0</v>
      </c>
      <c r="N35" s="32">
        <f>IFERROR(IF(N$4="",0,IF($E35="kWh",VLOOKUP(N$4,'4. Billing Determinants'!$B$19:$R$41,4,0)/'4. Billing Determinants'!$E$41*$D35,IF($E35="kW",VLOOKUP(N$4,'4. Billing Determinants'!$B$19:$R$41,5,0)/'4. Billing Determinants'!$F$41*$D35,IF($E35="Non-RPP kWh",VLOOKUP(N$4,'4. Billing Determinants'!$B$19:$R$41,6,0)/'4. Billing Determinants'!$G$41*$D35,IF($E35="Distribution Rev.",VLOOKUP(N$4,'4. Billing Determinants'!$B$19:$R$41,8,0)/'4. Billing Determinants'!$I$41*$D35, VLOOKUP(N$4,'4. Billing Determinants'!$B$19:$R$41,3,0)/'4. Billing Determinants'!$D$41*$D35))))),0)</f>
        <v>0</v>
      </c>
      <c r="O35" s="32">
        <f>IFERROR(IF(O$4="",0,IF($E35="kWh",VLOOKUP(O$4,'4. Billing Determinants'!$B$19:$R$41,4,0)/'4. Billing Determinants'!$E$41*$D35,IF($E35="kW",VLOOKUP(O$4,'4. Billing Determinants'!$B$19:$R$41,5,0)/'4. Billing Determinants'!$F$41*$D35,IF($E35="Non-RPP kWh",VLOOKUP(O$4,'4. Billing Determinants'!$B$19:$R$41,6,0)/'4. Billing Determinants'!$G$41*$D35,IF($E35="Distribution Rev.",VLOOKUP(O$4,'4. Billing Determinants'!$B$19:$R$41,8,0)/'4. Billing Determinants'!$I$41*$D35, VLOOKUP(O$4,'4. Billing Determinants'!$B$19:$R$41,3,0)/'4. Billing Determinants'!$D$41*$D35))))),0)</f>
        <v>0</v>
      </c>
      <c r="P35" s="32">
        <f>IFERROR(IF(P$4="",0,IF($E35="kWh",VLOOKUP(P$4,'4. Billing Determinants'!$B$19:$R$41,4,0)/'4. Billing Determinants'!$E$41*$D35,IF($E35="kW",VLOOKUP(P$4,'4. Billing Determinants'!$B$19:$R$41,5,0)/'4. Billing Determinants'!$F$41*$D35,IF($E35="Non-RPP kWh",VLOOKUP(P$4,'4. Billing Determinants'!$B$19:$R$41,6,0)/'4. Billing Determinants'!$G$41*$D35,IF($E35="Distribution Rev.",VLOOKUP(P$4,'4. Billing Determinants'!$B$19:$R$41,8,0)/'4. Billing Determinants'!$I$41*$D35, VLOOKUP(P$4,'4. Billing Determinants'!$B$19:$R$41,3,0)/'4. Billing Determinants'!$D$41*$D35))))),0)</f>
        <v>0</v>
      </c>
      <c r="Q35" s="32">
        <f>IFERROR(IF(Q$4="",0,IF($E35="kWh",VLOOKUP(Q$4,'4. Billing Determinants'!$B$19:$R$41,4,0)/'4. Billing Determinants'!$E$41*$D35,IF($E35="kW",VLOOKUP(Q$4,'4. Billing Determinants'!$B$19:$R$41,5,0)/'4. Billing Determinants'!$F$41*$D35,IF($E35="Non-RPP kWh",VLOOKUP(Q$4,'4. Billing Determinants'!$B$19:$R$41,6,0)/'4. Billing Determinants'!$G$41*$D35,IF($E35="Distribution Rev.",VLOOKUP(Q$4,'4. Billing Determinants'!$B$19:$R$41,8,0)/'4. Billing Determinants'!$I$41*$D35, VLOOKUP(Q$4,'4. Billing Determinants'!$B$19:$R$41,3,0)/'4. Billing Determinants'!$D$41*$D35))))),0)</f>
        <v>0</v>
      </c>
      <c r="R35" s="32">
        <f>IFERROR(IF(R$4="",0,IF($E35="kWh",VLOOKUP(R$4,'4. Billing Determinants'!$B$19:$R$41,4,0)/'4. Billing Determinants'!$E$41*$D35,IF($E35="kW",VLOOKUP(R$4,'4. Billing Determinants'!$B$19:$R$41,5,0)/'4. Billing Determinants'!$F$41*$D35,IF($E35="Non-RPP kWh",VLOOKUP(R$4,'4. Billing Determinants'!$B$19:$R$41,6,0)/'4. Billing Determinants'!$G$41*$D35,IF($E35="Distribution Rev.",VLOOKUP(R$4,'4. Billing Determinants'!$B$19:$R$41,8,0)/'4. Billing Determinants'!$I$41*$D35, VLOOKUP(R$4,'4. Billing Determinants'!$B$19:$R$41,3,0)/'4. Billing Determinants'!$D$41*$D35))))),0)</f>
        <v>0</v>
      </c>
      <c r="S35" s="32">
        <f>IFERROR(IF(S$4="",0,IF($E35="kWh",VLOOKUP(S$4,'4. Billing Determinants'!$B$19:$R$41,4,0)/'4. Billing Determinants'!$E$41*$D35,IF($E35="kW",VLOOKUP(S$4,'4. Billing Determinants'!$B$19:$R$41,5,0)/'4. Billing Determinants'!$F$41*$D35,IF($E35="Non-RPP kWh",VLOOKUP(S$4,'4. Billing Determinants'!$B$19:$R$41,6,0)/'4. Billing Determinants'!$G$41*$D35,IF($E35="Distribution Rev.",VLOOKUP(S$4,'4. Billing Determinants'!$B$19:$R$41,8,0)/'4. Billing Determinants'!$I$41*$D35, VLOOKUP(S$4,'4. Billing Determinants'!$B$19:$R$41,3,0)/'4. Billing Determinants'!$D$41*$D35))))),0)</f>
        <v>0</v>
      </c>
      <c r="T35" s="32">
        <f>IFERROR(IF(T$4="",0,IF($E35="kWh",VLOOKUP(T$4,'4. Billing Determinants'!$B$19:$R$41,4,0)/'4. Billing Determinants'!$E$41*$D35,IF($E35="kW",VLOOKUP(T$4,'4. Billing Determinants'!$B$19:$R$41,5,0)/'4. Billing Determinants'!$F$41*$D35,IF($E35="Non-RPP kWh",VLOOKUP(T$4,'4. Billing Determinants'!$B$19:$R$41,6,0)/'4. Billing Determinants'!$G$41*$D35,IF($E35="Distribution Rev.",VLOOKUP(T$4,'4. Billing Determinants'!$B$19:$R$41,8,0)/'4. Billing Determinants'!$I$41*$D35, VLOOKUP(T$4,'4. Billing Determinants'!$B$19:$R$41,3,0)/'4. Billing Determinants'!$D$41*$D35))))),0)</f>
        <v>0</v>
      </c>
      <c r="U35" s="32">
        <f>IFERROR(IF(U$4="",0,IF($E35="kWh",VLOOKUP(U$4,'4. Billing Determinants'!$B$19:$R$41,4,0)/'4. Billing Determinants'!$E$41*$D35,IF($E35="kW",VLOOKUP(U$4,'4. Billing Determinants'!$B$19:$R$41,5,0)/'4. Billing Determinants'!$F$41*$D35,IF($E35="Non-RPP kWh",VLOOKUP(U$4,'4. Billing Determinants'!$B$19:$R$41,6,0)/'4. Billing Determinants'!$G$41*$D35,IF($E35="Distribution Rev.",VLOOKUP(U$4,'4. Billing Determinants'!$B$19:$R$41,8,0)/'4. Billing Determinants'!$I$41*$D35, VLOOKUP(U$4,'4. Billing Determinants'!$B$19:$R$41,3,0)/'4. Billing Determinants'!$D$41*$D35))))),0)</f>
        <v>0</v>
      </c>
      <c r="V35" s="32">
        <f>IFERROR(IF(V$4="",0,IF($E35="kWh",VLOOKUP(V$4,'4. Billing Determinants'!$B$19:$R$41,4,0)/'4. Billing Determinants'!$E$41*$D35,IF($E35="kW",VLOOKUP(V$4,'4. Billing Determinants'!$B$19:$R$41,5,0)/'4. Billing Determinants'!$F$41*$D35,IF($E35="Non-RPP kWh",VLOOKUP(V$4,'4. Billing Determinants'!$B$19:$R$41,6,0)/'4. Billing Determinants'!$G$41*$D35,IF($E35="Distribution Rev.",VLOOKUP(V$4,'4. Billing Determinants'!$B$19:$R$41,8,0)/'4. Billing Determinants'!$I$41*$D35, VLOOKUP(V$4,'4. Billing Determinants'!$B$19:$R$41,3,0)/'4. Billing Determinants'!$D$41*$D35))))),0)</f>
        <v>0</v>
      </c>
      <c r="W35" s="32">
        <f>IFERROR(IF(W$4="",0,IF($E35="kWh",VLOOKUP(W$4,'4. Billing Determinants'!$B$19:$R$41,4,0)/'4. Billing Determinants'!$E$41*$D35,IF($E35="kW",VLOOKUP(W$4,'4. Billing Determinants'!$B$19:$R$41,5,0)/'4. Billing Determinants'!$F$41*$D35,IF($E35="Non-RPP kWh",VLOOKUP(W$4,'4. Billing Determinants'!$B$19:$R$41,6,0)/'4. Billing Determinants'!$G$41*$D35,IF($E35="Distribution Rev.",VLOOKUP(W$4,'4. Billing Determinants'!$B$19:$R$41,8,0)/'4. Billing Determinants'!$I$41*$D35, VLOOKUP(W$4,'4. Billing Determinants'!$B$19:$R$41,3,0)/'4. Billing Determinants'!$D$41*$D35))))),0)</f>
        <v>0</v>
      </c>
      <c r="X35" s="32">
        <f>IFERROR(IF(X$4="",0,IF($E35="kWh",VLOOKUP(X$4,'4. Billing Determinants'!$B$19:$R$41,4,0)/'4. Billing Determinants'!$E$41*$D35,IF($E35="kW",VLOOKUP(X$4,'4. Billing Determinants'!$B$19:$R$41,5,0)/'4. Billing Determinants'!$F$41*$D35,IF($E35="Non-RPP kWh",VLOOKUP(X$4,'4. Billing Determinants'!$B$19:$R$41,6,0)/'4. Billing Determinants'!$G$41*$D35,IF($E35="Distribution Rev.",VLOOKUP(X$4,'4. Billing Determinants'!$B$19:$R$41,8,0)/'4. Billing Determinants'!$I$41*$D35, VLOOKUP(X$4,'4. Billing Determinants'!$B$19:$R$41,3,0)/'4. Billing Determinants'!$D$41*$D35))))),0)</f>
        <v>0</v>
      </c>
      <c r="Y35" s="32">
        <f>IFERROR(IF(Y$4="",0,IF($E35="kWh",VLOOKUP(Y$4,'4. Billing Determinants'!$B$19:$R$41,4,0)/'4. Billing Determinants'!$E$41*$D35,IF($E35="kW",VLOOKUP(Y$4,'4. Billing Determinants'!$B$19:$R$41,5,0)/'4. Billing Determinants'!$F$41*$D35,IF($E35="Non-RPP kWh",VLOOKUP(Y$4,'4. Billing Determinants'!$B$19:$R$41,6,0)/'4. Billing Determinants'!$G$41*$D35,IF($E35="Distribution Rev.",VLOOKUP(Y$4,'4. Billing Determinants'!$B$19:$R$41,8,0)/'4. Billing Determinants'!$I$41*$D35, VLOOKUP(Y$4,'4. Billing Determinants'!$B$19:$R$41,3,0)/'4. Billing Determinants'!$D$41*$D35))))),0)</f>
        <v>0</v>
      </c>
    </row>
    <row r="36" spans="1:25" x14ac:dyDescent="0.2">
      <c r="B36" s="300" t="str">
        <f>IF('2b. Continuity Schedule'!C62="","",'2b. Continuity Schedule'!C62)</f>
        <v>Other Regulatory Assets - Sub-Account - ICM Sault Smart Grid Depreciation</v>
      </c>
      <c r="C36" s="31">
        <v>1508</v>
      </c>
      <c r="D36" s="32">
        <f>'2b. Continuity Schedule'!BT62</f>
        <v>0</v>
      </c>
      <c r="E36" s="48" t="s">
        <v>139</v>
      </c>
      <c r="F36" s="32">
        <f>IFERROR(IF(F$4="",0,IF($E36="kWh",VLOOKUP(F$4,'4. Billing Determinants'!$B$19:$R$41,4,0)/'4. Billing Determinants'!$E$41*$D36,IF($E36="kW",VLOOKUP(F$4,'4. Billing Determinants'!$B$19:$R$41,5,0)/'4. Billing Determinants'!$F$41*$D36,IF($E36="Non-RPP kWh",VLOOKUP(F$4,'4. Billing Determinants'!$B$19:$R$41,6,0)/'4. Billing Determinants'!$G$41*$D36,IF($E36="Distribution Rev.",VLOOKUP(F$4,'4. Billing Determinants'!$B$19:$R$41,8,0)/'4. Billing Determinants'!$I$41*$D36, VLOOKUP(F$4,'4. Billing Determinants'!$B$19:$R$41,3,0)/'4. Billing Determinants'!$D$41*$D36))))),0)</f>
        <v>0</v>
      </c>
      <c r="G36" s="32">
        <f>IFERROR(IF(G$4="",0,IF($E36="kWh",VLOOKUP(G$4,'4. Billing Determinants'!$B$19:$R$41,4,0)/'4. Billing Determinants'!$E$41*$D36,IF($E36="kW",VLOOKUP(G$4,'4. Billing Determinants'!$B$19:$R$41,5,0)/'4. Billing Determinants'!$F$41*$D36,IF($E36="Non-RPP kWh",VLOOKUP(G$4,'4. Billing Determinants'!$B$19:$R$41,6,0)/'4. Billing Determinants'!$G$41*$D36,IF($E36="Distribution Rev.",VLOOKUP(G$4,'4. Billing Determinants'!$B$19:$R$41,8,0)/'4. Billing Determinants'!$I$41*$D36, VLOOKUP(G$4,'4. Billing Determinants'!$B$19:$R$41,3,0)/'4. Billing Determinants'!$D$41*$D36))))),0)</f>
        <v>0</v>
      </c>
      <c r="H36" s="32">
        <f>IFERROR(IF(H$4="",0,IF($E36="kWh",VLOOKUP(H$4,'4. Billing Determinants'!$B$19:$R$41,4,0)/'4. Billing Determinants'!$E$41*$D36,IF($E36="kW",VLOOKUP(H$4,'4. Billing Determinants'!$B$19:$R$41,5,0)/'4. Billing Determinants'!$F$41*$D36,IF($E36="Non-RPP kWh",VLOOKUP(H$4,'4. Billing Determinants'!$B$19:$R$41,6,0)/'4. Billing Determinants'!$G$41*$D36,IF($E36="Distribution Rev.",VLOOKUP(H$4,'4. Billing Determinants'!$B$19:$R$41,8,0)/'4. Billing Determinants'!$I$41*$D36, VLOOKUP(H$4,'4. Billing Determinants'!$B$19:$R$41,3,0)/'4. Billing Determinants'!$D$41*$D36))))),0)</f>
        <v>0</v>
      </c>
      <c r="I36" s="32">
        <f>IFERROR(IF(I$4="",0,IF($E36="kWh",VLOOKUP(I$4,'4. Billing Determinants'!$B$19:$R$41,4,0)/'4. Billing Determinants'!$E$41*$D36,IF($E36="kW",VLOOKUP(I$4,'4. Billing Determinants'!$B$19:$R$41,5,0)/'4. Billing Determinants'!$F$41*$D36,IF($E36="Non-RPP kWh",VLOOKUP(I$4,'4. Billing Determinants'!$B$19:$R$41,6,0)/'4. Billing Determinants'!$G$41*$D36,IF($E36="Distribution Rev.",VLOOKUP(I$4,'4. Billing Determinants'!$B$19:$R$41,8,0)/'4. Billing Determinants'!$I$41*$D36, VLOOKUP(I$4,'4. Billing Determinants'!$B$19:$R$41,3,0)/'4. Billing Determinants'!$D$41*$D36))))),0)</f>
        <v>0</v>
      </c>
      <c r="J36" s="32">
        <f>IFERROR(IF(J$4="",0,IF($E36="kWh",VLOOKUP(J$4,'4. Billing Determinants'!$B$19:$R$41,4,0)/'4. Billing Determinants'!$E$41*$D36,IF($E36="kW",VLOOKUP(J$4,'4. Billing Determinants'!$B$19:$R$41,5,0)/'4. Billing Determinants'!$F$41*$D36,IF($E36="Non-RPP kWh",VLOOKUP(J$4,'4. Billing Determinants'!$B$19:$R$41,6,0)/'4. Billing Determinants'!$G$41*$D36,IF($E36="Distribution Rev.",VLOOKUP(J$4,'4. Billing Determinants'!$B$19:$R$41,8,0)/'4. Billing Determinants'!$I$41*$D36, VLOOKUP(J$4,'4. Billing Determinants'!$B$19:$R$41,3,0)/'4. Billing Determinants'!$D$41*$D36))))),0)</f>
        <v>0</v>
      </c>
      <c r="K36" s="32">
        <f>IFERROR(IF(K$4="",0,IF($E36="kWh",VLOOKUP(K$4,'4. Billing Determinants'!$B$19:$R$41,4,0)/'4. Billing Determinants'!$E$41*$D36,IF($E36="kW",VLOOKUP(K$4,'4. Billing Determinants'!$B$19:$R$41,5,0)/'4. Billing Determinants'!$F$41*$D36,IF($E36="Non-RPP kWh",VLOOKUP(K$4,'4. Billing Determinants'!$B$19:$R$41,6,0)/'4. Billing Determinants'!$G$41*$D36,IF($E36="Distribution Rev.",VLOOKUP(K$4,'4. Billing Determinants'!$B$19:$R$41,8,0)/'4. Billing Determinants'!$I$41*$D36, VLOOKUP(K$4,'4. Billing Determinants'!$B$19:$R$41,3,0)/'4. Billing Determinants'!$D$41*$D36))))),0)</f>
        <v>0</v>
      </c>
      <c r="L36" s="32">
        <f>IFERROR(IF(L$4="",0,IF($E36="kWh",VLOOKUP(L$4,'4. Billing Determinants'!$B$19:$R$41,4,0)/'4. Billing Determinants'!$E$41*$D36,IF($E36="kW",VLOOKUP(L$4,'4. Billing Determinants'!$B$19:$R$41,5,0)/'4. Billing Determinants'!$F$41*$D36,IF($E36="Non-RPP kWh",VLOOKUP(L$4,'4. Billing Determinants'!$B$19:$R$41,6,0)/'4. Billing Determinants'!$G$41*$D36,IF($E36="Distribution Rev.",VLOOKUP(L$4,'4. Billing Determinants'!$B$19:$R$41,8,0)/'4. Billing Determinants'!$I$41*$D36, VLOOKUP(L$4,'4. Billing Determinants'!$B$19:$R$41,3,0)/'4. Billing Determinants'!$D$41*$D36))))),0)</f>
        <v>0</v>
      </c>
      <c r="M36" s="32">
        <f>IFERROR(IF(M$4="",0,IF($E36="kWh",VLOOKUP(M$4,'4. Billing Determinants'!$B$19:$R$41,4,0)/'4. Billing Determinants'!$E$41*$D36,IF($E36="kW",VLOOKUP(M$4,'4. Billing Determinants'!$B$19:$R$41,5,0)/'4. Billing Determinants'!$F$41*$D36,IF($E36="Non-RPP kWh",VLOOKUP(M$4,'4. Billing Determinants'!$B$19:$R$41,6,0)/'4. Billing Determinants'!$G$41*$D36,IF($E36="Distribution Rev.",VLOOKUP(M$4,'4. Billing Determinants'!$B$19:$R$41,8,0)/'4. Billing Determinants'!$I$41*$D36, VLOOKUP(M$4,'4. Billing Determinants'!$B$19:$R$41,3,0)/'4. Billing Determinants'!$D$41*$D36))))),0)</f>
        <v>0</v>
      </c>
      <c r="N36" s="32">
        <f>IFERROR(IF(N$4="",0,IF($E36="kWh",VLOOKUP(N$4,'4. Billing Determinants'!$B$19:$R$41,4,0)/'4. Billing Determinants'!$E$41*$D36,IF($E36="kW",VLOOKUP(N$4,'4. Billing Determinants'!$B$19:$R$41,5,0)/'4. Billing Determinants'!$F$41*$D36,IF($E36="Non-RPP kWh",VLOOKUP(N$4,'4. Billing Determinants'!$B$19:$R$41,6,0)/'4. Billing Determinants'!$G$41*$D36,IF($E36="Distribution Rev.",VLOOKUP(N$4,'4. Billing Determinants'!$B$19:$R$41,8,0)/'4. Billing Determinants'!$I$41*$D36, VLOOKUP(N$4,'4. Billing Determinants'!$B$19:$R$41,3,0)/'4. Billing Determinants'!$D$41*$D36))))),0)</f>
        <v>0</v>
      </c>
      <c r="O36" s="32">
        <f>IFERROR(IF(O$4="",0,IF($E36="kWh",VLOOKUP(O$4,'4. Billing Determinants'!$B$19:$R$41,4,0)/'4. Billing Determinants'!$E$41*$D36,IF($E36="kW",VLOOKUP(O$4,'4. Billing Determinants'!$B$19:$R$41,5,0)/'4. Billing Determinants'!$F$41*$D36,IF($E36="Non-RPP kWh",VLOOKUP(O$4,'4. Billing Determinants'!$B$19:$R$41,6,0)/'4. Billing Determinants'!$G$41*$D36,IF($E36="Distribution Rev.",VLOOKUP(O$4,'4. Billing Determinants'!$B$19:$R$41,8,0)/'4. Billing Determinants'!$I$41*$D36, VLOOKUP(O$4,'4. Billing Determinants'!$B$19:$R$41,3,0)/'4. Billing Determinants'!$D$41*$D36))))),0)</f>
        <v>0</v>
      </c>
      <c r="P36" s="32">
        <f>IFERROR(IF(P$4="",0,IF($E36="kWh",VLOOKUP(P$4,'4. Billing Determinants'!$B$19:$R$41,4,0)/'4. Billing Determinants'!$E$41*$D36,IF($E36="kW",VLOOKUP(P$4,'4. Billing Determinants'!$B$19:$R$41,5,0)/'4. Billing Determinants'!$F$41*$D36,IF($E36="Non-RPP kWh",VLOOKUP(P$4,'4. Billing Determinants'!$B$19:$R$41,6,0)/'4. Billing Determinants'!$G$41*$D36,IF($E36="Distribution Rev.",VLOOKUP(P$4,'4. Billing Determinants'!$B$19:$R$41,8,0)/'4. Billing Determinants'!$I$41*$D36, VLOOKUP(P$4,'4. Billing Determinants'!$B$19:$R$41,3,0)/'4. Billing Determinants'!$D$41*$D36))))),0)</f>
        <v>0</v>
      </c>
      <c r="Q36" s="32">
        <f>IFERROR(IF(Q$4="",0,IF($E36="kWh",VLOOKUP(Q$4,'4. Billing Determinants'!$B$19:$R$41,4,0)/'4. Billing Determinants'!$E$41*$D36,IF($E36="kW",VLOOKUP(Q$4,'4. Billing Determinants'!$B$19:$R$41,5,0)/'4. Billing Determinants'!$F$41*$D36,IF($E36="Non-RPP kWh",VLOOKUP(Q$4,'4. Billing Determinants'!$B$19:$R$41,6,0)/'4. Billing Determinants'!$G$41*$D36,IF($E36="Distribution Rev.",VLOOKUP(Q$4,'4. Billing Determinants'!$B$19:$R$41,8,0)/'4. Billing Determinants'!$I$41*$D36, VLOOKUP(Q$4,'4. Billing Determinants'!$B$19:$R$41,3,0)/'4. Billing Determinants'!$D$41*$D36))))),0)</f>
        <v>0</v>
      </c>
      <c r="R36" s="32">
        <f>IFERROR(IF(R$4="",0,IF($E36="kWh",VLOOKUP(R$4,'4. Billing Determinants'!$B$19:$R$41,4,0)/'4. Billing Determinants'!$E$41*$D36,IF($E36="kW",VLOOKUP(R$4,'4. Billing Determinants'!$B$19:$R$41,5,0)/'4. Billing Determinants'!$F$41*$D36,IF($E36="Non-RPP kWh",VLOOKUP(R$4,'4. Billing Determinants'!$B$19:$R$41,6,0)/'4. Billing Determinants'!$G$41*$D36,IF($E36="Distribution Rev.",VLOOKUP(R$4,'4. Billing Determinants'!$B$19:$R$41,8,0)/'4. Billing Determinants'!$I$41*$D36, VLOOKUP(R$4,'4. Billing Determinants'!$B$19:$R$41,3,0)/'4. Billing Determinants'!$D$41*$D36))))),0)</f>
        <v>0</v>
      </c>
      <c r="S36" s="32">
        <f>IFERROR(IF(S$4="",0,IF($E36="kWh",VLOOKUP(S$4,'4. Billing Determinants'!$B$19:$R$41,4,0)/'4. Billing Determinants'!$E$41*$D36,IF($E36="kW",VLOOKUP(S$4,'4. Billing Determinants'!$B$19:$R$41,5,0)/'4. Billing Determinants'!$F$41*$D36,IF($E36="Non-RPP kWh",VLOOKUP(S$4,'4. Billing Determinants'!$B$19:$R$41,6,0)/'4. Billing Determinants'!$G$41*$D36,IF($E36="Distribution Rev.",VLOOKUP(S$4,'4. Billing Determinants'!$B$19:$R$41,8,0)/'4. Billing Determinants'!$I$41*$D36, VLOOKUP(S$4,'4. Billing Determinants'!$B$19:$R$41,3,0)/'4. Billing Determinants'!$D$41*$D36))))),0)</f>
        <v>0</v>
      </c>
      <c r="T36" s="32">
        <f>IFERROR(IF(T$4="",0,IF($E36="kWh",VLOOKUP(T$4,'4. Billing Determinants'!$B$19:$R$41,4,0)/'4. Billing Determinants'!$E$41*$D36,IF($E36="kW",VLOOKUP(T$4,'4. Billing Determinants'!$B$19:$R$41,5,0)/'4. Billing Determinants'!$F$41*$D36,IF($E36="Non-RPP kWh",VLOOKUP(T$4,'4. Billing Determinants'!$B$19:$R$41,6,0)/'4. Billing Determinants'!$G$41*$D36,IF($E36="Distribution Rev.",VLOOKUP(T$4,'4. Billing Determinants'!$B$19:$R$41,8,0)/'4. Billing Determinants'!$I$41*$D36, VLOOKUP(T$4,'4. Billing Determinants'!$B$19:$R$41,3,0)/'4. Billing Determinants'!$D$41*$D36))))),0)</f>
        <v>0</v>
      </c>
      <c r="U36" s="32">
        <f>IFERROR(IF(U$4="",0,IF($E36="kWh",VLOOKUP(U$4,'4. Billing Determinants'!$B$19:$R$41,4,0)/'4. Billing Determinants'!$E$41*$D36,IF($E36="kW",VLOOKUP(U$4,'4. Billing Determinants'!$B$19:$R$41,5,0)/'4. Billing Determinants'!$F$41*$D36,IF($E36="Non-RPP kWh",VLOOKUP(U$4,'4. Billing Determinants'!$B$19:$R$41,6,0)/'4. Billing Determinants'!$G$41*$D36,IF($E36="Distribution Rev.",VLOOKUP(U$4,'4. Billing Determinants'!$B$19:$R$41,8,0)/'4. Billing Determinants'!$I$41*$D36, VLOOKUP(U$4,'4. Billing Determinants'!$B$19:$R$41,3,0)/'4. Billing Determinants'!$D$41*$D36))))),0)</f>
        <v>0</v>
      </c>
      <c r="V36" s="32">
        <f>IFERROR(IF(V$4="",0,IF($E36="kWh",VLOOKUP(V$4,'4. Billing Determinants'!$B$19:$R$41,4,0)/'4. Billing Determinants'!$E$41*$D36,IF($E36="kW",VLOOKUP(V$4,'4. Billing Determinants'!$B$19:$R$41,5,0)/'4. Billing Determinants'!$F$41*$D36,IF($E36="Non-RPP kWh",VLOOKUP(V$4,'4. Billing Determinants'!$B$19:$R$41,6,0)/'4. Billing Determinants'!$G$41*$D36,IF($E36="Distribution Rev.",VLOOKUP(V$4,'4. Billing Determinants'!$B$19:$R$41,8,0)/'4. Billing Determinants'!$I$41*$D36, VLOOKUP(V$4,'4. Billing Determinants'!$B$19:$R$41,3,0)/'4. Billing Determinants'!$D$41*$D36))))),0)</f>
        <v>0</v>
      </c>
      <c r="W36" s="32">
        <f>IFERROR(IF(W$4="",0,IF($E36="kWh",VLOOKUP(W$4,'4. Billing Determinants'!$B$19:$R$41,4,0)/'4. Billing Determinants'!$E$41*$D36,IF($E36="kW",VLOOKUP(W$4,'4. Billing Determinants'!$B$19:$R$41,5,0)/'4. Billing Determinants'!$F$41*$D36,IF($E36="Non-RPP kWh",VLOOKUP(W$4,'4. Billing Determinants'!$B$19:$R$41,6,0)/'4. Billing Determinants'!$G$41*$D36,IF($E36="Distribution Rev.",VLOOKUP(W$4,'4. Billing Determinants'!$B$19:$R$41,8,0)/'4. Billing Determinants'!$I$41*$D36, VLOOKUP(W$4,'4. Billing Determinants'!$B$19:$R$41,3,0)/'4. Billing Determinants'!$D$41*$D36))))),0)</f>
        <v>0</v>
      </c>
      <c r="X36" s="32">
        <f>IFERROR(IF(X$4="",0,IF($E36="kWh",VLOOKUP(X$4,'4. Billing Determinants'!$B$19:$R$41,4,0)/'4. Billing Determinants'!$E$41*$D36,IF($E36="kW",VLOOKUP(X$4,'4. Billing Determinants'!$B$19:$R$41,5,0)/'4. Billing Determinants'!$F$41*$D36,IF($E36="Non-RPP kWh",VLOOKUP(X$4,'4. Billing Determinants'!$B$19:$R$41,6,0)/'4. Billing Determinants'!$G$41*$D36,IF($E36="Distribution Rev.",VLOOKUP(X$4,'4. Billing Determinants'!$B$19:$R$41,8,0)/'4. Billing Determinants'!$I$41*$D36, VLOOKUP(X$4,'4. Billing Determinants'!$B$19:$R$41,3,0)/'4. Billing Determinants'!$D$41*$D36))))),0)</f>
        <v>0</v>
      </c>
      <c r="Y36" s="32">
        <f>IFERROR(IF(Y$4="",0,IF($E36="kWh",VLOOKUP(Y$4,'4. Billing Determinants'!$B$19:$R$41,4,0)/'4. Billing Determinants'!$E$41*$D36,IF($E36="kW",VLOOKUP(Y$4,'4. Billing Determinants'!$B$19:$R$41,5,0)/'4. Billing Determinants'!$F$41*$D36,IF($E36="Non-RPP kWh",VLOOKUP(Y$4,'4. Billing Determinants'!$B$19:$R$41,6,0)/'4. Billing Determinants'!$G$41*$D36,IF($E36="Distribution Rev.",VLOOKUP(Y$4,'4. Billing Determinants'!$B$19:$R$41,8,0)/'4. Billing Determinants'!$I$41*$D36, VLOOKUP(Y$4,'4. Billing Determinants'!$B$19:$R$41,3,0)/'4. Billing Determinants'!$D$41*$D36))))),0)</f>
        <v>0</v>
      </c>
    </row>
    <row r="37" spans="1:25" x14ac:dyDescent="0.2">
      <c r="B37" s="300" t="str">
        <f>IF('2b. Continuity Schedule'!C63="","",'2b. Continuity Schedule'!C63)</f>
        <v>Other Regulatory Assets - Sub-Account - ICM Sault Smart Grid Accumulated Depreciation</v>
      </c>
      <c r="C37" s="31">
        <v>1508</v>
      </c>
      <c r="D37" s="32">
        <f>'2b. Continuity Schedule'!BT63</f>
        <v>0</v>
      </c>
      <c r="E37" s="48" t="s">
        <v>139</v>
      </c>
      <c r="F37" s="32">
        <f>IFERROR(IF(F$4="",0,IF($E37="kWh",VLOOKUP(F$4,'4. Billing Determinants'!$B$19:$R$41,4,0)/'4. Billing Determinants'!$E$41*$D37,IF($E37="kW",VLOOKUP(F$4,'4. Billing Determinants'!$B$19:$R$41,5,0)/'4. Billing Determinants'!$F$41*$D37,IF($E37="Non-RPP kWh",VLOOKUP(F$4,'4. Billing Determinants'!$B$19:$R$41,6,0)/'4. Billing Determinants'!$G$41*$D37,IF($E37="Distribution Rev.",VLOOKUP(F$4,'4. Billing Determinants'!$B$19:$R$41,8,0)/'4. Billing Determinants'!$I$41*$D37, VLOOKUP(F$4,'4. Billing Determinants'!$B$19:$R$41,3,0)/'4. Billing Determinants'!$D$41*$D37))))),0)</f>
        <v>0</v>
      </c>
      <c r="G37" s="32">
        <f>IFERROR(IF(G$4="",0,IF($E37="kWh",VLOOKUP(G$4,'4. Billing Determinants'!$B$19:$R$41,4,0)/'4. Billing Determinants'!$E$41*$D37,IF($E37="kW",VLOOKUP(G$4,'4. Billing Determinants'!$B$19:$R$41,5,0)/'4. Billing Determinants'!$F$41*$D37,IF($E37="Non-RPP kWh",VLOOKUP(G$4,'4. Billing Determinants'!$B$19:$R$41,6,0)/'4. Billing Determinants'!$G$41*$D37,IF($E37="Distribution Rev.",VLOOKUP(G$4,'4. Billing Determinants'!$B$19:$R$41,8,0)/'4. Billing Determinants'!$I$41*$D37, VLOOKUP(G$4,'4. Billing Determinants'!$B$19:$R$41,3,0)/'4. Billing Determinants'!$D$41*$D37))))),0)</f>
        <v>0</v>
      </c>
      <c r="H37" s="32">
        <f>IFERROR(IF(H$4="",0,IF($E37="kWh",VLOOKUP(H$4,'4. Billing Determinants'!$B$19:$R$41,4,0)/'4. Billing Determinants'!$E$41*$D37,IF($E37="kW",VLOOKUP(H$4,'4. Billing Determinants'!$B$19:$R$41,5,0)/'4. Billing Determinants'!$F$41*$D37,IF($E37="Non-RPP kWh",VLOOKUP(H$4,'4. Billing Determinants'!$B$19:$R$41,6,0)/'4. Billing Determinants'!$G$41*$D37,IF($E37="Distribution Rev.",VLOOKUP(H$4,'4. Billing Determinants'!$B$19:$R$41,8,0)/'4. Billing Determinants'!$I$41*$D37, VLOOKUP(H$4,'4. Billing Determinants'!$B$19:$R$41,3,0)/'4. Billing Determinants'!$D$41*$D37))))),0)</f>
        <v>0</v>
      </c>
      <c r="I37" s="32">
        <f>IFERROR(IF(I$4="",0,IF($E37="kWh",VLOOKUP(I$4,'4. Billing Determinants'!$B$19:$R$41,4,0)/'4. Billing Determinants'!$E$41*$D37,IF($E37="kW",VLOOKUP(I$4,'4. Billing Determinants'!$B$19:$R$41,5,0)/'4. Billing Determinants'!$F$41*$D37,IF($E37="Non-RPP kWh",VLOOKUP(I$4,'4. Billing Determinants'!$B$19:$R$41,6,0)/'4. Billing Determinants'!$G$41*$D37,IF($E37="Distribution Rev.",VLOOKUP(I$4,'4. Billing Determinants'!$B$19:$R$41,8,0)/'4. Billing Determinants'!$I$41*$D37, VLOOKUP(I$4,'4. Billing Determinants'!$B$19:$R$41,3,0)/'4. Billing Determinants'!$D$41*$D37))))),0)</f>
        <v>0</v>
      </c>
      <c r="J37" s="32">
        <f>IFERROR(IF(J$4="",0,IF($E37="kWh",VLOOKUP(J$4,'4. Billing Determinants'!$B$19:$R$41,4,0)/'4. Billing Determinants'!$E$41*$D37,IF($E37="kW",VLOOKUP(J$4,'4. Billing Determinants'!$B$19:$R$41,5,0)/'4. Billing Determinants'!$F$41*$D37,IF($E37="Non-RPP kWh",VLOOKUP(J$4,'4. Billing Determinants'!$B$19:$R$41,6,0)/'4. Billing Determinants'!$G$41*$D37,IF($E37="Distribution Rev.",VLOOKUP(J$4,'4. Billing Determinants'!$B$19:$R$41,8,0)/'4. Billing Determinants'!$I$41*$D37, VLOOKUP(J$4,'4. Billing Determinants'!$B$19:$R$41,3,0)/'4. Billing Determinants'!$D$41*$D37))))),0)</f>
        <v>0</v>
      </c>
      <c r="K37" s="32">
        <f>IFERROR(IF(K$4="",0,IF($E37="kWh",VLOOKUP(K$4,'4. Billing Determinants'!$B$19:$R$41,4,0)/'4. Billing Determinants'!$E$41*$D37,IF($E37="kW",VLOOKUP(K$4,'4. Billing Determinants'!$B$19:$R$41,5,0)/'4. Billing Determinants'!$F$41*$D37,IF($E37="Non-RPP kWh",VLOOKUP(K$4,'4. Billing Determinants'!$B$19:$R$41,6,0)/'4. Billing Determinants'!$G$41*$D37,IF($E37="Distribution Rev.",VLOOKUP(K$4,'4. Billing Determinants'!$B$19:$R$41,8,0)/'4. Billing Determinants'!$I$41*$D37, VLOOKUP(K$4,'4. Billing Determinants'!$B$19:$R$41,3,0)/'4. Billing Determinants'!$D$41*$D37))))),0)</f>
        <v>0</v>
      </c>
      <c r="L37" s="32">
        <f>IFERROR(IF(L$4="",0,IF($E37="kWh",VLOOKUP(L$4,'4. Billing Determinants'!$B$19:$R$41,4,0)/'4. Billing Determinants'!$E$41*$D37,IF($E37="kW",VLOOKUP(L$4,'4. Billing Determinants'!$B$19:$R$41,5,0)/'4. Billing Determinants'!$F$41*$D37,IF($E37="Non-RPP kWh",VLOOKUP(L$4,'4. Billing Determinants'!$B$19:$R$41,6,0)/'4. Billing Determinants'!$G$41*$D37,IF($E37="Distribution Rev.",VLOOKUP(L$4,'4. Billing Determinants'!$B$19:$R$41,8,0)/'4. Billing Determinants'!$I$41*$D37, VLOOKUP(L$4,'4. Billing Determinants'!$B$19:$R$41,3,0)/'4. Billing Determinants'!$D$41*$D37))))),0)</f>
        <v>0</v>
      </c>
      <c r="M37" s="32">
        <f>IFERROR(IF(M$4="",0,IF($E37="kWh",VLOOKUP(M$4,'4. Billing Determinants'!$B$19:$R$41,4,0)/'4. Billing Determinants'!$E$41*$D37,IF($E37="kW",VLOOKUP(M$4,'4. Billing Determinants'!$B$19:$R$41,5,0)/'4. Billing Determinants'!$F$41*$D37,IF($E37="Non-RPP kWh",VLOOKUP(M$4,'4. Billing Determinants'!$B$19:$R$41,6,0)/'4. Billing Determinants'!$G$41*$D37,IF($E37="Distribution Rev.",VLOOKUP(M$4,'4. Billing Determinants'!$B$19:$R$41,8,0)/'4. Billing Determinants'!$I$41*$D37, VLOOKUP(M$4,'4. Billing Determinants'!$B$19:$R$41,3,0)/'4. Billing Determinants'!$D$41*$D37))))),0)</f>
        <v>0</v>
      </c>
      <c r="N37" s="32">
        <f>IFERROR(IF(N$4="",0,IF($E37="kWh",VLOOKUP(N$4,'4. Billing Determinants'!$B$19:$R$41,4,0)/'4. Billing Determinants'!$E$41*$D37,IF($E37="kW",VLOOKUP(N$4,'4. Billing Determinants'!$B$19:$R$41,5,0)/'4. Billing Determinants'!$F$41*$D37,IF($E37="Non-RPP kWh",VLOOKUP(N$4,'4. Billing Determinants'!$B$19:$R$41,6,0)/'4. Billing Determinants'!$G$41*$D37,IF($E37="Distribution Rev.",VLOOKUP(N$4,'4. Billing Determinants'!$B$19:$R$41,8,0)/'4. Billing Determinants'!$I$41*$D37, VLOOKUP(N$4,'4. Billing Determinants'!$B$19:$R$41,3,0)/'4. Billing Determinants'!$D$41*$D37))))),0)</f>
        <v>0</v>
      </c>
      <c r="O37" s="32">
        <f>IFERROR(IF(O$4="",0,IF($E37="kWh",VLOOKUP(O$4,'4. Billing Determinants'!$B$19:$R$41,4,0)/'4. Billing Determinants'!$E$41*$D37,IF($E37="kW",VLOOKUP(O$4,'4. Billing Determinants'!$B$19:$R$41,5,0)/'4. Billing Determinants'!$F$41*$D37,IF($E37="Non-RPP kWh",VLOOKUP(O$4,'4. Billing Determinants'!$B$19:$R$41,6,0)/'4. Billing Determinants'!$G$41*$D37,IF($E37="Distribution Rev.",VLOOKUP(O$4,'4. Billing Determinants'!$B$19:$R$41,8,0)/'4. Billing Determinants'!$I$41*$D37, VLOOKUP(O$4,'4. Billing Determinants'!$B$19:$R$41,3,0)/'4. Billing Determinants'!$D$41*$D37))))),0)</f>
        <v>0</v>
      </c>
      <c r="P37" s="32">
        <f>IFERROR(IF(P$4="",0,IF($E37="kWh",VLOOKUP(P$4,'4. Billing Determinants'!$B$19:$R$41,4,0)/'4. Billing Determinants'!$E$41*$D37,IF($E37="kW",VLOOKUP(P$4,'4. Billing Determinants'!$B$19:$R$41,5,0)/'4. Billing Determinants'!$F$41*$D37,IF($E37="Non-RPP kWh",VLOOKUP(P$4,'4. Billing Determinants'!$B$19:$R$41,6,0)/'4. Billing Determinants'!$G$41*$D37,IF($E37="Distribution Rev.",VLOOKUP(P$4,'4. Billing Determinants'!$B$19:$R$41,8,0)/'4. Billing Determinants'!$I$41*$D37, VLOOKUP(P$4,'4. Billing Determinants'!$B$19:$R$41,3,0)/'4. Billing Determinants'!$D$41*$D37))))),0)</f>
        <v>0</v>
      </c>
      <c r="Q37" s="32">
        <f>IFERROR(IF(Q$4="",0,IF($E37="kWh",VLOOKUP(Q$4,'4. Billing Determinants'!$B$19:$R$41,4,0)/'4. Billing Determinants'!$E$41*$D37,IF($E37="kW",VLOOKUP(Q$4,'4. Billing Determinants'!$B$19:$R$41,5,0)/'4. Billing Determinants'!$F$41*$D37,IF($E37="Non-RPP kWh",VLOOKUP(Q$4,'4. Billing Determinants'!$B$19:$R$41,6,0)/'4. Billing Determinants'!$G$41*$D37,IF($E37="Distribution Rev.",VLOOKUP(Q$4,'4. Billing Determinants'!$B$19:$R$41,8,0)/'4. Billing Determinants'!$I$41*$D37, VLOOKUP(Q$4,'4. Billing Determinants'!$B$19:$R$41,3,0)/'4. Billing Determinants'!$D$41*$D37))))),0)</f>
        <v>0</v>
      </c>
      <c r="R37" s="32">
        <f>IFERROR(IF(R$4="",0,IF($E37="kWh",VLOOKUP(R$4,'4. Billing Determinants'!$B$19:$R$41,4,0)/'4. Billing Determinants'!$E$41*$D37,IF($E37="kW",VLOOKUP(R$4,'4. Billing Determinants'!$B$19:$R$41,5,0)/'4. Billing Determinants'!$F$41*$D37,IF($E37="Non-RPP kWh",VLOOKUP(R$4,'4. Billing Determinants'!$B$19:$R$41,6,0)/'4. Billing Determinants'!$G$41*$D37,IF($E37="Distribution Rev.",VLOOKUP(R$4,'4. Billing Determinants'!$B$19:$R$41,8,0)/'4. Billing Determinants'!$I$41*$D37, VLOOKUP(R$4,'4. Billing Determinants'!$B$19:$R$41,3,0)/'4. Billing Determinants'!$D$41*$D37))))),0)</f>
        <v>0</v>
      </c>
      <c r="S37" s="32">
        <f>IFERROR(IF(S$4="",0,IF($E37="kWh",VLOOKUP(S$4,'4. Billing Determinants'!$B$19:$R$41,4,0)/'4. Billing Determinants'!$E$41*$D37,IF($E37="kW",VLOOKUP(S$4,'4. Billing Determinants'!$B$19:$R$41,5,0)/'4. Billing Determinants'!$F$41*$D37,IF($E37="Non-RPP kWh",VLOOKUP(S$4,'4. Billing Determinants'!$B$19:$R$41,6,0)/'4. Billing Determinants'!$G$41*$D37,IF($E37="Distribution Rev.",VLOOKUP(S$4,'4. Billing Determinants'!$B$19:$R$41,8,0)/'4. Billing Determinants'!$I$41*$D37, VLOOKUP(S$4,'4. Billing Determinants'!$B$19:$R$41,3,0)/'4. Billing Determinants'!$D$41*$D37))))),0)</f>
        <v>0</v>
      </c>
      <c r="T37" s="32">
        <f>IFERROR(IF(T$4="",0,IF($E37="kWh",VLOOKUP(T$4,'4. Billing Determinants'!$B$19:$R$41,4,0)/'4. Billing Determinants'!$E$41*$D37,IF($E37="kW",VLOOKUP(T$4,'4. Billing Determinants'!$B$19:$R$41,5,0)/'4. Billing Determinants'!$F$41*$D37,IF($E37="Non-RPP kWh",VLOOKUP(T$4,'4. Billing Determinants'!$B$19:$R$41,6,0)/'4. Billing Determinants'!$G$41*$D37,IF($E37="Distribution Rev.",VLOOKUP(T$4,'4. Billing Determinants'!$B$19:$R$41,8,0)/'4. Billing Determinants'!$I$41*$D37, VLOOKUP(T$4,'4. Billing Determinants'!$B$19:$R$41,3,0)/'4. Billing Determinants'!$D$41*$D37))))),0)</f>
        <v>0</v>
      </c>
      <c r="U37" s="32">
        <f>IFERROR(IF(U$4="",0,IF($E37="kWh",VLOOKUP(U$4,'4. Billing Determinants'!$B$19:$R$41,4,0)/'4. Billing Determinants'!$E$41*$D37,IF($E37="kW",VLOOKUP(U$4,'4. Billing Determinants'!$B$19:$R$41,5,0)/'4. Billing Determinants'!$F$41*$D37,IF($E37="Non-RPP kWh",VLOOKUP(U$4,'4. Billing Determinants'!$B$19:$R$41,6,0)/'4. Billing Determinants'!$G$41*$D37,IF($E37="Distribution Rev.",VLOOKUP(U$4,'4. Billing Determinants'!$B$19:$R$41,8,0)/'4. Billing Determinants'!$I$41*$D37, VLOOKUP(U$4,'4. Billing Determinants'!$B$19:$R$41,3,0)/'4. Billing Determinants'!$D$41*$D37))))),0)</f>
        <v>0</v>
      </c>
      <c r="V37" s="32">
        <f>IFERROR(IF(V$4="",0,IF($E37="kWh",VLOOKUP(V$4,'4. Billing Determinants'!$B$19:$R$41,4,0)/'4. Billing Determinants'!$E$41*$D37,IF($E37="kW",VLOOKUP(V$4,'4. Billing Determinants'!$B$19:$R$41,5,0)/'4. Billing Determinants'!$F$41*$D37,IF($E37="Non-RPP kWh",VLOOKUP(V$4,'4. Billing Determinants'!$B$19:$R$41,6,0)/'4. Billing Determinants'!$G$41*$D37,IF($E37="Distribution Rev.",VLOOKUP(V$4,'4. Billing Determinants'!$B$19:$R$41,8,0)/'4. Billing Determinants'!$I$41*$D37, VLOOKUP(V$4,'4. Billing Determinants'!$B$19:$R$41,3,0)/'4. Billing Determinants'!$D$41*$D37))))),0)</f>
        <v>0</v>
      </c>
      <c r="W37" s="32">
        <f>IFERROR(IF(W$4="",0,IF($E37="kWh",VLOOKUP(W$4,'4. Billing Determinants'!$B$19:$R$41,4,0)/'4. Billing Determinants'!$E$41*$D37,IF($E37="kW",VLOOKUP(W$4,'4. Billing Determinants'!$B$19:$R$41,5,0)/'4. Billing Determinants'!$F$41*$D37,IF($E37="Non-RPP kWh",VLOOKUP(W$4,'4. Billing Determinants'!$B$19:$R$41,6,0)/'4. Billing Determinants'!$G$41*$D37,IF($E37="Distribution Rev.",VLOOKUP(W$4,'4. Billing Determinants'!$B$19:$R$41,8,0)/'4. Billing Determinants'!$I$41*$D37, VLOOKUP(W$4,'4. Billing Determinants'!$B$19:$R$41,3,0)/'4. Billing Determinants'!$D$41*$D37))))),0)</f>
        <v>0</v>
      </c>
      <c r="X37" s="32">
        <f>IFERROR(IF(X$4="",0,IF($E37="kWh",VLOOKUP(X$4,'4. Billing Determinants'!$B$19:$R$41,4,0)/'4. Billing Determinants'!$E$41*$D37,IF($E37="kW",VLOOKUP(X$4,'4. Billing Determinants'!$B$19:$R$41,5,0)/'4. Billing Determinants'!$F$41*$D37,IF($E37="Non-RPP kWh",VLOOKUP(X$4,'4. Billing Determinants'!$B$19:$R$41,6,0)/'4. Billing Determinants'!$G$41*$D37,IF($E37="Distribution Rev.",VLOOKUP(X$4,'4. Billing Determinants'!$B$19:$R$41,8,0)/'4. Billing Determinants'!$I$41*$D37, VLOOKUP(X$4,'4. Billing Determinants'!$B$19:$R$41,3,0)/'4. Billing Determinants'!$D$41*$D37))))),0)</f>
        <v>0</v>
      </c>
      <c r="Y37" s="32">
        <f>IFERROR(IF(Y$4="",0,IF($E37="kWh",VLOOKUP(Y$4,'4. Billing Determinants'!$B$19:$R$41,4,0)/'4. Billing Determinants'!$E$41*$D37,IF($E37="kW",VLOOKUP(Y$4,'4. Billing Determinants'!$B$19:$R$41,5,0)/'4. Billing Determinants'!$F$41*$D37,IF($E37="Non-RPP kWh",VLOOKUP(Y$4,'4. Billing Determinants'!$B$19:$R$41,6,0)/'4. Billing Determinants'!$G$41*$D37,IF($E37="Distribution Rev.",VLOOKUP(Y$4,'4. Billing Determinants'!$B$19:$R$41,8,0)/'4. Billing Determinants'!$I$41*$D37, VLOOKUP(Y$4,'4. Billing Determinants'!$B$19:$R$41,3,0)/'4. Billing Determinants'!$D$41*$D37))))),0)</f>
        <v>0</v>
      </c>
    </row>
    <row r="38" spans="1:25" x14ac:dyDescent="0.2">
      <c r="B38" s="300" t="str">
        <f>IF('2b. Continuity Schedule'!C64="","",'2b. Continuity Schedule'!C64)</f>
        <v>Other Regulatory Assets - Sub-Account - ICM Sault Smart Grid Rate Riders</v>
      </c>
      <c r="C38" s="31">
        <v>1508</v>
      </c>
      <c r="D38" s="32">
        <f>'2b. Continuity Schedule'!BT64</f>
        <v>-852614</v>
      </c>
      <c r="E38" s="48" t="s">
        <v>139</v>
      </c>
      <c r="F38" s="32">
        <f>IFERROR(IF(F$4="",0,IF($E38="kWh",VLOOKUP(F$4,'4. Billing Determinants'!$B$19:$R$41,4,0)/'4. Billing Determinants'!$E$41*$D38,IF($E38="kW",VLOOKUP(F$4,'4. Billing Determinants'!$B$19:$R$41,5,0)/'4. Billing Determinants'!$F$41*$D38,IF($E38="Non-RPP kWh",VLOOKUP(F$4,'4. Billing Determinants'!$B$19:$R$41,6,0)/'4. Billing Determinants'!$G$41*$D38,IF($E38="Distribution Rev.",VLOOKUP(F$4,'4. Billing Determinants'!$B$19:$R$41,8,0)/'4. Billing Determinants'!$I$41*$D38, VLOOKUP(F$4,'4. Billing Determinants'!$B$19:$R$41,3,0)/'4. Billing Determinants'!$D$41*$D38))))),0)</f>
        <v>-398296.31014166301</v>
      </c>
      <c r="G38" s="32">
        <f>IFERROR(IF(G$4="",0,IF($E38="kWh",VLOOKUP(G$4,'4. Billing Determinants'!$B$19:$R$41,4,0)/'4. Billing Determinants'!$E$41*$D38,IF($E38="kW",VLOOKUP(G$4,'4. Billing Determinants'!$B$19:$R$41,5,0)/'4. Billing Determinants'!$F$41*$D38,IF($E38="Non-RPP kWh",VLOOKUP(G$4,'4. Billing Determinants'!$B$19:$R$41,6,0)/'4. Billing Determinants'!$G$41*$D38,IF($E38="Distribution Rev.",VLOOKUP(G$4,'4. Billing Determinants'!$B$19:$R$41,8,0)/'4. Billing Determinants'!$I$41*$D38, VLOOKUP(G$4,'4. Billing Determinants'!$B$19:$R$41,3,0)/'4. Billing Determinants'!$D$41*$D38))))),0)</f>
        <v>-121829.71100931421</v>
      </c>
      <c r="H38" s="32">
        <f>IFERROR(IF(H$4="",0,IF($E38="kWh",VLOOKUP(H$4,'4. Billing Determinants'!$B$19:$R$41,4,0)/'4. Billing Determinants'!$E$41*$D38,IF($E38="kW",VLOOKUP(H$4,'4. Billing Determinants'!$B$19:$R$41,5,0)/'4. Billing Determinants'!$F$41*$D38,IF($E38="Non-RPP kWh",VLOOKUP(H$4,'4. Billing Determinants'!$B$19:$R$41,6,0)/'4. Billing Determinants'!$G$41*$D38,IF($E38="Distribution Rev.",VLOOKUP(H$4,'4. Billing Determinants'!$B$19:$R$41,8,0)/'4. Billing Determinants'!$I$41*$D38, VLOOKUP(H$4,'4. Billing Determinants'!$B$19:$R$41,3,0)/'4. Billing Determinants'!$D$41*$D38))))),0)</f>
        <v>-327515.14080826717</v>
      </c>
      <c r="I38" s="32">
        <f>IFERROR(IF(I$4="",0,IF($E38="kWh",VLOOKUP(I$4,'4. Billing Determinants'!$B$19:$R$41,4,0)/'4. Billing Determinants'!$E$41*$D38,IF($E38="kW",VLOOKUP(I$4,'4. Billing Determinants'!$B$19:$R$41,5,0)/'4. Billing Determinants'!$F$41*$D38,IF($E38="Non-RPP kWh",VLOOKUP(I$4,'4. Billing Determinants'!$B$19:$R$41,6,0)/'4. Billing Determinants'!$G$41*$D38,IF($E38="Distribution Rev.",VLOOKUP(I$4,'4. Billing Determinants'!$B$19:$R$41,8,0)/'4. Billing Determinants'!$I$41*$D38, VLOOKUP(I$4,'4. Billing Determinants'!$B$19:$R$41,3,0)/'4. Billing Determinants'!$D$41*$D38))))),0)</f>
        <v>-1236.7860999192267</v>
      </c>
      <c r="J38" s="32">
        <f>IFERROR(IF(J$4="",0,IF($E38="kWh",VLOOKUP(J$4,'4. Billing Determinants'!$B$19:$R$41,4,0)/'4. Billing Determinants'!$E$41*$D38,IF($E38="kW",VLOOKUP(J$4,'4. Billing Determinants'!$B$19:$R$41,5,0)/'4. Billing Determinants'!$F$41*$D38,IF($E38="Non-RPP kWh",VLOOKUP(J$4,'4. Billing Determinants'!$B$19:$R$41,6,0)/'4. Billing Determinants'!$G$41*$D38,IF($E38="Distribution Rev.",VLOOKUP(J$4,'4. Billing Determinants'!$B$19:$R$41,8,0)/'4. Billing Determinants'!$I$41*$D38, VLOOKUP(J$4,'4. Billing Determinants'!$B$19:$R$41,3,0)/'4. Billing Determinants'!$D$41*$D38))))),0)</f>
        <v>-3463.1638207145334</v>
      </c>
      <c r="K38" s="32">
        <f>IFERROR(IF(K$4="",0,IF($E38="kWh",VLOOKUP(K$4,'4. Billing Determinants'!$B$19:$R$41,4,0)/'4. Billing Determinants'!$E$41*$D38,IF($E38="kW",VLOOKUP(K$4,'4. Billing Determinants'!$B$19:$R$41,5,0)/'4. Billing Determinants'!$F$41*$D38,IF($E38="Non-RPP kWh",VLOOKUP(K$4,'4. Billing Determinants'!$B$19:$R$41,6,0)/'4. Billing Determinants'!$G$41*$D38,IF($E38="Distribution Rev.",VLOOKUP(K$4,'4. Billing Determinants'!$B$19:$R$41,8,0)/'4. Billing Determinants'!$I$41*$D38, VLOOKUP(K$4,'4. Billing Determinants'!$B$19:$R$41,3,0)/'4. Billing Determinants'!$D$41*$D38))))),0)</f>
        <v>-272.8881201218889</v>
      </c>
      <c r="L38" s="32">
        <f>IFERROR(IF(L$4="",0,IF($E38="kWh",VLOOKUP(L$4,'4. Billing Determinants'!$B$19:$R$41,4,0)/'4. Billing Determinants'!$E$41*$D38,IF($E38="kW",VLOOKUP(L$4,'4. Billing Determinants'!$B$19:$R$41,5,0)/'4. Billing Determinants'!$F$41*$D38,IF($E38="Non-RPP kWh",VLOOKUP(L$4,'4. Billing Determinants'!$B$19:$R$41,6,0)/'4. Billing Determinants'!$G$41*$D38,IF($E38="Distribution Rev.",VLOOKUP(L$4,'4. Billing Determinants'!$B$19:$R$41,8,0)/'4. Billing Determinants'!$I$41*$D38, VLOOKUP(L$4,'4. Billing Determinants'!$B$19:$R$41,3,0)/'4. Billing Determinants'!$D$41*$D38))))),0)</f>
        <v>0</v>
      </c>
      <c r="M38" s="32">
        <f>IFERROR(IF(M$4="",0,IF($E38="kWh",VLOOKUP(M$4,'4. Billing Determinants'!$B$19:$R$41,4,0)/'4. Billing Determinants'!$E$41*$D38,IF($E38="kW",VLOOKUP(M$4,'4. Billing Determinants'!$B$19:$R$41,5,0)/'4. Billing Determinants'!$F$41*$D38,IF($E38="Non-RPP kWh",VLOOKUP(M$4,'4. Billing Determinants'!$B$19:$R$41,6,0)/'4. Billing Determinants'!$G$41*$D38,IF($E38="Distribution Rev.",VLOOKUP(M$4,'4. Billing Determinants'!$B$19:$R$41,8,0)/'4. Billing Determinants'!$I$41*$D38, VLOOKUP(M$4,'4. Billing Determinants'!$B$19:$R$41,3,0)/'4. Billing Determinants'!$D$41*$D38))))),0)</f>
        <v>0</v>
      </c>
      <c r="N38" s="32">
        <f>IFERROR(IF(N$4="",0,IF($E38="kWh",VLOOKUP(N$4,'4. Billing Determinants'!$B$19:$R$41,4,0)/'4. Billing Determinants'!$E$41*$D38,IF($E38="kW",VLOOKUP(N$4,'4. Billing Determinants'!$B$19:$R$41,5,0)/'4. Billing Determinants'!$F$41*$D38,IF($E38="Non-RPP kWh",VLOOKUP(N$4,'4. Billing Determinants'!$B$19:$R$41,6,0)/'4. Billing Determinants'!$G$41*$D38,IF($E38="Distribution Rev.",VLOOKUP(N$4,'4. Billing Determinants'!$B$19:$R$41,8,0)/'4. Billing Determinants'!$I$41*$D38, VLOOKUP(N$4,'4. Billing Determinants'!$B$19:$R$41,3,0)/'4. Billing Determinants'!$D$41*$D38))))),0)</f>
        <v>0</v>
      </c>
      <c r="O38" s="32">
        <f>IFERROR(IF(O$4="",0,IF($E38="kWh",VLOOKUP(O$4,'4. Billing Determinants'!$B$19:$R$41,4,0)/'4. Billing Determinants'!$E$41*$D38,IF($E38="kW",VLOOKUP(O$4,'4. Billing Determinants'!$B$19:$R$41,5,0)/'4. Billing Determinants'!$F$41*$D38,IF($E38="Non-RPP kWh",VLOOKUP(O$4,'4. Billing Determinants'!$B$19:$R$41,6,0)/'4. Billing Determinants'!$G$41*$D38,IF($E38="Distribution Rev.",VLOOKUP(O$4,'4. Billing Determinants'!$B$19:$R$41,8,0)/'4. Billing Determinants'!$I$41*$D38, VLOOKUP(O$4,'4. Billing Determinants'!$B$19:$R$41,3,0)/'4. Billing Determinants'!$D$41*$D38))))),0)</f>
        <v>0</v>
      </c>
      <c r="P38" s="32">
        <f>IFERROR(IF(P$4="",0,IF($E38="kWh",VLOOKUP(P$4,'4. Billing Determinants'!$B$19:$R$41,4,0)/'4. Billing Determinants'!$E$41*$D38,IF($E38="kW",VLOOKUP(P$4,'4. Billing Determinants'!$B$19:$R$41,5,0)/'4. Billing Determinants'!$F$41*$D38,IF($E38="Non-RPP kWh",VLOOKUP(P$4,'4. Billing Determinants'!$B$19:$R$41,6,0)/'4. Billing Determinants'!$G$41*$D38,IF($E38="Distribution Rev.",VLOOKUP(P$4,'4. Billing Determinants'!$B$19:$R$41,8,0)/'4. Billing Determinants'!$I$41*$D38, VLOOKUP(P$4,'4. Billing Determinants'!$B$19:$R$41,3,0)/'4. Billing Determinants'!$D$41*$D38))))),0)</f>
        <v>0</v>
      </c>
      <c r="Q38" s="32">
        <f>IFERROR(IF(Q$4="",0,IF($E38="kWh",VLOOKUP(Q$4,'4. Billing Determinants'!$B$19:$R$41,4,0)/'4. Billing Determinants'!$E$41*$D38,IF($E38="kW",VLOOKUP(Q$4,'4. Billing Determinants'!$B$19:$R$41,5,0)/'4. Billing Determinants'!$F$41*$D38,IF($E38="Non-RPP kWh",VLOOKUP(Q$4,'4. Billing Determinants'!$B$19:$R$41,6,0)/'4. Billing Determinants'!$G$41*$D38,IF($E38="Distribution Rev.",VLOOKUP(Q$4,'4. Billing Determinants'!$B$19:$R$41,8,0)/'4. Billing Determinants'!$I$41*$D38, VLOOKUP(Q$4,'4. Billing Determinants'!$B$19:$R$41,3,0)/'4. Billing Determinants'!$D$41*$D38))))),0)</f>
        <v>0</v>
      </c>
      <c r="R38" s="32">
        <f>IFERROR(IF(R$4="",0,IF($E38="kWh",VLOOKUP(R$4,'4. Billing Determinants'!$B$19:$R$41,4,0)/'4. Billing Determinants'!$E$41*$D38,IF($E38="kW",VLOOKUP(R$4,'4. Billing Determinants'!$B$19:$R$41,5,0)/'4. Billing Determinants'!$F$41*$D38,IF($E38="Non-RPP kWh",VLOOKUP(R$4,'4. Billing Determinants'!$B$19:$R$41,6,0)/'4. Billing Determinants'!$G$41*$D38,IF($E38="Distribution Rev.",VLOOKUP(R$4,'4. Billing Determinants'!$B$19:$R$41,8,0)/'4. Billing Determinants'!$I$41*$D38, VLOOKUP(R$4,'4. Billing Determinants'!$B$19:$R$41,3,0)/'4. Billing Determinants'!$D$41*$D38))))),0)</f>
        <v>0</v>
      </c>
      <c r="S38" s="32">
        <f>IFERROR(IF(S$4="",0,IF($E38="kWh",VLOOKUP(S$4,'4. Billing Determinants'!$B$19:$R$41,4,0)/'4. Billing Determinants'!$E$41*$D38,IF($E38="kW",VLOOKUP(S$4,'4. Billing Determinants'!$B$19:$R$41,5,0)/'4. Billing Determinants'!$F$41*$D38,IF($E38="Non-RPP kWh",VLOOKUP(S$4,'4. Billing Determinants'!$B$19:$R$41,6,0)/'4. Billing Determinants'!$G$41*$D38,IF($E38="Distribution Rev.",VLOOKUP(S$4,'4. Billing Determinants'!$B$19:$R$41,8,0)/'4. Billing Determinants'!$I$41*$D38, VLOOKUP(S$4,'4. Billing Determinants'!$B$19:$R$41,3,0)/'4. Billing Determinants'!$D$41*$D38))))),0)</f>
        <v>0</v>
      </c>
      <c r="T38" s="32">
        <f>IFERROR(IF(T$4="",0,IF($E38="kWh",VLOOKUP(T$4,'4. Billing Determinants'!$B$19:$R$41,4,0)/'4. Billing Determinants'!$E$41*$D38,IF($E38="kW",VLOOKUP(T$4,'4. Billing Determinants'!$B$19:$R$41,5,0)/'4. Billing Determinants'!$F$41*$D38,IF($E38="Non-RPP kWh",VLOOKUP(T$4,'4. Billing Determinants'!$B$19:$R$41,6,0)/'4. Billing Determinants'!$G$41*$D38,IF($E38="Distribution Rev.",VLOOKUP(T$4,'4. Billing Determinants'!$B$19:$R$41,8,0)/'4. Billing Determinants'!$I$41*$D38, VLOOKUP(T$4,'4. Billing Determinants'!$B$19:$R$41,3,0)/'4. Billing Determinants'!$D$41*$D38))))),0)</f>
        <v>0</v>
      </c>
      <c r="U38" s="32">
        <f>IFERROR(IF(U$4="",0,IF($E38="kWh",VLOOKUP(U$4,'4. Billing Determinants'!$B$19:$R$41,4,0)/'4. Billing Determinants'!$E$41*$D38,IF($E38="kW",VLOOKUP(U$4,'4. Billing Determinants'!$B$19:$R$41,5,0)/'4. Billing Determinants'!$F$41*$D38,IF($E38="Non-RPP kWh",VLOOKUP(U$4,'4. Billing Determinants'!$B$19:$R$41,6,0)/'4. Billing Determinants'!$G$41*$D38,IF($E38="Distribution Rev.",VLOOKUP(U$4,'4. Billing Determinants'!$B$19:$R$41,8,0)/'4. Billing Determinants'!$I$41*$D38, VLOOKUP(U$4,'4. Billing Determinants'!$B$19:$R$41,3,0)/'4. Billing Determinants'!$D$41*$D38))))),0)</f>
        <v>0</v>
      </c>
      <c r="V38" s="32">
        <f>IFERROR(IF(V$4="",0,IF($E38="kWh",VLOOKUP(V$4,'4. Billing Determinants'!$B$19:$R$41,4,0)/'4. Billing Determinants'!$E$41*$D38,IF($E38="kW",VLOOKUP(V$4,'4. Billing Determinants'!$B$19:$R$41,5,0)/'4. Billing Determinants'!$F$41*$D38,IF($E38="Non-RPP kWh",VLOOKUP(V$4,'4. Billing Determinants'!$B$19:$R$41,6,0)/'4. Billing Determinants'!$G$41*$D38,IF($E38="Distribution Rev.",VLOOKUP(V$4,'4. Billing Determinants'!$B$19:$R$41,8,0)/'4. Billing Determinants'!$I$41*$D38, VLOOKUP(V$4,'4. Billing Determinants'!$B$19:$R$41,3,0)/'4. Billing Determinants'!$D$41*$D38))))),0)</f>
        <v>0</v>
      </c>
      <c r="W38" s="32">
        <f>IFERROR(IF(W$4="",0,IF($E38="kWh",VLOOKUP(W$4,'4. Billing Determinants'!$B$19:$R$41,4,0)/'4. Billing Determinants'!$E$41*$D38,IF($E38="kW",VLOOKUP(W$4,'4. Billing Determinants'!$B$19:$R$41,5,0)/'4. Billing Determinants'!$F$41*$D38,IF($E38="Non-RPP kWh",VLOOKUP(W$4,'4. Billing Determinants'!$B$19:$R$41,6,0)/'4. Billing Determinants'!$G$41*$D38,IF($E38="Distribution Rev.",VLOOKUP(W$4,'4. Billing Determinants'!$B$19:$R$41,8,0)/'4. Billing Determinants'!$I$41*$D38, VLOOKUP(W$4,'4. Billing Determinants'!$B$19:$R$41,3,0)/'4. Billing Determinants'!$D$41*$D38))))),0)</f>
        <v>0</v>
      </c>
      <c r="X38" s="32">
        <f>IFERROR(IF(X$4="",0,IF($E38="kWh",VLOOKUP(X$4,'4. Billing Determinants'!$B$19:$R$41,4,0)/'4. Billing Determinants'!$E$41*$D38,IF($E38="kW",VLOOKUP(X$4,'4. Billing Determinants'!$B$19:$R$41,5,0)/'4. Billing Determinants'!$F$41*$D38,IF($E38="Non-RPP kWh",VLOOKUP(X$4,'4. Billing Determinants'!$B$19:$R$41,6,0)/'4. Billing Determinants'!$G$41*$D38,IF($E38="Distribution Rev.",VLOOKUP(X$4,'4. Billing Determinants'!$B$19:$R$41,8,0)/'4. Billing Determinants'!$I$41*$D38, VLOOKUP(X$4,'4. Billing Determinants'!$B$19:$R$41,3,0)/'4. Billing Determinants'!$D$41*$D38))))),0)</f>
        <v>0</v>
      </c>
      <c r="Y38" s="32">
        <f>IFERROR(IF(Y$4="",0,IF($E38="kWh",VLOOKUP(Y$4,'4. Billing Determinants'!$B$19:$R$41,4,0)/'4. Billing Determinants'!$E$41*$D38,IF($E38="kW",VLOOKUP(Y$4,'4. Billing Determinants'!$B$19:$R$41,5,0)/'4. Billing Determinants'!$F$41*$D38,IF($E38="Non-RPP kWh",VLOOKUP(Y$4,'4. Billing Determinants'!$B$19:$R$41,6,0)/'4. Billing Determinants'!$G$41*$D38,IF($E38="Distribution Rev.",VLOOKUP(Y$4,'4. Billing Determinants'!$B$19:$R$41,8,0)/'4. Billing Determinants'!$I$41*$D38, VLOOKUP(Y$4,'4. Billing Determinants'!$B$19:$R$41,3,0)/'4. Billing Determinants'!$D$41*$D38))))),0)</f>
        <v>0</v>
      </c>
    </row>
    <row r="39" spans="1:25" x14ac:dyDescent="0.2">
      <c r="B39" s="300" t="str">
        <f>IF('2b. Continuity Schedule'!C65="","",'2b. Continuity Schedule'!C65)</f>
        <v>COVID-19 Foregone Revenue - IRM May 1 2020 Delayed Rate Implementation</v>
      </c>
      <c r="C39" s="31">
        <v>1508</v>
      </c>
      <c r="D39" s="32">
        <f>'2b. Continuity Schedule'!BT65</f>
        <v>198524.10595</v>
      </c>
      <c r="E39" s="48" t="s">
        <v>139</v>
      </c>
      <c r="F39" s="32">
        <f>IFERROR(IF(F$4="",0,IF($E39="kWh",VLOOKUP(F$4,'4. Billing Determinants'!$B$19:$R$41,4,0)/'4. Billing Determinants'!$E$41*$D39,IF($E39="kW",VLOOKUP(F$4,'4. Billing Determinants'!$B$19:$R$41,5,0)/'4. Billing Determinants'!$F$41*$D39,IF($E39="Non-RPP kWh",VLOOKUP(F$4,'4. Billing Determinants'!$B$19:$R$41,6,0)/'4. Billing Determinants'!$G$41*$D39,IF($E39="Distribution Rev.",VLOOKUP(F$4,'4. Billing Determinants'!$B$19:$R$41,8,0)/'4. Billing Determinants'!$I$41*$D39, VLOOKUP(F$4,'4. Billing Determinants'!$B$19:$R$41,3,0)/'4. Billing Determinants'!$D$41*$D39))))),0)</f>
        <v>92739.995911464692</v>
      </c>
      <c r="G39" s="32">
        <f>IFERROR(IF(G$4="",0,IF($E39="kWh",VLOOKUP(G$4,'4. Billing Determinants'!$B$19:$R$41,4,0)/'4. Billing Determinants'!$E$41*$D39,IF($E39="kW",VLOOKUP(G$4,'4. Billing Determinants'!$B$19:$R$41,5,0)/'4. Billing Determinants'!$F$41*$D39,IF($E39="Non-RPP kWh",VLOOKUP(G$4,'4. Billing Determinants'!$B$19:$R$41,6,0)/'4. Billing Determinants'!$G$41*$D39,IF($E39="Distribution Rev.",VLOOKUP(G$4,'4. Billing Determinants'!$B$19:$R$41,8,0)/'4. Billing Determinants'!$I$41*$D39, VLOOKUP(G$4,'4. Billing Determinants'!$B$19:$R$41,3,0)/'4. Billing Determinants'!$D$41*$D39))))),0)</f>
        <v>28367.038843217419</v>
      </c>
      <c r="H39" s="32">
        <f>IFERROR(IF(H$4="",0,IF($E39="kWh",VLOOKUP(H$4,'4. Billing Determinants'!$B$19:$R$41,4,0)/'4. Billing Determinants'!$E$41*$D39,IF($E39="kW",VLOOKUP(H$4,'4. Billing Determinants'!$B$19:$R$41,5,0)/'4. Billing Determinants'!$F$41*$D39,IF($E39="Non-RPP kWh",VLOOKUP(H$4,'4. Billing Determinants'!$B$19:$R$41,6,0)/'4. Billing Determinants'!$G$41*$D39,IF($E39="Distribution Rev.",VLOOKUP(H$4,'4. Billing Determinants'!$B$19:$R$41,8,0)/'4. Billing Determinants'!$I$41*$D39, VLOOKUP(H$4,'4. Billing Determinants'!$B$19:$R$41,3,0)/'4. Billing Determinants'!$D$41*$D39))))),0)</f>
        <v>76259.187057741947</v>
      </c>
      <c r="I39" s="32">
        <f>IFERROR(IF(I$4="",0,IF($E39="kWh",VLOOKUP(I$4,'4. Billing Determinants'!$B$19:$R$41,4,0)/'4. Billing Determinants'!$E$41*$D39,IF($E39="kW",VLOOKUP(I$4,'4. Billing Determinants'!$B$19:$R$41,5,0)/'4. Billing Determinants'!$F$41*$D39,IF($E39="Non-RPP kWh",VLOOKUP(I$4,'4. Billing Determinants'!$B$19:$R$41,6,0)/'4. Billing Determinants'!$G$41*$D39,IF($E39="Distribution Rev.",VLOOKUP(I$4,'4. Billing Determinants'!$B$19:$R$41,8,0)/'4. Billing Determinants'!$I$41*$D39, VLOOKUP(I$4,'4. Billing Determinants'!$B$19:$R$41,3,0)/'4. Billing Determinants'!$D$41*$D39))))),0)</f>
        <v>287.97539653096459</v>
      </c>
      <c r="J39" s="32">
        <f>IFERROR(IF(J$4="",0,IF($E39="kWh",VLOOKUP(J$4,'4. Billing Determinants'!$B$19:$R$41,4,0)/'4. Billing Determinants'!$E$41*$D39,IF($E39="kW",VLOOKUP(J$4,'4. Billing Determinants'!$B$19:$R$41,5,0)/'4. Billing Determinants'!$F$41*$D39,IF($E39="Non-RPP kWh",VLOOKUP(J$4,'4. Billing Determinants'!$B$19:$R$41,6,0)/'4. Billing Determinants'!$G$41*$D39,IF($E39="Distribution Rev.",VLOOKUP(J$4,'4. Billing Determinants'!$B$19:$R$41,8,0)/'4. Billing Determinants'!$I$41*$D39, VLOOKUP(J$4,'4. Billing Determinants'!$B$19:$R$41,3,0)/'4. Billing Determinants'!$D$41*$D39))))),0)</f>
        <v>806.36900316642573</v>
      </c>
      <c r="K39" s="32">
        <f>IFERROR(IF(K$4="",0,IF($E39="kWh",VLOOKUP(K$4,'4. Billing Determinants'!$B$19:$R$41,4,0)/'4. Billing Determinants'!$E$41*$D39,IF($E39="kW",VLOOKUP(K$4,'4. Billing Determinants'!$B$19:$R$41,5,0)/'4. Billing Determinants'!$F$41*$D39,IF($E39="Non-RPP kWh",VLOOKUP(K$4,'4. Billing Determinants'!$B$19:$R$41,6,0)/'4. Billing Determinants'!$G$41*$D39,IF($E39="Distribution Rev.",VLOOKUP(K$4,'4. Billing Determinants'!$B$19:$R$41,8,0)/'4. Billing Determinants'!$I$41*$D39, VLOOKUP(K$4,'4. Billing Determinants'!$B$19:$R$41,3,0)/'4. Billing Determinants'!$D$41*$D39))))),0)</f>
        <v>63.539737878540812</v>
      </c>
      <c r="L39" s="32">
        <f>IFERROR(IF(L$4="",0,IF($E39="kWh",VLOOKUP(L$4,'4. Billing Determinants'!$B$19:$R$41,4,0)/'4. Billing Determinants'!$E$41*$D39,IF($E39="kW",VLOOKUP(L$4,'4. Billing Determinants'!$B$19:$R$41,5,0)/'4. Billing Determinants'!$F$41*$D39,IF($E39="Non-RPP kWh",VLOOKUP(L$4,'4. Billing Determinants'!$B$19:$R$41,6,0)/'4. Billing Determinants'!$G$41*$D39,IF($E39="Distribution Rev.",VLOOKUP(L$4,'4. Billing Determinants'!$B$19:$R$41,8,0)/'4. Billing Determinants'!$I$41*$D39, VLOOKUP(L$4,'4. Billing Determinants'!$B$19:$R$41,3,0)/'4. Billing Determinants'!$D$41*$D39))))),0)</f>
        <v>0</v>
      </c>
      <c r="M39" s="32">
        <f>IFERROR(IF(M$4="",0,IF($E39="kWh",VLOOKUP(M$4,'4. Billing Determinants'!$B$19:$R$41,4,0)/'4. Billing Determinants'!$E$41*$D39,IF($E39="kW",VLOOKUP(M$4,'4. Billing Determinants'!$B$19:$R$41,5,0)/'4. Billing Determinants'!$F$41*$D39,IF($E39="Non-RPP kWh",VLOOKUP(M$4,'4. Billing Determinants'!$B$19:$R$41,6,0)/'4. Billing Determinants'!$G$41*$D39,IF($E39="Distribution Rev.",VLOOKUP(M$4,'4. Billing Determinants'!$B$19:$R$41,8,0)/'4. Billing Determinants'!$I$41*$D39, VLOOKUP(M$4,'4. Billing Determinants'!$B$19:$R$41,3,0)/'4. Billing Determinants'!$D$41*$D39))))),0)</f>
        <v>0</v>
      </c>
      <c r="N39" s="32">
        <f>IFERROR(IF(N$4="",0,IF($E39="kWh",VLOOKUP(N$4,'4. Billing Determinants'!$B$19:$R$41,4,0)/'4. Billing Determinants'!$E$41*$D39,IF($E39="kW",VLOOKUP(N$4,'4. Billing Determinants'!$B$19:$R$41,5,0)/'4. Billing Determinants'!$F$41*$D39,IF($E39="Non-RPP kWh",VLOOKUP(N$4,'4. Billing Determinants'!$B$19:$R$41,6,0)/'4. Billing Determinants'!$G$41*$D39,IF($E39="Distribution Rev.",VLOOKUP(N$4,'4. Billing Determinants'!$B$19:$R$41,8,0)/'4. Billing Determinants'!$I$41*$D39, VLOOKUP(N$4,'4. Billing Determinants'!$B$19:$R$41,3,0)/'4. Billing Determinants'!$D$41*$D39))))),0)</f>
        <v>0</v>
      </c>
      <c r="O39" s="32">
        <f>IFERROR(IF(O$4="",0,IF($E39="kWh",VLOOKUP(O$4,'4. Billing Determinants'!$B$19:$R$41,4,0)/'4. Billing Determinants'!$E$41*$D39,IF($E39="kW",VLOOKUP(O$4,'4. Billing Determinants'!$B$19:$R$41,5,0)/'4. Billing Determinants'!$F$41*$D39,IF($E39="Non-RPP kWh",VLOOKUP(O$4,'4. Billing Determinants'!$B$19:$R$41,6,0)/'4. Billing Determinants'!$G$41*$D39,IF($E39="Distribution Rev.",VLOOKUP(O$4,'4. Billing Determinants'!$B$19:$R$41,8,0)/'4. Billing Determinants'!$I$41*$D39, VLOOKUP(O$4,'4. Billing Determinants'!$B$19:$R$41,3,0)/'4. Billing Determinants'!$D$41*$D39))))),0)</f>
        <v>0</v>
      </c>
      <c r="P39" s="32">
        <f>IFERROR(IF(P$4="",0,IF($E39="kWh",VLOOKUP(P$4,'4. Billing Determinants'!$B$19:$R$41,4,0)/'4. Billing Determinants'!$E$41*$D39,IF($E39="kW",VLOOKUP(P$4,'4. Billing Determinants'!$B$19:$R$41,5,0)/'4. Billing Determinants'!$F$41*$D39,IF($E39="Non-RPP kWh",VLOOKUP(P$4,'4. Billing Determinants'!$B$19:$R$41,6,0)/'4. Billing Determinants'!$G$41*$D39,IF($E39="Distribution Rev.",VLOOKUP(P$4,'4. Billing Determinants'!$B$19:$R$41,8,0)/'4. Billing Determinants'!$I$41*$D39, VLOOKUP(P$4,'4. Billing Determinants'!$B$19:$R$41,3,0)/'4. Billing Determinants'!$D$41*$D39))))),0)</f>
        <v>0</v>
      </c>
      <c r="Q39" s="32">
        <f>IFERROR(IF(Q$4="",0,IF($E39="kWh",VLOOKUP(Q$4,'4. Billing Determinants'!$B$19:$R$41,4,0)/'4. Billing Determinants'!$E$41*$D39,IF($E39="kW",VLOOKUP(Q$4,'4. Billing Determinants'!$B$19:$R$41,5,0)/'4. Billing Determinants'!$F$41*$D39,IF($E39="Non-RPP kWh",VLOOKUP(Q$4,'4. Billing Determinants'!$B$19:$R$41,6,0)/'4. Billing Determinants'!$G$41*$D39,IF($E39="Distribution Rev.",VLOOKUP(Q$4,'4. Billing Determinants'!$B$19:$R$41,8,0)/'4. Billing Determinants'!$I$41*$D39, VLOOKUP(Q$4,'4. Billing Determinants'!$B$19:$R$41,3,0)/'4. Billing Determinants'!$D$41*$D39))))),0)</f>
        <v>0</v>
      </c>
      <c r="R39" s="32">
        <f>IFERROR(IF(R$4="",0,IF($E39="kWh",VLOOKUP(R$4,'4. Billing Determinants'!$B$19:$R$41,4,0)/'4. Billing Determinants'!$E$41*$D39,IF($E39="kW",VLOOKUP(R$4,'4. Billing Determinants'!$B$19:$R$41,5,0)/'4. Billing Determinants'!$F$41*$D39,IF($E39="Non-RPP kWh",VLOOKUP(R$4,'4. Billing Determinants'!$B$19:$R$41,6,0)/'4. Billing Determinants'!$G$41*$D39,IF($E39="Distribution Rev.",VLOOKUP(R$4,'4. Billing Determinants'!$B$19:$R$41,8,0)/'4. Billing Determinants'!$I$41*$D39, VLOOKUP(R$4,'4. Billing Determinants'!$B$19:$R$41,3,0)/'4. Billing Determinants'!$D$41*$D39))))),0)</f>
        <v>0</v>
      </c>
      <c r="S39" s="32">
        <f>IFERROR(IF(S$4="",0,IF($E39="kWh",VLOOKUP(S$4,'4. Billing Determinants'!$B$19:$R$41,4,0)/'4. Billing Determinants'!$E$41*$D39,IF($E39="kW",VLOOKUP(S$4,'4. Billing Determinants'!$B$19:$R$41,5,0)/'4. Billing Determinants'!$F$41*$D39,IF($E39="Non-RPP kWh",VLOOKUP(S$4,'4. Billing Determinants'!$B$19:$R$41,6,0)/'4. Billing Determinants'!$G$41*$D39,IF($E39="Distribution Rev.",VLOOKUP(S$4,'4. Billing Determinants'!$B$19:$R$41,8,0)/'4. Billing Determinants'!$I$41*$D39, VLOOKUP(S$4,'4. Billing Determinants'!$B$19:$R$41,3,0)/'4. Billing Determinants'!$D$41*$D39))))),0)</f>
        <v>0</v>
      </c>
      <c r="T39" s="32">
        <f>IFERROR(IF(T$4="",0,IF($E39="kWh",VLOOKUP(T$4,'4. Billing Determinants'!$B$19:$R$41,4,0)/'4. Billing Determinants'!$E$41*$D39,IF($E39="kW",VLOOKUP(T$4,'4. Billing Determinants'!$B$19:$R$41,5,0)/'4. Billing Determinants'!$F$41*$D39,IF($E39="Non-RPP kWh",VLOOKUP(T$4,'4. Billing Determinants'!$B$19:$R$41,6,0)/'4. Billing Determinants'!$G$41*$D39,IF($E39="Distribution Rev.",VLOOKUP(T$4,'4. Billing Determinants'!$B$19:$R$41,8,0)/'4. Billing Determinants'!$I$41*$D39, VLOOKUP(T$4,'4. Billing Determinants'!$B$19:$R$41,3,0)/'4. Billing Determinants'!$D$41*$D39))))),0)</f>
        <v>0</v>
      </c>
      <c r="U39" s="32">
        <f>IFERROR(IF(U$4="",0,IF($E39="kWh",VLOOKUP(U$4,'4. Billing Determinants'!$B$19:$R$41,4,0)/'4. Billing Determinants'!$E$41*$D39,IF($E39="kW",VLOOKUP(U$4,'4. Billing Determinants'!$B$19:$R$41,5,0)/'4. Billing Determinants'!$F$41*$D39,IF($E39="Non-RPP kWh",VLOOKUP(U$4,'4. Billing Determinants'!$B$19:$R$41,6,0)/'4. Billing Determinants'!$G$41*$D39,IF($E39="Distribution Rev.",VLOOKUP(U$4,'4. Billing Determinants'!$B$19:$R$41,8,0)/'4. Billing Determinants'!$I$41*$D39, VLOOKUP(U$4,'4. Billing Determinants'!$B$19:$R$41,3,0)/'4. Billing Determinants'!$D$41*$D39))))),0)</f>
        <v>0</v>
      </c>
      <c r="V39" s="32">
        <f>IFERROR(IF(V$4="",0,IF($E39="kWh",VLOOKUP(V$4,'4. Billing Determinants'!$B$19:$R$41,4,0)/'4. Billing Determinants'!$E$41*$D39,IF($E39="kW",VLOOKUP(V$4,'4. Billing Determinants'!$B$19:$R$41,5,0)/'4. Billing Determinants'!$F$41*$D39,IF($E39="Non-RPP kWh",VLOOKUP(V$4,'4. Billing Determinants'!$B$19:$R$41,6,0)/'4. Billing Determinants'!$G$41*$D39,IF($E39="Distribution Rev.",VLOOKUP(V$4,'4. Billing Determinants'!$B$19:$R$41,8,0)/'4. Billing Determinants'!$I$41*$D39, VLOOKUP(V$4,'4. Billing Determinants'!$B$19:$R$41,3,0)/'4. Billing Determinants'!$D$41*$D39))))),0)</f>
        <v>0</v>
      </c>
      <c r="W39" s="32">
        <f>IFERROR(IF(W$4="",0,IF($E39="kWh",VLOOKUP(W$4,'4. Billing Determinants'!$B$19:$R$41,4,0)/'4. Billing Determinants'!$E$41*$D39,IF($E39="kW",VLOOKUP(W$4,'4. Billing Determinants'!$B$19:$R$41,5,0)/'4. Billing Determinants'!$F$41*$D39,IF($E39="Non-RPP kWh",VLOOKUP(W$4,'4. Billing Determinants'!$B$19:$R$41,6,0)/'4. Billing Determinants'!$G$41*$D39,IF($E39="Distribution Rev.",VLOOKUP(W$4,'4. Billing Determinants'!$B$19:$R$41,8,0)/'4. Billing Determinants'!$I$41*$D39, VLOOKUP(W$4,'4. Billing Determinants'!$B$19:$R$41,3,0)/'4. Billing Determinants'!$D$41*$D39))))),0)</f>
        <v>0</v>
      </c>
      <c r="X39" s="32">
        <f>IFERROR(IF(X$4="",0,IF($E39="kWh",VLOOKUP(X$4,'4. Billing Determinants'!$B$19:$R$41,4,0)/'4. Billing Determinants'!$E$41*$D39,IF($E39="kW",VLOOKUP(X$4,'4. Billing Determinants'!$B$19:$R$41,5,0)/'4. Billing Determinants'!$F$41*$D39,IF($E39="Non-RPP kWh",VLOOKUP(X$4,'4. Billing Determinants'!$B$19:$R$41,6,0)/'4. Billing Determinants'!$G$41*$D39,IF($E39="Distribution Rev.",VLOOKUP(X$4,'4. Billing Determinants'!$B$19:$R$41,8,0)/'4. Billing Determinants'!$I$41*$D39, VLOOKUP(X$4,'4. Billing Determinants'!$B$19:$R$41,3,0)/'4. Billing Determinants'!$D$41*$D39))))),0)</f>
        <v>0</v>
      </c>
      <c r="Y39" s="32">
        <f>IFERROR(IF(Y$4="",0,IF($E39="kWh",VLOOKUP(Y$4,'4. Billing Determinants'!$B$19:$R$41,4,0)/'4. Billing Determinants'!$E$41*$D39,IF($E39="kW",VLOOKUP(Y$4,'4. Billing Determinants'!$B$19:$R$41,5,0)/'4. Billing Determinants'!$F$41*$D39,IF($E39="Non-RPP kWh",VLOOKUP(Y$4,'4. Billing Determinants'!$B$19:$R$41,6,0)/'4. Billing Determinants'!$G$41*$D39,IF($E39="Distribution Rev.",VLOOKUP(Y$4,'4. Billing Determinants'!$B$19:$R$41,8,0)/'4. Billing Determinants'!$I$41*$D39, VLOOKUP(Y$4,'4. Billing Determinants'!$B$19:$R$41,3,0)/'4. Billing Determinants'!$D$41*$D39))))),0)</f>
        <v>0</v>
      </c>
    </row>
    <row r="40" spans="1:25" x14ac:dyDescent="0.2">
      <c r="B40" s="300" t="str">
        <f>IF('2b. Continuity Schedule'!C66="","",'2b. Continuity Schedule'!C66)</f>
        <v>COVID-19 Foregone Revenue - IRM May 1 2020 Delayed Rate Implementation Rate Rider</v>
      </c>
      <c r="C40" s="31">
        <v>1508</v>
      </c>
      <c r="D40" s="32">
        <f>'2b. Continuity Schedule'!BT66</f>
        <v>-200453.29637400003</v>
      </c>
      <c r="E40" s="48" t="s">
        <v>139</v>
      </c>
      <c r="F40" s="32">
        <f>IFERROR(IF(F$4="",0,IF($E40="kWh",VLOOKUP(F$4,'4. Billing Determinants'!$B$19:$R$41,4,0)/'4. Billing Determinants'!$E$41*$D40,IF($E40="kW",VLOOKUP(F$4,'4. Billing Determinants'!$B$19:$R$41,5,0)/'4. Billing Determinants'!$F$41*$D40,IF($E40="Non-RPP kWh",VLOOKUP(F$4,'4. Billing Determinants'!$B$19:$R$41,6,0)/'4. Billing Determinants'!$G$41*$D40,IF($E40="Distribution Rev.",VLOOKUP(F$4,'4. Billing Determinants'!$B$19:$R$41,8,0)/'4. Billing Determinants'!$I$41*$D40, VLOOKUP(F$4,'4. Billing Determinants'!$B$19:$R$41,3,0)/'4. Billing Determinants'!$D$41*$D40))))),0)</f>
        <v>-93641.211968719028</v>
      </c>
      <c r="G40" s="32">
        <f>IFERROR(IF(G$4="",0,IF($E40="kWh",VLOOKUP(G$4,'4. Billing Determinants'!$B$19:$R$41,4,0)/'4. Billing Determinants'!$E$41*$D40,IF($E40="kW",VLOOKUP(G$4,'4. Billing Determinants'!$B$19:$R$41,5,0)/'4. Billing Determinants'!$F$41*$D40,IF($E40="Non-RPP kWh",VLOOKUP(G$4,'4. Billing Determinants'!$B$19:$R$41,6,0)/'4. Billing Determinants'!$G$41*$D40,IF($E40="Distribution Rev.",VLOOKUP(G$4,'4. Billing Determinants'!$B$19:$R$41,8,0)/'4. Billing Determinants'!$I$41*$D40, VLOOKUP(G$4,'4. Billing Determinants'!$B$19:$R$41,3,0)/'4. Billing Determinants'!$D$41*$D40))))),0)</f>
        <v>-28642.700176291775</v>
      </c>
      <c r="H40" s="32">
        <f>IFERROR(IF(H$4="",0,IF($E40="kWh",VLOOKUP(H$4,'4. Billing Determinants'!$B$19:$R$41,4,0)/'4. Billing Determinants'!$E$41*$D40,IF($E40="kW",VLOOKUP(H$4,'4. Billing Determinants'!$B$19:$R$41,5,0)/'4. Billing Determinants'!$F$41*$D40,IF($E40="Non-RPP kWh",VLOOKUP(H$4,'4. Billing Determinants'!$B$19:$R$41,6,0)/'4. Billing Determinants'!$G$41*$D40,IF($E40="Distribution Rev.",VLOOKUP(H$4,'4. Billing Determinants'!$B$19:$R$41,8,0)/'4. Billing Determinants'!$I$41*$D40, VLOOKUP(H$4,'4. Billing Determinants'!$B$19:$R$41,3,0)/'4. Billing Determinants'!$D$41*$D40))))),0)</f>
        <v>-77000.248163192169</v>
      </c>
      <c r="I40" s="32">
        <f>IFERROR(IF(I$4="",0,IF($E40="kWh",VLOOKUP(I$4,'4. Billing Determinants'!$B$19:$R$41,4,0)/'4. Billing Determinants'!$E$41*$D40,IF($E40="kW",VLOOKUP(I$4,'4. Billing Determinants'!$B$19:$R$41,5,0)/'4. Billing Determinants'!$F$41*$D40,IF($E40="Non-RPP kWh",VLOOKUP(I$4,'4. Billing Determinants'!$B$19:$R$41,6,0)/'4. Billing Determinants'!$G$41*$D40,IF($E40="Distribution Rev.",VLOOKUP(I$4,'4. Billing Determinants'!$B$19:$R$41,8,0)/'4. Billing Determinants'!$I$41*$D40, VLOOKUP(I$4,'4. Billing Determinants'!$B$19:$R$41,3,0)/'4. Billing Determinants'!$D$41*$D40))))),0)</f>
        <v>-290.77384448103402</v>
      </c>
      <c r="J40" s="32">
        <f>IFERROR(IF(J$4="",0,IF($E40="kWh",VLOOKUP(J$4,'4. Billing Determinants'!$B$19:$R$41,4,0)/'4. Billing Determinants'!$E$41*$D40,IF($E40="kW",VLOOKUP(J$4,'4. Billing Determinants'!$B$19:$R$41,5,0)/'4. Billing Determinants'!$F$41*$D40,IF($E40="Non-RPP kWh",VLOOKUP(J$4,'4. Billing Determinants'!$B$19:$R$41,6,0)/'4. Billing Determinants'!$G$41*$D40,IF($E40="Distribution Rev.",VLOOKUP(J$4,'4. Billing Determinants'!$B$19:$R$41,8,0)/'4. Billing Determinants'!$I$41*$D40, VLOOKUP(J$4,'4. Billing Determinants'!$B$19:$R$41,3,0)/'4. Billing Determinants'!$D$41*$D40))))),0)</f>
        <v>-814.20502565686786</v>
      </c>
      <c r="K40" s="32">
        <f>IFERROR(IF(K$4="",0,IF($E40="kWh",VLOOKUP(K$4,'4. Billing Determinants'!$B$19:$R$41,4,0)/'4. Billing Determinants'!$E$41*$D40,IF($E40="kW",VLOOKUP(K$4,'4. Billing Determinants'!$B$19:$R$41,5,0)/'4. Billing Determinants'!$F$41*$D40,IF($E40="Non-RPP kWh",VLOOKUP(K$4,'4. Billing Determinants'!$B$19:$R$41,6,0)/'4. Billing Determinants'!$G$41*$D40,IF($E40="Distribution Rev.",VLOOKUP(K$4,'4. Billing Determinants'!$B$19:$R$41,8,0)/'4. Billing Determinants'!$I$41*$D40, VLOOKUP(K$4,'4. Billing Determinants'!$B$19:$R$41,3,0)/'4. Billing Determinants'!$D$41*$D40))))),0)</f>
        <v>-64.157195659157267</v>
      </c>
      <c r="L40" s="32">
        <f>IFERROR(IF(L$4="",0,IF($E40="kWh",VLOOKUP(L$4,'4. Billing Determinants'!$B$19:$R$41,4,0)/'4. Billing Determinants'!$E$41*$D40,IF($E40="kW",VLOOKUP(L$4,'4. Billing Determinants'!$B$19:$R$41,5,0)/'4. Billing Determinants'!$F$41*$D40,IF($E40="Non-RPP kWh",VLOOKUP(L$4,'4. Billing Determinants'!$B$19:$R$41,6,0)/'4. Billing Determinants'!$G$41*$D40,IF($E40="Distribution Rev.",VLOOKUP(L$4,'4. Billing Determinants'!$B$19:$R$41,8,0)/'4. Billing Determinants'!$I$41*$D40, VLOOKUP(L$4,'4. Billing Determinants'!$B$19:$R$41,3,0)/'4. Billing Determinants'!$D$41*$D40))))),0)</f>
        <v>0</v>
      </c>
      <c r="M40" s="32">
        <f>IFERROR(IF(M$4="",0,IF($E40="kWh",VLOOKUP(M$4,'4. Billing Determinants'!$B$19:$R$41,4,0)/'4. Billing Determinants'!$E$41*$D40,IF($E40="kW",VLOOKUP(M$4,'4. Billing Determinants'!$B$19:$R$41,5,0)/'4. Billing Determinants'!$F$41*$D40,IF($E40="Non-RPP kWh",VLOOKUP(M$4,'4. Billing Determinants'!$B$19:$R$41,6,0)/'4. Billing Determinants'!$G$41*$D40,IF($E40="Distribution Rev.",VLOOKUP(M$4,'4. Billing Determinants'!$B$19:$R$41,8,0)/'4. Billing Determinants'!$I$41*$D40, VLOOKUP(M$4,'4. Billing Determinants'!$B$19:$R$41,3,0)/'4. Billing Determinants'!$D$41*$D40))))),0)</f>
        <v>0</v>
      </c>
      <c r="N40" s="32">
        <f>IFERROR(IF(N$4="",0,IF($E40="kWh",VLOOKUP(N$4,'4. Billing Determinants'!$B$19:$R$41,4,0)/'4. Billing Determinants'!$E$41*$D40,IF($E40="kW",VLOOKUP(N$4,'4. Billing Determinants'!$B$19:$R$41,5,0)/'4. Billing Determinants'!$F$41*$D40,IF($E40="Non-RPP kWh",VLOOKUP(N$4,'4. Billing Determinants'!$B$19:$R$41,6,0)/'4. Billing Determinants'!$G$41*$D40,IF($E40="Distribution Rev.",VLOOKUP(N$4,'4. Billing Determinants'!$B$19:$R$41,8,0)/'4. Billing Determinants'!$I$41*$D40, VLOOKUP(N$4,'4. Billing Determinants'!$B$19:$R$41,3,0)/'4. Billing Determinants'!$D$41*$D40))))),0)</f>
        <v>0</v>
      </c>
      <c r="O40" s="32">
        <f>IFERROR(IF(O$4="",0,IF($E40="kWh",VLOOKUP(O$4,'4. Billing Determinants'!$B$19:$R$41,4,0)/'4. Billing Determinants'!$E$41*$D40,IF($E40="kW",VLOOKUP(O$4,'4. Billing Determinants'!$B$19:$R$41,5,0)/'4. Billing Determinants'!$F$41*$D40,IF($E40="Non-RPP kWh",VLOOKUP(O$4,'4. Billing Determinants'!$B$19:$R$41,6,0)/'4. Billing Determinants'!$G$41*$D40,IF($E40="Distribution Rev.",VLOOKUP(O$4,'4. Billing Determinants'!$B$19:$R$41,8,0)/'4. Billing Determinants'!$I$41*$D40, VLOOKUP(O$4,'4. Billing Determinants'!$B$19:$R$41,3,0)/'4. Billing Determinants'!$D$41*$D40))))),0)</f>
        <v>0</v>
      </c>
      <c r="P40" s="32">
        <f>IFERROR(IF(P$4="",0,IF($E40="kWh",VLOOKUP(P$4,'4. Billing Determinants'!$B$19:$R$41,4,0)/'4. Billing Determinants'!$E$41*$D40,IF($E40="kW",VLOOKUP(P$4,'4. Billing Determinants'!$B$19:$R$41,5,0)/'4. Billing Determinants'!$F$41*$D40,IF($E40="Non-RPP kWh",VLOOKUP(P$4,'4. Billing Determinants'!$B$19:$R$41,6,0)/'4. Billing Determinants'!$G$41*$D40,IF($E40="Distribution Rev.",VLOOKUP(P$4,'4. Billing Determinants'!$B$19:$R$41,8,0)/'4. Billing Determinants'!$I$41*$D40, VLOOKUP(P$4,'4. Billing Determinants'!$B$19:$R$41,3,0)/'4. Billing Determinants'!$D$41*$D40))))),0)</f>
        <v>0</v>
      </c>
      <c r="Q40" s="32">
        <f>IFERROR(IF(Q$4="",0,IF($E40="kWh",VLOOKUP(Q$4,'4. Billing Determinants'!$B$19:$R$41,4,0)/'4. Billing Determinants'!$E$41*$D40,IF($E40="kW",VLOOKUP(Q$4,'4. Billing Determinants'!$B$19:$R$41,5,0)/'4. Billing Determinants'!$F$41*$D40,IF($E40="Non-RPP kWh",VLOOKUP(Q$4,'4. Billing Determinants'!$B$19:$R$41,6,0)/'4. Billing Determinants'!$G$41*$D40,IF($E40="Distribution Rev.",VLOOKUP(Q$4,'4. Billing Determinants'!$B$19:$R$41,8,0)/'4. Billing Determinants'!$I$41*$D40, VLOOKUP(Q$4,'4. Billing Determinants'!$B$19:$R$41,3,0)/'4. Billing Determinants'!$D$41*$D40))))),0)</f>
        <v>0</v>
      </c>
      <c r="R40" s="32">
        <f>IFERROR(IF(R$4="",0,IF($E40="kWh",VLOOKUP(R$4,'4. Billing Determinants'!$B$19:$R$41,4,0)/'4. Billing Determinants'!$E$41*$D40,IF($E40="kW",VLOOKUP(R$4,'4. Billing Determinants'!$B$19:$R$41,5,0)/'4. Billing Determinants'!$F$41*$D40,IF($E40="Non-RPP kWh",VLOOKUP(R$4,'4. Billing Determinants'!$B$19:$R$41,6,0)/'4. Billing Determinants'!$G$41*$D40,IF($E40="Distribution Rev.",VLOOKUP(R$4,'4. Billing Determinants'!$B$19:$R$41,8,0)/'4. Billing Determinants'!$I$41*$D40, VLOOKUP(R$4,'4. Billing Determinants'!$B$19:$R$41,3,0)/'4. Billing Determinants'!$D$41*$D40))))),0)</f>
        <v>0</v>
      </c>
      <c r="S40" s="32">
        <f>IFERROR(IF(S$4="",0,IF($E40="kWh",VLOOKUP(S$4,'4. Billing Determinants'!$B$19:$R$41,4,0)/'4. Billing Determinants'!$E$41*$D40,IF($E40="kW",VLOOKUP(S$4,'4. Billing Determinants'!$B$19:$R$41,5,0)/'4. Billing Determinants'!$F$41*$D40,IF($E40="Non-RPP kWh",VLOOKUP(S$4,'4. Billing Determinants'!$B$19:$R$41,6,0)/'4. Billing Determinants'!$G$41*$D40,IF($E40="Distribution Rev.",VLOOKUP(S$4,'4. Billing Determinants'!$B$19:$R$41,8,0)/'4. Billing Determinants'!$I$41*$D40, VLOOKUP(S$4,'4. Billing Determinants'!$B$19:$R$41,3,0)/'4. Billing Determinants'!$D$41*$D40))))),0)</f>
        <v>0</v>
      </c>
      <c r="T40" s="32">
        <f>IFERROR(IF(T$4="",0,IF($E40="kWh",VLOOKUP(T$4,'4. Billing Determinants'!$B$19:$R$41,4,0)/'4. Billing Determinants'!$E$41*$D40,IF($E40="kW",VLOOKUP(T$4,'4. Billing Determinants'!$B$19:$R$41,5,0)/'4. Billing Determinants'!$F$41*$D40,IF($E40="Non-RPP kWh",VLOOKUP(T$4,'4. Billing Determinants'!$B$19:$R$41,6,0)/'4. Billing Determinants'!$G$41*$D40,IF($E40="Distribution Rev.",VLOOKUP(T$4,'4. Billing Determinants'!$B$19:$R$41,8,0)/'4. Billing Determinants'!$I$41*$D40, VLOOKUP(T$4,'4. Billing Determinants'!$B$19:$R$41,3,0)/'4. Billing Determinants'!$D$41*$D40))))),0)</f>
        <v>0</v>
      </c>
      <c r="U40" s="32">
        <f>IFERROR(IF(U$4="",0,IF($E40="kWh",VLOOKUP(U$4,'4. Billing Determinants'!$B$19:$R$41,4,0)/'4. Billing Determinants'!$E$41*$D40,IF($E40="kW",VLOOKUP(U$4,'4. Billing Determinants'!$B$19:$R$41,5,0)/'4. Billing Determinants'!$F$41*$D40,IF($E40="Non-RPP kWh",VLOOKUP(U$4,'4. Billing Determinants'!$B$19:$R$41,6,0)/'4. Billing Determinants'!$G$41*$D40,IF($E40="Distribution Rev.",VLOOKUP(U$4,'4. Billing Determinants'!$B$19:$R$41,8,0)/'4. Billing Determinants'!$I$41*$D40, VLOOKUP(U$4,'4. Billing Determinants'!$B$19:$R$41,3,0)/'4. Billing Determinants'!$D$41*$D40))))),0)</f>
        <v>0</v>
      </c>
      <c r="V40" s="32">
        <f>IFERROR(IF(V$4="",0,IF($E40="kWh",VLOOKUP(V$4,'4. Billing Determinants'!$B$19:$R$41,4,0)/'4. Billing Determinants'!$E$41*$D40,IF($E40="kW",VLOOKUP(V$4,'4. Billing Determinants'!$B$19:$R$41,5,0)/'4. Billing Determinants'!$F$41*$D40,IF($E40="Non-RPP kWh",VLOOKUP(V$4,'4. Billing Determinants'!$B$19:$R$41,6,0)/'4. Billing Determinants'!$G$41*$D40,IF($E40="Distribution Rev.",VLOOKUP(V$4,'4. Billing Determinants'!$B$19:$R$41,8,0)/'4. Billing Determinants'!$I$41*$D40, VLOOKUP(V$4,'4. Billing Determinants'!$B$19:$R$41,3,0)/'4. Billing Determinants'!$D$41*$D40))))),0)</f>
        <v>0</v>
      </c>
      <c r="W40" s="32">
        <f>IFERROR(IF(W$4="",0,IF($E40="kWh",VLOOKUP(W$4,'4. Billing Determinants'!$B$19:$R$41,4,0)/'4. Billing Determinants'!$E$41*$D40,IF($E40="kW",VLOOKUP(W$4,'4. Billing Determinants'!$B$19:$R$41,5,0)/'4. Billing Determinants'!$F$41*$D40,IF($E40="Non-RPP kWh",VLOOKUP(W$4,'4. Billing Determinants'!$B$19:$R$41,6,0)/'4. Billing Determinants'!$G$41*$D40,IF($E40="Distribution Rev.",VLOOKUP(W$4,'4. Billing Determinants'!$B$19:$R$41,8,0)/'4. Billing Determinants'!$I$41*$D40, VLOOKUP(W$4,'4. Billing Determinants'!$B$19:$R$41,3,0)/'4. Billing Determinants'!$D$41*$D40))))),0)</f>
        <v>0</v>
      </c>
      <c r="X40" s="32">
        <f>IFERROR(IF(X$4="",0,IF($E40="kWh",VLOOKUP(X$4,'4. Billing Determinants'!$B$19:$R$41,4,0)/'4. Billing Determinants'!$E$41*$D40,IF($E40="kW",VLOOKUP(X$4,'4. Billing Determinants'!$B$19:$R$41,5,0)/'4. Billing Determinants'!$F$41*$D40,IF($E40="Non-RPP kWh",VLOOKUP(X$4,'4. Billing Determinants'!$B$19:$R$41,6,0)/'4. Billing Determinants'!$G$41*$D40,IF($E40="Distribution Rev.",VLOOKUP(X$4,'4. Billing Determinants'!$B$19:$R$41,8,0)/'4. Billing Determinants'!$I$41*$D40, VLOOKUP(X$4,'4. Billing Determinants'!$B$19:$R$41,3,0)/'4. Billing Determinants'!$D$41*$D40))))),0)</f>
        <v>0</v>
      </c>
      <c r="Y40" s="32">
        <f>IFERROR(IF(Y$4="",0,IF($E40="kWh",VLOOKUP(Y$4,'4. Billing Determinants'!$B$19:$R$41,4,0)/'4. Billing Determinants'!$E$41*$D40,IF($E40="kW",VLOOKUP(Y$4,'4. Billing Determinants'!$B$19:$R$41,5,0)/'4. Billing Determinants'!$F$41*$D40,IF($E40="Non-RPP kWh",VLOOKUP(Y$4,'4. Billing Determinants'!$B$19:$R$41,6,0)/'4. Billing Determinants'!$G$41*$D40,IF($E40="Distribution Rev.",VLOOKUP(Y$4,'4. Billing Determinants'!$B$19:$R$41,8,0)/'4. Billing Determinants'!$I$41*$D40, VLOOKUP(Y$4,'4. Billing Determinants'!$B$19:$R$41,3,0)/'4. Billing Determinants'!$D$41*$D40))))),0)</f>
        <v>0</v>
      </c>
    </row>
    <row r="41" spans="1:25" x14ac:dyDescent="0.2">
      <c r="B41" s="300" t="str">
        <f>IF('2b. Continuity Schedule'!C67="","",'2b. Continuity Schedule'!C67)</f>
        <v>Other Regulatory Assets - Sub-Account - ICM Substation 16 Rate Riders Revenue Revised</v>
      </c>
      <c r="C41" s="31">
        <v>1508</v>
      </c>
      <c r="D41" s="32">
        <f>'2b. Continuity Schedule'!BT67</f>
        <v>507330</v>
      </c>
      <c r="E41" s="48" t="s">
        <v>139</v>
      </c>
      <c r="F41" s="32">
        <f>IFERROR(IF(F$4="",0,IF($E41="kWh",VLOOKUP(F$4,'4. Billing Determinants'!$B$19:$R$41,4,0)/'4. Billing Determinants'!$E$41*$D41,IF($E41="kW",VLOOKUP(F$4,'4. Billing Determinants'!$B$19:$R$41,5,0)/'4. Billing Determinants'!$F$41*$D41,IF($E41="Non-RPP kWh",VLOOKUP(F$4,'4. Billing Determinants'!$B$19:$R$41,6,0)/'4. Billing Determinants'!$G$41*$D41,IF($E41="Distribution Rev.",VLOOKUP(F$4,'4. Billing Determinants'!$B$19:$R$41,8,0)/'4. Billing Determinants'!$I$41*$D41, VLOOKUP(F$4,'4. Billing Determinants'!$B$19:$R$41,3,0)/'4. Billing Determinants'!$D$41*$D41))))),0)</f>
        <v>236997.82905766254</v>
      </c>
      <c r="G41" s="32">
        <f>IFERROR(IF(G$4="",0,IF($E41="kWh",VLOOKUP(G$4,'4. Billing Determinants'!$B$19:$R$41,4,0)/'4. Billing Determinants'!$E$41*$D41,IF($E41="kW",VLOOKUP(G$4,'4. Billing Determinants'!$B$19:$R$41,5,0)/'4. Billing Determinants'!$F$41*$D41,IF($E41="Non-RPP kWh",VLOOKUP(G$4,'4. Billing Determinants'!$B$19:$R$41,6,0)/'4. Billing Determinants'!$G$41*$D41,IF($E41="Distribution Rev.",VLOOKUP(G$4,'4. Billing Determinants'!$B$19:$R$41,8,0)/'4. Billing Determinants'!$I$41*$D41, VLOOKUP(G$4,'4. Billing Determinants'!$B$19:$R$41,3,0)/'4. Billing Determinants'!$D$41*$D41))))),0)</f>
        <v>72492.203138061755</v>
      </c>
      <c r="H41" s="32">
        <f>IFERROR(IF(H$4="",0,IF($E41="kWh",VLOOKUP(H$4,'4. Billing Determinants'!$B$19:$R$41,4,0)/'4. Billing Determinants'!$E$41*$D41,IF($E41="kW",VLOOKUP(H$4,'4. Billing Determinants'!$B$19:$R$41,5,0)/'4. Billing Determinants'!$F$41*$D41,IF($E41="Non-RPP kWh",VLOOKUP(H$4,'4. Billing Determinants'!$B$19:$R$41,6,0)/'4. Billing Determinants'!$G$41*$D41,IF($E41="Distribution Rev.",VLOOKUP(H$4,'4. Billing Determinants'!$B$19:$R$41,8,0)/'4. Billing Determinants'!$I$41*$D41, VLOOKUP(H$4,'4. Billing Determinants'!$B$19:$R$41,3,0)/'4. Billing Determinants'!$D$41*$D41))))),0)</f>
        <v>194880.98528320927</v>
      </c>
      <c r="I41" s="32">
        <f>IFERROR(IF(I$4="",0,IF($E41="kWh",VLOOKUP(I$4,'4. Billing Determinants'!$B$19:$R$41,4,0)/'4. Billing Determinants'!$E$41*$D41,IF($E41="kW",VLOOKUP(I$4,'4. Billing Determinants'!$B$19:$R$41,5,0)/'4. Billing Determinants'!$F$41*$D41,IF($E41="Non-RPP kWh",VLOOKUP(I$4,'4. Billing Determinants'!$B$19:$R$41,6,0)/'4. Billing Determinants'!$G$41*$D41,IF($E41="Distribution Rev.",VLOOKUP(I$4,'4. Billing Determinants'!$B$19:$R$41,8,0)/'4. Billing Determinants'!$I$41*$D41, VLOOKUP(I$4,'4. Billing Determinants'!$B$19:$R$41,3,0)/'4. Billing Determinants'!$D$41*$D41))))),0)</f>
        <v>735.92351529768598</v>
      </c>
      <c r="J41" s="32">
        <f>IFERROR(IF(J$4="",0,IF($E41="kWh",VLOOKUP(J$4,'4. Billing Determinants'!$B$19:$R$41,4,0)/'4. Billing Determinants'!$E$41*$D41,IF($E41="kW",VLOOKUP(J$4,'4. Billing Determinants'!$B$19:$R$41,5,0)/'4. Billing Determinants'!$F$41*$D41,IF($E41="Non-RPP kWh",VLOOKUP(J$4,'4. Billing Determinants'!$B$19:$R$41,6,0)/'4. Billing Determinants'!$G$41*$D41,IF($E41="Distribution Rev.",VLOOKUP(J$4,'4. Billing Determinants'!$B$19:$R$41,8,0)/'4. Billing Determinants'!$I$41*$D41, VLOOKUP(J$4,'4. Billing Determinants'!$B$19:$R$41,3,0)/'4. Billing Determinants'!$D$41*$D41))))),0)</f>
        <v>2060.6826784020723</v>
      </c>
      <c r="K41" s="32">
        <f>IFERROR(IF(K$4="",0,IF($E41="kWh",VLOOKUP(K$4,'4. Billing Determinants'!$B$19:$R$41,4,0)/'4. Billing Determinants'!$E$41*$D41,IF($E41="kW",VLOOKUP(K$4,'4. Billing Determinants'!$B$19:$R$41,5,0)/'4. Billing Determinants'!$F$41*$D41,IF($E41="Non-RPP kWh",VLOOKUP(K$4,'4. Billing Determinants'!$B$19:$R$41,6,0)/'4. Billing Determinants'!$G$41*$D41,IF($E41="Distribution Rev.",VLOOKUP(K$4,'4. Billing Determinants'!$B$19:$R$41,8,0)/'4. Billing Determinants'!$I$41*$D41, VLOOKUP(K$4,'4. Billing Determinants'!$B$19:$R$41,3,0)/'4. Billing Determinants'!$D$41*$D41))))),0)</f>
        <v>162.37632736670744</v>
      </c>
      <c r="L41" s="32">
        <f>IFERROR(IF(L$4="",0,IF($E41="kWh",VLOOKUP(L$4,'4. Billing Determinants'!$B$19:$R$41,4,0)/'4. Billing Determinants'!$E$41*$D41,IF($E41="kW",VLOOKUP(L$4,'4. Billing Determinants'!$B$19:$R$41,5,0)/'4. Billing Determinants'!$F$41*$D41,IF($E41="Non-RPP kWh",VLOOKUP(L$4,'4. Billing Determinants'!$B$19:$R$41,6,0)/'4. Billing Determinants'!$G$41*$D41,IF($E41="Distribution Rev.",VLOOKUP(L$4,'4. Billing Determinants'!$B$19:$R$41,8,0)/'4. Billing Determinants'!$I$41*$D41, VLOOKUP(L$4,'4. Billing Determinants'!$B$19:$R$41,3,0)/'4. Billing Determinants'!$D$41*$D41))))),0)</f>
        <v>0</v>
      </c>
      <c r="M41" s="32">
        <f>IFERROR(IF(M$4="",0,IF($E41="kWh",VLOOKUP(M$4,'4. Billing Determinants'!$B$19:$R$41,4,0)/'4. Billing Determinants'!$E$41*$D41,IF($E41="kW",VLOOKUP(M$4,'4. Billing Determinants'!$B$19:$R$41,5,0)/'4. Billing Determinants'!$F$41*$D41,IF($E41="Non-RPP kWh",VLOOKUP(M$4,'4. Billing Determinants'!$B$19:$R$41,6,0)/'4. Billing Determinants'!$G$41*$D41,IF($E41="Distribution Rev.",VLOOKUP(M$4,'4. Billing Determinants'!$B$19:$R$41,8,0)/'4. Billing Determinants'!$I$41*$D41, VLOOKUP(M$4,'4. Billing Determinants'!$B$19:$R$41,3,0)/'4. Billing Determinants'!$D$41*$D41))))),0)</f>
        <v>0</v>
      </c>
      <c r="N41" s="32">
        <f>IFERROR(IF(N$4="",0,IF($E41="kWh",VLOOKUP(N$4,'4. Billing Determinants'!$B$19:$R$41,4,0)/'4. Billing Determinants'!$E$41*$D41,IF($E41="kW",VLOOKUP(N$4,'4. Billing Determinants'!$B$19:$R$41,5,0)/'4. Billing Determinants'!$F$41*$D41,IF($E41="Non-RPP kWh",VLOOKUP(N$4,'4. Billing Determinants'!$B$19:$R$41,6,0)/'4. Billing Determinants'!$G$41*$D41,IF($E41="Distribution Rev.",VLOOKUP(N$4,'4. Billing Determinants'!$B$19:$R$41,8,0)/'4. Billing Determinants'!$I$41*$D41, VLOOKUP(N$4,'4. Billing Determinants'!$B$19:$R$41,3,0)/'4. Billing Determinants'!$D$41*$D41))))),0)</f>
        <v>0</v>
      </c>
      <c r="O41" s="32">
        <f>IFERROR(IF(O$4="",0,IF($E41="kWh",VLOOKUP(O$4,'4. Billing Determinants'!$B$19:$R$41,4,0)/'4. Billing Determinants'!$E$41*$D41,IF($E41="kW",VLOOKUP(O$4,'4. Billing Determinants'!$B$19:$R$41,5,0)/'4. Billing Determinants'!$F$41*$D41,IF($E41="Non-RPP kWh",VLOOKUP(O$4,'4. Billing Determinants'!$B$19:$R$41,6,0)/'4. Billing Determinants'!$G$41*$D41,IF($E41="Distribution Rev.",VLOOKUP(O$4,'4. Billing Determinants'!$B$19:$R$41,8,0)/'4. Billing Determinants'!$I$41*$D41, VLOOKUP(O$4,'4. Billing Determinants'!$B$19:$R$41,3,0)/'4. Billing Determinants'!$D$41*$D41))))),0)</f>
        <v>0</v>
      </c>
      <c r="P41" s="32">
        <f>IFERROR(IF(P$4="",0,IF($E41="kWh",VLOOKUP(P$4,'4. Billing Determinants'!$B$19:$R$41,4,0)/'4. Billing Determinants'!$E$41*$D41,IF($E41="kW",VLOOKUP(P$4,'4. Billing Determinants'!$B$19:$R$41,5,0)/'4. Billing Determinants'!$F$41*$D41,IF($E41="Non-RPP kWh",VLOOKUP(P$4,'4. Billing Determinants'!$B$19:$R$41,6,0)/'4. Billing Determinants'!$G$41*$D41,IF($E41="Distribution Rev.",VLOOKUP(P$4,'4. Billing Determinants'!$B$19:$R$41,8,0)/'4. Billing Determinants'!$I$41*$D41, VLOOKUP(P$4,'4. Billing Determinants'!$B$19:$R$41,3,0)/'4. Billing Determinants'!$D$41*$D41))))),0)</f>
        <v>0</v>
      </c>
      <c r="Q41" s="32">
        <f>IFERROR(IF(Q$4="",0,IF($E41="kWh",VLOOKUP(Q$4,'4. Billing Determinants'!$B$19:$R$41,4,0)/'4. Billing Determinants'!$E$41*$D41,IF($E41="kW",VLOOKUP(Q$4,'4. Billing Determinants'!$B$19:$R$41,5,0)/'4. Billing Determinants'!$F$41*$D41,IF($E41="Non-RPP kWh",VLOOKUP(Q$4,'4. Billing Determinants'!$B$19:$R$41,6,0)/'4. Billing Determinants'!$G$41*$D41,IF($E41="Distribution Rev.",VLOOKUP(Q$4,'4. Billing Determinants'!$B$19:$R$41,8,0)/'4. Billing Determinants'!$I$41*$D41, VLOOKUP(Q$4,'4. Billing Determinants'!$B$19:$R$41,3,0)/'4. Billing Determinants'!$D$41*$D41))))),0)</f>
        <v>0</v>
      </c>
      <c r="R41" s="32">
        <f>IFERROR(IF(R$4="",0,IF($E41="kWh",VLOOKUP(R$4,'4. Billing Determinants'!$B$19:$R$41,4,0)/'4. Billing Determinants'!$E$41*$D41,IF($E41="kW",VLOOKUP(R$4,'4. Billing Determinants'!$B$19:$R$41,5,0)/'4. Billing Determinants'!$F$41*$D41,IF($E41="Non-RPP kWh",VLOOKUP(R$4,'4. Billing Determinants'!$B$19:$R$41,6,0)/'4. Billing Determinants'!$G$41*$D41,IF($E41="Distribution Rev.",VLOOKUP(R$4,'4. Billing Determinants'!$B$19:$R$41,8,0)/'4. Billing Determinants'!$I$41*$D41, VLOOKUP(R$4,'4. Billing Determinants'!$B$19:$R$41,3,0)/'4. Billing Determinants'!$D$41*$D41))))),0)</f>
        <v>0</v>
      </c>
      <c r="S41" s="32">
        <f>IFERROR(IF(S$4="",0,IF($E41="kWh",VLOOKUP(S$4,'4. Billing Determinants'!$B$19:$R$41,4,0)/'4. Billing Determinants'!$E$41*$D41,IF($E41="kW",VLOOKUP(S$4,'4. Billing Determinants'!$B$19:$R$41,5,0)/'4. Billing Determinants'!$F$41*$D41,IF($E41="Non-RPP kWh",VLOOKUP(S$4,'4. Billing Determinants'!$B$19:$R$41,6,0)/'4. Billing Determinants'!$G$41*$D41,IF($E41="Distribution Rev.",VLOOKUP(S$4,'4. Billing Determinants'!$B$19:$R$41,8,0)/'4. Billing Determinants'!$I$41*$D41, VLOOKUP(S$4,'4. Billing Determinants'!$B$19:$R$41,3,0)/'4. Billing Determinants'!$D$41*$D41))))),0)</f>
        <v>0</v>
      </c>
      <c r="T41" s="32">
        <f>IFERROR(IF(T$4="",0,IF($E41="kWh",VLOOKUP(T$4,'4. Billing Determinants'!$B$19:$R$41,4,0)/'4. Billing Determinants'!$E$41*$D41,IF($E41="kW",VLOOKUP(T$4,'4. Billing Determinants'!$B$19:$R$41,5,0)/'4. Billing Determinants'!$F$41*$D41,IF($E41="Non-RPP kWh",VLOOKUP(T$4,'4. Billing Determinants'!$B$19:$R$41,6,0)/'4. Billing Determinants'!$G$41*$D41,IF($E41="Distribution Rev.",VLOOKUP(T$4,'4. Billing Determinants'!$B$19:$R$41,8,0)/'4. Billing Determinants'!$I$41*$D41, VLOOKUP(T$4,'4. Billing Determinants'!$B$19:$R$41,3,0)/'4. Billing Determinants'!$D$41*$D41))))),0)</f>
        <v>0</v>
      </c>
      <c r="U41" s="32">
        <f>IFERROR(IF(U$4="",0,IF($E41="kWh",VLOOKUP(U$4,'4. Billing Determinants'!$B$19:$R$41,4,0)/'4. Billing Determinants'!$E$41*$D41,IF($E41="kW",VLOOKUP(U$4,'4. Billing Determinants'!$B$19:$R$41,5,0)/'4. Billing Determinants'!$F$41*$D41,IF($E41="Non-RPP kWh",VLOOKUP(U$4,'4. Billing Determinants'!$B$19:$R$41,6,0)/'4. Billing Determinants'!$G$41*$D41,IF($E41="Distribution Rev.",VLOOKUP(U$4,'4. Billing Determinants'!$B$19:$R$41,8,0)/'4. Billing Determinants'!$I$41*$D41, VLOOKUP(U$4,'4. Billing Determinants'!$B$19:$R$41,3,0)/'4. Billing Determinants'!$D$41*$D41))))),0)</f>
        <v>0</v>
      </c>
      <c r="V41" s="32">
        <f>IFERROR(IF(V$4="",0,IF($E41="kWh",VLOOKUP(V$4,'4. Billing Determinants'!$B$19:$R$41,4,0)/'4. Billing Determinants'!$E$41*$D41,IF($E41="kW",VLOOKUP(V$4,'4. Billing Determinants'!$B$19:$R$41,5,0)/'4. Billing Determinants'!$F$41*$D41,IF($E41="Non-RPP kWh",VLOOKUP(V$4,'4. Billing Determinants'!$B$19:$R$41,6,0)/'4. Billing Determinants'!$G$41*$D41,IF($E41="Distribution Rev.",VLOOKUP(V$4,'4. Billing Determinants'!$B$19:$R$41,8,0)/'4. Billing Determinants'!$I$41*$D41, VLOOKUP(V$4,'4. Billing Determinants'!$B$19:$R$41,3,0)/'4. Billing Determinants'!$D$41*$D41))))),0)</f>
        <v>0</v>
      </c>
      <c r="W41" s="32">
        <f>IFERROR(IF(W$4="",0,IF($E41="kWh",VLOOKUP(W$4,'4. Billing Determinants'!$B$19:$R$41,4,0)/'4. Billing Determinants'!$E$41*$D41,IF($E41="kW",VLOOKUP(W$4,'4. Billing Determinants'!$B$19:$R$41,5,0)/'4. Billing Determinants'!$F$41*$D41,IF($E41="Non-RPP kWh",VLOOKUP(W$4,'4. Billing Determinants'!$B$19:$R$41,6,0)/'4. Billing Determinants'!$G$41*$D41,IF($E41="Distribution Rev.",VLOOKUP(W$4,'4. Billing Determinants'!$B$19:$R$41,8,0)/'4. Billing Determinants'!$I$41*$D41, VLOOKUP(W$4,'4. Billing Determinants'!$B$19:$R$41,3,0)/'4. Billing Determinants'!$D$41*$D41))))),0)</f>
        <v>0</v>
      </c>
      <c r="X41" s="32">
        <f>IFERROR(IF(X$4="",0,IF($E41="kWh",VLOOKUP(X$4,'4. Billing Determinants'!$B$19:$R$41,4,0)/'4. Billing Determinants'!$E$41*$D41,IF($E41="kW",VLOOKUP(X$4,'4. Billing Determinants'!$B$19:$R$41,5,0)/'4. Billing Determinants'!$F$41*$D41,IF($E41="Non-RPP kWh",VLOOKUP(X$4,'4. Billing Determinants'!$B$19:$R$41,6,0)/'4. Billing Determinants'!$G$41*$D41,IF($E41="Distribution Rev.",VLOOKUP(X$4,'4. Billing Determinants'!$B$19:$R$41,8,0)/'4. Billing Determinants'!$I$41*$D41, VLOOKUP(X$4,'4. Billing Determinants'!$B$19:$R$41,3,0)/'4. Billing Determinants'!$D$41*$D41))))),0)</f>
        <v>0</v>
      </c>
      <c r="Y41" s="32">
        <f>IFERROR(IF(Y$4="",0,IF($E41="kWh",VLOOKUP(Y$4,'4. Billing Determinants'!$B$19:$R$41,4,0)/'4. Billing Determinants'!$E$41*$D41,IF($E41="kW",VLOOKUP(Y$4,'4. Billing Determinants'!$B$19:$R$41,5,0)/'4. Billing Determinants'!$F$41*$D41,IF($E41="Non-RPP kWh",VLOOKUP(Y$4,'4. Billing Determinants'!$B$19:$R$41,6,0)/'4. Billing Determinants'!$G$41*$D41,IF($E41="Distribution Rev.",VLOOKUP(Y$4,'4. Billing Determinants'!$B$19:$R$41,8,0)/'4. Billing Determinants'!$I$41*$D41, VLOOKUP(Y$4,'4. Billing Determinants'!$B$19:$R$41,3,0)/'4. Billing Determinants'!$D$41*$D41))))),0)</f>
        <v>0</v>
      </c>
    </row>
    <row r="42" spans="1:25" x14ac:dyDescent="0.2">
      <c r="B42" s="300" t="str">
        <f>IF('2b. Continuity Schedule'!C68="","",'2b. Continuity Schedule'!C68)</f>
        <v>Other Regulatory Assets - Sub-Account - ICM SSG Rate Riders Revenue Revised</v>
      </c>
      <c r="C42" s="31">
        <v>1508</v>
      </c>
      <c r="D42" s="32">
        <f>'2b. Continuity Schedule'!BT68</f>
        <v>367126</v>
      </c>
      <c r="E42" s="48" t="s">
        <v>139</v>
      </c>
      <c r="F42" s="32">
        <f>IFERROR(IF(F$4="",0,IF($E42="kWh",VLOOKUP(F$4,'4. Billing Determinants'!$B$19:$R$41,4,0)/'4. Billing Determinants'!$E$41*$D42,IF($E42="kW",VLOOKUP(F$4,'4. Billing Determinants'!$B$19:$R$41,5,0)/'4. Billing Determinants'!$F$41*$D42,IF($E42="Non-RPP kWh",VLOOKUP(F$4,'4. Billing Determinants'!$B$19:$R$41,6,0)/'4. Billing Determinants'!$G$41*$D42,IF($E42="Distribution Rev.",VLOOKUP(F$4,'4. Billing Determinants'!$B$19:$R$41,8,0)/'4. Billing Determinants'!$I$41*$D42, VLOOKUP(F$4,'4. Billing Determinants'!$B$19:$R$41,3,0)/'4. Billing Determinants'!$D$41*$D42))))),0)</f>
        <v>171501.91195203006</v>
      </c>
      <c r="G42" s="32">
        <f>IFERROR(IF(G$4="",0,IF($E42="kWh",VLOOKUP(G$4,'4. Billing Determinants'!$B$19:$R$41,4,0)/'4. Billing Determinants'!$E$41*$D42,IF($E42="kW",VLOOKUP(G$4,'4. Billing Determinants'!$B$19:$R$41,5,0)/'4. Billing Determinants'!$F$41*$D42,IF($E42="Non-RPP kWh",VLOOKUP(G$4,'4. Billing Determinants'!$B$19:$R$41,6,0)/'4. Billing Determinants'!$G$41*$D42,IF($E42="Distribution Rev.",VLOOKUP(G$4,'4. Billing Determinants'!$B$19:$R$41,8,0)/'4. Billing Determinants'!$I$41*$D42, VLOOKUP(G$4,'4. Billing Determinants'!$B$19:$R$41,3,0)/'4. Billing Determinants'!$D$41*$D42))))),0)</f>
        <v>52458.503477547274</v>
      </c>
      <c r="H42" s="32">
        <f>IFERROR(IF(H$4="",0,IF($E42="kWh",VLOOKUP(H$4,'4. Billing Determinants'!$B$19:$R$41,4,0)/'4. Billing Determinants'!$E$41*$D42,IF($E42="kW",VLOOKUP(H$4,'4. Billing Determinants'!$B$19:$R$41,5,0)/'4. Billing Determinants'!$F$41*$D42,IF($E42="Non-RPP kWh",VLOOKUP(H$4,'4. Billing Determinants'!$B$19:$R$41,6,0)/'4. Billing Determinants'!$G$41*$D42,IF($E42="Distribution Rev.",VLOOKUP(H$4,'4. Billing Determinants'!$B$19:$R$41,8,0)/'4. Billing Determinants'!$I$41*$D42, VLOOKUP(H$4,'4. Billing Determinants'!$B$19:$R$41,3,0)/'4. Billing Determinants'!$D$41*$D42))))),0)</f>
        <v>141024.33643404389</v>
      </c>
      <c r="I42" s="32">
        <f>IFERROR(IF(I$4="",0,IF($E42="kWh",VLOOKUP(I$4,'4. Billing Determinants'!$B$19:$R$41,4,0)/'4. Billing Determinants'!$E$41*$D42,IF($E42="kW",VLOOKUP(I$4,'4. Billing Determinants'!$B$19:$R$41,5,0)/'4. Billing Determinants'!$F$41*$D42,IF($E42="Non-RPP kWh",VLOOKUP(I$4,'4. Billing Determinants'!$B$19:$R$41,6,0)/'4. Billing Determinants'!$G$41*$D42,IF($E42="Distribution Rev.",VLOOKUP(I$4,'4. Billing Determinants'!$B$19:$R$41,8,0)/'4. Billing Determinants'!$I$41*$D42, VLOOKUP(I$4,'4. Billing Determinants'!$B$19:$R$41,3,0)/'4. Billing Determinants'!$D$41*$D42))))),0)</f>
        <v>532.54618586950949</v>
      </c>
      <c r="J42" s="32">
        <f>IFERROR(IF(J$4="",0,IF($E42="kWh",VLOOKUP(J$4,'4. Billing Determinants'!$B$19:$R$41,4,0)/'4. Billing Determinants'!$E$41*$D42,IF($E42="kW",VLOOKUP(J$4,'4. Billing Determinants'!$B$19:$R$41,5,0)/'4. Billing Determinants'!$F$41*$D42,IF($E42="Non-RPP kWh",VLOOKUP(J$4,'4. Billing Determinants'!$B$19:$R$41,6,0)/'4. Billing Determinants'!$G$41*$D42,IF($E42="Distribution Rev.",VLOOKUP(J$4,'4. Billing Determinants'!$B$19:$R$41,8,0)/'4. Billing Determinants'!$I$41*$D42, VLOOKUP(J$4,'4. Billing Determinants'!$B$19:$R$41,3,0)/'4. Billing Determinants'!$D$41*$D42))))),0)</f>
        <v>1491.1993948535255</v>
      </c>
      <c r="K42" s="32">
        <f>IFERROR(IF(K$4="",0,IF($E42="kWh",VLOOKUP(K$4,'4. Billing Determinants'!$B$19:$R$41,4,0)/'4. Billing Determinants'!$E$41*$D42,IF($E42="kW",VLOOKUP(K$4,'4. Billing Determinants'!$B$19:$R$41,5,0)/'4. Billing Determinants'!$F$41*$D42,IF($E42="Non-RPP kWh",VLOOKUP(K$4,'4. Billing Determinants'!$B$19:$R$41,6,0)/'4. Billing Determinants'!$G$41*$D42,IF($E42="Distribution Rev.",VLOOKUP(K$4,'4. Billing Determinants'!$B$19:$R$41,8,0)/'4. Billing Determinants'!$I$41*$D42, VLOOKUP(K$4,'4. Billing Determinants'!$B$19:$R$41,3,0)/'4. Billing Determinants'!$D$41*$D42))))),0)</f>
        <v>117.50255565574642</v>
      </c>
      <c r="L42" s="32">
        <f>IFERROR(IF(L$4="",0,IF($E42="kWh",VLOOKUP(L$4,'4. Billing Determinants'!$B$19:$R$41,4,0)/'4. Billing Determinants'!$E$41*$D42,IF($E42="kW",VLOOKUP(L$4,'4. Billing Determinants'!$B$19:$R$41,5,0)/'4. Billing Determinants'!$F$41*$D42,IF($E42="Non-RPP kWh",VLOOKUP(L$4,'4. Billing Determinants'!$B$19:$R$41,6,0)/'4. Billing Determinants'!$G$41*$D42,IF($E42="Distribution Rev.",VLOOKUP(L$4,'4. Billing Determinants'!$B$19:$R$41,8,0)/'4. Billing Determinants'!$I$41*$D42, VLOOKUP(L$4,'4. Billing Determinants'!$B$19:$R$41,3,0)/'4. Billing Determinants'!$D$41*$D42))))),0)</f>
        <v>0</v>
      </c>
      <c r="M42" s="32">
        <f>IFERROR(IF(M$4="",0,IF($E42="kWh",VLOOKUP(M$4,'4. Billing Determinants'!$B$19:$R$41,4,0)/'4. Billing Determinants'!$E$41*$D42,IF($E42="kW",VLOOKUP(M$4,'4. Billing Determinants'!$B$19:$R$41,5,0)/'4. Billing Determinants'!$F$41*$D42,IF($E42="Non-RPP kWh",VLOOKUP(M$4,'4. Billing Determinants'!$B$19:$R$41,6,0)/'4. Billing Determinants'!$G$41*$D42,IF($E42="Distribution Rev.",VLOOKUP(M$4,'4. Billing Determinants'!$B$19:$R$41,8,0)/'4. Billing Determinants'!$I$41*$D42, VLOOKUP(M$4,'4. Billing Determinants'!$B$19:$R$41,3,0)/'4. Billing Determinants'!$D$41*$D42))))),0)</f>
        <v>0</v>
      </c>
      <c r="N42" s="32">
        <f>IFERROR(IF(N$4="",0,IF($E42="kWh",VLOOKUP(N$4,'4. Billing Determinants'!$B$19:$R$41,4,0)/'4. Billing Determinants'!$E$41*$D42,IF($E42="kW",VLOOKUP(N$4,'4. Billing Determinants'!$B$19:$R$41,5,0)/'4. Billing Determinants'!$F$41*$D42,IF($E42="Non-RPP kWh",VLOOKUP(N$4,'4. Billing Determinants'!$B$19:$R$41,6,0)/'4. Billing Determinants'!$G$41*$D42,IF($E42="Distribution Rev.",VLOOKUP(N$4,'4. Billing Determinants'!$B$19:$R$41,8,0)/'4. Billing Determinants'!$I$41*$D42, VLOOKUP(N$4,'4. Billing Determinants'!$B$19:$R$41,3,0)/'4. Billing Determinants'!$D$41*$D42))))),0)</f>
        <v>0</v>
      </c>
      <c r="O42" s="32">
        <f>IFERROR(IF(O$4="",0,IF($E42="kWh",VLOOKUP(O$4,'4. Billing Determinants'!$B$19:$R$41,4,0)/'4. Billing Determinants'!$E$41*$D42,IF($E42="kW",VLOOKUP(O$4,'4. Billing Determinants'!$B$19:$R$41,5,0)/'4. Billing Determinants'!$F$41*$D42,IF($E42="Non-RPP kWh",VLOOKUP(O$4,'4. Billing Determinants'!$B$19:$R$41,6,0)/'4. Billing Determinants'!$G$41*$D42,IF($E42="Distribution Rev.",VLOOKUP(O$4,'4. Billing Determinants'!$B$19:$R$41,8,0)/'4. Billing Determinants'!$I$41*$D42, VLOOKUP(O$4,'4. Billing Determinants'!$B$19:$R$41,3,0)/'4. Billing Determinants'!$D$41*$D42))))),0)</f>
        <v>0</v>
      </c>
      <c r="P42" s="32">
        <f>IFERROR(IF(P$4="",0,IF($E42="kWh",VLOOKUP(P$4,'4. Billing Determinants'!$B$19:$R$41,4,0)/'4. Billing Determinants'!$E$41*$D42,IF($E42="kW",VLOOKUP(P$4,'4. Billing Determinants'!$B$19:$R$41,5,0)/'4. Billing Determinants'!$F$41*$D42,IF($E42="Non-RPP kWh",VLOOKUP(P$4,'4. Billing Determinants'!$B$19:$R$41,6,0)/'4. Billing Determinants'!$G$41*$D42,IF($E42="Distribution Rev.",VLOOKUP(P$4,'4. Billing Determinants'!$B$19:$R$41,8,0)/'4. Billing Determinants'!$I$41*$D42, VLOOKUP(P$4,'4. Billing Determinants'!$B$19:$R$41,3,0)/'4. Billing Determinants'!$D$41*$D42))))),0)</f>
        <v>0</v>
      </c>
      <c r="Q42" s="32">
        <f>IFERROR(IF(Q$4="",0,IF($E42="kWh",VLOOKUP(Q$4,'4. Billing Determinants'!$B$19:$R$41,4,0)/'4. Billing Determinants'!$E$41*$D42,IF($E42="kW",VLOOKUP(Q$4,'4. Billing Determinants'!$B$19:$R$41,5,0)/'4. Billing Determinants'!$F$41*$D42,IF($E42="Non-RPP kWh",VLOOKUP(Q$4,'4. Billing Determinants'!$B$19:$R$41,6,0)/'4. Billing Determinants'!$G$41*$D42,IF($E42="Distribution Rev.",VLOOKUP(Q$4,'4. Billing Determinants'!$B$19:$R$41,8,0)/'4. Billing Determinants'!$I$41*$D42, VLOOKUP(Q$4,'4. Billing Determinants'!$B$19:$R$41,3,0)/'4. Billing Determinants'!$D$41*$D42))))),0)</f>
        <v>0</v>
      </c>
      <c r="R42" s="32">
        <f>IFERROR(IF(R$4="",0,IF($E42="kWh",VLOOKUP(R$4,'4. Billing Determinants'!$B$19:$R$41,4,0)/'4. Billing Determinants'!$E$41*$D42,IF($E42="kW",VLOOKUP(R$4,'4. Billing Determinants'!$B$19:$R$41,5,0)/'4. Billing Determinants'!$F$41*$D42,IF($E42="Non-RPP kWh",VLOOKUP(R$4,'4. Billing Determinants'!$B$19:$R$41,6,0)/'4. Billing Determinants'!$G$41*$D42,IF($E42="Distribution Rev.",VLOOKUP(R$4,'4. Billing Determinants'!$B$19:$R$41,8,0)/'4. Billing Determinants'!$I$41*$D42, VLOOKUP(R$4,'4. Billing Determinants'!$B$19:$R$41,3,0)/'4. Billing Determinants'!$D$41*$D42))))),0)</f>
        <v>0</v>
      </c>
      <c r="S42" s="32">
        <f>IFERROR(IF(S$4="",0,IF($E42="kWh",VLOOKUP(S$4,'4. Billing Determinants'!$B$19:$R$41,4,0)/'4. Billing Determinants'!$E$41*$D42,IF($E42="kW",VLOOKUP(S$4,'4. Billing Determinants'!$B$19:$R$41,5,0)/'4. Billing Determinants'!$F$41*$D42,IF($E42="Non-RPP kWh",VLOOKUP(S$4,'4. Billing Determinants'!$B$19:$R$41,6,0)/'4. Billing Determinants'!$G$41*$D42,IF($E42="Distribution Rev.",VLOOKUP(S$4,'4. Billing Determinants'!$B$19:$R$41,8,0)/'4. Billing Determinants'!$I$41*$D42, VLOOKUP(S$4,'4. Billing Determinants'!$B$19:$R$41,3,0)/'4. Billing Determinants'!$D$41*$D42))))),0)</f>
        <v>0</v>
      </c>
      <c r="T42" s="32">
        <f>IFERROR(IF(T$4="",0,IF($E42="kWh",VLOOKUP(T$4,'4. Billing Determinants'!$B$19:$R$41,4,0)/'4. Billing Determinants'!$E$41*$D42,IF($E42="kW",VLOOKUP(T$4,'4. Billing Determinants'!$B$19:$R$41,5,0)/'4. Billing Determinants'!$F$41*$D42,IF($E42="Non-RPP kWh",VLOOKUP(T$4,'4. Billing Determinants'!$B$19:$R$41,6,0)/'4. Billing Determinants'!$G$41*$D42,IF($E42="Distribution Rev.",VLOOKUP(T$4,'4. Billing Determinants'!$B$19:$R$41,8,0)/'4. Billing Determinants'!$I$41*$D42, VLOOKUP(T$4,'4. Billing Determinants'!$B$19:$R$41,3,0)/'4. Billing Determinants'!$D$41*$D42))))),0)</f>
        <v>0</v>
      </c>
      <c r="U42" s="32">
        <f>IFERROR(IF(U$4="",0,IF($E42="kWh",VLOOKUP(U$4,'4. Billing Determinants'!$B$19:$R$41,4,0)/'4. Billing Determinants'!$E$41*$D42,IF($E42="kW",VLOOKUP(U$4,'4. Billing Determinants'!$B$19:$R$41,5,0)/'4. Billing Determinants'!$F$41*$D42,IF($E42="Non-RPP kWh",VLOOKUP(U$4,'4. Billing Determinants'!$B$19:$R$41,6,0)/'4. Billing Determinants'!$G$41*$D42,IF($E42="Distribution Rev.",VLOOKUP(U$4,'4. Billing Determinants'!$B$19:$R$41,8,0)/'4. Billing Determinants'!$I$41*$D42, VLOOKUP(U$4,'4. Billing Determinants'!$B$19:$R$41,3,0)/'4. Billing Determinants'!$D$41*$D42))))),0)</f>
        <v>0</v>
      </c>
      <c r="V42" s="32">
        <f>IFERROR(IF(V$4="",0,IF($E42="kWh",VLOOKUP(V$4,'4. Billing Determinants'!$B$19:$R$41,4,0)/'4. Billing Determinants'!$E$41*$D42,IF($E42="kW",VLOOKUP(V$4,'4. Billing Determinants'!$B$19:$R$41,5,0)/'4. Billing Determinants'!$F$41*$D42,IF($E42="Non-RPP kWh",VLOOKUP(V$4,'4. Billing Determinants'!$B$19:$R$41,6,0)/'4. Billing Determinants'!$G$41*$D42,IF($E42="Distribution Rev.",VLOOKUP(V$4,'4. Billing Determinants'!$B$19:$R$41,8,0)/'4. Billing Determinants'!$I$41*$D42, VLOOKUP(V$4,'4. Billing Determinants'!$B$19:$R$41,3,0)/'4. Billing Determinants'!$D$41*$D42))))),0)</f>
        <v>0</v>
      </c>
      <c r="W42" s="32">
        <f>IFERROR(IF(W$4="",0,IF($E42="kWh",VLOOKUP(W$4,'4. Billing Determinants'!$B$19:$R$41,4,0)/'4. Billing Determinants'!$E$41*$D42,IF($E42="kW",VLOOKUP(W$4,'4. Billing Determinants'!$B$19:$R$41,5,0)/'4. Billing Determinants'!$F$41*$D42,IF($E42="Non-RPP kWh",VLOOKUP(W$4,'4. Billing Determinants'!$B$19:$R$41,6,0)/'4. Billing Determinants'!$G$41*$D42,IF($E42="Distribution Rev.",VLOOKUP(W$4,'4. Billing Determinants'!$B$19:$R$41,8,0)/'4. Billing Determinants'!$I$41*$D42, VLOOKUP(W$4,'4. Billing Determinants'!$B$19:$R$41,3,0)/'4. Billing Determinants'!$D$41*$D42))))),0)</f>
        <v>0</v>
      </c>
      <c r="X42" s="32">
        <f>IFERROR(IF(X$4="",0,IF($E42="kWh",VLOOKUP(X$4,'4. Billing Determinants'!$B$19:$R$41,4,0)/'4. Billing Determinants'!$E$41*$D42,IF($E42="kW",VLOOKUP(X$4,'4. Billing Determinants'!$B$19:$R$41,5,0)/'4. Billing Determinants'!$F$41*$D42,IF($E42="Non-RPP kWh",VLOOKUP(X$4,'4. Billing Determinants'!$B$19:$R$41,6,0)/'4. Billing Determinants'!$G$41*$D42,IF($E42="Distribution Rev.",VLOOKUP(X$4,'4. Billing Determinants'!$B$19:$R$41,8,0)/'4. Billing Determinants'!$I$41*$D42, VLOOKUP(X$4,'4. Billing Determinants'!$B$19:$R$41,3,0)/'4. Billing Determinants'!$D$41*$D42))))),0)</f>
        <v>0</v>
      </c>
      <c r="Y42" s="32">
        <f>IFERROR(IF(Y$4="",0,IF($E42="kWh",VLOOKUP(Y$4,'4. Billing Determinants'!$B$19:$R$41,4,0)/'4. Billing Determinants'!$E$41*$D42,IF($E42="kW",VLOOKUP(Y$4,'4. Billing Determinants'!$B$19:$R$41,5,0)/'4. Billing Determinants'!$F$41*$D42,IF($E42="Non-RPP kWh",VLOOKUP(Y$4,'4. Billing Determinants'!$B$19:$R$41,6,0)/'4. Billing Determinants'!$G$41*$D42,IF($E42="Distribution Rev.",VLOOKUP(Y$4,'4. Billing Determinants'!$B$19:$R$41,8,0)/'4. Billing Determinants'!$I$41*$D42, VLOOKUP(Y$4,'4. Billing Determinants'!$B$19:$R$41,3,0)/'4. Billing Determinants'!$D$41*$D42))))),0)</f>
        <v>0</v>
      </c>
    </row>
    <row r="43" spans="1:25" x14ac:dyDescent="0.2">
      <c r="B43" s="300" t="str">
        <f>IF('2b. Continuity Schedule'!C69="","",'2b. Continuity Schedule'!C69)</f>
        <v/>
      </c>
      <c r="C43" s="31">
        <v>1508</v>
      </c>
      <c r="D43" s="32">
        <f>'2b. Continuity Schedule'!BT69</f>
        <v>0</v>
      </c>
      <c r="E43" s="48" t="s">
        <v>139</v>
      </c>
      <c r="F43" s="32">
        <f>IFERROR(IF(F$4="",0,IF($E43="kWh",VLOOKUP(F$4,'4. Billing Determinants'!$B$19:$R$41,4,0)/'4. Billing Determinants'!$E$41*$D43,IF($E43="kW",VLOOKUP(F$4,'4. Billing Determinants'!$B$19:$R$41,5,0)/'4. Billing Determinants'!$F$41*$D43,IF($E43="Non-RPP kWh",VLOOKUP(F$4,'4. Billing Determinants'!$B$19:$R$41,6,0)/'4. Billing Determinants'!$G$41*$D43,IF($E43="Distribution Rev.",VLOOKUP(F$4,'4. Billing Determinants'!$B$19:$R$41,8,0)/'4. Billing Determinants'!$I$41*$D43, VLOOKUP(F$4,'4. Billing Determinants'!$B$19:$R$41,3,0)/'4. Billing Determinants'!$D$41*$D43))))),0)</f>
        <v>0</v>
      </c>
      <c r="G43" s="32">
        <f>IFERROR(IF(G$4="",0,IF($E43="kWh",VLOOKUP(G$4,'4. Billing Determinants'!$B$19:$R$41,4,0)/'4. Billing Determinants'!$E$41*$D43,IF($E43="kW",VLOOKUP(G$4,'4. Billing Determinants'!$B$19:$R$41,5,0)/'4. Billing Determinants'!$F$41*$D43,IF($E43="Non-RPP kWh",VLOOKUP(G$4,'4. Billing Determinants'!$B$19:$R$41,6,0)/'4. Billing Determinants'!$G$41*$D43,IF($E43="Distribution Rev.",VLOOKUP(G$4,'4. Billing Determinants'!$B$19:$R$41,8,0)/'4. Billing Determinants'!$I$41*$D43, VLOOKUP(G$4,'4. Billing Determinants'!$B$19:$R$41,3,0)/'4. Billing Determinants'!$D$41*$D43))))),0)</f>
        <v>0</v>
      </c>
      <c r="H43" s="32">
        <f>IFERROR(IF(H$4="",0,IF($E43="kWh",VLOOKUP(H$4,'4. Billing Determinants'!$B$19:$R$41,4,0)/'4. Billing Determinants'!$E$41*$D43,IF($E43="kW",VLOOKUP(H$4,'4. Billing Determinants'!$B$19:$R$41,5,0)/'4. Billing Determinants'!$F$41*$D43,IF($E43="Non-RPP kWh",VLOOKUP(H$4,'4. Billing Determinants'!$B$19:$R$41,6,0)/'4. Billing Determinants'!$G$41*$D43,IF($E43="Distribution Rev.",VLOOKUP(H$4,'4. Billing Determinants'!$B$19:$R$41,8,0)/'4. Billing Determinants'!$I$41*$D43, VLOOKUP(H$4,'4. Billing Determinants'!$B$19:$R$41,3,0)/'4. Billing Determinants'!$D$41*$D43))))),0)</f>
        <v>0</v>
      </c>
      <c r="I43" s="32">
        <f>IFERROR(IF(I$4="",0,IF($E43="kWh",VLOOKUP(I$4,'4. Billing Determinants'!$B$19:$R$41,4,0)/'4. Billing Determinants'!$E$41*$D43,IF($E43="kW",VLOOKUP(I$4,'4. Billing Determinants'!$B$19:$R$41,5,0)/'4. Billing Determinants'!$F$41*$D43,IF($E43="Non-RPP kWh",VLOOKUP(I$4,'4. Billing Determinants'!$B$19:$R$41,6,0)/'4. Billing Determinants'!$G$41*$D43,IF($E43="Distribution Rev.",VLOOKUP(I$4,'4. Billing Determinants'!$B$19:$R$41,8,0)/'4. Billing Determinants'!$I$41*$D43, VLOOKUP(I$4,'4. Billing Determinants'!$B$19:$R$41,3,0)/'4. Billing Determinants'!$D$41*$D43))))),0)</f>
        <v>0</v>
      </c>
      <c r="J43" s="32">
        <f>IFERROR(IF(J$4="",0,IF($E43="kWh",VLOOKUP(J$4,'4. Billing Determinants'!$B$19:$R$41,4,0)/'4. Billing Determinants'!$E$41*$D43,IF($E43="kW",VLOOKUP(J$4,'4. Billing Determinants'!$B$19:$R$41,5,0)/'4. Billing Determinants'!$F$41*$D43,IF($E43="Non-RPP kWh",VLOOKUP(J$4,'4. Billing Determinants'!$B$19:$R$41,6,0)/'4. Billing Determinants'!$G$41*$D43,IF($E43="Distribution Rev.",VLOOKUP(J$4,'4. Billing Determinants'!$B$19:$R$41,8,0)/'4. Billing Determinants'!$I$41*$D43, VLOOKUP(J$4,'4. Billing Determinants'!$B$19:$R$41,3,0)/'4. Billing Determinants'!$D$41*$D43))))),0)</f>
        <v>0</v>
      </c>
      <c r="K43" s="32">
        <f>IFERROR(IF(K$4="",0,IF($E43="kWh",VLOOKUP(K$4,'4. Billing Determinants'!$B$19:$R$41,4,0)/'4. Billing Determinants'!$E$41*$D43,IF($E43="kW",VLOOKUP(K$4,'4. Billing Determinants'!$B$19:$R$41,5,0)/'4. Billing Determinants'!$F$41*$D43,IF($E43="Non-RPP kWh",VLOOKUP(K$4,'4. Billing Determinants'!$B$19:$R$41,6,0)/'4. Billing Determinants'!$G$41*$D43,IF($E43="Distribution Rev.",VLOOKUP(K$4,'4. Billing Determinants'!$B$19:$R$41,8,0)/'4. Billing Determinants'!$I$41*$D43, VLOOKUP(K$4,'4. Billing Determinants'!$B$19:$R$41,3,0)/'4. Billing Determinants'!$D$41*$D43))))),0)</f>
        <v>0</v>
      </c>
      <c r="L43" s="32">
        <f>IFERROR(IF(L$4="",0,IF($E43="kWh",VLOOKUP(L$4,'4. Billing Determinants'!$B$19:$R$41,4,0)/'4. Billing Determinants'!$E$41*$D43,IF($E43="kW",VLOOKUP(L$4,'4. Billing Determinants'!$B$19:$R$41,5,0)/'4. Billing Determinants'!$F$41*$D43,IF($E43="Non-RPP kWh",VLOOKUP(L$4,'4. Billing Determinants'!$B$19:$R$41,6,0)/'4. Billing Determinants'!$G$41*$D43,IF($E43="Distribution Rev.",VLOOKUP(L$4,'4. Billing Determinants'!$B$19:$R$41,8,0)/'4. Billing Determinants'!$I$41*$D43, VLOOKUP(L$4,'4. Billing Determinants'!$B$19:$R$41,3,0)/'4. Billing Determinants'!$D$41*$D43))))),0)</f>
        <v>0</v>
      </c>
      <c r="M43" s="32">
        <f>IFERROR(IF(M$4="",0,IF($E43="kWh",VLOOKUP(M$4,'4. Billing Determinants'!$B$19:$R$41,4,0)/'4. Billing Determinants'!$E$41*$D43,IF($E43="kW",VLOOKUP(M$4,'4. Billing Determinants'!$B$19:$R$41,5,0)/'4. Billing Determinants'!$F$41*$D43,IF($E43="Non-RPP kWh",VLOOKUP(M$4,'4. Billing Determinants'!$B$19:$R$41,6,0)/'4. Billing Determinants'!$G$41*$D43,IF($E43="Distribution Rev.",VLOOKUP(M$4,'4. Billing Determinants'!$B$19:$R$41,8,0)/'4. Billing Determinants'!$I$41*$D43, VLOOKUP(M$4,'4. Billing Determinants'!$B$19:$R$41,3,0)/'4. Billing Determinants'!$D$41*$D43))))),0)</f>
        <v>0</v>
      </c>
      <c r="N43" s="32">
        <f>IFERROR(IF(N$4="",0,IF($E43="kWh",VLOOKUP(N$4,'4. Billing Determinants'!$B$19:$R$41,4,0)/'4. Billing Determinants'!$E$41*$D43,IF($E43="kW",VLOOKUP(N$4,'4. Billing Determinants'!$B$19:$R$41,5,0)/'4. Billing Determinants'!$F$41*$D43,IF($E43="Non-RPP kWh",VLOOKUP(N$4,'4. Billing Determinants'!$B$19:$R$41,6,0)/'4. Billing Determinants'!$G$41*$D43,IF($E43="Distribution Rev.",VLOOKUP(N$4,'4. Billing Determinants'!$B$19:$R$41,8,0)/'4. Billing Determinants'!$I$41*$D43, VLOOKUP(N$4,'4. Billing Determinants'!$B$19:$R$41,3,0)/'4. Billing Determinants'!$D$41*$D43))))),0)</f>
        <v>0</v>
      </c>
      <c r="O43" s="32">
        <f>IFERROR(IF(O$4="",0,IF($E43="kWh",VLOOKUP(O$4,'4. Billing Determinants'!$B$19:$R$41,4,0)/'4. Billing Determinants'!$E$41*$D43,IF($E43="kW",VLOOKUP(O$4,'4. Billing Determinants'!$B$19:$R$41,5,0)/'4. Billing Determinants'!$F$41*$D43,IF($E43="Non-RPP kWh",VLOOKUP(O$4,'4. Billing Determinants'!$B$19:$R$41,6,0)/'4. Billing Determinants'!$G$41*$D43,IF($E43="Distribution Rev.",VLOOKUP(O$4,'4. Billing Determinants'!$B$19:$R$41,8,0)/'4. Billing Determinants'!$I$41*$D43, VLOOKUP(O$4,'4. Billing Determinants'!$B$19:$R$41,3,0)/'4. Billing Determinants'!$D$41*$D43))))),0)</f>
        <v>0</v>
      </c>
      <c r="P43" s="32">
        <f>IFERROR(IF(P$4="",0,IF($E43="kWh",VLOOKUP(P$4,'4. Billing Determinants'!$B$19:$R$41,4,0)/'4. Billing Determinants'!$E$41*$D43,IF($E43="kW",VLOOKUP(P$4,'4. Billing Determinants'!$B$19:$R$41,5,0)/'4. Billing Determinants'!$F$41*$D43,IF($E43="Non-RPP kWh",VLOOKUP(P$4,'4. Billing Determinants'!$B$19:$R$41,6,0)/'4. Billing Determinants'!$G$41*$D43,IF($E43="Distribution Rev.",VLOOKUP(P$4,'4. Billing Determinants'!$B$19:$R$41,8,0)/'4. Billing Determinants'!$I$41*$D43, VLOOKUP(P$4,'4. Billing Determinants'!$B$19:$R$41,3,0)/'4. Billing Determinants'!$D$41*$D43))))),0)</f>
        <v>0</v>
      </c>
      <c r="Q43" s="32">
        <f>IFERROR(IF(Q$4="",0,IF($E43="kWh",VLOOKUP(Q$4,'4. Billing Determinants'!$B$19:$R$41,4,0)/'4. Billing Determinants'!$E$41*$D43,IF($E43="kW",VLOOKUP(Q$4,'4. Billing Determinants'!$B$19:$R$41,5,0)/'4. Billing Determinants'!$F$41*$D43,IF($E43="Non-RPP kWh",VLOOKUP(Q$4,'4. Billing Determinants'!$B$19:$R$41,6,0)/'4. Billing Determinants'!$G$41*$D43,IF($E43="Distribution Rev.",VLOOKUP(Q$4,'4. Billing Determinants'!$B$19:$R$41,8,0)/'4. Billing Determinants'!$I$41*$D43, VLOOKUP(Q$4,'4. Billing Determinants'!$B$19:$R$41,3,0)/'4. Billing Determinants'!$D$41*$D43))))),0)</f>
        <v>0</v>
      </c>
      <c r="R43" s="32">
        <f>IFERROR(IF(R$4="",0,IF($E43="kWh",VLOOKUP(R$4,'4. Billing Determinants'!$B$19:$R$41,4,0)/'4. Billing Determinants'!$E$41*$D43,IF($E43="kW",VLOOKUP(R$4,'4. Billing Determinants'!$B$19:$R$41,5,0)/'4. Billing Determinants'!$F$41*$D43,IF($E43="Non-RPP kWh",VLOOKUP(R$4,'4. Billing Determinants'!$B$19:$R$41,6,0)/'4. Billing Determinants'!$G$41*$D43,IF($E43="Distribution Rev.",VLOOKUP(R$4,'4. Billing Determinants'!$B$19:$R$41,8,0)/'4. Billing Determinants'!$I$41*$D43, VLOOKUP(R$4,'4. Billing Determinants'!$B$19:$R$41,3,0)/'4. Billing Determinants'!$D$41*$D43))))),0)</f>
        <v>0</v>
      </c>
      <c r="S43" s="32">
        <f>IFERROR(IF(S$4="",0,IF($E43="kWh",VLOOKUP(S$4,'4. Billing Determinants'!$B$19:$R$41,4,0)/'4. Billing Determinants'!$E$41*$D43,IF($E43="kW",VLOOKUP(S$4,'4. Billing Determinants'!$B$19:$R$41,5,0)/'4. Billing Determinants'!$F$41*$D43,IF($E43="Non-RPP kWh",VLOOKUP(S$4,'4. Billing Determinants'!$B$19:$R$41,6,0)/'4. Billing Determinants'!$G$41*$D43,IF($E43="Distribution Rev.",VLOOKUP(S$4,'4. Billing Determinants'!$B$19:$R$41,8,0)/'4. Billing Determinants'!$I$41*$D43, VLOOKUP(S$4,'4. Billing Determinants'!$B$19:$R$41,3,0)/'4. Billing Determinants'!$D$41*$D43))))),0)</f>
        <v>0</v>
      </c>
      <c r="T43" s="32">
        <f>IFERROR(IF(T$4="",0,IF($E43="kWh",VLOOKUP(T$4,'4. Billing Determinants'!$B$19:$R$41,4,0)/'4. Billing Determinants'!$E$41*$D43,IF($E43="kW",VLOOKUP(T$4,'4. Billing Determinants'!$B$19:$R$41,5,0)/'4. Billing Determinants'!$F$41*$D43,IF($E43="Non-RPP kWh",VLOOKUP(T$4,'4. Billing Determinants'!$B$19:$R$41,6,0)/'4. Billing Determinants'!$G$41*$D43,IF($E43="Distribution Rev.",VLOOKUP(T$4,'4. Billing Determinants'!$B$19:$R$41,8,0)/'4. Billing Determinants'!$I$41*$D43, VLOOKUP(T$4,'4. Billing Determinants'!$B$19:$R$41,3,0)/'4. Billing Determinants'!$D$41*$D43))))),0)</f>
        <v>0</v>
      </c>
      <c r="U43" s="32">
        <f>IFERROR(IF(U$4="",0,IF($E43="kWh",VLOOKUP(U$4,'4. Billing Determinants'!$B$19:$R$41,4,0)/'4. Billing Determinants'!$E$41*$D43,IF($E43="kW",VLOOKUP(U$4,'4. Billing Determinants'!$B$19:$R$41,5,0)/'4. Billing Determinants'!$F$41*$D43,IF($E43="Non-RPP kWh",VLOOKUP(U$4,'4. Billing Determinants'!$B$19:$R$41,6,0)/'4. Billing Determinants'!$G$41*$D43,IF($E43="Distribution Rev.",VLOOKUP(U$4,'4. Billing Determinants'!$B$19:$R$41,8,0)/'4. Billing Determinants'!$I$41*$D43, VLOOKUP(U$4,'4. Billing Determinants'!$B$19:$R$41,3,0)/'4. Billing Determinants'!$D$41*$D43))))),0)</f>
        <v>0</v>
      </c>
      <c r="V43" s="32">
        <f>IFERROR(IF(V$4="",0,IF($E43="kWh",VLOOKUP(V$4,'4. Billing Determinants'!$B$19:$R$41,4,0)/'4. Billing Determinants'!$E$41*$D43,IF($E43="kW",VLOOKUP(V$4,'4. Billing Determinants'!$B$19:$R$41,5,0)/'4. Billing Determinants'!$F$41*$D43,IF($E43="Non-RPP kWh",VLOOKUP(V$4,'4. Billing Determinants'!$B$19:$R$41,6,0)/'4. Billing Determinants'!$G$41*$D43,IF($E43="Distribution Rev.",VLOOKUP(V$4,'4. Billing Determinants'!$B$19:$R$41,8,0)/'4. Billing Determinants'!$I$41*$D43, VLOOKUP(V$4,'4. Billing Determinants'!$B$19:$R$41,3,0)/'4. Billing Determinants'!$D$41*$D43))))),0)</f>
        <v>0</v>
      </c>
      <c r="W43" s="32">
        <f>IFERROR(IF(W$4="",0,IF($E43="kWh",VLOOKUP(W$4,'4. Billing Determinants'!$B$19:$R$41,4,0)/'4. Billing Determinants'!$E$41*$D43,IF($E43="kW",VLOOKUP(W$4,'4. Billing Determinants'!$B$19:$R$41,5,0)/'4. Billing Determinants'!$F$41*$D43,IF($E43="Non-RPP kWh",VLOOKUP(W$4,'4. Billing Determinants'!$B$19:$R$41,6,0)/'4. Billing Determinants'!$G$41*$D43,IF($E43="Distribution Rev.",VLOOKUP(W$4,'4. Billing Determinants'!$B$19:$R$41,8,0)/'4. Billing Determinants'!$I$41*$D43, VLOOKUP(W$4,'4. Billing Determinants'!$B$19:$R$41,3,0)/'4. Billing Determinants'!$D$41*$D43))))),0)</f>
        <v>0</v>
      </c>
      <c r="X43" s="32">
        <f>IFERROR(IF(X$4="",0,IF($E43="kWh",VLOOKUP(X$4,'4. Billing Determinants'!$B$19:$R$41,4,0)/'4. Billing Determinants'!$E$41*$D43,IF($E43="kW",VLOOKUP(X$4,'4. Billing Determinants'!$B$19:$R$41,5,0)/'4. Billing Determinants'!$F$41*$D43,IF($E43="Non-RPP kWh",VLOOKUP(X$4,'4. Billing Determinants'!$B$19:$R$41,6,0)/'4. Billing Determinants'!$G$41*$D43,IF($E43="Distribution Rev.",VLOOKUP(X$4,'4. Billing Determinants'!$B$19:$R$41,8,0)/'4. Billing Determinants'!$I$41*$D43, VLOOKUP(X$4,'4. Billing Determinants'!$B$19:$R$41,3,0)/'4. Billing Determinants'!$D$41*$D43))))),0)</f>
        <v>0</v>
      </c>
      <c r="Y43" s="32">
        <f>IFERROR(IF(Y$4="",0,IF($E43="kWh",VLOOKUP(Y$4,'4. Billing Determinants'!$B$19:$R$41,4,0)/'4. Billing Determinants'!$E$41*$D43,IF($E43="kW",VLOOKUP(Y$4,'4. Billing Determinants'!$B$19:$R$41,5,0)/'4. Billing Determinants'!$F$41*$D43,IF($E43="Non-RPP kWh",VLOOKUP(Y$4,'4. Billing Determinants'!$B$19:$R$41,6,0)/'4. Billing Determinants'!$G$41*$D43,IF($E43="Distribution Rev.",VLOOKUP(Y$4,'4. Billing Determinants'!$B$19:$R$41,8,0)/'4. Billing Determinants'!$I$41*$D43, VLOOKUP(Y$4,'4. Billing Determinants'!$B$19:$R$41,3,0)/'4. Billing Determinants'!$D$41*$D43))))),0)</f>
        <v>0</v>
      </c>
    </row>
    <row r="44" spans="1:25" x14ac:dyDescent="0.2">
      <c r="B44" s="300" t="str">
        <f>IF('2b. Continuity Schedule'!C70="","",'2b. Continuity Schedule'!C70)</f>
        <v/>
      </c>
      <c r="C44" s="31">
        <v>1508</v>
      </c>
      <c r="D44" s="32">
        <f>'2b. Continuity Schedule'!BT70</f>
        <v>0</v>
      </c>
      <c r="E44" s="48" t="s">
        <v>139</v>
      </c>
      <c r="F44" s="32">
        <f>IFERROR(IF(F$4="",0,IF($E44="kWh",VLOOKUP(F$4,'4. Billing Determinants'!$B$19:$R$41,4,0)/'4. Billing Determinants'!$E$41*$D44,IF($E44="kW",VLOOKUP(F$4,'4. Billing Determinants'!$B$19:$R$41,5,0)/'4. Billing Determinants'!$F$41*$D44,IF($E44="Non-RPP kWh",VLOOKUP(F$4,'4. Billing Determinants'!$B$19:$R$41,6,0)/'4. Billing Determinants'!$G$41*$D44,IF($E44="Distribution Rev.",VLOOKUP(F$4,'4. Billing Determinants'!$B$19:$R$41,8,0)/'4. Billing Determinants'!$I$41*$D44, VLOOKUP(F$4,'4. Billing Determinants'!$B$19:$R$41,3,0)/'4. Billing Determinants'!$D$41*$D44))))),0)</f>
        <v>0</v>
      </c>
      <c r="G44" s="32">
        <f>IFERROR(IF(G$4="",0,IF($E44="kWh",VLOOKUP(G$4,'4. Billing Determinants'!$B$19:$R$41,4,0)/'4. Billing Determinants'!$E$41*$D44,IF($E44="kW",VLOOKUP(G$4,'4. Billing Determinants'!$B$19:$R$41,5,0)/'4. Billing Determinants'!$F$41*$D44,IF($E44="Non-RPP kWh",VLOOKUP(G$4,'4. Billing Determinants'!$B$19:$R$41,6,0)/'4. Billing Determinants'!$G$41*$D44,IF($E44="Distribution Rev.",VLOOKUP(G$4,'4. Billing Determinants'!$B$19:$R$41,8,0)/'4. Billing Determinants'!$I$41*$D44, VLOOKUP(G$4,'4. Billing Determinants'!$B$19:$R$41,3,0)/'4. Billing Determinants'!$D$41*$D44))))),0)</f>
        <v>0</v>
      </c>
      <c r="H44" s="32">
        <f>IFERROR(IF(H$4="",0,IF($E44="kWh",VLOOKUP(H$4,'4. Billing Determinants'!$B$19:$R$41,4,0)/'4. Billing Determinants'!$E$41*$D44,IF($E44="kW",VLOOKUP(H$4,'4. Billing Determinants'!$B$19:$R$41,5,0)/'4. Billing Determinants'!$F$41*$D44,IF($E44="Non-RPP kWh",VLOOKUP(H$4,'4. Billing Determinants'!$B$19:$R$41,6,0)/'4. Billing Determinants'!$G$41*$D44,IF($E44="Distribution Rev.",VLOOKUP(H$4,'4. Billing Determinants'!$B$19:$R$41,8,0)/'4. Billing Determinants'!$I$41*$D44, VLOOKUP(H$4,'4. Billing Determinants'!$B$19:$R$41,3,0)/'4. Billing Determinants'!$D$41*$D44))))),0)</f>
        <v>0</v>
      </c>
      <c r="I44" s="32">
        <f>IFERROR(IF(I$4="",0,IF($E44="kWh",VLOOKUP(I$4,'4. Billing Determinants'!$B$19:$R$41,4,0)/'4. Billing Determinants'!$E$41*$D44,IF($E44="kW",VLOOKUP(I$4,'4. Billing Determinants'!$B$19:$R$41,5,0)/'4. Billing Determinants'!$F$41*$D44,IF($E44="Non-RPP kWh",VLOOKUP(I$4,'4. Billing Determinants'!$B$19:$R$41,6,0)/'4. Billing Determinants'!$G$41*$D44,IF($E44="Distribution Rev.",VLOOKUP(I$4,'4. Billing Determinants'!$B$19:$R$41,8,0)/'4. Billing Determinants'!$I$41*$D44, VLOOKUP(I$4,'4. Billing Determinants'!$B$19:$R$41,3,0)/'4. Billing Determinants'!$D$41*$D44))))),0)</f>
        <v>0</v>
      </c>
      <c r="J44" s="32">
        <f>IFERROR(IF(J$4="",0,IF($E44="kWh",VLOOKUP(J$4,'4. Billing Determinants'!$B$19:$R$41,4,0)/'4. Billing Determinants'!$E$41*$D44,IF($E44="kW",VLOOKUP(J$4,'4. Billing Determinants'!$B$19:$R$41,5,0)/'4. Billing Determinants'!$F$41*$D44,IF($E44="Non-RPP kWh",VLOOKUP(J$4,'4. Billing Determinants'!$B$19:$R$41,6,0)/'4. Billing Determinants'!$G$41*$D44,IF($E44="Distribution Rev.",VLOOKUP(J$4,'4. Billing Determinants'!$B$19:$R$41,8,0)/'4. Billing Determinants'!$I$41*$D44, VLOOKUP(J$4,'4. Billing Determinants'!$B$19:$R$41,3,0)/'4. Billing Determinants'!$D$41*$D44))))),0)</f>
        <v>0</v>
      </c>
      <c r="K44" s="32">
        <f>IFERROR(IF(K$4="",0,IF($E44="kWh",VLOOKUP(K$4,'4. Billing Determinants'!$B$19:$R$41,4,0)/'4. Billing Determinants'!$E$41*$D44,IF($E44="kW",VLOOKUP(K$4,'4. Billing Determinants'!$B$19:$R$41,5,0)/'4. Billing Determinants'!$F$41*$D44,IF($E44="Non-RPP kWh",VLOOKUP(K$4,'4. Billing Determinants'!$B$19:$R$41,6,0)/'4. Billing Determinants'!$G$41*$D44,IF($E44="Distribution Rev.",VLOOKUP(K$4,'4. Billing Determinants'!$B$19:$R$41,8,0)/'4. Billing Determinants'!$I$41*$D44, VLOOKUP(K$4,'4. Billing Determinants'!$B$19:$R$41,3,0)/'4. Billing Determinants'!$D$41*$D44))))),0)</f>
        <v>0</v>
      </c>
      <c r="L44" s="32">
        <f>IFERROR(IF(L$4="",0,IF($E44="kWh",VLOOKUP(L$4,'4. Billing Determinants'!$B$19:$R$41,4,0)/'4. Billing Determinants'!$E$41*$D44,IF($E44="kW",VLOOKUP(L$4,'4. Billing Determinants'!$B$19:$R$41,5,0)/'4. Billing Determinants'!$F$41*$D44,IF($E44="Non-RPP kWh",VLOOKUP(L$4,'4. Billing Determinants'!$B$19:$R$41,6,0)/'4. Billing Determinants'!$G$41*$D44,IF($E44="Distribution Rev.",VLOOKUP(L$4,'4. Billing Determinants'!$B$19:$R$41,8,0)/'4. Billing Determinants'!$I$41*$D44, VLOOKUP(L$4,'4. Billing Determinants'!$B$19:$R$41,3,0)/'4. Billing Determinants'!$D$41*$D44))))),0)</f>
        <v>0</v>
      </c>
      <c r="M44" s="32">
        <f>IFERROR(IF(M$4="",0,IF($E44="kWh",VLOOKUP(M$4,'4. Billing Determinants'!$B$19:$R$41,4,0)/'4. Billing Determinants'!$E$41*$D44,IF($E44="kW",VLOOKUP(M$4,'4. Billing Determinants'!$B$19:$R$41,5,0)/'4. Billing Determinants'!$F$41*$D44,IF($E44="Non-RPP kWh",VLOOKUP(M$4,'4. Billing Determinants'!$B$19:$R$41,6,0)/'4. Billing Determinants'!$G$41*$D44,IF($E44="Distribution Rev.",VLOOKUP(M$4,'4. Billing Determinants'!$B$19:$R$41,8,0)/'4. Billing Determinants'!$I$41*$D44, VLOOKUP(M$4,'4. Billing Determinants'!$B$19:$R$41,3,0)/'4. Billing Determinants'!$D$41*$D44))))),0)</f>
        <v>0</v>
      </c>
      <c r="N44" s="32">
        <f>IFERROR(IF(N$4="",0,IF($E44="kWh",VLOOKUP(N$4,'4. Billing Determinants'!$B$19:$R$41,4,0)/'4. Billing Determinants'!$E$41*$D44,IF($E44="kW",VLOOKUP(N$4,'4. Billing Determinants'!$B$19:$R$41,5,0)/'4. Billing Determinants'!$F$41*$D44,IF($E44="Non-RPP kWh",VLOOKUP(N$4,'4. Billing Determinants'!$B$19:$R$41,6,0)/'4. Billing Determinants'!$G$41*$D44,IF($E44="Distribution Rev.",VLOOKUP(N$4,'4. Billing Determinants'!$B$19:$R$41,8,0)/'4. Billing Determinants'!$I$41*$D44, VLOOKUP(N$4,'4. Billing Determinants'!$B$19:$R$41,3,0)/'4. Billing Determinants'!$D$41*$D44))))),0)</f>
        <v>0</v>
      </c>
      <c r="O44" s="32">
        <f>IFERROR(IF(O$4="",0,IF($E44="kWh",VLOOKUP(O$4,'4. Billing Determinants'!$B$19:$R$41,4,0)/'4. Billing Determinants'!$E$41*$D44,IF($E44="kW",VLOOKUP(O$4,'4. Billing Determinants'!$B$19:$R$41,5,0)/'4. Billing Determinants'!$F$41*$D44,IF($E44="Non-RPP kWh",VLOOKUP(O$4,'4. Billing Determinants'!$B$19:$R$41,6,0)/'4. Billing Determinants'!$G$41*$D44,IF($E44="Distribution Rev.",VLOOKUP(O$4,'4. Billing Determinants'!$B$19:$R$41,8,0)/'4. Billing Determinants'!$I$41*$D44, VLOOKUP(O$4,'4. Billing Determinants'!$B$19:$R$41,3,0)/'4. Billing Determinants'!$D$41*$D44))))),0)</f>
        <v>0</v>
      </c>
      <c r="P44" s="32">
        <f>IFERROR(IF(P$4="",0,IF($E44="kWh",VLOOKUP(P$4,'4. Billing Determinants'!$B$19:$R$41,4,0)/'4. Billing Determinants'!$E$41*$D44,IF($E44="kW",VLOOKUP(P$4,'4. Billing Determinants'!$B$19:$R$41,5,0)/'4. Billing Determinants'!$F$41*$D44,IF($E44="Non-RPP kWh",VLOOKUP(P$4,'4. Billing Determinants'!$B$19:$R$41,6,0)/'4. Billing Determinants'!$G$41*$D44,IF($E44="Distribution Rev.",VLOOKUP(P$4,'4. Billing Determinants'!$B$19:$R$41,8,0)/'4. Billing Determinants'!$I$41*$D44, VLOOKUP(P$4,'4. Billing Determinants'!$B$19:$R$41,3,0)/'4. Billing Determinants'!$D$41*$D44))))),0)</f>
        <v>0</v>
      </c>
      <c r="Q44" s="32">
        <f>IFERROR(IF(Q$4="",0,IF($E44="kWh",VLOOKUP(Q$4,'4. Billing Determinants'!$B$19:$R$41,4,0)/'4. Billing Determinants'!$E$41*$D44,IF($E44="kW",VLOOKUP(Q$4,'4. Billing Determinants'!$B$19:$R$41,5,0)/'4. Billing Determinants'!$F$41*$D44,IF($E44="Non-RPP kWh",VLOOKUP(Q$4,'4. Billing Determinants'!$B$19:$R$41,6,0)/'4. Billing Determinants'!$G$41*$D44,IF($E44="Distribution Rev.",VLOOKUP(Q$4,'4. Billing Determinants'!$B$19:$R$41,8,0)/'4. Billing Determinants'!$I$41*$D44, VLOOKUP(Q$4,'4. Billing Determinants'!$B$19:$R$41,3,0)/'4. Billing Determinants'!$D$41*$D44))))),0)</f>
        <v>0</v>
      </c>
      <c r="R44" s="32">
        <f>IFERROR(IF(R$4="",0,IF($E44="kWh",VLOOKUP(R$4,'4. Billing Determinants'!$B$19:$R$41,4,0)/'4. Billing Determinants'!$E$41*$D44,IF($E44="kW",VLOOKUP(R$4,'4. Billing Determinants'!$B$19:$R$41,5,0)/'4. Billing Determinants'!$F$41*$D44,IF($E44="Non-RPP kWh",VLOOKUP(R$4,'4. Billing Determinants'!$B$19:$R$41,6,0)/'4. Billing Determinants'!$G$41*$D44,IF($E44="Distribution Rev.",VLOOKUP(R$4,'4. Billing Determinants'!$B$19:$R$41,8,0)/'4. Billing Determinants'!$I$41*$D44, VLOOKUP(R$4,'4. Billing Determinants'!$B$19:$R$41,3,0)/'4. Billing Determinants'!$D$41*$D44))))),0)</f>
        <v>0</v>
      </c>
      <c r="S44" s="32">
        <f>IFERROR(IF(S$4="",0,IF($E44="kWh",VLOOKUP(S$4,'4. Billing Determinants'!$B$19:$R$41,4,0)/'4. Billing Determinants'!$E$41*$D44,IF($E44="kW",VLOOKUP(S$4,'4. Billing Determinants'!$B$19:$R$41,5,0)/'4. Billing Determinants'!$F$41*$D44,IF($E44="Non-RPP kWh",VLOOKUP(S$4,'4. Billing Determinants'!$B$19:$R$41,6,0)/'4. Billing Determinants'!$G$41*$D44,IF($E44="Distribution Rev.",VLOOKUP(S$4,'4. Billing Determinants'!$B$19:$R$41,8,0)/'4. Billing Determinants'!$I$41*$D44, VLOOKUP(S$4,'4. Billing Determinants'!$B$19:$R$41,3,0)/'4. Billing Determinants'!$D$41*$D44))))),0)</f>
        <v>0</v>
      </c>
      <c r="T44" s="32">
        <f>IFERROR(IF(T$4="",0,IF($E44="kWh",VLOOKUP(T$4,'4. Billing Determinants'!$B$19:$R$41,4,0)/'4. Billing Determinants'!$E$41*$D44,IF($E44="kW",VLOOKUP(T$4,'4. Billing Determinants'!$B$19:$R$41,5,0)/'4. Billing Determinants'!$F$41*$D44,IF($E44="Non-RPP kWh",VLOOKUP(T$4,'4. Billing Determinants'!$B$19:$R$41,6,0)/'4. Billing Determinants'!$G$41*$D44,IF($E44="Distribution Rev.",VLOOKUP(T$4,'4. Billing Determinants'!$B$19:$R$41,8,0)/'4. Billing Determinants'!$I$41*$D44, VLOOKUP(T$4,'4. Billing Determinants'!$B$19:$R$41,3,0)/'4. Billing Determinants'!$D$41*$D44))))),0)</f>
        <v>0</v>
      </c>
      <c r="U44" s="32">
        <f>IFERROR(IF(U$4="",0,IF($E44="kWh",VLOOKUP(U$4,'4. Billing Determinants'!$B$19:$R$41,4,0)/'4. Billing Determinants'!$E$41*$D44,IF($E44="kW",VLOOKUP(U$4,'4. Billing Determinants'!$B$19:$R$41,5,0)/'4. Billing Determinants'!$F$41*$D44,IF($E44="Non-RPP kWh",VLOOKUP(U$4,'4. Billing Determinants'!$B$19:$R$41,6,0)/'4. Billing Determinants'!$G$41*$D44,IF($E44="Distribution Rev.",VLOOKUP(U$4,'4. Billing Determinants'!$B$19:$R$41,8,0)/'4. Billing Determinants'!$I$41*$D44, VLOOKUP(U$4,'4. Billing Determinants'!$B$19:$R$41,3,0)/'4. Billing Determinants'!$D$41*$D44))))),0)</f>
        <v>0</v>
      </c>
      <c r="V44" s="32">
        <f>IFERROR(IF(V$4="",0,IF($E44="kWh",VLOOKUP(V$4,'4. Billing Determinants'!$B$19:$R$41,4,0)/'4. Billing Determinants'!$E$41*$D44,IF($E44="kW",VLOOKUP(V$4,'4. Billing Determinants'!$B$19:$R$41,5,0)/'4. Billing Determinants'!$F$41*$D44,IF($E44="Non-RPP kWh",VLOOKUP(V$4,'4. Billing Determinants'!$B$19:$R$41,6,0)/'4. Billing Determinants'!$G$41*$D44,IF($E44="Distribution Rev.",VLOOKUP(V$4,'4. Billing Determinants'!$B$19:$R$41,8,0)/'4. Billing Determinants'!$I$41*$D44, VLOOKUP(V$4,'4. Billing Determinants'!$B$19:$R$41,3,0)/'4. Billing Determinants'!$D$41*$D44))))),0)</f>
        <v>0</v>
      </c>
      <c r="W44" s="32">
        <f>IFERROR(IF(W$4="",0,IF($E44="kWh",VLOOKUP(W$4,'4. Billing Determinants'!$B$19:$R$41,4,0)/'4. Billing Determinants'!$E$41*$D44,IF($E44="kW",VLOOKUP(W$4,'4. Billing Determinants'!$B$19:$R$41,5,0)/'4. Billing Determinants'!$F$41*$D44,IF($E44="Non-RPP kWh",VLOOKUP(W$4,'4. Billing Determinants'!$B$19:$R$41,6,0)/'4. Billing Determinants'!$G$41*$D44,IF($E44="Distribution Rev.",VLOOKUP(W$4,'4. Billing Determinants'!$B$19:$R$41,8,0)/'4. Billing Determinants'!$I$41*$D44, VLOOKUP(W$4,'4. Billing Determinants'!$B$19:$R$41,3,0)/'4. Billing Determinants'!$D$41*$D44))))),0)</f>
        <v>0</v>
      </c>
      <c r="X44" s="32">
        <f>IFERROR(IF(X$4="",0,IF($E44="kWh",VLOOKUP(X$4,'4. Billing Determinants'!$B$19:$R$41,4,0)/'4. Billing Determinants'!$E$41*$D44,IF($E44="kW",VLOOKUP(X$4,'4. Billing Determinants'!$B$19:$R$41,5,0)/'4. Billing Determinants'!$F$41*$D44,IF($E44="Non-RPP kWh",VLOOKUP(X$4,'4. Billing Determinants'!$B$19:$R$41,6,0)/'4. Billing Determinants'!$G$41*$D44,IF($E44="Distribution Rev.",VLOOKUP(X$4,'4. Billing Determinants'!$B$19:$R$41,8,0)/'4. Billing Determinants'!$I$41*$D44, VLOOKUP(X$4,'4. Billing Determinants'!$B$19:$R$41,3,0)/'4. Billing Determinants'!$D$41*$D44))))),0)</f>
        <v>0</v>
      </c>
      <c r="Y44" s="32">
        <f>IFERROR(IF(Y$4="",0,IF($E44="kWh",VLOOKUP(Y$4,'4. Billing Determinants'!$B$19:$R$41,4,0)/'4. Billing Determinants'!$E$41*$D44,IF($E44="kW",VLOOKUP(Y$4,'4. Billing Determinants'!$B$19:$R$41,5,0)/'4. Billing Determinants'!$F$41*$D44,IF($E44="Non-RPP kWh",VLOOKUP(Y$4,'4. Billing Determinants'!$B$19:$R$41,6,0)/'4. Billing Determinants'!$G$41*$D44,IF($E44="Distribution Rev.",VLOOKUP(Y$4,'4. Billing Determinants'!$B$19:$R$41,8,0)/'4. Billing Determinants'!$I$41*$D44, VLOOKUP(Y$4,'4. Billing Determinants'!$B$19:$R$41,3,0)/'4. Billing Determinants'!$D$41*$D44))))),0)</f>
        <v>0</v>
      </c>
    </row>
    <row r="45" spans="1:25" x14ac:dyDescent="0.2">
      <c r="A45" s="37">
        <v>22</v>
      </c>
      <c r="B45" s="34" t="s">
        <v>4</v>
      </c>
      <c r="C45" s="31">
        <v>1518</v>
      </c>
      <c r="D45" s="32">
        <f>'2b. Continuity Schedule'!BT71</f>
        <v>-18851.854797334603</v>
      </c>
      <c r="E45" s="48" t="s">
        <v>59</v>
      </c>
      <c r="F45" s="32">
        <f>IFERROR(IF(F$4="",0,IF($E45="kWh",VLOOKUP(F$4,'4. Billing Determinants'!$B$19:$R$41,4,0)/'4. Billing Determinants'!$E$41*$D45,IF($E45="kW",VLOOKUP(F$4,'4. Billing Determinants'!$B$19:$R$41,5,0)/'4. Billing Determinants'!$F$41*$D45,IF($E45="Non-RPP kWh",VLOOKUP(F$4,'4. Billing Determinants'!$B$19:$R$41,6,0)/'4. Billing Determinants'!$G$41*$D45,IF($E45="Distribution Rev.",VLOOKUP(F$4,'4. Billing Determinants'!$B$19:$R$41,8,0)/'4. Billing Determinants'!$I$41*$D45, VLOOKUP(F$4,'4. Billing Determinants'!$B$19:$R$41,3,0)/'4. Billing Determinants'!$D$41*$D45))))),0)</f>
        <v>-13469.733051153518</v>
      </c>
      <c r="G45" s="32">
        <f>IFERROR(IF(G$4="",0,IF($E45="kWh",VLOOKUP(G$4,'4. Billing Determinants'!$B$19:$R$41,4,0)/'4. Billing Determinants'!$E$41*$D45,IF($E45="kW",VLOOKUP(G$4,'4. Billing Determinants'!$B$19:$R$41,5,0)/'4. Billing Determinants'!$F$41*$D45,IF($E45="Non-RPP kWh",VLOOKUP(G$4,'4. Billing Determinants'!$B$19:$R$41,6,0)/'4. Billing Determinants'!$G$41*$D45,IF($E45="Distribution Rev.",VLOOKUP(G$4,'4. Billing Determinants'!$B$19:$R$41,8,0)/'4. Billing Determinants'!$I$41*$D45, VLOOKUP(G$4,'4. Billing Determinants'!$B$19:$R$41,3,0)/'4. Billing Determinants'!$D$41*$D45))))),0)</f>
        <v>-1509.4625040844417</v>
      </c>
      <c r="H45" s="32">
        <f>IFERROR(IF(H$4="",0,IF($E45="kWh",VLOOKUP(H$4,'4. Billing Determinants'!$B$19:$R$41,4,0)/'4. Billing Determinants'!$E$41*$D45,IF($E45="kW",VLOOKUP(H$4,'4. Billing Determinants'!$B$19:$R$41,5,0)/'4. Billing Determinants'!$F$41*$D45,IF($E45="Non-RPP kWh",VLOOKUP(H$4,'4. Billing Determinants'!$B$19:$R$41,6,0)/'4. Billing Determinants'!$G$41*$D45,IF($E45="Distribution Rev.",VLOOKUP(H$4,'4. Billing Determinants'!$B$19:$R$41,8,0)/'4. Billing Determinants'!$I$41*$D45, VLOOKUP(H$4,'4. Billing Determinants'!$B$19:$R$41,3,0)/'4. Billing Determinants'!$D$41*$D45))))),0)</f>
        <v>-152.72208864854352</v>
      </c>
      <c r="I45" s="32">
        <f>IFERROR(IF(I$4="",0,IF($E45="kWh",VLOOKUP(I$4,'4. Billing Determinants'!$B$19:$R$41,4,0)/'4. Billing Determinants'!$E$41*$D45,IF($E45="kW",VLOOKUP(I$4,'4. Billing Determinants'!$B$19:$R$41,5,0)/'4. Billing Determinants'!$F$41*$D45,IF($E45="Non-RPP kWh",VLOOKUP(I$4,'4. Billing Determinants'!$B$19:$R$41,6,0)/'4. Billing Determinants'!$G$41*$D45,IF($E45="Distribution Rev.",VLOOKUP(I$4,'4. Billing Determinants'!$B$19:$R$41,8,0)/'4. Billing Determinants'!$I$41*$D45, VLOOKUP(I$4,'4. Billing Determinants'!$B$19:$R$41,3,0)/'4. Billing Determinants'!$D$41*$D45))))),0)</f>
        <v>-11.098989000620895</v>
      </c>
      <c r="J45" s="32">
        <f>IFERROR(IF(J$4="",0,IF($E45="kWh",VLOOKUP(J$4,'4. Billing Determinants'!$B$19:$R$41,4,0)/'4. Billing Determinants'!$E$41*$D45,IF($E45="kW",VLOOKUP(J$4,'4. Billing Determinants'!$B$19:$R$41,5,0)/'4. Billing Determinants'!$F$41*$D45,IF($E45="Non-RPP kWh",VLOOKUP(J$4,'4. Billing Determinants'!$B$19:$R$41,6,0)/'4. Billing Determinants'!$G$41*$D45,IF($E45="Distribution Rev.",VLOOKUP(J$4,'4. Billing Determinants'!$B$19:$R$41,8,0)/'4. Billing Determinants'!$I$41*$D45, VLOOKUP(J$4,'4. Billing Determinants'!$B$19:$R$41,3,0)/'4. Billing Determinants'!$D$41*$D45))))),0)</f>
        <v>-3568.1029839196058</v>
      </c>
      <c r="K45" s="32">
        <f>IFERROR(IF(K$4="",0,IF($E45="kWh",VLOOKUP(K$4,'4. Billing Determinants'!$B$19:$R$41,4,0)/'4. Billing Determinants'!$E$41*$D45,IF($E45="kW",VLOOKUP(K$4,'4. Billing Determinants'!$B$19:$R$41,5,0)/'4. Billing Determinants'!$F$41*$D45,IF($E45="Non-RPP kWh",VLOOKUP(K$4,'4. Billing Determinants'!$B$19:$R$41,6,0)/'4. Billing Determinants'!$G$41*$D45,IF($E45="Distribution Rev.",VLOOKUP(K$4,'4. Billing Determinants'!$B$19:$R$41,8,0)/'4. Billing Determinants'!$I$41*$D45, VLOOKUP(K$4,'4. Billing Determinants'!$B$19:$R$41,3,0)/'4. Billing Determinants'!$D$41*$D45))))),0)</f>
        <v>-140.73518052787296</v>
      </c>
      <c r="L45" s="32">
        <f>IFERROR(IF(L$4="",0,IF($E45="kWh",VLOOKUP(L$4,'4. Billing Determinants'!$B$19:$R$41,4,0)/'4. Billing Determinants'!$E$41*$D45,IF($E45="kW",VLOOKUP(L$4,'4. Billing Determinants'!$B$19:$R$41,5,0)/'4. Billing Determinants'!$F$41*$D45,IF($E45="Non-RPP kWh",VLOOKUP(L$4,'4. Billing Determinants'!$B$19:$R$41,6,0)/'4. Billing Determinants'!$G$41*$D45,IF($E45="Distribution Rev.",VLOOKUP(L$4,'4. Billing Determinants'!$B$19:$R$41,8,0)/'4. Billing Determinants'!$I$41*$D45, VLOOKUP(L$4,'4. Billing Determinants'!$B$19:$R$41,3,0)/'4. Billing Determinants'!$D$41*$D45))))),0)</f>
        <v>0</v>
      </c>
      <c r="M45" s="32">
        <f>IFERROR(IF(M$4="",0,IF($E45="kWh",VLOOKUP(M$4,'4. Billing Determinants'!$B$19:$R$41,4,0)/'4. Billing Determinants'!$E$41*$D45,IF($E45="kW",VLOOKUP(M$4,'4. Billing Determinants'!$B$19:$R$41,5,0)/'4. Billing Determinants'!$F$41*$D45,IF($E45="Non-RPP kWh",VLOOKUP(M$4,'4. Billing Determinants'!$B$19:$R$41,6,0)/'4. Billing Determinants'!$G$41*$D45,IF($E45="Distribution Rev.",VLOOKUP(M$4,'4. Billing Determinants'!$B$19:$R$41,8,0)/'4. Billing Determinants'!$I$41*$D45, VLOOKUP(M$4,'4. Billing Determinants'!$B$19:$R$41,3,0)/'4. Billing Determinants'!$D$41*$D45))))),0)</f>
        <v>0</v>
      </c>
      <c r="N45" s="32">
        <f>IFERROR(IF(N$4="",0,IF($E45="kWh",VLOOKUP(N$4,'4. Billing Determinants'!$B$19:$R$41,4,0)/'4. Billing Determinants'!$E$41*$D45,IF($E45="kW",VLOOKUP(N$4,'4. Billing Determinants'!$B$19:$R$41,5,0)/'4. Billing Determinants'!$F$41*$D45,IF($E45="Non-RPP kWh",VLOOKUP(N$4,'4. Billing Determinants'!$B$19:$R$41,6,0)/'4. Billing Determinants'!$G$41*$D45,IF($E45="Distribution Rev.",VLOOKUP(N$4,'4. Billing Determinants'!$B$19:$R$41,8,0)/'4. Billing Determinants'!$I$41*$D45, VLOOKUP(N$4,'4. Billing Determinants'!$B$19:$R$41,3,0)/'4. Billing Determinants'!$D$41*$D45))))),0)</f>
        <v>0</v>
      </c>
      <c r="O45" s="32">
        <f>IFERROR(IF(O$4="",0,IF($E45="kWh",VLOOKUP(O$4,'4. Billing Determinants'!$B$19:$R$41,4,0)/'4. Billing Determinants'!$E$41*$D45,IF($E45="kW",VLOOKUP(O$4,'4. Billing Determinants'!$B$19:$R$41,5,0)/'4. Billing Determinants'!$F$41*$D45,IF($E45="Non-RPP kWh",VLOOKUP(O$4,'4. Billing Determinants'!$B$19:$R$41,6,0)/'4. Billing Determinants'!$G$41*$D45,IF($E45="Distribution Rev.",VLOOKUP(O$4,'4. Billing Determinants'!$B$19:$R$41,8,0)/'4. Billing Determinants'!$I$41*$D45, VLOOKUP(O$4,'4. Billing Determinants'!$B$19:$R$41,3,0)/'4. Billing Determinants'!$D$41*$D45))))),0)</f>
        <v>0</v>
      </c>
      <c r="P45" s="32">
        <f>IFERROR(IF(P$4="",0,IF($E45="kWh",VLOOKUP(P$4,'4. Billing Determinants'!$B$19:$R$41,4,0)/'4. Billing Determinants'!$E$41*$D45,IF($E45="kW",VLOOKUP(P$4,'4. Billing Determinants'!$B$19:$R$41,5,0)/'4. Billing Determinants'!$F$41*$D45,IF($E45="Non-RPP kWh",VLOOKUP(P$4,'4. Billing Determinants'!$B$19:$R$41,6,0)/'4. Billing Determinants'!$G$41*$D45,IF($E45="Distribution Rev.",VLOOKUP(P$4,'4. Billing Determinants'!$B$19:$R$41,8,0)/'4. Billing Determinants'!$I$41*$D45, VLOOKUP(P$4,'4. Billing Determinants'!$B$19:$R$41,3,0)/'4. Billing Determinants'!$D$41*$D45))))),0)</f>
        <v>0</v>
      </c>
      <c r="Q45" s="32">
        <f>IFERROR(IF(Q$4="",0,IF($E45="kWh",VLOOKUP(Q$4,'4. Billing Determinants'!$B$19:$R$41,4,0)/'4. Billing Determinants'!$E$41*$D45,IF($E45="kW",VLOOKUP(Q$4,'4. Billing Determinants'!$B$19:$R$41,5,0)/'4. Billing Determinants'!$F$41*$D45,IF($E45="Non-RPP kWh",VLOOKUP(Q$4,'4. Billing Determinants'!$B$19:$R$41,6,0)/'4. Billing Determinants'!$G$41*$D45,IF($E45="Distribution Rev.",VLOOKUP(Q$4,'4. Billing Determinants'!$B$19:$R$41,8,0)/'4. Billing Determinants'!$I$41*$D45, VLOOKUP(Q$4,'4. Billing Determinants'!$B$19:$R$41,3,0)/'4. Billing Determinants'!$D$41*$D45))))),0)</f>
        <v>0</v>
      </c>
      <c r="R45" s="32">
        <f>IFERROR(IF(R$4="",0,IF($E45="kWh",VLOOKUP(R$4,'4. Billing Determinants'!$B$19:$R$41,4,0)/'4. Billing Determinants'!$E$41*$D45,IF($E45="kW",VLOOKUP(R$4,'4. Billing Determinants'!$B$19:$R$41,5,0)/'4. Billing Determinants'!$F$41*$D45,IF($E45="Non-RPP kWh",VLOOKUP(R$4,'4. Billing Determinants'!$B$19:$R$41,6,0)/'4. Billing Determinants'!$G$41*$D45,IF($E45="Distribution Rev.",VLOOKUP(R$4,'4. Billing Determinants'!$B$19:$R$41,8,0)/'4. Billing Determinants'!$I$41*$D45, VLOOKUP(R$4,'4. Billing Determinants'!$B$19:$R$41,3,0)/'4. Billing Determinants'!$D$41*$D45))))),0)</f>
        <v>0</v>
      </c>
      <c r="S45" s="32">
        <f>IFERROR(IF(S$4="",0,IF($E45="kWh",VLOOKUP(S$4,'4. Billing Determinants'!$B$19:$R$41,4,0)/'4. Billing Determinants'!$E$41*$D45,IF($E45="kW",VLOOKUP(S$4,'4. Billing Determinants'!$B$19:$R$41,5,0)/'4. Billing Determinants'!$F$41*$D45,IF($E45="Non-RPP kWh",VLOOKUP(S$4,'4. Billing Determinants'!$B$19:$R$41,6,0)/'4. Billing Determinants'!$G$41*$D45,IF($E45="Distribution Rev.",VLOOKUP(S$4,'4. Billing Determinants'!$B$19:$R$41,8,0)/'4. Billing Determinants'!$I$41*$D45, VLOOKUP(S$4,'4. Billing Determinants'!$B$19:$R$41,3,0)/'4. Billing Determinants'!$D$41*$D45))))),0)</f>
        <v>0</v>
      </c>
      <c r="T45" s="32">
        <f>IFERROR(IF(T$4="",0,IF($E45="kWh",VLOOKUP(T$4,'4. Billing Determinants'!$B$19:$R$41,4,0)/'4. Billing Determinants'!$E$41*$D45,IF($E45="kW",VLOOKUP(T$4,'4. Billing Determinants'!$B$19:$R$41,5,0)/'4. Billing Determinants'!$F$41*$D45,IF($E45="Non-RPP kWh",VLOOKUP(T$4,'4. Billing Determinants'!$B$19:$R$41,6,0)/'4. Billing Determinants'!$G$41*$D45,IF($E45="Distribution Rev.",VLOOKUP(T$4,'4. Billing Determinants'!$B$19:$R$41,8,0)/'4. Billing Determinants'!$I$41*$D45, VLOOKUP(T$4,'4. Billing Determinants'!$B$19:$R$41,3,0)/'4. Billing Determinants'!$D$41*$D45))))),0)</f>
        <v>0</v>
      </c>
      <c r="U45" s="32">
        <f>IFERROR(IF(U$4="",0,IF($E45="kWh",VLOOKUP(U$4,'4. Billing Determinants'!$B$19:$R$41,4,0)/'4. Billing Determinants'!$E$41*$D45,IF($E45="kW",VLOOKUP(U$4,'4. Billing Determinants'!$B$19:$R$41,5,0)/'4. Billing Determinants'!$F$41*$D45,IF($E45="Non-RPP kWh",VLOOKUP(U$4,'4. Billing Determinants'!$B$19:$R$41,6,0)/'4. Billing Determinants'!$G$41*$D45,IF($E45="Distribution Rev.",VLOOKUP(U$4,'4. Billing Determinants'!$B$19:$R$41,8,0)/'4. Billing Determinants'!$I$41*$D45, VLOOKUP(U$4,'4. Billing Determinants'!$B$19:$R$41,3,0)/'4. Billing Determinants'!$D$41*$D45))))),0)</f>
        <v>0</v>
      </c>
      <c r="V45" s="32">
        <f>IFERROR(IF(V$4="",0,IF($E45="kWh",VLOOKUP(V$4,'4. Billing Determinants'!$B$19:$R$41,4,0)/'4. Billing Determinants'!$E$41*$D45,IF($E45="kW",VLOOKUP(V$4,'4. Billing Determinants'!$B$19:$R$41,5,0)/'4. Billing Determinants'!$F$41*$D45,IF($E45="Non-RPP kWh",VLOOKUP(V$4,'4. Billing Determinants'!$B$19:$R$41,6,0)/'4. Billing Determinants'!$G$41*$D45,IF($E45="Distribution Rev.",VLOOKUP(V$4,'4. Billing Determinants'!$B$19:$R$41,8,0)/'4. Billing Determinants'!$I$41*$D45, VLOOKUP(V$4,'4. Billing Determinants'!$B$19:$R$41,3,0)/'4. Billing Determinants'!$D$41*$D45))))),0)</f>
        <v>0</v>
      </c>
      <c r="W45" s="32">
        <f>IFERROR(IF(W$4="",0,IF($E45="kWh",VLOOKUP(W$4,'4. Billing Determinants'!$B$19:$R$41,4,0)/'4. Billing Determinants'!$E$41*$D45,IF($E45="kW",VLOOKUP(W$4,'4. Billing Determinants'!$B$19:$R$41,5,0)/'4. Billing Determinants'!$F$41*$D45,IF($E45="Non-RPP kWh",VLOOKUP(W$4,'4. Billing Determinants'!$B$19:$R$41,6,0)/'4. Billing Determinants'!$G$41*$D45,IF($E45="Distribution Rev.",VLOOKUP(W$4,'4. Billing Determinants'!$B$19:$R$41,8,0)/'4. Billing Determinants'!$I$41*$D45, VLOOKUP(W$4,'4. Billing Determinants'!$B$19:$R$41,3,0)/'4. Billing Determinants'!$D$41*$D45))))),0)</f>
        <v>0</v>
      </c>
      <c r="X45" s="32">
        <f>IFERROR(IF(X$4="",0,IF($E45="kWh",VLOOKUP(X$4,'4. Billing Determinants'!$B$19:$R$41,4,0)/'4. Billing Determinants'!$E$41*$D45,IF($E45="kW",VLOOKUP(X$4,'4. Billing Determinants'!$B$19:$R$41,5,0)/'4. Billing Determinants'!$F$41*$D45,IF($E45="Non-RPP kWh",VLOOKUP(X$4,'4. Billing Determinants'!$B$19:$R$41,6,0)/'4. Billing Determinants'!$G$41*$D45,IF($E45="Distribution Rev.",VLOOKUP(X$4,'4. Billing Determinants'!$B$19:$R$41,8,0)/'4. Billing Determinants'!$I$41*$D45, VLOOKUP(X$4,'4. Billing Determinants'!$B$19:$R$41,3,0)/'4. Billing Determinants'!$D$41*$D45))))),0)</f>
        <v>0</v>
      </c>
      <c r="Y45" s="32">
        <f>IFERROR(IF(Y$4="",0,IF($E45="kWh",VLOOKUP(Y$4,'4. Billing Determinants'!$B$19:$R$41,4,0)/'4. Billing Determinants'!$E$41*$D45,IF($E45="kW",VLOOKUP(Y$4,'4. Billing Determinants'!$B$19:$R$41,5,0)/'4. Billing Determinants'!$F$41*$D45,IF($E45="Non-RPP kWh",VLOOKUP(Y$4,'4. Billing Determinants'!$B$19:$R$41,6,0)/'4. Billing Determinants'!$G$41*$D45,IF($E45="Distribution Rev.",VLOOKUP(Y$4,'4. Billing Determinants'!$B$19:$R$41,8,0)/'4. Billing Determinants'!$I$41*$D45, VLOOKUP(Y$4,'4. Billing Determinants'!$B$19:$R$41,3,0)/'4. Billing Determinants'!$D$41*$D45))))),0)</f>
        <v>0</v>
      </c>
    </row>
    <row r="46" spans="1:25" ht="14.25" customHeight="1" x14ac:dyDescent="0.2">
      <c r="A46" s="37">
        <v>23</v>
      </c>
      <c r="B46" s="34" t="s">
        <v>446</v>
      </c>
      <c r="C46" s="31">
        <v>1522</v>
      </c>
      <c r="D46" s="32">
        <f>'2b. Continuity Schedule'!BT72</f>
        <v>0</v>
      </c>
      <c r="E46" s="48" t="s">
        <v>139</v>
      </c>
      <c r="F46" s="32">
        <f>IFERROR(IF(F$4="",0,IF($E46="kWh",VLOOKUP(F$4,'4. Billing Determinants'!$B$19:$R$41,4,0)/'4. Billing Determinants'!$E$41*$D46,IF($E46="kW",VLOOKUP(F$4,'4. Billing Determinants'!$B$19:$R$41,5,0)/'4. Billing Determinants'!$F$41*$D46,IF($E46="Non-RPP kWh",VLOOKUP(F$4,'4. Billing Determinants'!$B$19:$R$41,6,0)/'4. Billing Determinants'!$G$41*$D46,IF($E46="Distribution Rev.",VLOOKUP(F$4,'4. Billing Determinants'!$B$19:$R$41,8,0)/'4. Billing Determinants'!$I$41*$D46, VLOOKUP(F$4,'4. Billing Determinants'!$B$19:$R$41,3,0)/'4. Billing Determinants'!$D$41*$D46))))),0)</f>
        <v>0</v>
      </c>
      <c r="G46" s="32">
        <f>IFERROR(IF(G$4="",0,IF($E46="kWh",VLOOKUP(G$4,'4. Billing Determinants'!$B$19:$R$41,4,0)/'4. Billing Determinants'!$E$41*$D46,IF($E46="kW",VLOOKUP(G$4,'4. Billing Determinants'!$B$19:$R$41,5,0)/'4. Billing Determinants'!$F$41*$D46,IF($E46="Non-RPP kWh",VLOOKUP(G$4,'4. Billing Determinants'!$B$19:$R$41,6,0)/'4. Billing Determinants'!$G$41*$D46,IF($E46="Distribution Rev.",VLOOKUP(G$4,'4. Billing Determinants'!$B$19:$R$41,8,0)/'4. Billing Determinants'!$I$41*$D46, VLOOKUP(G$4,'4. Billing Determinants'!$B$19:$R$41,3,0)/'4. Billing Determinants'!$D$41*$D46))))),0)</f>
        <v>0</v>
      </c>
      <c r="H46" s="32">
        <f>IFERROR(IF(H$4="",0,IF($E46="kWh",VLOOKUP(H$4,'4. Billing Determinants'!$B$19:$R$41,4,0)/'4. Billing Determinants'!$E$41*$D46,IF($E46="kW",VLOOKUP(H$4,'4. Billing Determinants'!$B$19:$R$41,5,0)/'4. Billing Determinants'!$F$41*$D46,IF($E46="Non-RPP kWh",VLOOKUP(H$4,'4. Billing Determinants'!$B$19:$R$41,6,0)/'4. Billing Determinants'!$G$41*$D46,IF($E46="Distribution Rev.",VLOOKUP(H$4,'4. Billing Determinants'!$B$19:$R$41,8,0)/'4. Billing Determinants'!$I$41*$D46, VLOOKUP(H$4,'4. Billing Determinants'!$B$19:$R$41,3,0)/'4. Billing Determinants'!$D$41*$D46))))),0)</f>
        <v>0</v>
      </c>
      <c r="I46" s="32">
        <f>IFERROR(IF(I$4="",0,IF($E46="kWh",VLOOKUP(I$4,'4. Billing Determinants'!$B$19:$R$41,4,0)/'4. Billing Determinants'!$E$41*$D46,IF($E46="kW",VLOOKUP(I$4,'4. Billing Determinants'!$B$19:$R$41,5,0)/'4. Billing Determinants'!$F$41*$D46,IF($E46="Non-RPP kWh",VLOOKUP(I$4,'4. Billing Determinants'!$B$19:$R$41,6,0)/'4. Billing Determinants'!$G$41*$D46,IF($E46="Distribution Rev.",VLOOKUP(I$4,'4. Billing Determinants'!$B$19:$R$41,8,0)/'4. Billing Determinants'!$I$41*$D46, VLOOKUP(I$4,'4. Billing Determinants'!$B$19:$R$41,3,0)/'4. Billing Determinants'!$D$41*$D46))))),0)</f>
        <v>0</v>
      </c>
      <c r="J46" s="32">
        <f>IFERROR(IF(J$4="",0,IF($E46="kWh",VLOOKUP(J$4,'4. Billing Determinants'!$B$19:$R$41,4,0)/'4. Billing Determinants'!$E$41*$D46,IF($E46="kW",VLOOKUP(J$4,'4. Billing Determinants'!$B$19:$R$41,5,0)/'4. Billing Determinants'!$F$41*$D46,IF($E46="Non-RPP kWh",VLOOKUP(J$4,'4. Billing Determinants'!$B$19:$R$41,6,0)/'4. Billing Determinants'!$G$41*$D46,IF($E46="Distribution Rev.",VLOOKUP(J$4,'4. Billing Determinants'!$B$19:$R$41,8,0)/'4. Billing Determinants'!$I$41*$D46, VLOOKUP(J$4,'4. Billing Determinants'!$B$19:$R$41,3,0)/'4. Billing Determinants'!$D$41*$D46))))),0)</f>
        <v>0</v>
      </c>
      <c r="K46" s="32">
        <f>IFERROR(IF(K$4="",0,IF($E46="kWh",VLOOKUP(K$4,'4. Billing Determinants'!$B$19:$R$41,4,0)/'4. Billing Determinants'!$E$41*$D46,IF($E46="kW",VLOOKUP(K$4,'4. Billing Determinants'!$B$19:$R$41,5,0)/'4. Billing Determinants'!$F$41*$D46,IF($E46="Non-RPP kWh",VLOOKUP(K$4,'4. Billing Determinants'!$B$19:$R$41,6,0)/'4. Billing Determinants'!$G$41*$D46,IF($E46="Distribution Rev.",VLOOKUP(K$4,'4. Billing Determinants'!$B$19:$R$41,8,0)/'4. Billing Determinants'!$I$41*$D46, VLOOKUP(K$4,'4. Billing Determinants'!$B$19:$R$41,3,0)/'4. Billing Determinants'!$D$41*$D46))))),0)</f>
        <v>0</v>
      </c>
      <c r="L46" s="32">
        <f>IFERROR(IF(L$4="",0,IF($E46="kWh",VLOOKUP(L$4,'4. Billing Determinants'!$B$19:$R$41,4,0)/'4. Billing Determinants'!$E$41*$D46,IF($E46="kW",VLOOKUP(L$4,'4. Billing Determinants'!$B$19:$R$41,5,0)/'4. Billing Determinants'!$F$41*$D46,IF($E46="Non-RPP kWh",VLOOKUP(L$4,'4. Billing Determinants'!$B$19:$R$41,6,0)/'4. Billing Determinants'!$G$41*$D46,IF($E46="Distribution Rev.",VLOOKUP(L$4,'4. Billing Determinants'!$B$19:$R$41,8,0)/'4. Billing Determinants'!$I$41*$D46, VLOOKUP(L$4,'4. Billing Determinants'!$B$19:$R$41,3,0)/'4. Billing Determinants'!$D$41*$D46))))),0)</f>
        <v>0</v>
      </c>
      <c r="M46" s="32">
        <f>IFERROR(IF(M$4="",0,IF($E46="kWh",VLOOKUP(M$4,'4. Billing Determinants'!$B$19:$R$41,4,0)/'4. Billing Determinants'!$E$41*$D46,IF($E46="kW",VLOOKUP(M$4,'4. Billing Determinants'!$B$19:$R$41,5,0)/'4. Billing Determinants'!$F$41*$D46,IF($E46="Non-RPP kWh",VLOOKUP(M$4,'4. Billing Determinants'!$B$19:$R$41,6,0)/'4. Billing Determinants'!$G$41*$D46,IF($E46="Distribution Rev.",VLOOKUP(M$4,'4. Billing Determinants'!$B$19:$R$41,8,0)/'4. Billing Determinants'!$I$41*$D46, VLOOKUP(M$4,'4. Billing Determinants'!$B$19:$R$41,3,0)/'4. Billing Determinants'!$D$41*$D46))))),0)</f>
        <v>0</v>
      </c>
      <c r="N46" s="32">
        <f>IFERROR(IF(N$4="",0,IF($E46="kWh",VLOOKUP(N$4,'4. Billing Determinants'!$B$19:$R$41,4,0)/'4. Billing Determinants'!$E$41*$D46,IF($E46="kW",VLOOKUP(N$4,'4. Billing Determinants'!$B$19:$R$41,5,0)/'4. Billing Determinants'!$F$41*$D46,IF($E46="Non-RPP kWh",VLOOKUP(N$4,'4. Billing Determinants'!$B$19:$R$41,6,0)/'4. Billing Determinants'!$G$41*$D46,IF($E46="Distribution Rev.",VLOOKUP(N$4,'4. Billing Determinants'!$B$19:$R$41,8,0)/'4. Billing Determinants'!$I$41*$D46, VLOOKUP(N$4,'4. Billing Determinants'!$B$19:$R$41,3,0)/'4. Billing Determinants'!$D$41*$D46))))),0)</f>
        <v>0</v>
      </c>
      <c r="O46" s="32">
        <f>IFERROR(IF(O$4="",0,IF($E46="kWh",VLOOKUP(O$4,'4. Billing Determinants'!$B$19:$R$41,4,0)/'4. Billing Determinants'!$E$41*$D46,IF($E46="kW",VLOOKUP(O$4,'4. Billing Determinants'!$B$19:$R$41,5,0)/'4. Billing Determinants'!$F$41*$D46,IF($E46="Non-RPP kWh",VLOOKUP(O$4,'4. Billing Determinants'!$B$19:$R$41,6,0)/'4. Billing Determinants'!$G$41*$D46,IF($E46="Distribution Rev.",VLOOKUP(O$4,'4. Billing Determinants'!$B$19:$R$41,8,0)/'4. Billing Determinants'!$I$41*$D46, VLOOKUP(O$4,'4. Billing Determinants'!$B$19:$R$41,3,0)/'4. Billing Determinants'!$D$41*$D46))))),0)</f>
        <v>0</v>
      </c>
      <c r="P46" s="32">
        <f>IFERROR(IF(P$4="",0,IF($E46="kWh",VLOOKUP(P$4,'4. Billing Determinants'!$B$19:$R$41,4,0)/'4. Billing Determinants'!$E$41*$D46,IF($E46="kW",VLOOKUP(P$4,'4. Billing Determinants'!$B$19:$R$41,5,0)/'4. Billing Determinants'!$F$41*$D46,IF($E46="Non-RPP kWh",VLOOKUP(P$4,'4. Billing Determinants'!$B$19:$R$41,6,0)/'4. Billing Determinants'!$G$41*$D46,IF($E46="Distribution Rev.",VLOOKUP(P$4,'4. Billing Determinants'!$B$19:$R$41,8,0)/'4. Billing Determinants'!$I$41*$D46, VLOOKUP(P$4,'4. Billing Determinants'!$B$19:$R$41,3,0)/'4. Billing Determinants'!$D$41*$D46))))),0)</f>
        <v>0</v>
      </c>
      <c r="Q46" s="32">
        <f>IFERROR(IF(Q$4="",0,IF($E46="kWh",VLOOKUP(Q$4,'4. Billing Determinants'!$B$19:$R$41,4,0)/'4. Billing Determinants'!$E$41*$D46,IF($E46="kW",VLOOKUP(Q$4,'4. Billing Determinants'!$B$19:$R$41,5,0)/'4. Billing Determinants'!$F$41*$D46,IF($E46="Non-RPP kWh",VLOOKUP(Q$4,'4. Billing Determinants'!$B$19:$R$41,6,0)/'4. Billing Determinants'!$G$41*$D46,IF($E46="Distribution Rev.",VLOOKUP(Q$4,'4. Billing Determinants'!$B$19:$R$41,8,0)/'4. Billing Determinants'!$I$41*$D46, VLOOKUP(Q$4,'4. Billing Determinants'!$B$19:$R$41,3,0)/'4. Billing Determinants'!$D$41*$D46))))),0)</f>
        <v>0</v>
      </c>
      <c r="R46" s="32">
        <f>IFERROR(IF(R$4="",0,IF($E46="kWh",VLOOKUP(R$4,'4. Billing Determinants'!$B$19:$R$41,4,0)/'4. Billing Determinants'!$E$41*$D46,IF($E46="kW",VLOOKUP(R$4,'4. Billing Determinants'!$B$19:$R$41,5,0)/'4. Billing Determinants'!$F$41*$D46,IF($E46="Non-RPP kWh",VLOOKUP(R$4,'4. Billing Determinants'!$B$19:$R$41,6,0)/'4. Billing Determinants'!$G$41*$D46,IF($E46="Distribution Rev.",VLOOKUP(R$4,'4. Billing Determinants'!$B$19:$R$41,8,0)/'4. Billing Determinants'!$I$41*$D46, VLOOKUP(R$4,'4. Billing Determinants'!$B$19:$R$41,3,0)/'4. Billing Determinants'!$D$41*$D46))))),0)</f>
        <v>0</v>
      </c>
      <c r="S46" s="32">
        <f>IFERROR(IF(S$4="",0,IF($E46="kWh",VLOOKUP(S$4,'4. Billing Determinants'!$B$19:$R$41,4,0)/'4. Billing Determinants'!$E$41*$D46,IF($E46="kW",VLOOKUP(S$4,'4. Billing Determinants'!$B$19:$R$41,5,0)/'4. Billing Determinants'!$F$41*$D46,IF($E46="Non-RPP kWh",VLOOKUP(S$4,'4. Billing Determinants'!$B$19:$R$41,6,0)/'4. Billing Determinants'!$G$41*$D46,IF($E46="Distribution Rev.",VLOOKUP(S$4,'4. Billing Determinants'!$B$19:$R$41,8,0)/'4. Billing Determinants'!$I$41*$D46, VLOOKUP(S$4,'4. Billing Determinants'!$B$19:$R$41,3,0)/'4. Billing Determinants'!$D$41*$D46))))),0)</f>
        <v>0</v>
      </c>
      <c r="T46" s="32">
        <f>IFERROR(IF(T$4="",0,IF($E46="kWh",VLOOKUP(T$4,'4. Billing Determinants'!$B$19:$R$41,4,0)/'4. Billing Determinants'!$E$41*$D46,IF($E46="kW",VLOOKUP(T$4,'4. Billing Determinants'!$B$19:$R$41,5,0)/'4. Billing Determinants'!$F$41*$D46,IF($E46="Non-RPP kWh",VLOOKUP(T$4,'4. Billing Determinants'!$B$19:$R$41,6,0)/'4. Billing Determinants'!$G$41*$D46,IF($E46="Distribution Rev.",VLOOKUP(T$4,'4. Billing Determinants'!$B$19:$R$41,8,0)/'4. Billing Determinants'!$I$41*$D46, VLOOKUP(T$4,'4. Billing Determinants'!$B$19:$R$41,3,0)/'4. Billing Determinants'!$D$41*$D46))))),0)</f>
        <v>0</v>
      </c>
      <c r="U46" s="32">
        <f>IFERROR(IF(U$4="",0,IF($E46="kWh",VLOOKUP(U$4,'4. Billing Determinants'!$B$19:$R$41,4,0)/'4. Billing Determinants'!$E$41*$D46,IF($E46="kW",VLOOKUP(U$4,'4. Billing Determinants'!$B$19:$R$41,5,0)/'4. Billing Determinants'!$F$41*$D46,IF($E46="Non-RPP kWh",VLOOKUP(U$4,'4. Billing Determinants'!$B$19:$R$41,6,0)/'4. Billing Determinants'!$G$41*$D46,IF($E46="Distribution Rev.",VLOOKUP(U$4,'4. Billing Determinants'!$B$19:$R$41,8,0)/'4. Billing Determinants'!$I$41*$D46, VLOOKUP(U$4,'4. Billing Determinants'!$B$19:$R$41,3,0)/'4. Billing Determinants'!$D$41*$D46))))),0)</f>
        <v>0</v>
      </c>
      <c r="V46" s="32">
        <f>IFERROR(IF(V$4="",0,IF($E46="kWh",VLOOKUP(V$4,'4. Billing Determinants'!$B$19:$R$41,4,0)/'4. Billing Determinants'!$E$41*$D46,IF($E46="kW",VLOOKUP(V$4,'4. Billing Determinants'!$B$19:$R$41,5,0)/'4. Billing Determinants'!$F$41*$D46,IF($E46="Non-RPP kWh",VLOOKUP(V$4,'4. Billing Determinants'!$B$19:$R$41,6,0)/'4. Billing Determinants'!$G$41*$D46,IF($E46="Distribution Rev.",VLOOKUP(V$4,'4. Billing Determinants'!$B$19:$R$41,8,0)/'4. Billing Determinants'!$I$41*$D46, VLOOKUP(V$4,'4. Billing Determinants'!$B$19:$R$41,3,0)/'4. Billing Determinants'!$D$41*$D46))))),0)</f>
        <v>0</v>
      </c>
      <c r="W46" s="32">
        <f>IFERROR(IF(W$4="",0,IF($E46="kWh",VLOOKUP(W$4,'4. Billing Determinants'!$B$19:$R$41,4,0)/'4. Billing Determinants'!$E$41*$D46,IF($E46="kW",VLOOKUP(W$4,'4. Billing Determinants'!$B$19:$R$41,5,0)/'4. Billing Determinants'!$F$41*$D46,IF($E46="Non-RPP kWh",VLOOKUP(W$4,'4. Billing Determinants'!$B$19:$R$41,6,0)/'4. Billing Determinants'!$G$41*$D46,IF($E46="Distribution Rev.",VLOOKUP(W$4,'4. Billing Determinants'!$B$19:$R$41,8,0)/'4. Billing Determinants'!$I$41*$D46, VLOOKUP(W$4,'4. Billing Determinants'!$B$19:$R$41,3,0)/'4. Billing Determinants'!$D$41*$D46))))),0)</f>
        <v>0</v>
      </c>
      <c r="X46" s="32">
        <f>IFERROR(IF(X$4="",0,IF($E46="kWh",VLOOKUP(X$4,'4. Billing Determinants'!$B$19:$R$41,4,0)/'4. Billing Determinants'!$E$41*$D46,IF($E46="kW",VLOOKUP(X$4,'4. Billing Determinants'!$B$19:$R$41,5,0)/'4. Billing Determinants'!$F$41*$D46,IF($E46="Non-RPP kWh",VLOOKUP(X$4,'4. Billing Determinants'!$B$19:$R$41,6,0)/'4. Billing Determinants'!$G$41*$D46,IF($E46="Distribution Rev.",VLOOKUP(X$4,'4. Billing Determinants'!$B$19:$R$41,8,0)/'4. Billing Determinants'!$I$41*$D46, VLOOKUP(X$4,'4. Billing Determinants'!$B$19:$R$41,3,0)/'4. Billing Determinants'!$D$41*$D46))))),0)</f>
        <v>0</v>
      </c>
      <c r="Y46" s="32">
        <f>IFERROR(IF(Y$4="",0,IF($E46="kWh",VLOOKUP(Y$4,'4. Billing Determinants'!$B$19:$R$41,4,0)/'4. Billing Determinants'!$E$41*$D46,IF($E46="kW",VLOOKUP(Y$4,'4. Billing Determinants'!$B$19:$R$41,5,0)/'4. Billing Determinants'!$F$41*$D46,IF($E46="Non-RPP kWh",VLOOKUP(Y$4,'4. Billing Determinants'!$B$19:$R$41,6,0)/'4. Billing Determinants'!$G$41*$D46,IF($E46="Distribution Rev.",VLOOKUP(Y$4,'4. Billing Determinants'!$B$19:$R$41,8,0)/'4. Billing Determinants'!$I$41*$D46, VLOOKUP(Y$4,'4. Billing Determinants'!$B$19:$R$41,3,0)/'4. Billing Determinants'!$D$41*$D46))))),0)</f>
        <v>0</v>
      </c>
    </row>
    <row r="47" spans="1:25" x14ac:dyDescent="0.2">
      <c r="A47" s="37">
        <v>24</v>
      </c>
      <c r="B47" s="34" t="s">
        <v>9</v>
      </c>
      <c r="C47" s="31">
        <v>1525</v>
      </c>
      <c r="D47" s="32">
        <f>'2b. Continuity Schedule'!BT73</f>
        <v>0</v>
      </c>
      <c r="E47" s="48" t="s">
        <v>139</v>
      </c>
      <c r="F47" s="32">
        <f>IFERROR(IF(F$4="",0,IF($E47="kWh",VLOOKUP(F$4,'4. Billing Determinants'!$B$19:$R$41,4,0)/'4. Billing Determinants'!$E$41*$D47,IF($E47="kW",VLOOKUP(F$4,'4. Billing Determinants'!$B$19:$R$41,5,0)/'4. Billing Determinants'!$F$41*$D47,IF($E47="Non-RPP kWh",VLOOKUP(F$4,'4. Billing Determinants'!$B$19:$R$41,6,0)/'4. Billing Determinants'!$G$41*$D47,IF($E47="Distribution Rev.",VLOOKUP(F$4,'4. Billing Determinants'!$B$19:$R$41,8,0)/'4. Billing Determinants'!$I$41*$D47, VLOOKUP(F$4,'4. Billing Determinants'!$B$19:$R$41,3,0)/'4. Billing Determinants'!$D$41*$D47))))),0)</f>
        <v>0</v>
      </c>
      <c r="G47" s="32">
        <f>IFERROR(IF(G$4="",0,IF($E47="kWh",VLOOKUP(G$4,'4. Billing Determinants'!$B$19:$R$41,4,0)/'4. Billing Determinants'!$E$41*$D47,IF($E47="kW",VLOOKUP(G$4,'4. Billing Determinants'!$B$19:$R$41,5,0)/'4. Billing Determinants'!$F$41*$D47,IF($E47="Non-RPP kWh",VLOOKUP(G$4,'4. Billing Determinants'!$B$19:$R$41,6,0)/'4. Billing Determinants'!$G$41*$D47,IF($E47="Distribution Rev.",VLOOKUP(G$4,'4. Billing Determinants'!$B$19:$R$41,8,0)/'4. Billing Determinants'!$I$41*$D47, VLOOKUP(G$4,'4. Billing Determinants'!$B$19:$R$41,3,0)/'4. Billing Determinants'!$D$41*$D47))))),0)</f>
        <v>0</v>
      </c>
      <c r="H47" s="32">
        <f>IFERROR(IF(H$4="",0,IF($E47="kWh",VLOOKUP(H$4,'4. Billing Determinants'!$B$19:$R$41,4,0)/'4. Billing Determinants'!$E$41*$D47,IF($E47="kW",VLOOKUP(H$4,'4. Billing Determinants'!$B$19:$R$41,5,0)/'4. Billing Determinants'!$F$41*$D47,IF($E47="Non-RPP kWh",VLOOKUP(H$4,'4. Billing Determinants'!$B$19:$R$41,6,0)/'4. Billing Determinants'!$G$41*$D47,IF($E47="Distribution Rev.",VLOOKUP(H$4,'4. Billing Determinants'!$B$19:$R$41,8,0)/'4. Billing Determinants'!$I$41*$D47, VLOOKUP(H$4,'4. Billing Determinants'!$B$19:$R$41,3,0)/'4. Billing Determinants'!$D$41*$D47))))),0)</f>
        <v>0</v>
      </c>
      <c r="I47" s="32">
        <f>IFERROR(IF(I$4="",0,IF($E47="kWh",VLOOKUP(I$4,'4. Billing Determinants'!$B$19:$R$41,4,0)/'4. Billing Determinants'!$E$41*$D47,IF($E47="kW",VLOOKUP(I$4,'4. Billing Determinants'!$B$19:$R$41,5,0)/'4. Billing Determinants'!$F$41*$D47,IF($E47="Non-RPP kWh",VLOOKUP(I$4,'4. Billing Determinants'!$B$19:$R$41,6,0)/'4. Billing Determinants'!$G$41*$D47,IF($E47="Distribution Rev.",VLOOKUP(I$4,'4. Billing Determinants'!$B$19:$R$41,8,0)/'4. Billing Determinants'!$I$41*$D47, VLOOKUP(I$4,'4. Billing Determinants'!$B$19:$R$41,3,0)/'4. Billing Determinants'!$D$41*$D47))))),0)</f>
        <v>0</v>
      </c>
      <c r="J47" s="32">
        <f>IFERROR(IF(J$4="",0,IF($E47="kWh",VLOOKUP(J$4,'4. Billing Determinants'!$B$19:$R$41,4,0)/'4. Billing Determinants'!$E$41*$D47,IF($E47="kW",VLOOKUP(J$4,'4. Billing Determinants'!$B$19:$R$41,5,0)/'4. Billing Determinants'!$F$41*$D47,IF($E47="Non-RPP kWh",VLOOKUP(J$4,'4. Billing Determinants'!$B$19:$R$41,6,0)/'4. Billing Determinants'!$G$41*$D47,IF($E47="Distribution Rev.",VLOOKUP(J$4,'4. Billing Determinants'!$B$19:$R$41,8,0)/'4. Billing Determinants'!$I$41*$D47, VLOOKUP(J$4,'4. Billing Determinants'!$B$19:$R$41,3,0)/'4. Billing Determinants'!$D$41*$D47))))),0)</f>
        <v>0</v>
      </c>
      <c r="K47" s="32">
        <f>IFERROR(IF(K$4="",0,IF($E47="kWh",VLOOKUP(K$4,'4. Billing Determinants'!$B$19:$R$41,4,0)/'4. Billing Determinants'!$E$41*$D47,IF($E47="kW",VLOOKUP(K$4,'4. Billing Determinants'!$B$19:$R$41,5,0)/'4. Billing Determinants'!$F$41*$D47,IF($E47="Non-RPP kWh",VLOOKUP(K$4,'4. Billing Determinants'!$B$19:$R$41,6,0)/'4. Billing Determinants'!$G$41*$D47,IF($E47="Distribution Rev.",VLOOKUP(K$4,'4. Billing Determinants'!$B$19:$R$41,8,0)/'4. Billing Determinants'!$I$41*$D47, VLOOKUP(K$4,'4. Billing Determinants'!$B$19:$R$41,3,0)/'4. Billing Determinants'!$D$41*$D47))))),0)</f>
        <v>0</v>
      </c>
      <c r="L47" s="32">
        <f>IFERROR(IF(L$4="",0,IF($E47="kWh",VLOOKUP(L$4,'4. Billing Determinants'!$B$19:$R$41,4,0)/'4. Billing Determinants'!$E$41*$D47,IF($E47="kW",VLOOKUP(L$4,'4. Billing Determinants'!$B$19:$R$41,5,0)/'4. Billing Determinants'!$F$41*$D47,IF($E47="Non-RPP kWh",VLOOKUP(L$4,'4. Billing Determinants'!$B$19:$R$41,6,0)/'4. Billing Determinants'!$G$41*$D47,IF($E47="Distribution Rev.",VLOOKUP(L$4,'4. Billing Determinants'!$B$19:$R$41,8,0)/'4. Billing Determinants'!$I$41*$D47, VLOOKUP(L$4,'4. Billing Determinants'!$B$19:$R$41,3,0)/'4. Billing Determinants'!$D$41*$D47))))),0)</f>
        <v>0</v>
      </c>
      <c r="M47" s="32">
        <f>IFERROR(IF(M$4="",0,IF($E47="kWh",VLOOKUP(M$4,'4. Billing Determinants'!$B$19:$R$41,4,0)/'4. Billing Determinants'!$E$41*$D47,IF($E47="kW",VLOOKUP(M$4,'4. Billing Determinants'!$B$19:$R$41,5,0)/'4. Billing Determinants'!$F$41*$D47,IF($E47="Non-RPP kWh",VLOOKUP(M$4,'4. Billing Determinants'!$B$19:$R$41,6,0)/'4. Billing Determinants'!$G$41*$D47,IF($E47="Distribution Rev.",VLOOKUP(M$4,'4. Billing Determinants'!$B$19:$R$41,8,0)/'4. Billing Determinants'!$I$41*$D47, VLOOKUP(M$4,'4. Billing Determinants'!$B$19:$R$41,3,0)/'4. Billing Determinants'!$D$41*$D47))))),0)</f>
        <v>0</v>
      </c>
      <c r="N47" s="32">
        <f>IFERROR(IF(N$4="",0,IF($E47="kWh",VLOOKUP(N$4,'4. Billing Determinants'!$B$19:$R$41,4,0)/'4. Billing Determinants'!$E$41*$D47,IF($E47="kW",VLOOKUP(N$4,'4. Billing Determinants'!$B$19:$R$41,5,0)/'4. Billing Determinants'!$F$41*$D47,IF($E47="Non-RPP kWh",VLOOKUP(N$4,'4. Billing Determinants'!$B$19:$R$41,6,0)/'4. Billing Determinants'!$G$41*$D47,IF($E47="Distribution Rev.",VLOOKUP(N$4,'4. Billing Determinants'!$B$19:$R$41,8,0)/'4. Billing Determinants'!$I$41*$D47, VLOOKUP(N$4,'4. Billing Determinants'!$B$19:$R$41,3,0)/'4. Billing Determinants'!$D$41*$D47))))),0)</f>
        <v>0</v>
      </c>
      <c r="O47" s="32">
        <f>IFERROR(IF(O$4="",0,IF($E47="kWh",VLOOKUP(O$4,'4. Billing Determinants'!$B$19:$R$41,4,0)/'4. Billing Determinants'!$E$41*$D47,IF($E47="kW",VLOOKUP(O$4,'4. Billing Determinants'!$B$19:$R$41,5,0)/'4. Billing Determinants'!$F$41*$D47,IF($E47="Non-RPP kWh",VLOOKUP(O$4,'4. Billing Determinants'!$B$19:$R$41,6,0)/'4. Billing Determinants'!$G$41*$D47,IF($E47="Distribution Rev.",VLOOKUP(O$4,'4. Billing Determinants'!$B$19:$R$41,8,0)/'4. Billing Determinants'!$I$41*$D47, VLOOKUP(O$4,'4. Billing Determinants'!$B$19:$R$41,3,0)/'4. Billing Determinants'!$D$41*$D47))))),0)</f>
        <v>0</v>
      </c>
      <c r="P47" s="32">
        <f>IFERROR(IF(P$4="",0,IF($E47="kWh",VLOOKUP(P$4,'4. Billing Determinants'!$B$19:$R$41,4,0)/'4. Billing Determinants'!$E$41*$D47,IF($E47="kW",VLOOKUP(P$4,'4. Billing Determinants'!$B$19:$R$41,5,0)/'4. Billing Determinants'!$F$41*$D47,IF($E47="Non-RPP kWh",VLOOKUP(P$4,'4. Billing Determinants'!$B$19:$R$41,6,0)/'4. Billing Determinants'!$G$41*$D47,IF($E47="Distribution Rev.",VLOOKUP(P$4,'4. Billing Determinants'!$B$19:$R$41,8,0)/'4. Billing Determinants'!$I$41*$D47, VLOOKUP(P$4,'4. Billing Determinants'!$B$19:$R$41,3,0)/'4. Billing Determinants'!$D$41*$D47))))),0)</f>
        <v>0</v>
      </c>
      <c r="Q47" s="32">
        <f>IFERROR(IF(Q$4="",0,IF($E47="kWh",VLOOKUP(Q$4,'4. Billing Determinants'!$B$19:$R$41,4,0)/'4. Billing Determinants'!$E$41*$D47,IF($E47="kW",VLOOKUP(Q$4,'4. Billing Determinants'!$B$19:$R$41,5,0)/'4. Billing Determinants'!$F$41*$D47,IF($E47="Non-RPP kWh",VLOOKUP(Q$4,'4. Billing Determinants'!$B$19:$R$41,6,0)/'4. Billing Determinants'!$G$41*$D47,IF($E47="Distribution Rev.",VLOOKUP(Q$4,'4. Billing Determinants'!$B$19:$R$41,8,0)/'4. Billing Determinants'!$I$41*$D47, VLOOKUP(Q$4,'4. Billing Determinants'!$B$19:$R$41,3,0)/'4. Billing Determinants'!$D$41*$D47))))),0)</f>
        <v>0</v>
      </c>
      <c r="R47" s="32">
        <f>IFERROR(IF(R$4="",0,IF($E47="kWh",VLOOKUP(R$4,'4. Billing Determinants'!$B$19:$R$41,4,0)/'4. Billing Determinants'!$E$41*$D47,IF($E47="kW",VLOOKUP(R$4,'4. Billing Determinants'!$B$19:$R$41,5,0)/'4. Billing Determinants'!$F$41*$D47,IF($E47="Non-RPP kWh",VLOOKUP(R$4,'4. Billing Determinants'!$B$19:$R$41,6,0)/'4. Billing Determinants'!$G$41*$D47,IF($E47="Distribution Rev.",VLOOKUP(R$4,'4. Billing Determinants'!$B$19:$R$41,8,0)/'4. Billing Determinants'!$I$41*$D47, VLOOKUP(R$4,'4. Billing Determinants'!$B$19:$R$41,3,0)/'4. Billing Determinants'!$D$41*$D47))))),0)</f>
        <v>0</v>
      </c>
      <c r="S47" s="32">
        <f>IFERROR(IF(S$4="",0,IF($E47="kWh",VLOOKUP(S$4,'4. Billing Determinants'!$B$19:$R$41,4,0)/'4. Billing Determinants'!$E$41*$D47,IF($E47="kW",VLOOKUP(S$4,'4. Billing Determinants'!$B$19:$R$41,5,0)/'4. Billing Determinants'!$F$41*$D47,IF($E47="Non-RPP kWh",VLOOKUP(S$4,'4. Billing Determinants'!$B$19:$R$41,6,0)/'4. Billing Determinants'!$G$41*$D47,IF($E47="Distribution Rev.",VLOOKUP(S$4,'4. Billing Determinants'!$B$19:$R$41,8,0)/'4. Billing Determinants'!$I$41*$D47, VLOOKUP(S$4,'4. Billing Determinants'!$B$19:$R$41,3,0)/'4. Billing Determinants'!$D$41*$D47))))),0)</f>
        <v>0</v>
      </c>
      <c r="T47" s="32">
        <f>IFERROR(IF(T$4="",0,IF($E47="kWh",VLOOKUP(T$4,'4. Billing Determinants'!$B$19:$R$41,4,0)/'4. Billing Determinants'!$E$41*$D47,IF($E47="kW",VLOOKUP(T$4,'4. Billing Determinants'!$B$19:$R$41,5,0)/'4. Billing Determinants'!$F$41*$D47,IF($E47="Non-RPP kWh",VLOOKUP(T$4,'4. Billing Determinants'!$B$19:$R$41,6,0)/'4. Billing Determinants'!$G$41*$D47,IF($E47="Distribution Rev.",VLOOKUP(T$4,'4. Billing Determinants'!$B$19:$R$41,8,0)/'4. Billing Determinants'!$I$41*$D47, VLOOKUP(T$4,'4. Billing Determinants'!$B$19:$R$41,3,0)/'4. Billing Determinants'!$D$41*$D47))))),0)</f>
        <v>0</v>
      </c>
      <c r="U47" s="32">
        <f>IFERROR(IF(U$4="",0,IF($E47="kWh",VLOOKUP(U$4,'4. Billing Determinants'!$B$19:$R$41,4,0)/'4. Billing Determinants'!$E$41*$D47,IF($E47="kW",VLOOKUP(U$4,'4. Billing Determinants'!$B$19:$R$41,5,0)/'4. Billing Determinants'!$F$41*$D47,IF($E47="Non-RPP kWh",VLOOKUP(U$4,'4. Billing Determinants'!$B$19:$R$41,6,0)/'4. Billing Determinants'!$G$41*$D47,IF($E47="Distribution Rev.",VLOOKUP(U$4,'4. Billing Determinants'!$B$19:$R$41,8,0)/'4. Billing Determinants'!$I$41*$D47, VLOOKUP(U$4,'4. Billing Determinants'!$B$19:$R$41,3,0)/'4. Billing Determinants'!$D$41*$D47))))),0)</f>
        <v>0</v>
      </c>
      <c r="V47" s="32">
        <f>IFERROR(IF(V$4="",0,IF($E47="kWh",VLOOKUP(V$4,'4. Billing Determinants'!$B$19:$R$41,4,0)/'4. Billing Determinants'!$E$41*$D47,IF($E47="kW",VLOOKUP(V$4,'4. Billing Determinants'!$B$19:$R$41,5,0)/'4. Billing Determinants'!$F$41*$D47,IF($E47="Non-RPP kWh",VLOOKUP(V$4,'4. Billing Determinants'!$B$19:$R$41,6,0)/'4. Billing Determinants'!$G$41*$D47,IF($E47="Distribution Rev.",VLOOKUP(V$4,'4. Billing Determinants'!$B$19:$R$41,8,0)/'4. Billing Determinants'!$I$41*$D47, VLOOKUP(V$4,'4. Billing Determinants'!$B$19:$R$41,3,0)/'4. Billing Determinants'!$D$41*$D47))))),0)</f>
        <v>0</v>
      </c>
      <c r="W47" s="32">
        <f>IFERROR(IF(W$4="",0,IF($E47="kWh",VLOOKUP(W$4,'4. Billing Determinants'!$B$19:$R$41,4,0)/'4. Billing Determinants'!$E$41*$D47,IF($E47="kW",VLOOKUP(W$4,'4. Billing Determinants'!$B$19:$R$41,5,0)/'4. Billing Determinants'!$F$41*$D47,IF($E47="Non-RPP kWh",VLOOKUP(W$4,'4. Billing Determinants'!$B$19:$R$41,6,0)/'4. Billing Determinants'!$G$41*$D47,IF($E47="Distribution Rev.",VLOOKUP(W$4,'4. Billing Determinants'!$B$19:$R$41,8,0)/'4. Billing Determinants'!$I$41*$D47, VLOOKUP(W$4,'4. Billing Determinants'!$B$19:$R$41,3,0)/'4. Billing Determinants'!$D$41*$D47))))),0)</f>
        <v>0</v>
      </c>
      <c r="X47" s="32">
        <f>IFERROR(IF(X$4="",0,IF($E47="kWh",VLOOKUP(X$4,'4. Billing Determinants'!$B$19:$R$41,4,0)/'4. Billing Determinants'!$E$41*$D47,IF($E47="kW",VLOOKUP(X$4,'4. Billing Determinants'!$B$19:$R$41,5,0)/'4. Billing Determinants'!$F$41*$D47,IF($E47="Non-RPP kWh",VLOOKUP(X$4,'4. Billing Determinants'!$B$19:$R$41,6,0)/'4. Billing Determinants'!$G$41*$D47,IF($E47="Distribution Rev.",VLOOKUP(X$4,'4. Billing Determinants'!$B$19:$R$41,8,0)/'4. Billing Determinants'!$I$41*$D47, VLOOKUP(X$4,'4. Billing Determinants'!$B$19:$R$41,3,0)/'4. Billing Determinants'!$D$41*$D47))))),0)</f>
        <v>0</v>
      </c>
      <c r="Y47" s="32">
        <f>IFERROR(IF(Y$4="",0,IF($E47="kWh",VLOOKUP(Y$4,'4. Billing Determinants'!$B$19:$R$41,4,0)/'4. Billing Determinants'!$E$41*$D47,IF($E47="kW",VLOOKUP(Y$4,'4. Billing Determinants'!$B$19:$R$41,5,0)/'4. Billing Determinants'!$F$41*$D47,IF($E47="Non-RPP kWh",VLOOKUP(Y$4,'4. Billing Determinants'!$B$19:$R$41,6,0)/'4. Billing Determinants'!$G$41*$D47,IF($E47="Distribution Rev.",VLOOKUP(Y$4,'4. Billing Determinants'!$B$19:$R$41,8,0)/'4. Billing Determinants'!$I$41*$D47, VLOOKUP(Y$4,'4. Billing Determinants'!$B$19:$R$41,3,0)/'4. Billing Determinants'!$D$41*$D47))))),0)</f>
        <v>0</v>
      </c>
    </row>
    <row r="48" spans="1:25" x14ac:dyDescent="0.2">
      <c r="A48" s="37">
        <v>25</v>
      </c>
      <c r="B48" s="34" t="s">
        <v>5</v>
      </c>
      <c r="C48" s="31">
        <v>1548</v>
      </c>
      <c r="D48" s="32">
        <f>'2b. Continuity Schedule'!BT74</f>
        <v>65797.6843525</v>
      </c>
      <c r="E48" s="48" t="s">
        <v>59</v>
      </c>
      <c r="F48" s="32">
        <f>IFERROR(IF(F$4="",0,IF($E48="kWh",VLOOKUP(F$4,'4. Billing Determinants'!$B$19:$R$41,4,0)/'4. Billing Determinants'!$E$41*$D48,IF($E48="kW",VLOOKUP(F$4,'4. Billing Determinants'!$B$19:$R$41,5,0)/'4. Billing Determinants'!$F$41*$D48,IF($E48="Non-RPP kWh",VLOOKUP(F$4,'4. Billing Determinants'!$B$19:$R$41,6,0)/'4. Billing Determinants'!$G$41*$D48,IF($E48="Distribution Rev.",VLOOKUP(F$4,'4. Billing Determinants'!$B$19:$R$41,8,0)/'4. Billing Determinants'!$I$41*$D48, VLOOKUP(F$4,'4. Billing Determinants'!$B$19:$R$41,3,0)/'4. Billing Determinants'!$D$41*$D48))))),0)</f>
        <v>47012.734457170947</v>
      </c>
      <c r="G48" s="32">
        <f>IFERROR(IF(G$4="",0,IF($E48="kWh",VLOOKUP(G$4,'4. Billing Determinants'!$B$19:$R$41,4,0)/'4. Billing Determinants'!$E$41*$D48,IF($E48="kW",VLOOKUP(G$4,'4. Billing Determinants'!$B$19:$R$41,5,0)/'4. Billing Determinants'!$F$41*$D48,IF($E48="Non-RPP kWh",VLOOKUP(G$4,'4. Billing Determinants'!$B$19:$R$41,6,0)/'4. Billing Determinants'!$G$41*$D48,IF($E48="Distribution Rev.",VLOOKUP(G$4,'4. Billing Determinants'!$B$19:$R$41,8,0)/'4. Billing Determinants'!$I$41*$D48, VLOOKUP(G$4,'4. Billing Determinants'!$B$19:$R$41,3,0)/'4. Billing Determinants'!$D$41*$D48))))),0)</f>
        <v>5268.4013564397237</v>
      </c>
      <c r="H48" s="32">
        <f>IFERROR(IF(H$4="",0,IF($E48="kWh",VLOOKUP(H$4,'4. Billing Determinants'!$B$19:$R$41,4,0)/'4. Billing Determinants'!$E$41*$D48,IF($E48="kW",VLOOKUP(H$4,'4. Billing Determinants'!$B$19:$R$41,5,0)/'4. Billing Determinants'!$F$41*$D48,IF($E48="Non-RPP kWh",VLOOKUP(H$4,'4. Billing Determinants'!$B$19:$R$41,6,0)/'4. Billing Determinants'!$G$41*$D48,IF($E48="Distribution Rev.",VLOOKUP(H$4,'4. Billing Determinants'!$B$19:$R$41,8,0)/'4. Billing Determinants'!$I$41*$D48, VLOOKUP(H$4,'4. Billing Determinants'!$B$19:$R$41,3,0)/'4. Billing Determinants'!$D$41*$D48))))),0)</f>
        <v>533.03825488684276</v>
      </c>
      <c r="I48" s="32">
        <f>IFERROR(IF(I$4="",0,IF($E48="kWh",VLOOKUP(I$4,'4. Billing Determinants'!$B$19:$R$41,4,0)/'4. Billing Determinants'!$E$41*$D48,IF($E48="kW",VLOOKUP(I$4,'4. Billing Determinants'!$B$19:$R$41,5,0)/'4. Billing Determinants'!$F$41*$D48,IF($E48="Non-RPP kWh",VLOOKUP(I$4,'4. Billing Determinants'!$B$19:$R$41,6,0)/'4. Billing Determinants'!$G$41*$D48,IF($E48="Distribution Rev.",VLOOKUP(I$4,'4. Billing Determinants'!$B$19:$R$41,8,0)/'4. Billing Determinants'!$I$41*$D48, VLOOKUP(I$4,'4. Billing Determinants'!$B$19:$R$41,3,0)/'4. Billing Determinants'!$D$41*$D48))))),0)</f>
        <v>38.738245267939149</v>
      </c>
      <c r="J48" s="32">
        <f>IFERROR(IF(J$4="",0,IF($E48="kWh",VLOOKUP(J$4,'4. Billing Determinants'!$B$19:$R$41,4,0)/'4. Billing Determinants'!$E$41*$D48,IF($E48="kW",VLOOKUP(J$4,'4. Billing Determinants'!$B$19:$R$41,5,0)/'4. Billing Determinants'!$F$41*$D48,IF($E48="Non-RPP kWh",VLOOKUP(J$4,'4. Billing Determinants'!$B$19:$R$41,6,0)/'4. Billing Determinants'!$G$41*$D48,IF($E48="Distribution Rev.",VLOOKUP(J$4,'4. Billing Determinants'!$B$19:$R$41,8,0)/'4. Billing Determinants'!$I$41*$D48, VLOOKUP(J$4,'4. Billing Determinants'!$B$19:$R$41,3,0)/'4. Billing Determinants'!$D$41*$D48))))),0)</f>
        <v>12453.571088737077</v>
      </c>
      <c r="K48" s="32">
        <f>IFERROR(IF(K$4="",0,IF($E48="kWh",VLOOKUP(K$4,'4. Billing Determinants'!$B$19:$R$41,4,0)/'4. Billing Determinants'!$E$41*$D48,IF($E48="kW",VLOOKUP(K$4,'4. Billing Determinants'!$B$19:$R$41,5,0)/'4. Billing Determinants'!$F$41*$D48,IF($E48="Non-RPP kWh",VLOOKUP(K$4,'4. Billing Determinants'!$B$19:$R$41,6,0)/'4. Billing Determinants'!$G$41*$D48,IF($E48="Distribution Rev.",VLOOKUP(K$4,'4. Billing Determinants'!$B$19:$R$41,8,0)/'4. Billing Determinants'!$I$41*$D48, VLOOKUP(K$4,'4. Billing Determinants'!$B$19:$R$41,3,0)/'4. Billing Determinants'!$D$41*$D48))))),0)</f>
        <v>491.20094999746834</v>
      </c>
      <c r="L48" s="32">
        <f>IFERROR(IF(L$4="",0,IF($E48="kWh",VLOOKUP(L$4,'4. Billing Determinants'!$B$19:$R$41,4,0)/'4. Billing Determinants'!$E$41*$D48,IF($E48="kW",VLOOKUP(L$4,'4. Billing Determinants'!$B$19:$R$41,5,0)/'4. Billing Determinants'!$F$41*$D48,IF($E48="Non-RPP kWh",VLOOKUP(L$4,'4. Billing Determinants'!$B$19:$R$41,6,0)/'4. Billing Determinants'!$G$41*$D48,IF($E48="Distribution Rev.",VLOOKUP(L$4,'4. Billing Determinants'!$B$19:$R$41,8,0)/'4. Billing Determinants'!$I$41*$D48, VLOOKUP(L$4,'4. Billing Determinants'!$B$19:$R$41,3,0)/'4. Billing Determinants'!$D$41*$D48))))),0)</f>
        <v>0</v>
      </c>
      <c r="M48" s="32">
        <f>IFERROR(IF(M$4="",0,IF($E48="kWh",VLOOKUP(M$4,'4. Billing Determinants'!$B$19:$R$41,4,0)/'4. Billing Determinants'!$E$41*$D48,IF($E48="kW",VLOOKUP(M$4,'4. Billing Determinants'!$B$19:$R$41,5,0)/'4. Billing Determinants'!$F$41*$D48,IF($E48="Non-RPP kWh",VLOOKUP(M$4,'4. Billing Determinants'!$B$19:$R$41,6,0)/'4. Billing Determinants'!$G$41*$D48,IF($E48="Distribution Rev.",VLOOKUP(M$4,'4. Billing Determinants'!$B$19:$R$41,8,0)/'4. Billing Determinants'!$I$41*$D48, VLOOKUP(M$4,'4. Billing Determinants'!$B$19:$R$41,3,0)/'4. Billing Determinants'!$D$41*$D48))))),0)</f>
        <v>0</v>
      </c>
      <c r="N48" s="32">
        <f>IFERROR(IF(N$4="",0,IF($E48="kWh",VLOOKUP(N$4,'4. Billing Determinants'!$B$19:$R$41,4,0)/'4. Billing Determinants'!$E$41*$D48,IF($E48="kW",VLOOKUP(N$4,'4. Billing Determinants'!$B$19:$R$41,5,0)/'4. Billing Determinants'!$F$41*$D48,IF($E48="Non-RPP kWh",VLOOKUP(N$4,'4. Billing Determinants'!$B$19:$R$41,6,0)/'4. Billing Determinants'!$G$41*$D48,IF($E48="Distribution Rev.",VLOOKUP(N$4,'4. Billing Determinants'!$B$19:$R$41,8,0)/'4. Billing Determinants'!$I$41*$D48, VLOOKUP(N$4,'4. Billing Determinants'!$B$19:$R$41,3,0)/'4. Billing Determinants'!$D$41*$D48))))),0)</f>
        <v>0</v>
      </c>
      <c r="O48" s="32">
        <f>IFERROR(IF(O$4="",0,IF($E48="kWh",VLOOKUP(O$4,'4. Billing Determinants'!$B$19:$R$41,4,0)/'4. Billing Determinants'!$E$41*$D48,IF($E48="kW",VLOOKUP(O$4,'4. Billing Determinants'!$B$19:$R$41,5,0)/'4. Billing Determinants'!$F$41*$D48,IF($E48="Non-RPP kWh",VLOOKUP(O$4,'4. Billing Determinants'!$B$19:$R$41,6,0)/'4. Billing Determinants'!$G$41*$D48,IF($E48="Distribution Rev.",VLOOKUP(O$4,'4. Billing Determinants'!$B$19:$R$41,8,0)/'4. Billing Determinants'!$I$41*$D48, VLOOKUP(O$4,'4. Billing Determinants'!$B$19:$R$41,3,0)/'4. Billing Determinants'!$D$41*$D48))))),0)</f>
        <v>0</v>
      </c>
      <c r="P48" s="32">
        <f>IFERROR(IF(P$4="",0,IF($E48="kWh",VLOOKUP(P$4,'4. Billing Determinants'!$B$19:$R$41,4,0)/'4. Billing Determinants'!$E$41*$D48,IF($E48="kW",VLOOKUP(P$4,'4. Billing Determinants'!$B$19:$R$41,5,0)/'4. Billing Determinants'!$F$41*$D48,IF($E48="Non-RPP kWh",VLOOKUP(P$4,'4. Billing Determinants'!$B$19:$R$41,6,0)/'4. Billing Determinants'!$G$41*$D48,IF($E48="Distribution Rev.",VLOOKUP(P$4,'4. Billing Determinants'!$B$19:$R$41,8,0)/'4. Billing Determinants'!$I$41*$D48, VLOOKUP(P$4,'4. Billing Determinants'!$B$19:$R$41,3,0)/'4. Billing Determinants'!$D$41*$D48))))),0)</f>
        <v>0</v>
      </c>
      <c r="Q48" s="32">
        <f>IFERROR(IF(Q$4="",0,IF($E48="kWh",VLOOKUP(Q$4,'4. Billing Determinants'!$B$19:$R$41,4,0)/'4. Billing Determinants'!$E$41*$D48,IF($E48="kW",VLOOKUP(Q$4,'4. Billing Determinants'!$B$19:$R$41,5,0)/'4. Billing Determinants'!$F$41*$D48,IF($E48="Non-RPP kWh",VLOOKUP(Q$4,'4. Billing Determinants'!$B$19:$R$41,6,0)/'4. Billing Determinants'!$G$41*$D48,IF($E48="Distribution Rev.",VLOOKUP(Q$4,'4. Billing Determinants'!$B$19:$R$41,8,0)/'4. Billing Determinants'!$I$41*$D48, VLOOKUP(Q$4,'4. Billing Determinants'!$B$19:$R$41,3,0)/'4. Billing Determinants'!$D$41*$D48))))),0)</f>
        <v>0</v>
      </c>
      <c r="R48" s="32">
        <f>IFERROR(IF(R$4="",0,IF($E48="kWh",VLOOKUP(R$4,'4. Billing Determinants'!$B$19:$R$41,4,0)/'4. Billing Determinants'!$E$41*$D48,IF($E48="kW",VLOOKUP(R$4,'4. Billing Determinants'!$B$19:$R$41,5,0)/'4. Billing Determinants'!$F$41*$D48,IF($E48="Non-RPP kWh",VLOOKUP(R$4,'4. Billing Determinants'!$B$19:$R$41,6,0)/'4. Billing Determinants'!$G$41*$D48,IF($E48="Distribution Rev.",VLOOKUP(R$4,'4. Billing Determinants'!$B$19:$R$41,8,0)/'4. Billing Determinants'!$I$41*$D48, VLOOKUP(R$4,'4. Billing Determinants'!$B$19:$R$41,3,0)/'4. Billing Determinants'!$D$41*$D48))))),0)</f>
        <v>0</v>
      </c>
      <c r="S48" s="32">
        <f>IFERROR(IF(S$4="",0,IF($E48="kWh",VLOOKUP(S$4,'4. Billing Determinants'!$B$19:$R$41,4,0)/'4. Billing Determinants'!$E$41*$D48,IF($E48="kW",VLOOKUP(S$4,'4. Billing Determinants'!$B$19:$R$41,5,0)/'4. Billing Determinants'!$F$41*$D48,IF($E48="Non-RPP kWh",VLOOKUP(S$4,'4. Billing Determinants'!$B$19:$R$41,6,0)/'4. Billing Determinants'!$G$41*$D48,IF($E48="Distribution Rev.",VLOOKUP(S$4,'4. Billing Determinants'!$B$19:$R$41,8,0)/'4. Billing Determinants'!$I$41*$D48, VLOOKUP(S$4,'4. Billing Determinants'!$B$19:$R$41,3,0)/'4. Billing Determinants'!$D$41*$D48))))),0)</f>
        <v>0</v>
      </c>
      <c r="T48" s="32">
        <f>IFERROR(IF(T$4="",0,IF($E48="kWh",VLOOKUP(T$4,'4. Billing Determinants'!$B$19:$R$41,4,0)/'4. Billing Determinants'!$E$41*$D48,IF($E48="kW",VLOOKUP(T$4,'4. Billing Determinants'!$B$19:$R$41,5,0)/'4. Billing Determinants'!$F$41*$D48,IF($E48="Non-RPP kWh",VLOOKUP(T$4,'4. Billing Determinants'!$B$19:$R$41,6,0)/'4. Billing Determinants'!$G$41*$D48,IF($E48="Distribution Rev.",VLOOKUP(T$4,'4. Billing Determinants'!$B$19:$R$41,8,0)/'4. Billing Determinants'!$I$41*$D48, VLOOKUP(T$4,'4. Billing Determinants'!$B$19:$R$41,3,0)/'4. Billing Determinants'!$D$41*$D48))))),0)</f>
        <v>0</v>
      </c>
      <c r="U48" s="32">
        <f>IFERROR(IF(U$4="",0,IF($E48="kWh",VLOOKUP(U$4,'4. Billing Determinants'!$B$19:$R$41,4,0)/'4. Billing Determinants'!$E$41*$D48,IF($E48="kW",VLOOKUP(U$4,'4. Billing Determinants'!$B$19:$R$41,5,0)/'4. Billing Determinants'!$F$41*$D48,IF($E48="Non-RPP kWh",VLOOKUP(U$4,'4. Billing Determinants'!$B$19:$R$41,6,0)/'4. Billing Determinants'!$G$41*$D48,IF($E48="Distribution Rev.",VLOOKUP(U$4,'4. Billing Determinants'!$B$19:$R$41,8,0)/'4. Billing Determinants'!$I$41*$D48, VLOOKUP(U$4,'4. Billing Determinants'!$B$19:$R$41,3,0)/'4. Billing Determinants'!$D$41*$D48))))),0)</f>
        <v>0</v>
      </c>
      <c r="V48" s="32">
        <f>IFERROR(IF(V$4="",0,IF($E48="kWh",VLOOKUP(V$4,'4. Billing Determinants'!$B$19:$R$41,4,0)/'4. Billing Determinants'!$E$41*$D48,IF($E48="kW",VLOOKUP(V$4,'4. Billing Determinants'!$B$19:$R$41,5,0)/'4. Billing Determinants'!$F$41*$D48,IF($E48="Non-RPP kWh",VLOOKUP(V$4,'4. Billing Determinants'!$B$19:$R$41,6,0)/'4. Billing Determinants'!$G$41*$D48,IF($E48="Distribution Rev.",VLOOKUP(V$4,'4. Billing Determinants'!$B$19:$R$41,8,0)/'4. Billing Determinants'!$I$41*$D48, VLOOKUP(V$4,'4. Billing Determinants'!$B$19:$R$41,3,0)/'4. Billing Determinants'!$D$41*$D48))))),0)</f>
        <v>0</v>
      </c>
      <c r="W48" s="32">
        <f>IFERROR(IF(W$4="",0,IF($E48="kWh",VLOOKUP(W$4,'4. Billing Determinants'!$B$19:$R$41,4,0)/'4. Billing Determinants'!$E$41*$D48,IF($E48="kW",VLOOKUP(W$4,'4. Billing Determinants'!$B$19:$R$41,5,0)/'4. Billing Determinants'!$F$41*$D48,IF($E48="Non-RPP kWh",VLOOKUP(W$4,'4. Billing Determinants'!$B$19:$R$41,6,0)/'4. Billing Determinants'!$G$41*$D48,IF($E48="Distribution Rev.",VLOOKUP(W$4,'4. Billing Determinants'!$B$19:$R$41,8,0)/'4. Billing Determinants'!$I$41*$D48, VLOOKUP(W$4,'4. Billing Determinants'!$B$19:$R$41,3,0)/'4. Billing Determinants'!$D$41*$D48))))),0)</f>
        <v>0</v>
      </c>
      <c r="X48" s="32">
        <f>IFERROR(IF(X$4="",0,IF($E48="kWh",VLOOKUP(X$4,'4. Billing Determinants'!$B$19:$R$41,4,0)/'4. Billing Determinants'!$E$41*$D48,IF($E48="kW",VLOOKUP(X$4,'4. Billing Determinants'!$B$19:$R$41,5,0)/'4. Billing Determinants'!$F$41*$D48,IF($E48="Non-RPP kWh",VLOOKUP(X$4,'4. Billing Determinants'!$B$19:$R$41,6,0)/'4. Billing Determinants'!$G$41*$D48,IF($E48="Distribution Rev.",VLOOKUP(X$4,'4. Billing Determinants'!$B$19:$R$41,8,0)/'4. Billing Determinants'!$I$41*$D48, VLOOKUP(X$4,'4. Billing Determinants'!$B$19:$R$41,3,0)/'4. Billing Determinants'!$D$41*$D48))))),0)</f>
        <v>0</v>
      </c>
      <c r="Y48" s="32">
        <f>IFERROR(IF(Y$4="",0,IF($E48="kWh",VLOOKUP(Y$4,'4. Billing Determinants'!$B$19:$R$41,4,0)/'4. Billing Determinants'!$E$41*$D48,IF($E48="kW",VLOOKUP(Y$4,'4. Billing Determinants'!$B$19:$R$41,5,0)/'4. Billing Determinants'!$F$41*$D48,IF($E48="Non-RPP kWh",VLOOKUP(Y$4,'4. Billing Determinants'!$B$19:$R$41,6,0)/'4. Billing Determinants'!$G$41*$D48,IF($E48="Distribution Rev.",VLOOKUP(Y$4,'4. Billing Determinants'!$B$19:$R$41,8,0)/'4. Billing Determinants'!$I$41*$D48, VLOOKUP(Y$4,'4. Billing Determinants'!$B$19:$R$41,3,0)/'4. Billing Determinants'!$D$41*$D48))))),0)</f>
        <v>0</v>
      </c>
    </row>
    <row r="49" spans="1:25" x14ac:dyDescent="0.2">
      <c r="A49" s="37">
        <v>26</v>
      </c>
      <c r="B49" s="34" t="s">
        <v>10</v>
      </c>
      <c r="C49" s="31">
        <v>1572</v>
      </c>
      <c r="D49" s="32">
        <f>'2b. Continuity Schedule'!BT75</f>
        <v>0</v>
      </c>
      <c r="E49" s="48" t="s">
        <v>139</v>
      </c>
      <c r="F49" s="32">
        <f>IFERROR(IF(F$4="",0,IF($E49="kWh",VLOOKUP(F$4,'4. Billing Determinants'!$B$19:$R$41,4,0)/'4. Billing Determinants'!$E$41*$D49,IF($E49="kW",VLOOKUP(F$4,'4. Billing Determinants'!$B$19:$R$41,5,0)/'4. Billing Determinants'!$F$41*$D49,IF($E49="Non-RPP kWh",VLOOKUP(F$4,'4. Billing Determinants'!$B$19:$R$41,6,0)/'4. Billing Determinants'!$G$41*$D49,IF($E49="Distribution Rev.",VLOOKUP(F$4,'4. Billing Determinants'!$B$19:$R$41,8,0)/'4. Billing Determinants'!$I$41*$D49, VLOOKUP(F$4,'4. Billing Determinants'!$B$19:$R$41,3,0)/'4. Billing Determinants'!$D$41*$D49))))),0)</f>
        <v>0</v>
      </c>
      <c r="G49" s="32">
        <f>IFERROR(IF(G$4="",0,IF($E49="kWh",VLOOKUP(G$4,'4. Billing Determinants'!$B$19:$R$41,4,0)/'4. Billing Determinants'!$E$41*$D49,IF($E49="kW",VLOOKUP(G$4,'4. Billing Determinants'!$B$19:$R$41,5,0)/'4. Billing Determinants'!$F$41*$D49,IF($E49="Non-RPP kWh",VLOOKUP(G$4,'4. Billing Determinants'!$B$19:$R$41,6,0)/'4. Billing Determinants'!$G$41*$D49,IF($E49="Distribution Rev.",VLOOKUP(G$4,'4. Billing Determinants'!$B$19:$R$41,8,0)/'4. Billing Determinants'!$I$41*$D49, VLOOKUP(G$4,'4. Billing Determinants'!$B$19:$R$41,3,0)/'4. Billing Determinants'!$D$41*$D49))))),0)</f>
        <v>0</v>
      </c>
      <c r="H49" s="32">
        <f>IFERROR(IF(H$4="",0,IF($E49="kWh",VLOOKUP(H$4,'4. Billing Determinants'!$B$19:$R$41,4,0)/'4. Billing Determinants'!$E$41*$D49,IF($E49="kW",VLOOKUP(H$4,'4. Billing Determinants'!$B$19:$R$41,5,0)/'4. Billing Determinants'!$F$41*$D49,IF($E49="Non-RPP kWh",VLOOKUP(H$4,'4. Billing Determinants'!$B$19:$R$41,6,0)/'4. Billing Determinants'!$G$41*$D49,IF($E49="Distribution Rev.",VLOOKUP(H$4,'4. Billing Determinants'!$B$19:$R$41,8,0)/'4. Billing Determinants'!$I$41*$D49, VLOOKUP(H$4,'4. Billing Determinants'!$B$19:$R$41,3,0)/'4. Billing Determinants'!$D$41*$D49))))),0)</f>
        <v>0</v>
      </c>
      <c r="I49" s="32">
        <f>IFERROR(IF(I$4="",0,IF($E49="kWh",VLOOKUP(I$4,'4. Billing Determinants'!$B$19:$R$41,4,0)/'4. Billing Determinants'!$E$41*$D49,IF($E49="kW",VLOOKUP(I$4,'4. Billing Determinants'!$B$19:$R$41,5,0)/'4. Billing Determinants'!$F$41*$D49,IF($E49="Non-RPP kWh",VLOOKUP(I$4,'4. Billing Determinants'!$B$19:$R$41,6,0)/'4. Billing Determinants'!$G$41*$D49,IF($E49="Distribution Rev.",VLOOKUP(I$4,'4. Billing Determinants'!$B$19:$R$41,8,0)/'4. Billing Determinants'!$I$41*$D49, VLOOKUP(I$4,'4. Billing Determinants'!$B$19:$R$41,3,0)/'4. Billing Determinants'!$D$41*$D49))))),0)</f>
        <v>0</v>
      </c>
      <c r="J49" s="32">
        <f>IFERROR(IF(J$4="",0,IF($E49="kWh",VLOOKUP(J$4,'4. Billing Determinants'!$B$19:$R$41,4,0)/'4. Billing Determinants'!$E$41*$D49,IF($E49="kW",VLOOKUP(J$4,'4. Billing Determinants'!$B$19:$R$41,5,0)/'4. Billing Determinants'!$F$41*$D49,IF($E49="Non-RPP kWh",VLOOKUP(J$4,'4. Billing Determinants'!$B$19:$R$41,6,0)/'4. Billing Determinants'!$G$41*$D49,IF($E49="Distribution Rev.",VLOOKUP(J$4,'4. Billing Determinants'!$B$19:$R$41,8,0)/'4. Billing Determinants'!$I$41*$D49, VLOOKUP(J$4,'4. Billing Determinants'!$B$19:$R$41,3,0)/'4. Billing Determinants'!$D$41*$D49))))),0)</f>
        <v>0</v>
      </c>
      <c r="K49" s="32">
        <f>IFERROR(IF(K$4="",0,IF($E49="kWh",VLOOKUP(K$4,'4. Billing Determinants'!$B$19:$R$41,4,0)/'4. Billing Determinants'!$E$41*$D49,IF($E49="kW",VLOOKUP(K$4,'4. Billing Determinants'!$B$19:$R$41,5,0)/'4. Billing Determinants'!$F$41*$D49,IF($E49="Non-RPP kWh",VLOOKUP(K$4,'4. Billing Determinants'!$B$19:$R$41,6,0)/'4. Billing Determinants'!$G$41*$D49,IF($E49="Distribution Rev.",VLOOKUP(K$4,'4. Billing Determinants'!$B$19:$R$41,8,0)/'4. Billing Determinants'!$I$41*$D49, VLOOKUP(K$4,'4. Billing Determinants'!$B$19:$R$41,3,0)/'4. Billing Determinants'!$D$41*$D49))))),0)</f>
        <v>0</v>
      </c>
      <c r="L49" s="32">
        <f>IFERROR(IF(L$4="",0,IF($E49="kWh",VLOOKUP(L$4,'4. Billing Determinants'!$B$19:$R$41,4,0)/'4. Billing Determinants'!$E$41*$D49,IF($E49="kW",VLOOKUP(L$4,'4. Billing Determinants'!$B$19:$R$41,5,0)/'4. Billing Determinants'!$F$41*$D49,IF($E49="Non-RPP kWh",VLOOKUP(L$4,'4. Billing Determinants'!$B$19:$R$41,6,0)/'4. Billing Determinants'!$G$41*$D49,IF($E49="Distribution Rev.",VLOOKUP(L$4,'4. Billing Determinants'!$B$19:$R$41,8,0)/'4. Billing Determinants'!$I$41*$D49, VLOOKUP(L$4,'4. Billing Determinants'!$B$19:$R$41,3,0)/'4. Billing Determinants'!$D$41*$D49))))),0)</f>
        <v>0</v>
      </c>
      <c r="M49" s="32">
        <f>IFERROR(IF(M$4="",0,IF($E49="kWh",VLOOKUP(M$4,'4. Billing Determinants'!$B$19:$R$41,4,0)/'4. Billing Determinants'!$E$41*$D49,IF($E49="kW",VLOOKUP(M$4,'4. Billing Determinants'!$B$19:$R$41,5,0)/'4. Billing Determinants'!$F$41*$D49,IF($E49="Non-RPP kWh",VLOOKUP(M$4,'4. Billing Determinants'!$B$19:$R$41,6,0)/'4. Billing Determinants'!$G$41*$D49,IF($E49="Distribution Rev.",VLOOKUP(M$4,'4. Billing Determinants'!$B$19:$R$41,8,0)/'4. Billing Determinants'!$I$41*$D49, VLOOKUP(M$4,'4. Billing Determinants'!$B$19:$R$41,3,0)/'4. Billing Determinants'!$D$41*$D49))))),0)</f>
        <v>0</v>
      </c>
      <c r="N49" s="32">
        <f>IFERROR(IF(N$4="",0,IF($E49="kWh",VLOOKUP(N$4,'4. Billing Determinants'!$B$19:$R$41,4,0)/'4. Billing Determinants'!$E$41*$D49,IF($E49="kW",VLOOKUP(N$4,'4. Billing Determinants'!$B$19:$R$41,5,0)/'4. Billing Determinants'!$F$41*$D49,IF($E49="Non-RPP kWh",VLOOKUP(N$4,'4. Billing Determinants'!$B$19:$R$41,6,0)/'4. Billing Determinants'!$G$41*$D49,IF($E49="Distribution Rev.",VLOOKUP(N$4,'4. Billing Determinants'!$B$19:$R$41,8,0)/'4. Billing Determinants'!$I$41*$D49, VLOOKUP(N$4,'4. Billing Determinants'!$B$19:$R$41,3,0)/'4. Billing Determinants'!$D$41*$D49))))),0)</f>
        <v>0</v>
      </c>
      <c r="O49" s="32">
        <f>IFERROR(IF(O$4="",0,IF($E49="kWh",VLOOKUP(O$4,'4. Billing Determinants'!$B$19:$R$41,4,0)/'4. Billing Determinants'!$E$41*$D49,IF($E49="kW",VLOOKUP(O$4,'4. Billing Determinants'!$B$19:$R$41,5,0)/'4. Billing Determinants'!$F$41*$D49,IF($E49="Non-RPP kWh",VLOOKUP(O$4,'4. Billing Determinants'!$B$19:$R$41,6,0)/'4. Billing Determinants'!$G$41*$D49,IF($E49="Distribution Rev.",VLOOKUP(O$4,'4. Billing Determinants'!$B$19:$R$41,8,0)/'4. Billing Determinants'!$I$41*$D49, VLOOKUP(O$4,'4. Billing Determinants'!$B$19:$R$41,3,0)/'4. Billing Determinants'!$D$41*$D49))))),0)</f>
        <v>0</v>
      </c>
      <c r="P49" s="32">
        <f>IFERROR(IF(P$4="",0,IF($E49="kWh",VLOOKUP(P$4,'4. Billing Determinants'!$B$19:$R$41,4,0)/'4. Billing Determinants'!$E$41*$D49,IF($E49="kW",VLOOKUP(P$4,'4. Billing Determinants'!$B$19:$R$41,5,0)/'4. Billing Determinants'!$F$41*$D49,IF($E49="Non-RPP kWh",VLOOKUP(P$4,'4. Billing Determinants'!$B$19:$R$41,6,0)/'4. Billing Determinants'!$G$41*$D49,IF($E49="Distribution Rev.",VLOOKUP(P$4,'4. Billing Determinants'!$B$19:$R$41,8,0)/'4. Billing Determinants'!$I$41*$D49, VLOOKUP(P$4,'4. Billing Determinants'!$B$19:$R$41,3,0)/'4. Billing Determinants'!$D$41*$D49))))),0)</f>
        <v>0</v>
      </c>
      <c r="Q49" s="32">
        <f>IFERROR(IF(Q$4="",0,IF($E49="kWh",VLOOKUP(Q$4,'4. Billing Determinants'!$B$19:$R$41,4,0)/'4. Billing Determinants'!$E$41*$D49,IF($E49="kW",VLOOKUP(Q$4,'4. Billing Determinants'!$B$19:$R$41,5,0)/'4. Billing Determinants'!$F$41*$D49,IF($E49="Non-RPP kWh",VLOOKUP(Q$4,'4. Billing Determinants'!$B$19:$R$41,6,0)/'4. Billing Determinants'!$G$41*$D49,IF($E49="Distribution Rev.",VLOOKUP(Q$4,'4. Billing Determinants'!$B$19:$R$41,8,0)/'4. Billing Determinants'!$I$41*$D49, VLOOKUP(Q$4,'4. Billing Determinants'!$B$19:$R$41,3,0)/'4. Billing Determinants'!$D$41*$D49))))),0)</f>
        <v>0</v>
      </c>
      <c r="R49" s="32">
        <f>IFERROR(IF(R$4="",0,IF($E49="kWh",VLOOKUP(R$4,'4. Billing Determinants'!$B$19:$R$41,4,0)/'4. Billing Determinants'!$E$41*$D49,IF($E49="kW",VLOOKUP(R$4,'4. Billing Determinants'!$B$19:$R$41,5,0)/'4. Billing Determinants'!$F$41*$D49,IF($E49="Non-RPP kWh",VLOOKUP(R$4,'4. Billing Determinants'!$B$19:$R$41,6,0)/'4. Billing Determinants'!$G$41*$D49,IF($E49="Distribution Rev.",VLOOKUP(R$4,'4. Billing Determinants'!$B$19:$R$41,8,0)/'4. Billing Determinants'!$I$41*$D49, VLOOKUP(R$4,'4. Billing Determinants'!$B$19:$R$41,3,0)/'4. Billing Determinants'!$D$41*$D49))))),0)</f>
        <v>0</v>
      </c>
      <c r="S49" s="32">
        <f>IFERROR(IF(S$4="",0,IF($E49="kWh",VLOOKUP(S$4,'4. Billing Determinants'!$B$19:$R$41,4,0)/'4. Billing Determinants'!$E$41*$D49,IF($E49="kW",VLOOKUP(S$4,'4. Billing Determinants'!$B$19:$R$41,5,0)/'4. Billing Determinants'!$F$41*$D49,IF($E49="Non-RPP kWh",VLOOKUP(S$4,'4. Billing Determinants'!$B$19:$R$41,6,0)/'4. Billing Determinants'!$G$41*$D49,IF($E49="Distribution Rev.",VLOOKUP(S$4,'4. Billing Determinants'!$B$19:$R$41,8,0)/'4. Billing Determinants'!$I$41*$D49, VLOOKUP(S$4,'4. Billing Determinants'!$B$19:$R$41,3,0)/'4. Billing Determinants'!$D$41*$D49))))),0)</f>
        <v>0</v>
      </c>
      <c r="T49" s="32">
        <f>IFERROR(IF(T$4="",0,IF($E49="kWh",VLOOKUP(T$4,'4. Billing Determinants'!$B$19:$R$41,4,0)/'4. Billing Determinants'!$E$41*$D49,IF($E49="kW",VLOOKUP(T$4,'4. Billing Determinants'!$B$19:$R$41,5,0)/'4. Billing Determinants'!$F$41*$D49,IF($E49="Non-RPP kWh",VLOOKUP(T$4,'4. Billing Determinants'!$B$19:$R$41,6,0)/'4. Billing Determinants'!$G$41*$D49,IF($E49="Distribution Rev.",VLOOKUP(T$4,'4. Billing Determinants'!$B$19:$R$41,8,0)/'4. Billing Determinants'!$I$41*$D49, VLOOKUP(T$4,'4. Billing Determinants'!$B$19:$R$41,3,0)/'4. Billing Determinants'!$D$41*$D49))))),0)</f>
        <v>0</v>
      </c>
      <c r="U49" s="32">
        <f>IFERROR(IF(U$4="",0,IF($E49="kWh",VLOOKUP(U$4,'4. Billing Determinants'!$B$19:$R$41,4,0)/'4. Billing Determinants'!$E$41*$D49,IF($E49="kW",VLOOKUP(U$4,'4. Billing Determinants'!$B$19:$R$41,5,0)/'4. Billing Determinants'!$F$41*$D49,IF($E49="Non-RPP kWh",VLOOKUP(U$4,'4. Billing Determinants'!$B$19:$R$41,6,0)/'4. Billing Determinants'!$G$41*$D49,IF($E49="Distribution Rev.",VLOOKUP(U$4,'4. Billing Determinants'!$B$19:$R$41,8,0)/'4. Billing Determinants'!$I$41*$D49, VLOOKUP(U$4,'4. Billing Determinants'!$B$19:$R$41,3,0)/'4. Billing Determinants'!$D$41*$D49))))),0)</f>
        <v>0</v>
      </c>
      <c r="V49" s="32">
        <f>IFERROR(IF(V$4="",0,IF($E49="kWh",VLOOKUP(V$4,'4. Billing Determinants'!$B$19:$R$41,4,0)/'4. Billing Determinants'!$E$41*$D49,IF($E49="kW",VLOOKUP(V$4,'4. Billing Determinants'!$B$19:$R$41,5,0)/'4. Billing Determinants'!$F$41*$D49,IF($E49="Non-RPP kWh",VLOOKUP(V$4,'4. Billing Determinants'!$B$19:$R$41,6,0)/'4. Billing Determinants'!$G$41*$D49,IF($E49="Distribution Rev.",VLOOKUP(V$4,'4. Billing Determinants'!$B$19:$R$41,8,0)/'4. Billing Determinants'!$I$41*$D49, VLOOKUP(V$4,'4. Billing Determinants'!$B$19:$R$41,3,0)/'4. Billing Determinants'!$D$41*$D49))))),0)</f>
        <v>0</v>
      </c>
      <c r="W49" s="32">
        <f>IFERROR(IF(W$4="",0,IF($E49="kWh",VLOOKUP(W$4,'4. Billing Determinants'!$B$19:$R$41,4,0)/'4. Billing Determinants'!$E$41*$D49,IF($E49="kW",VLOOKUP(W$4,'4. Billing Determinants'!$B$19:$R$41,5,0)/'4. Billing Determinants'!$F$41*$D49,IF($E49="Non-RPP kWh",VLOOKUP(W$4,'4. Billing Determinants'!$B$19:$R$41,6,0)/'4. Billing Determinants'!$G$41*$D49,IF($E49="Distribution Rev.",VLOOKUP(W$4,'4. Billing Determinants'!$B$19:$R$41,8,0)/'4. Billing Determinants'!$I$41*$D49, VLOOKUP(W$4,'4. Billing Determinants'!$B$19:$R$41,3,0)/'4. Billing Determinants'!$D$41*$D49))))),0)</f>
        <v>0</v>
      </c>
      <c r="X49" s="32">
        <f>IFERROR(IF(X$4="",0,IF($E49="kWh",VLOOKUP(X$4,'4. Billing Determinants'!$B$19:$R$41,4,0)/'4. Billing Determinants'!$E$41*$D49,IF($E49="kW",VLOOKUP(X$4,'4. Billing Determinants'!$B$19:$R$41,5,0)/'4. Billing Determinants'!$F$41*$D49,IF($E49="Non-RPP kWh",VLOOKUP(X$4,'4. Billing Determinants'!$B$19:$R$41,6,0)/'4. Billing Determinants'!$G$41*$D49,IF($E49="Distribution Rev.",VLOOKUP(X$4,'4. Billing Determinants'!$B$19:$R$41,8,0)/'4. Billing Determinants'!$I$41*$D49, VLOOKUP(X$4,'4. Billing Determinants'!$B$19:$R$41,3,0)/'4. Billing Determinants'!$D$41*$D49))))),0)</f>
        <v>0</v>
      </c>
      <c r="Y49" s="32">
        <f>IFERROR(IF(Y$4="",0,IF($E49="kWh",VLOOKUP(Y$4,'4. Billing Determinants'!$B$19:$R$41,4,0)/'4. Billing Determinants'!$E$41*$D49,IF($E49="kW",VLOOKUP(Y$4,'4. Billing Determinants'!$B$19:$R$41,5,0)/'4. Billing Determinants'!$F$41*$D49,IF($E49="Non-RPP kWh",VLOOKUP(Y$4,'4. Billing Determinants'!$B$19:$R$41,6,0)/'4. Billing Determinants'!$G$41*$D49,IF($E49="Distribution Rev.",VLOOKUP(Y$4,'4. Billing Determinants'!$B$19:$R$41,8,0)/'4. Billing Determinants'!$I$41*$D49, VLOOKUP(Y$4,'4. Billing Determinants'!$B$19:$R$41,3,0)/'4. Billing Determinants'!$D$41*$D49))))),0)</f>
        <v>0</v>
      </c>
    </row>
    <row r="50" spans="1:25" x14ac:dyDescent="0.2">
      <c r="A50" s="37">
        <v>27</v>
      </c>
      <c r="B50" s="34" t="s">
        <v>6</v>
      </c>
      <c r="C50" s="31">
        <v>1574</v>
      </c>
      <c r="D50" s="32">
        <f>'2b. Continuity Schedule'!BT76</f>
        <v>0</v>
      </c>
      <c r="E50" s="48" t="s">
        <v>139</v>
      </c>
      <c r="F50" s="32">
        <f>IFERROR(IF(F$4="",0,IF($E50="kWh",VLOOKUP(F$4,'4. Billing Determinants'!$B$19:$R$41,4,0)/'4. Billing Determinants'!$E$41*$D50,IF($E50="kW",VLOOKUP(F$4,'4. Billing Determinants'!$B$19:$R$41,5,0)/'4. Billing Determinants'!$F$41*$D50,IF($E50="Non-RPP kWh",VLOOKUP(F$4,'4. Billing Determinants'!$B$19:$R$41,6,0)/'4. Billing Determinants'!$G$41*$D50,IF($E50="Distribution Rev.",VLOOKUP(F$4,'4. Billing Determinants'!$B$19:$R$41,8,0)/'4. Billing Determinants'!$I$41*$D50, VLOOKUP(F$4,'4. Billing Determinants'!$B$19:$R$41,3,0)/'4. Billing Determinants'!$D$41*$D50))))),0)</f>
        <v>0</v>
      </c>
      <c r="G50" s="32">
        <f>IFERROR(IF(G$4="",0,IF($E50="kWh",VLOOKUP(G$4,'4. Billing Determinants'!$B$19:$R$41,4,0)/'4. Billing Determinants'!$E$41*$D50,IF($E50="kW",VLOOKUP(G$4,'4. Billing Determinants'!$B$19:$R$41,5,0)/'4. Billing Determinants'!$F$41*$D50,IF($E50="Non-RPP kWh",VLOOKUP(G$4,'4. Billing Determinants'!$B$19:$R$41,6,0)/'4. Billing Determinants'!$G$41*$D50,IF($E50="Distribution Rev.",VLOOKUP(G$4,'4. Billing Determinants'!$B$19:$R$41,8,0)/'4. Billing Determinants'!$I$41*$D50, VLOOKUP(G$4,'4. Billing Determinants'!$B$19:$R$41,3,0)/'4. Billing Determinants'!$D$41*$D50))))),0)</f>
        <v>0</v>
      </c>
      <c r="H50" s="32">
        <f>IFERROR(IF(H$4="",0,IF($E50="kWh",VLOOKUP(H$4,'4. Billing Determinants'!$B$19:$R$41,4,0)/'4. Billing Determinants'!$E$41*$D50,IF($E50="kW",VLOOKUP(H$4,'4. Billing Determinants'!$B$19:$R$41,5,0)/'4. Billing Determinants'!$F$41*$D50,IF($E50="Non-RPP kWh",VLOOKUP(H$4,'4. Billing Determinants'!$B$19:$R$41,6,0)/'4. Billing Determinants'!$G$41*$D50,IF($E50="Distribution Rev.",VLOOKUP(H$4,'4. Billing Determinants'!$B$19:$R$41,8,0)/'4. Billing Determinants'!$I$41*$D50, VLOOKUP(H$4,'4. Billing Determinants'!$B$19:$R$41,3,0)/'4. Billing Determinants'!$D$41*$D50))))),0)</f>
        <v>0</v>
      </c>
      <c r="I50" s="32">
        <f>IFERROR(IF(I$4="",0,IF($E50="kWh",VLOOKUP(I$4,'4. Billing Determinants'!$B$19:$R$41,4,0)/'4. Billing Determinants'!$E$41*$D50,IF($E50="kW",VLOOKUP(I$4,'4. Billing Determinants'!$B$19:$R$41,5,0)/'4. Billing Determinants'!$F$41*$D50,IF($E50="Non-RPP kWh",VLOOKUP(I$4,'4. Billing Determinants'!$B$19:$R$41,6,0)/'4. Billing Determinants'!$G$41*$D50,IF($E50="Distribution Rev.",VLOOKUP(I$4,'4. Billing Determinants'!$B$19:$R$41,8,0)/'4. Billing Determinants'!$I$41*$D50, VLOOKUP(I$4,'4. Billing Determinants'!$B$19:$R$41,3,0)/'4. Billing Determinants'!$D$41*$D50))))),0)</f>
        <v>0</v>
      </c>
      <c r="J50" s="32">
        <f>IFERROR(IF(J$4="",0,IF($E50="kWh",VLOOKUP(J$4,'4. Billing Determinants'!$B$19:$R$41,4,0)/'4. Billing Determinants'!$E$41*$D50,IF($E50="kW",VLOOKUP(J$4,'4. Billing Determinants'!$B$19:$R$41,5,0)/'4. Billing Determinants'!$F$41*$D50,IF($E50="Non-RPP kWh",VLOOKUP(J$4,'4. Billing Determinants'!$B$19:$R$41,6,0)/'4. Billing Determinants'!$G$41*$D50,IF($E50="Distribution Rev.",VLOOKUP(J$4,'4. Billing Determinants'!$B$19:$R$41,8,0)/'4. Billing Determinants'!$I$41*$D50, VLOOKUP(J$4,'4. Billing Determinants'!$B$19:$R$41,3,0)/'4. Billing Determinants'!$D$41*$D50))))),0)</f>
        <v>0</v>
      </c>
      <c r="K50" s="32">
        <f>IFERROR(IF(K$4="",0,IF($E50="kWh",VLOOKUP(K$4,'4. Billing Determinants'!$B$19:$R$41,4,0)/'4. Billing Determinants'!$E$41*$D50,IF($E50="kW",VLOOKUP(K$4,'4. Billing Determinants'!$B$19:$R$41,5,0)/'4. Billing Determinants'!$F$41*$D50,IF($E50="Non-RPP kWh",VLOOKUP(K$4,'4. Billing Determinants'!$B$19:$R$41,6,0)/'4. Billing Determinants'!$G$41*$D50,IF($E50="Distribution Rev.",VLOOKUP(K$4,'4. Billing Determinants'!$B$19:$R$41,8,0)/'4. Billing Determinants'!$I$41*$D50, VLOOKUP(K$4,'4. Billing Determinants'!$B$19:$R$41,3,0)/'4. Billing Determinants'!$D$41*$D50))))),0)</f>
        <v>0</v>
      </c>
      <c r="L50" s="32">
        <f>IFERROR(IF(L$4="",0,IF($E50="kWh",VLOOKUP(L$4,'4. Billing Determinants'!$B$19:$R$41,4,0)/'4. Billing Determinants'!$E$41*$D50,IF($E50="kW",VLOOKUP(L$4,'4. Billing Determinants'!$B$19:$R$41,5,0)/'4. Billing Determinants'!$F$41*$D50,IF($E50="Non-RPP kWh",VLOOKUP(L$4,'4. Billing Determinants'!$B$19:$R$41,6,0)/'4. Billing Determinants'!$G$41*$D50,IF($E50="Distribution Rev.",VLOOKUP(L$4,'4. Billing Determinants'!$B$19:$R$41,8,0)/'4. Billing Determinants'!$I$41*$D50, VLOOKUP(L$4,'4. Billing Determinants'!$B$19:$R$41,3,0)/'4. Billing Determinants'!$D$41*$D50))))),0)</f>
        <v>0</v>
      </c>
      <c r="M50" s="32">
        <f>IFERROR(IF(M$4="",0,IF($E50="kWh",VLOOKUP(M$4,'4. Billing Determinants'!$B$19:$R$41,4,0)/'4. Billing Determinants'!$E$41*$D50,IF($E50="kW",VLOOKUP(M$4,'4. Billing Determinants'!$B$19:$R$41,5,0)/'4. Billing Determinants'!$F$41*$D50,IF($E50="Non-RPP kWh",VLOOKUP(M$4,'4. Billing Determinants'!$B$19:$R$41,6,0)/'4. Billing Determinants'!$G$41*$D50,IF($E50="Distribution Rev.",VLOOKUP(M$4,'4. Billing Determinants'!$B$19:$R$41,8,0)/'4. Billing Determinants'!$I$41*$D50, VLOOKUP(M$4,'4. Billing Determinants'!$B$19:$R$41,3,0)/'4. Billing Determinants'!$D$41*$D50))))),0)</f>
        <v>0</v>
      </c>
      <c r="N50" s="32">
        <f>IFERROR(IF(N$4="",0,IF($E50="kWh",VLOOKUP(N$4,'4. Billing Determinants'!$B$19:$R$41,4,0)/'4. Billing Determinants'!$E$41*$D50,IF($E50="kW",VLOOKUP(N$4,'4. Billing Determinants'!$B$19:$R$41,5,0)/'4. Billing Determinants'!$F$41*$D50,IF($E50="Non-RPP kWh",VLOOKUP(N$4,'4. Billing Determinants'!$B$19:$R$41,6,0)/'4. Billing Determinants'!$G$41*$D50,IF($E50="Distribution Rev.",VLOOKUP(N$4,'4. Billing Determinants'!$B$19:$R$41,8,0)/'4. Billing Determinants'!$I$41*$D50, VLOOKUP(N$4,'4. Billing Determinants'!$B$19:$R$41,3,0)/'4. Billing Determinants'!$D$41*$D50))))),0)</f>
        <v>0</v>
      </c>
      <c r="O50" s="32">
        <f>IFERROR(IF(O$4="",0,IF($E50="kWh",VLOOKUP(O$4,'4. Billing Determinants'!$B$19:$R$41,4,0)/'4. Billing Determinants'!$E$41*$D50,IF($E50="kW",VLOOKUP(O$4,'4. Billing Determinants'!$B$19:$R$41,5,0)/'4. Billing Determinants'!$F$41*$D50,IF($E50="Non-RPP kWh",VLOOKUP(O$4,'4. Billing Determinants'!$B$19:$R$41,6,0)/'4. Billing Determinants'!$G$41*$D50,IF($E50="Distribution Rev.",VLOOKUP(O$4,'4. Billing Determinants'!$B$19:$R$41,8,0)/'4. Billing Determinants'!$I$41*$D50, VLOOKUP(O$4,'4. Billing Determinants'!$B$19:$R$41,3,0)/'4. Billing Determinants'!$D$41*$D50))))),0)</f>
        <v>0</v>
      </c>
      <c r="P50" s="32">
        <f>IFERROR(IF(P$4="",0,IF($E50="kWh",VLOOKUP(P$4,'4. Billing Determinants'!$B$19:$R$41,4,0)/'4. Billing Determinants'!$E$41*$D50,IF($E50="kW",VLOOKUP(P$4,'4. Billing Determinants'!$B$19:$R$41,5,0)/'4. Billing Determinants'!$F$41*$D50,IF($E50="Non-RPP kWh",VLOOKUP(P$4,'4. Billing Determinants'!$B$19:$R$41,6,0)/'4. Billing Determinants'!$G$41*$D50,IF($E50="Distribution Rev.",VLOOKUP(P$4,'4. Billing Determinants'!$B$19:$R$41,8,0)/'4. Billing Determinants'!$I$41*$D50, VLOOKUP(P$4,'4. Billing Determinants'!$B$19:$R$41,3,0)/'4. Billing Determinants'!$D$41*$D50))))),0)</f>
        <v>0</v>
      </c>
      <c r="Q50" s="32">
        <f>IFERROR(IF(Q$4="",0,IF($E50="kWh",VLOOKUP(Q$4,'4. Billing Determinants'!$B$19:$R$41,4,0)/'4. Billing Determinants'!$E$41*$D50,IF($E50="kW",VLOOKUP(Q$4,'4. Billing Determinants'!$B$19:$R$41,5,0)/'4. Billing Determinants'!$F$41*$D50,IF($E50="Non-RPP kWh",VLOOKUP(Q$4,'4. Billing Determinants'!$B$19:$R$41,6,0)/'4. Billing Determinants'!$G$41*$D50,IF($E50="Distribution Rev.",VLOOKUP(Q$4,'4. Billing Determinants'!$B$19:$R$41,8,0)/'4. Billing Determinants'!$I$41*$D50, VLOOKUP(Q$4,'4. Billing Determinants'!$B$19:$R$41,3,0)/'4. Billing Determinants'!$D$41*$D50))))),0)</f>
        <v>0</v>
      </c>
      <c r="R50" s="32">
        <f>IFERROR(IF(R$4="",0,IF($E50="kWh",VLOOKUP(R$4,'4. Billing Determinants'!$B$19:$R$41,4,0)/'4. Billing Determinants'!$E$41*$D50,IF($E50="kW",VLOOKUP(R$4,'4. Billing Determinants'!$B$19:$R$41,5,0)/'4. Billing Determinants'!$F$41*$D50,IF($E50="Non-RPP kWh",VLOOKUP(R$4,'4. Billing Determinants'!$B$19:$R$41,6,0)/'4. Billing Determinants'!$G$41*$D50,IF($E50="Distribution Rev.",VLOOKUP(R$4,'4. Billing Determinants'!$B$19:$R$41,8,0)/'4. Billing Determinants'!$I$41*$D50, VLOOKUP(R$4,'4. Billing Determinants'!$B$19:$R$41,3,0)/'4. Billing Determinants'!$D$41*$D50))))),0)</f>
        <v>0</v>
      </c>
      <c r="S50" s="32">
        <f>IFERROR(IF(S$4="",0,IF($E50="kWh",VLOOKUP(S$4,'4. Billing Determinants'!$B$19:$R$41,4,0)/'4. Billing Determinants'!$E$41*$D50,IF($E50="kW",VLOOKUP(S$4,'4. Billing Determinants'!$B$19:$R$41,5,0)/'4. Billing Determinants'!$F$41*$D50,IF($E50="Non-RPP kWh",VLOOKUP(S$4,'4. Billing Determinants'!$B$19:$R$41,6,0)/'4. Billing Determinants'!$G$41*$D50,IF($E50="Distribution Rev.",VLOOKUP(S$4,'4. Billing Determinants'!$B$19:$R$41,8,0)/'4. Billing Determinants'!$I$41*$D50, VLOOKUP(S$4,'4. Billing Determinants'!$B$19:$R$41,3,0)/'4. Billing Determinants'!$D$41*$D50))))),0)</f>
        <v>0</v>
      </c>
      <c r="T50" s="32">
        <f>IFERROR(IF(T$4="",0,IF($E50="kWh",VLOOKUP(T$4,'4. Billing Determinants'!$B$19:$R$41,4,0)/'4. Billing Determinants'!$E$41*$D50,IF($E50="kW",VLOOKUP(T$4,'4. Billing Determinants'!$B$19:$R$41,5,0)/'4. Billing Determinants'!$F$41*$D50,IF($E50="Non-RPP kWh",VLOOKUP(T$4,'4. Billing Determinants'!$B$19:$R$41,6,0)/'4. Billing Determinants'!$G$41*$D50,IF($E50="Distribution Rev.",VLOOKUP(T$4,'4. Billing Determinants'!$B$19:$R$41,8,0)/'4. Billing Determinants'!$I$41*$D50, VLOOKUP(T$4,'4. Billing Determinants'!$B$19:$R$41,3,0)/'4. Billing Determinants'!$D$41*$D50))))),0)</f>
        <v>0</v>
      </c>
      <c r="U50" s="32">
        <f>IFERROR(IF(U$4="",0,IF($E50="kWh",VLOOKUP(U$4,'4. Billing Determinants'!$B$19:$R$41,4,0)/'4. Billing Determinants'!$E$41*$D50,IF($E50="kW",VLOOKUP(U$4,'4. Billing Determinants'!$B$19:$R$41,5,0)/'4. Billing Determinants'!$F$41*$D50,IF($E50="Non-RPP kWh",VLOOKUP(U$4,'4. Billing Determinants'!$B$19:$R$41,6,0)/'4. Billing Determinants'!$G$41*$D50,IF($E50="Distribution Rev.",VLOOKUP(U$4,'4. Billing Determinants'!$B$19:$R$41,8,0)/'4. Billing Determinants'!$I$41*$D50, VLOOKUP(U$4,'4. Billing Determinants'!$B$19:$R$41,3,0)/'4. Billing Determinants'!$D$41*$D50))))),0)</f>
        <v>0</v>
      </c>
      <c r="V50" s="32">
        <f>IFERROR(IF(V$4="",0,IF($E50="kWh",VLOOKUP(V$4,'4. Billing Determinants'!$B$19:$R$41,4,0)/'4. Billing Determinants'!$E$41*$D50,IF($E50="kW",VLOOKUP(V$4,'4. Billing Determinants'!$B$19:$R$41,5,0)/'4. Billing Determinants'!$F$41*$D50,IF($E50="Non-RPP kWh",VLOOKUP(V$4,'4. Billing Determinants'!$B$19:$R$41,6,0)/'4. Billing Determinants'!$G$41*$D50,IF($E50="Distribution Rev.",VLOOKUP(V$4,'4. Billing Determinants'!$B$19:$R$41,8,0)/'4. Billing Determinants'!$I$41*$D50, VLOOKUP(V$4,'4. Billing Determinants'!$B$19:$R$41,3,0)/'4. Billing Determinants'!$D$41*$D50))))),0)</f>
        <v>0</v>
      </c>
      <c r="W50" s="32">
        <f>IFERROR(IF(W$4="",0,IF($E50="kWh",VLOOKUP(W$4,'4. Billing Determinants'!$B$19:$R$41,4,0)/'4. Billing Determinants'!$E$41*$D50,IF($E50="kW",VLOOKUP(W$4,'4. Billing Determinants'!$B$19:$R$41,5,0)/'4. Billing Determinants'!$F$41*$D50,IF($E50="Non-RPP kWh",VLOOKUP(W$4,'4. Billing Determinants'!$B$19:$R$41,6,0)/'4. Billing Determinants'!$G$41*$D50,IF($E50="Distribution Rev.",VLOOKUP(W$4,'4. Billing Determinants'!$B$19:$R$41,8,0)/'4. Billing Determinants'!$I$41*$D50, VLOOKUP(W$4,'4. Billing Determinants'!$B$19:$R$41,3,0)/'4. Billing Determinants'!$D$41*$D50))))),0)</f>
        <v>0</v>
      </c>
      <c r="X50" s="32">
        <f>IFERROR(IF(X$4="",0,IF($E50="kWh",VLOOKUP(X$4,'4. Billing Determinants'!$B$19:$R$41,4,0)/'4. Billing Determinants'!$E$41*$D50,IF($E50="kW",VLOOKUP(X$4,'4. Billing Determinants'!$B$19:$R$41,5,0)/'4. Billing Determinants'!$F$41*$D50,IF($E50="Non-RPP kWh",VLOOKUP(X$4,'4. Billing Determinants'!$B$19:$R$41,6,0)/'4. Billing Determinants'!$G$41*$D50,IF($E50="Distribution Rev.",VLOOKUP(X$4,'4. Billing Determinants'!$B$19:$R$41,8,0)/'4. Billing Determinants'!$I$41*$D50, VLOOKUP(X$4,'4. Billing Determinants'!$B$19:$R$41,3,0)/'4. Billing Determinants'!$D$41*$D50))))),0)</f>
        <v>0</v>
      </c>
      <c r="Y50" s="32">
        <f>IFERROR(IF(Y$4="",0,IF($E50="kWh",VLOOKUP(Y$4,'4. Billing Determinants'!$B$19:$R$41,4,0)/'4. Billing Determinants'!$E$41*$D50,IF($E50="kW",VLOOKUP(Y$4,'4. Billing Determinants'!$B$19:$R$41,5,0)/'4. Billing Determinants'!$F$41*$D50,IF($E50="Non-RPP kWh",VLOOKUP(Y$4,'4. Billing Determinants'!$B$19:$R$41,6,0)/'4. Billing Determinants'!$G$41*$D50,IF($E50="Distribution Rev.",VLOOKUP(Y$4,'4. Billing Determinants'!$B$19:$R$41,8,0)/'4. Billing Determinants'!$I$41*$D50, VLOOKUP(Y$4,'4. Billing Determinants'!$B$19:$R$41,3,0)/'4. Billing Determinants'!$D$41*$D50))))),0)</f>
        <v>0</v>
      </c>
    </row>
    <row r="51" spans="1:25" x14ac:dyDescent="0.2">
      <c r="A51" s="37">
        <v>28</v>
      </c>
      <c r="B51" s="30" t="s">
        <v>24</v>
      </c>
      <c r="C51" s="31">
        <v>1582</v>
      </c>
      <c r="D51" s="32">
        <f>'2b. Continuity Schedule'!BT77</f>
        <v>0</v>
      </c>
      <c r="E51" s="48" t="s">
        <v>139</v>
      </c>
      <c r="F51" s="32">
        <f>IFERROR(IF(F$4="",0,IF($E51="kWh",VLOOKUP(F$4,'4. Billing Determinants'!$B$19:$R$41,4,0)/'4. Billing Determinants'!$E$41*$D51,IF($E51="kW",VLOOKUP(F$4,'4. Billing Determinants'!$B$19:$R$41,5,0)/'4. Billing Determinants'!$F$41*$D51,IF($E51="Non-RPP kWh",VLOOKUP(F$4,'4. Billing Determinants'!$B$19:$R$41,6,0)/'4. Billing Determinants'!$G$41*$D51,IF($E51="Distribution Rev.",VLOOKUP(F$4,'4. Billing Determinants'!$B$19:$R$41,8,0)/'4. Billing Determinants'!$I$41*$D51, VLOOKUP(F$4,'4. Billing Determinants'!$B$19:$R$41,3,0)/'4. Billing Determinants'!$D$41*$D51))))),0)</f>
        <v>0</v>
      </c>
      <c r="G51" s="32">
        <f>IFERROR(IF(G$4="",0,IF($E51="kWh",VLOOKUP(G$4,'4. Billing Determinants'!$B$19:$R$41,4,0)/'4. Billing Determinants'!$E$41*$D51,IF($E51="kW",VLOOKUP(G$4,'4. Billing Determinants'!$B$19:$R$41,5,0)/'4. Billing Determinants'!$F$41*$D51,IF($E51="Non-RPP kWh",VLOOKUP(G$4,'4. Billing Determinants'!$B$19:$R$41,6,0)/'4. Billing Determinants'!$G$41*$D51,IF($E51="Distribution Rev.",VLOOKUP(G$4,'4. Billing Determinants'!$B$19:$R$41,8,0)/'4. Billing Determinants'!$I$41*$D51, VLOOKUP(G$4,'4. Billing Determinants'!$B$19:$R$41,3,0)/'4. Billing Determinants'!$D$41*$D51))))),0)</f>
        <v>0</v>
      </c>
      <c r="H51" s="32">
        <f>IFERROR(IF(H$4="",0,IF($E51="kWh",VLOOKUP(H$4,'4. Billing Determinants'!$B$19:$R$41,4,0)/'4. Billing Determinants'!$E$41*$D51,IF($E51="kW",VLOOKUP(H$4,'4. Billing Determinants'!$B$19:$R$41,5,0)/'4. Billing Determinants'!$F$41*$D51,IF($E51="Non-RPP kWh",VLOOKUP(H$4,'4. Billing Determinants'!$B$19:$R$41,6,0)/'4. Billing Determinants'!$G$41*$D51,IF($E51="Distribution Rev.",VLOOKUP(H$4,'4. Billing Determinants'!$B$19:$R$41,8,0)/'4. Billing Determinants'!$I$41*$D51, VLOOKUP(H$4,'4. Billing Determinants'!$B$19:$R$41,3,0)/'4. Billing Determinants'!$D$41*$D51))))),0)</f>
        <v>0</v>
      </c>
      <c r="I51" s="32">
        <f>IFERROR(IF(I$4="",0,IF($E51="kWh",VLOOKUP(I$4,'4. Billing Determinants'!$B$19:$R$41,4,0)/'4. Billing Determinants'!$E$41*$D51,IF($E51="kW",VLOOKUP(I$4,'4. Billing Determinants'!$B$19:$R$41,5,0)/'4. Billing Determinants'!$F$41*$D51,IF($E51="Non-RPP kWh",VLOOKUP(I$4,'4. Billing Determinants'!$B$19:$R$41,6,0)/'4. Billing Determinants'!$G$41*$D51,IF($E51="Distribution Rev.",VLOOKUP(I$4,'4. Billing Determinants'!$B$19:$R$41,8,0)/'4. Billing Determinants'!$I$41*$D51, VLOOKUP(I$4,'4. Billing Determinants'!$B$19:$R$41,3,0)/'4. Billing Determinants'!$D$41*$D51))))),0)</f>
        <v>0</v>
      </c>
      <c r="J51" s="32">
        <f>IFERROR(IF(J$4="",0,IF($E51="kWh",VLOOKUP(J$4,'4. Billing Determinants'!$B$19:$R$41,4,0)/'4. Billing Determinants'!$E$41*$D51,IF($E51="kW",VLOOKUP(J$4,'4. Billing Determinants'!$B$19:$R$41,5,0)/'4. Billing Determinants'!$F$41*$D51,IF($E51="Non-RPP kWh",VLOOKUP(J$4,'4. Billing Determinants'!$B$19:$R$41,6,0)/'4. Billing Determinants'!$G$41*$D51,IF($E51="Distribution Rev.",VLOOKUP(J$4,'4. Billing Determinants'!$B$19:$R$41,8,0)/'4. Billing Determinants'!$I$41*$D51, VLOOKUP(J$4,'4. Billing Determinants'!$B$19:$R$41,3,0)/'4. Billing Determinants'!$D$41*$D51))))),0)</f>
        <v>0</v>
      </c>
      <c r="K51" s="32">
        <f>IFERROR(IF(K$4="",0,IF($E51="kWh",VLOOKUP(K$4,'4. Billing Determinants'!$B$19:$R$41,4,0)/'4. Billing Determinants'!$E$41*$D51,IF($E51="kW",VLOOKUP(K$4,'4. Billing Determinants'!$B$19:$R$41,5,0)/'4. Billing Determinants'!$F$41*$D51,IF($E51="Non-RPP kWh",VLOOKUP(K$4,'4. Billing Determinants'!$B$19:$R$41,6,0)/'4. Billing Determinants'!$G$41*$D51,IF($E51="Distribution Rev.",VLOOKUP(K$4,'4. Billing Determinants'!$B$19:$R$41,8,0)/'4. Billing Determinants'!$I$41*$D51, VLOOKUP(K$4,'4. Billing Determinants'!$B$19:$R$41,3,0)/'4. Billing Determinants'!$D$41*$D51))))),0)</f>
        <v>0</v>
      </c>
      <c r="L51" s="32">
        <f>IFERROR(IF(L$4="",0,IF($E51="kWh",VLOOKUP(L$4,'4. Billing Determinants'!$B$19:$R$41,4,0)/'4. Billing Determinants'!$E$41*$D51,IF($E51="kW",VLOOKUP(L$4,'4. Billing Determinants'!$B$19:$R$41,5,0)/'4. Billing Determinants'!$F$41*$D51,IF($E51="Non-RPP kWh",VLOOKUP(L$4,'4. Billing Determinants'!$B$19:$R$41,6,0)/'4. Billing Determinants'!$G$41*$D51,IF($E51="Distribution Rev.",VLOOKUP(L$4,'4. Billing Determinants'!$B$19:$R$41,8,0)/'4. Billing Determinants'!$I$41*$D51, VLOOKUP(L$4,'4. Billing Determinants'!$B$19:$R$41,3,0)/'4. Billing Determinants'!$D$41*$D51))))),0)</f>
        <v>0</v>
      </c>
      <c r="M51" s="32">
        <f>IFERROR(IF(M$4="",0,IF($E51="kWh",VLOOKUP(M$4,'4. Billing Determinants'!$B$19:$R$41,4,0)/'4. Billing Determinants'!$E$41*$D51,IF($E51="kW",VLOOKUP(M$4,'4. Billing Determinants'!$B$19:$R$41,5,0)/'4. Billing Determinants'!$F$41*$D51,IF($E51="Non-RPP kWh",VLOOKUP(M$4,'4. Billing Determinants'!$B$19:$R$41,6,0)/'4. Billing Determinants'!$G$41*$D51,IF($E51="Distribution Rev.",VLOOKUP(M$4,'4. Billing Determinants'!$B$19:$R$41,8,0)/'4. Billing Determinants'!$I$41*$D51, VLOOKUP(M$4,'4. Billing Determinants'!$B$19:$R$41,3,0)/'4. Billing Determinants'!$D$41*$D51))))),0)</f>
        <v>0</v>
      </c>
      <c r="N51" s="32">
        <f>IFERROR(IF(N$4="",0,IF($E51="kWh",VLOOKUP(N$4,'4. Billing Determinants'!$B$19:$R$41,4,0)/'4. Billing Determinants'!$E$41*$D51,IF($E51="kW",VLOOKUP(N$4,'4. Billing Determinants'!$B$19:$R$41,5,0)/'4. Billing Determinants'!$F$41*$D51,IF($E51="Non-RPP kWh",VLOOKUP(N$4,'4. Billing Determinants'!$B$19:$R$41,6,0)/'4. Billing Determinants'!$G$41*$D51,IF($E51="Distribution Rev.",VLOOKUP(N$4,'4. Billing Determinants'!$B$19:$R$41,8,0)/'4. Billing Determinants'!$I$41*$D51, VLOOKUP(N$4,'4. Billing Determinants'!$B$19:$R$41,3,0)/'4. Billing Determinants'!$D$41*$D51))))),0)</f>
        <v>0</v>
      </c>
      <c r="O51" s="32">
        <f>IFERROR(IF(O$4="",0,IF($E51="kWh",VLOOKUP(O$4,'4. Billing Determinants'!$B$19:$R$41,4,0)/'4. Billing Determinants'!$E$41*$D51,IF($E51="kW",VLOOKUP(O$4,'4. Billing Determinants'!$B$19:$R$41,5,0)/'4. Billing Determinants'!$F$41*$D51,IF($E51="Non-RPP kWh",VLOOKUP(O$4,'4. Billing Determinants'!$B$19:$R$41,6,0)/'4. Billing Determinants'!$G$41*$D51,IF($E51="Distribution Rev.",VLOOKUP(O$4,'4. Billing Determinants'!$B$19:$R$41,8,0)/'4. Billing Determinants'!$I$41*$D51, VLOOKUP(O$4,'4. Billing Determinants'!$B$19:$R$41,3,0)/'4. Billing Determinants'!$D$41*$D51))))),0)</f>
        <v>0</v>
      </c>
      <c r="P51" s="32">
        <f>IFERROR(IF(P$4="",0,IF($E51="kWh",VLOOKUP(P$4,'4. Billing Determinants'!$B$19:$R$41,4,0)/'4. Billing Determinants'!$E$41*$D51,IF($E51="kW",VLOOKUP(P$4,'4. Billing Determinants'!$B$19:$R$41,5,0)/'4. Billing Determinants'!$F$41*$D51,IF($E51="Non-RPP kWh",VLOOKUP(P$4,'4. Billing Determinants'!$B$19:$R$41,6,0)/'4. Billing Determinants'!$G$41*$D51,IF($E51="Distribution Rev.",VLOOKUP(P$4,'4. Billing Determinants'!$B$19:$R$41,8,0)/'4. Billing Determinants'!$I$41*$D51, VLOOKUP(P$4,'4. Billing Determinants'!$B$19:$R$41,3,0)/'4. Billing Determinants'!$D$41*$D51))))),0)</f>
        <v>0</v>
      </c>
      <c r="Q51" s="32">
        <f>IFERROR(IF(Q$4="",0,IF($E51="kWh",VLOOKUP(Q$4,'4. Billing Determinants'!$B$19:$R$41,4,0)/'4. Billing Determinants'!$E$41*$D51,IF($E51="kW",VLOOKUP(Q$4,'4. Billing Determinants'!$B$19:$R$41,5,0)/'4. Billing Determinants'!$F$41*$D51,IF($E51="Non-RPP kWh",VLOOKUP(Q$4,'4. Billing Determinants'!$B$19:$R$41,6,0)/'4. Billing Determinants'!$G$41*$D51,IF($E51="Distribution Rev.",VLOOKUP(Q$4,'4. Billing Determinants'!$B$19:$R$41,8,0)/'4. Billing Determinants'!$I$41*$D51, VLOOKUP(Q$4,'4. Billing Determinants'!$B$19:$R$41,3,0)/'4. Billing Determinants'!$D$41*$D51))))),0)</f>
        <v>0</v>
      </c>
      <c r="R51" s="32">
        <f>IFERROR(IF(R$4="",0,IF($E51="kWh",VLOOKUP(R$4,'4. Billing Determinants'!$B$19:$R$41,4,0)/'4. Billing Determinants'!$E$41*$D51,IF($E51="kW",VLOOKUP(R$4,'4. Billing Determinants'!$B$19:$R$41,5,0)/'4. Billing Determinants'!$F$41*$D51,IF($E51="Non-RPP kWh",VLOOKUP(R$4,'4. Billing Determinants'!$B$19:$R$41,6,0)/'4. Billing Determinants'!$G$41*$D51,IF($E51="Distribution Rev.",VLOOKUP(R$4,'4. Billing Determinants'!$B$19:$R$41,8,0)/'4. Billing Determinants'!$I$41*$D51, VLOOKUP(R$4,'4. Billing Determinants'!$B$19:$R$41,3,0)/'4. Billing Determinants'!$D$41*$D51))))),0)</f>
        <v>0</v>
      </c>
      <c r="S51" s="32">
        <f>IFERROR(IF(S$4="",0,IF($E51="kWh",VLOOKUP(S$4,'4. Billing Determinants'!$B$19:$R$41,4,0)/'4. Billing Determinants'!$E$41*$D51,IF($E51="kW",VLOOKUP(S$4,'4. Billing Determinants'!$B$19:$R$41,5,0)/'4. Billing Determinants'!$F$41*$D51,IF($E51="Non-RPP kWh",VLOOKUP(S$4,'4. Billing Determinants'!$B$19:$R$41,6,0)/'4. Billing Determinants'!$G$41*$D51,IF($E51="Distribution Rev.",VLOOKUP(S$4,'4. Billing Determinants'!$B$19:$R$41,8,0)/'4. Billing Determinants'!$I$41*$D51, VLOOKUP(S$4,'4. Billing Determinants'!$B$19:$R$41,3,0)/'4. Billing Determinants'!$D$41*$D51))))),0)</f>
        <v>0</v>
      </c>
      <c r="T51" s="32">
        <f>IFERROR(IF(T$4="",0,IF($E51="kWh",VLOOKUP(T$4,'4. Billing Determinants'!$B$19:$R$41,4,0)/'4. Billing Determinants'!$E$41*$D51,IF($E51="kW",VLOOKUP(T$4,'4. Billing Determinants'!$B$19:$R$41,5,0)/'4. Billing Determinants'!$F$41*$D51,IF($E51="Non-RPP kWh",VLOOKUP(T$4,'4. Billing Determinants'!$B$19:$R$41,6,0)/'4. Billing Determinants'!$G$41*$D51,IF($E51="Distribution Rev.",VLOOKUP(T$4,'4. Billing Determinants'!$B$19:$R$41,8,0)/'4. Billing Determinants'!$I$41*$D51, VLOOKUP(T$4,'4. Billing Determinants'!$B$19:$R$41,3,0)/'4. Billing Determinants'!$D$41*$D51))))),0)</f>
        <v>0</v>
      </c>
      <c r="U51" s="32">
        <f>IFERROR(IF(U$4="",0,IF($E51="kWh",VLOOKUP(U$4,'4. Billing Determinants'!$B$19:$R$41,4,0)/'4. Billing Determinants'!$E$41*$D51,IF($E51="kW",VLOOKUP(U$4,'4. Billing Determinants'!$B$19:$R$41,5,0)/'4. Billing Determinants'!$F$41*$D51,IF($E51="Non-RPP kWh",VLOOKUP(U$4,'4. Billing Determinants'!$B$19:$R$41,6,0)/'4. Billing Determinants'!$G$41*$D51,IF($E51="Distribution Rev.",VLOOKUP(U$4,'4. Billing Determinants'!$B$19:$R$41,8,0)/'4. Billing Determinants'!$I$41*$D51, VLOOKUP(U$4,'4. Billing Determinants'!$B$19:$R$41,3,0)/'4. Billing Determinants'!$D$41*$D51))))),0)</f>
        <v>0</v>
      </c>
      <c r="V51" s="32">
        <f>IFERROR(IF(V$4="",0,IF($E51="kWh",VLOOKUP(V$4,'4. Billing Determinants'!$B$19:$R$41,4,0)/'4. Billing Determinants'!$E$41*$D51,IF($E51="kW",VLOOKUP(V$4,'4. Billing Determinants'!$B$19:$R$41,5,0)/'4. Billing Determinants'!$F$41*$D51,IF($E51="Non-RPP kWh",VLOOKUP(V$4,'4. Billing Determinants'!$B$19:$R$41,6,0)/'4. Billing Determinants'!$G$41*$D51,IF($E51="Distribution Rev.",VLOOKUP(V$4,'4. Billing Determinants'!$B$19:$R$41,8,0)/'4. Billing Determinants'!$I$41*$D51, VLOOKUP(V$4,'4. Billing Determinants'!$B$19:$R$41,3,0)/'4. Billing Determinants'!$D$41*$D51))))),0)</f>
        <v>0</v>
      </c>
      <c r="W51" s="32">
        <f>IFERROR(IF(W$4="",0,IF($E51="kWh",VLOOKUP(W$4,'4. Billing Determinants'!$B$19:$R$41,4,0)/'4. Billing Determinants'!$E$41*$D51,IF($E51="kW",VLOOKUP(W$4,'4. Billing Determinants'!$B$19:$R$41,5,0)/'4. Billing Determinants'!$F$41*$D51,IF($E51="Non-RPP kWh",VLOOKUP(W$4,'4. Billing Determinants'!$B$19:$R$41,6,0)/'4. Billing Determinants'!$G$41*$D51,IF($E51="Distribution Rev.",VLOOKUP(W$4,'4. Billing Determinants'!$B$19:$R$41,8,0)/'4. Billing Determinants'!$I$41*$D51, VLOOKUP(W$4,'4. Billing Determinants'!$B$19:$R$41,3,0)/'4. Billing Determinants'!$D$41*$D51))))),0)</f>
        <v>0</v>
      </c>
      <c r="X51" s="32">
        <f>IFERROR(IF(X$4="",0,IF($E51="kWh",VLOOKUP(X$4,'4. Billing Determinants'!$B$19:$R$41,4,0)/'4. Billing Determinants'!$E$41*$D51,IF($E51="kW",VLOOKUP(X$4,'4. Billing Determinants'!$B$19:$R$41,5,0)/'4. Billing Determinants'!$F$41*$D51,IF($E51="Non-RPP kWh",VLOOKUP(X$4,'4. Billing Determinants'!$B$19:$R$41,6,0)/'4. Billing Determinants'!$G$41*$D51,IF($E51="Distribution Rev.",VLOOKUP(X$4,'4. Billing Determinants'!$B$19:$R$41,8,0)/'4. Billing Determinants'!$I$41*$D51, VLOOKUP(X$4,'4. Billing Determinants'!$B$19:$R$41,3,0)/'4. Billing Determinants'!$D$41*$D51))))),0)</f>
        <v>0</v>
      </c>
      <c r="Y51" s="32">
        <f>IFERROR(IF(Y$4="",0,IF($E51="kWh",VLOOKUP(Y$4,'4. Billing Determinants'!$B$19:$R$41,4,0)/'4. Billing Determinants'!$E$41*$D51,IF($E51="kW",VLOOKUP(Y$4,'4. Billing Determinants'!$B$19:$R$41,5,0)/'4. Billing Determinants'!$F$41*$D51,IF($E51="Non-RPP kWh",VLOOKUP(Y$4,'4. Billing Determinants'!$B$19:$R$41,6,0)/'4. Billing Determinants'!$G$41*$D51,IF($E51="Distribution Rev.",VLOOKUP(Y$4,'4. Billing Determinants'!$B$19:$R$41,8,0)/'4. Billing Determinants'!$I$41*$D51, VLOOKUP(Y$4,'4. Billing Determinants'!$B$19:$R$41,3,0)/'4. Billing Determinants'!$D$41*$D51))))),0)</f>
        <v>0</v>
      </c>
    </row>
    <row r="52" spans="1:25" x14ac:dyDescent="0.2">
      <c r="A52" s="37">
        <v>29</v>
      </c>
      <c r="B52" s="30" t="s">
        <v>7</v>
      </c>
      <c r="C52" s="31">
        <v>2425</v>
      </c>
      <c r="D52" s="32">
        <f>'2b. Continuity Schedule'!BT78</f>
        <v>0</v>
      </c>
      <c r="E52" s="48" t="s">
        <v>139</v>
      </c>
      <c r="F52" s="32">
        <f>IFERROR(IF(F$4="",0,IF($E52="kWh",VLOOKUP(F$4,'4. Billing Determinants'!$B$19:$R$41,4,0)/'4. Billing Determinants'!$E$41*$D52,IF($E52="kW",VLOOKUP(F$4,'4. Billing Determinants'!$B$19:$R$41,5,0)/'4. Billing Determinants'!$F$41*$D52,IF($E52="Non-RPP kWh",VLOOKUP(F$4,'4. Billing Determinants'!$B$19:$R$41,6,0)/'4. Billing Determinants'!$G$41*$D52,IF($E52="Distribution Rev.",VLOOKUP(F$4,'4. Billing Determinants'!$B$19:$R$41,8,0)/'4. Billing Determinants'!$I$41*$D52, VLOOKUP(F$4,'4. Billing Determinants'!$B$19:$R$41,3,0)/'4. Billing Determinants'!$D$41*$D52))))),0)</f>
        <v>0</v>
      </c>
      <c r="G52" s="32">
        <f>IFERROR(IF(G$4="",0,IF($E52="kWh",VLOOKUP(G$4,'4. Billing Determinants'!$B$19:$R$41,4,0)/'4. Billing Determinants'!$E$41*$D52,IF($E52="kW",VLOOKUP(G$4,'4. Billing Determinants'!$B$19:$R$41,5,0)/'4. Billing Determinants'!$F$41*$D52,IF($E52="Non-RPP kWh",VLOOKUP(G$4,'4. Billing Determinants'!$B$19:$R$41,6,0)/'4. Billing Determinants'!$G$41*$D52,IF($E52="Distribution Rev.",VLOOKUP(G$4,'4. Billing Determinants'!$B$19:$R$41,8,0)/'4. Billing Determinants'!$I$41*$D52, VLOOKUP(G$4,'4. Billing Determinants'!$B$19:$R$41,3,0)/'4. Billing Determinants'!$D$41*$D52))))),0)</f>
        <v>0</v>
      </c>
      <c r="H52" s="32">
        <f>IFERROR(IF(H$4="",0,IF($E52="kWh",VLOOKUP(H$4,'4. Billing Determinants'!$B$19:$R$41,4,0)/'4. Billing Determinants'!$E$41*$D52,IF($E52="kW",VLOOKUP(H$4,'4. Billing Determinants'!$B$19:$R$41,5,0)/'4. Billing Determinants'!$F$41*$D52,IF($E52="Non-RPP kWh",VLOOKUP(H$4,'4. Billing Determinants'!$B$19:$R$41,6,0)/'4. Billing Determinants'!$G$41*$D52,IF($E52="Distribution Rev.",VLOOKUP(H$4,'4. Billing Determinants'!$B$19:$R$41,8,0)/'4. Billing Determinants'!$I$41*$D52, VLOOKUP(H$4,'4. Billing Determinants'!$B$19:$R$41,3,0)/'4. Billing Determinants'!$D$41*$D52))))),0)</f>
        <v>0</v>
      </c>
      <c r="I52" s="32">
        <f>IFERROR(IF(I$4="",0,IF($E52="kWh",VLOOKUP(I$4,'4. Billing Determinants'!$B$19:$R$41,4,0)/'4. Billing Determinants'!$E$41*$D52,IF($E52="kW",VLOOKUP(I$4,'4. Billing Determinants'!$B$19:$R$41,5,0)/'4. Billing Determinants'!$F$41*$D52,IF($E52="Non-RPP kWh",VLOOKUP(I$4,'4. Billing Determinants'!$B$19:$R$41,6,0)/'4. Billing Determinants'!$G$41*$D52,IF($E52="Distribution Rev.",VLOOKUP(I$4,'4. Billing Determinants'!$B$19:$R$41,8,0)/'4. Billing Determinants'!$I$41*$D52, VLOOKUP(I$4,'4. Billing Determinants'!$B$19:$R$41,3,0)/'4. Billing Determinants'!$D$41*$D52))))),0)</f>
        <v>0</v>
      </c>
      <c r="J52" s="32">
        <f>IFERROR(IF(J$4="",0,IF($E52="kWh",VLOOKUP(J$4,'4. Billing Determinants'!$B$19:$R$41,4,0)/'4. Billing Determinants'!$E$41*$D52,IF($E52="kW",VLOOKUP(J$4,'4. Billing Determinants'!$B$19:$R$41,5,0)/'4. Billing Determinants'!$F$41*$D52,IF($E52="Non-RPP kWh",VLOOKUP(J$4,'4. Billing Determinants'!$B$19:$R$41,6,0)/'4. Billing Determinants'!$G$41*$D52,IF($E52="Distribution Rev.",VLOOKUP(J$4,'4. Billing Determinants'!$B$19:$R$41,8,0)/'4. Billing Determinants'!$I$41*$D52, VLOOKUP(J$4,'4. Billing Determinants'!$B$19:$R$41,3,0)/'4. Billing Determinants'!$D$41*$D52))))),0)</f>
        <v>0</v>
      </c>
      <c r="K52" s="32">
        <f>IFERROR(IF(K$4="",0,IF($E52="kWh",VLOOKUP(K$4,'4. Billing Determinants'!$B$19:$R$41,4,0)/'4. Billing Determinants'!$E$41*$D52,IF($E52="kW",VLOOKUP(K$4,'4. Billing Determinants'!$B$19:$R$41,5,0)/'4. Billing Determinants'!$F$41*$D52,IF($E52="Non-RPP kWh",VLOOKUP(K$4,'4. Billing Determinants'!$B$19:$R$41,6,0)/'4. Billing Determinants'!$G$41*$D52,IF($E52="Distribution Rev.",VLOOKUP(K$4,'4. Billing Determinants'!$B$19:$R$41,8,0)/'4. Billing Determinants'!$I$41*$D52, VLOOKUP(K$4,'4. Billing Determinants'!$B$19:$R$41,3,0)/'4. Billing Determinants'!$D$41*$D52))))),0)</f>
        <v>0</v>
      </c>
      <c r="L52" s="32">
        <f>IFERROR(IF(L$4="",0,IF($E52="kWh",VLOOKUP(L$4,'4. Billing Determinants'!$B$19:$R$41,4,0)/'4. Billing Determinants'!$E$41*$D52,IF($E52="kW",VLOOKUP(L$4,'4. Billing Determinants'!$B$19:$R$41,5,0)/'4. Billing Determinants'!$F$41*$D52,IF($E52="Non-RPP kWh",VLOOKUP(L$4,'4. Billing Determinants'!$B$19:$R$41,6,0)/'4. Billing Determinants'!$G$41*$D52,IF($E52="Distribution Rev.",VLOOKUP(L$4,'4. Billing Determinants'!$B$19:$R$41,8,0)/'4. Billing Determinants'!$I$41*$D52, VLOOKUP(L$4,'4. Billing Determinants'!$B$19:$R$41,3,0)/'4. Billing Determinants'!$D$41*$D52))))),0)</f>
        <v>0</v>
      </c>
      <c r="M52" s="32">
        <f>IFERROR(IF(M$4="",0,IF($E52="kWh",VLOOKUP(M$4,'4. Billing Determinants'!$B$19:$R$41,4,0)/'4. Billing Determinants'!$E$41*$D52,IF($E52="kW",VLOOKUP(M$4,'4. Billing Determinants'!$B$19:$R$41,5,0)/'4. Billing Determinants'!$F$41*$D52,IF($E52="Non-RPP kWh",VLOOKUP(M$4,'4. Billing Determinants'!$B$19:$R$41,6,0)/'4. Billing Determinants'!$G$41*$D52,IF($E52="Distribution Rev.",VLOOKUP(M$4,'4. Billing Determinants'!$B$19:$R$41,8,0)/'4. Billing Determinants'!$I$41*$D52, VLOOKUP(M$4,'4. Billing Determinants'!$B$19:$R$41,3,0)/'4. Billing Determinants'!$D$41*$D52))))),0)</f>
        <v>0</v>
      </c>
      <c r="N52" s="32">
        <f>IFERROR(IF(N$4="",0,IF($E52="kWh",VLOOKUP(N$4,'4. Billing Determinants'!$B$19:$R$41,4,0)/'4. Billing Determinants'!$E$41*$D52,IF($E52="kW",VLOOKUP(N$4,'4. Billing Determinants'!$B$19:$R$41,5,0)/'4. Billing Determinants'!$F$41*$D52,IF($E52="Non-RPP kWh",VLOOKUP(N$4,'4. Billing Determinants'!$B$19:$R$41,6,0)/'4. Billing Determinants'!$G$41*$D52,IF($E52="Distribution Rev.",VLOOKUP(N$4,'4. Billing Determinants'!$B$19:$R$41,8,0)/'4. Billing Determinants'!$I$41*$D52, VLOOKUP(N$4,'4. Billing Determinants'!$B$19:$R$41,3,0)/'4. Billing Determinants'!$D$41*$D52))))),0)</f>
        <v>0</v>
      </c>
      <c r="O52" s="32">
        <f>IFERROR(IF(O$4="",0,IF($E52="kWh",VLOOKUP(O$4,'4. Billing Determinants'!$B$19:$R$41,4,0)/'4. Billing Determinants'!$E$41*$D52,IF($E52="kW",VLOOKUP(O$4,'4. Billing Determinants'!$B$19:$R$41,5,0)/'4. Billing Determinants'!$F$41*$D52,IF($E52="Non-RPP kWh",VLOOKUP(O$4,'4. Billing Determinants'!$B$19:$R$41,6,0)/'4. Billing Determinants'!$G$41*$D52,IF($E52="Distribution Rev.",VLOOKUP(O$4,'4. Billing Determinants'!$B$19:$R$41,8,0)/'4. Billing Determinants'!$I$41*$D52, VLOOKUP(O$4,'4. Billing Determinants'!$B$19:$R$41,3,0)/'4. Billing Determinants'!$D$41*$D52))))),0)</f>
        <v>0</v>
      </c>
      <c r="P52" s="32">
        <f>IFERROR(IF(P$4="",0,IF($E52="kWh",VLOOKUP(P$4,'4. Billing Determinants'!$B$19:$R$41,4,0)/'4. Billing Determinants'!$E$41*$D52,IF($E52="kW",VLOOKUP(P$4,'4. Billing Determinants'!$B$19:$R$41,5,0)/'4. Billing Determinants'!$F$41*$D52,IF($E52="Non-RPP kWh",VLOOKUP(P$4,'4. Billing Determinants'!$B$19:$R$41,6,0)/'4. Billing Determinants'!$G$41*$D52,IF($E52="Distribution Rev.",VLOOKUP(P$4,'4. Billing Determinants'!$B$19:$R$41,8,0)/'4. Billing Determinants'!$I$41*$D52, VLOOKUP(P$4,'4. Billing Determinants'!$B$19:$R$41,3,0)/'4. Billing Determinants'!$D$41*$D52))))),0)</f>
        <v>0</v>
      </c>
      <c r="Q52" s="32">
        <f>IFERROR(IF(Q$4="",0,IF($E52="kWh",VLOOKUP(Q$4,'4. Billing Determinants'!$B$19:$R$41,4,0)/'4. Billing Determinants'!$E$41*$D52,IF($E52="kW",VLOOKUP(Q$4,'4. Billing Determinants'!$B$19:$R$41,5,0)/'4. Billing Determinants'!$F$41*$D52,IF($E52="Non-RPP kWh",VLOOKUP(Q$4,'4. Billing Determinants'!$B$19:$R$41,6,0)/'4. Billing Determinants'!$G$41*$D52,IF($E52="Distribution Rev.",VLOOKUP(Q$4,'4. Billing Determinants'!$B$19:$R$41,8,0)/'4. Billing Determinants'!$I$41*$D52, VLOOKUP(Q$4,'4. Billing Determinants'!$B$19:$R$41,3,0)/'4. Billing Determinants'!$D$41*$D52))))),0)</f>
        <v>0</v>
      </c>
      <c r="R52" s="32">
        <f>IFERROR(IF(R$4="",0,IF($E52="kWh",VLOOKUP(R$4,'4. Billing Determinants'!$B$19:$R$41,4,0)/'4. Billing Determinants'!$E$41*$D52,IF($E52="kW",VLOOKUP(R$4,'4. Billing Determinants'!$B$19:$R$41,5,0)/'4. Billing Determinants'!$F$41*$D52,IF($E52="Non-RPP kWh",VLOOKUP(R$4,'4. Billing Determinants'!$B$19:$R$41,6,0)/'4. Billing Determinants'!$G$41*$D52,IF($E52="Distribution Rev.",VLOOKUP(R$4,'4. Billing Determinants'!$B$19:$R$41,8,0)/'4. Billing Determinants'!$I$41*$D52, VLOOKUP(R$4,'4. Billing Determinants'!$B$19:$R$41,3,0)/'4. Billing Determinants'!$D$41*$D52))))),0)</f>
        <v>0</v>
      </c>
      <c r="S52" s="32">
        <f>IFERROR(IF(S$4="",0,IF($E52="kWh",VLOOKUP(S$4,'4. Billing Determinants'!$B$19:$R$41,4,0)/'4. Billing Determinants'!$E$41*$D52,IF($E52="kW",VLOOKUP(S$4,'4. Billing Determinants'!$B$19:$R$41,5,0)/'4. Billing Determinants'!$F$41*$D52,IF($E52="Non-RPP kWh",VLOOKUP(S$4,'4. Billing Determinants'!$B$19:$R$41,6,0)/'4. Billing Determinants'!$G$41*$D52,IF($E52="Distribution Rev.",VLOOKUP(S$4,'4. Billing Determinants'!$B$19:$R$41,8,0)/'4. Billing Determinants'!$I$41*$D52, VLOOKUP(S$4,'4. Billing Determinants'!$B$19:$R$41,3,0)/'4. Billing Determinants'!$D$41*$D52))))),0)</f>
        <v>0</v>
      </c>
      <c r="T52" s="32">
        <f>IFERROR(IF(T$4="",0,IF($E52="kWh",VLOOKUP(T$4,'4. Billing Determinants'!$B$19:$R$41,4,0)/'4. Billing Determinants'!$E$41*$D52,IF($E52="kW",VLOOKUP(T$4,'4. Billing Determinants'!$B$19:$R$41,5,0)/'4. Billing Determinants'!$F$41*$D52,IF($E52="Non-RPP kWh",VLOOKUP(T$4,'4. Billing Determinants'!$B$19:$R$41,6,0)/'4. Billing Determinants'!$G$41*$D52,IF($E52="Distribution Rev.",VLOOKUP(T$4,'4. Billing Determinants'!$B$19:$R$41,8,0)/'4. Billing Determinants'!$I$41*$D52, VLOOKUP(T$4,'4. Billing Determinants'!$B$19:$R$41,3,0)/'4. Billing Determinants'!$D$41*$D52))))),0)</f>
        <v>0</v>
      </c>
      <c r="U52" s="32">
        <f>IFERROR(IF(U$4="",0,IF($E52="kWh",VLOOKUP(U$4,'4. Billing Determinants'!$B$19:$R$41,4,0)/'4. Billing Determinants'!$E$41*$D52,IF($E52="kW",VLOOKUP(U$4,'4. Billing Determinants'!$B$19:$R$41,5,0)/'4. Billing Determinants'!$F$41*$D52,IF($E52="Non-RPP kWh",VLOOKUP(U$4,'4. Billing Determinants'!$B$19:$R$41,6,0)/'4. Billing Determinants'!$G$41*$D52,IF($E52="Distribution Rev.",VLOOKUP(U$4,'4. Billing Determinants'!$B$19:$R$41,8,0)/'4. Billing Determinants'!$I$41*$D52, VLOOKUP(U$4,'4. Billing Determinants'!$B$19:$R$41,3,0)/'4. Billing Determinants'!$D$41*$D52))))),0)</f>
        <v>0</v>
      </c>
      <c r="V52" s="32">
        <f>IFERROR(IF(V$4="",0,IF($E52="kWh",VLOOKUP(V$4,'4. Billing Determinants'!$B$19:$R$41,4,0)/'4. Billing Determinants'!$E$41*$D52,IF($E52="kW",VLOOKUP(V$4,'4. Billing Determinants'!$B$19:$R$41,5,0)/'4. Billing Determinants'!$F$41*$D52,IF($E52="Non-RPP kWh",VLOOKUP(V$4,'4. Billing Determinants'!$B$19:$R$41,6,0)/'4. Billing Determinants'!$G$41*$D52,IF($E52="Distribution Rev.",VLOOKUP(V$4,'4. Billing Determinants'!$B$19:$R$41,8,0)/'4. Billing Determinants'!$I$41*$D52, VLOOKUP(V$4,'4. Billing Determinants'!$B$19:$R$41,3,0)/'4. Billing Determinants'!$D$41*$D52))))),0)</f>
        <v>0</v>
      </c>
      <c r="W52" s="32">
        <f>IFERROR(IF(W$4="",0,IF($E52="kWh",VLOOKUP(W$4,'4. Billing Determinants'!$B$19:$R$41,4,0)/'4. Billing Determinants'!$E$41*$D52,IF($E52="kW",VLOOKUP(W$4,'4. Billing Determinants'!$B$19:$R$41,5,0)/'4. Billing Determinants'!$F$41*$D52,IF($E52="Non-RPP kWh",VLOOKUP(W$4,'4. Billing Determinants'!$B$19:$R$41,6,0)/'4. Billing Determinants'!$G$41*$D52,IF($E52="Distribution Rev.",VLOOKUP(W$4,'4. Billing Determinants'!$B$19:$R$41,8,0)/'4. Billing Determinants'!$I$41*$D52, VLOOKUP(W$4,'4. Billing Determinants'!$B$19:$R$41,3,0)/'4. Billing Determinants'!$D$41*$D52))))),0)</f>
        <v>0</v>
      </c>
      <c r="X52" s="32">
        <f>IFERROR(IF(X$4="",0,IF($E52="kWh",VLOOKUP(X$4,'4. Billing Determinants'!$B$19:$R$41,4,0)/'4. Billing Determinants'!$E$41*$D52,IF($E52="kW",VLOOKUP(X$4,'4. Billing Determinants'!$B$19:$R$41,5,0)/'4. Billing Determinants'!$F$41*$D52,IF($E52="Non-RPP kWh",VLOOKUP(X$4,'4. Billing Determinants'!$B$19:$R$41,6,0)/'4. Billing Determinants'!$G$41*$D52,IF($E52="Distribution Rev.",VLOOKUP(X$4,'4. Billing Determinants'!$B$19:$R$41,8,0)/'4. Billing Determinants'!$I$41*$D52, VLOOKUP(X$4,'4. Billing Determinants'!$B$19:$R$41,3,0)/'4. Billing Determinants'!$D$41*$D52))))),0)</f>
        <v>0</v>
      </c>
      <c r="Y52" s="32">
        <f>IFERROR(IF(Y$4="",0,IF($E52="kWh",VLOOKUP(Y$4,'4. Billing Determinants'!$B$19:$R$41,4,0)/'4. Billing Determinants'!$E$41*$D52,IF($E52="kW",VLOOKUP(Y$4,'4. Billing Determinants'!$B$19:$R$41,5,0)/'4. Billing Determinants'!$F$41*$D52,IF($E52="Non-RPP kWh",VLOOKUP(Y$4,'4. Billing Determinants'!$B$19:$R$41,6,0)/'4. Billing Determinants'!$G$41*$D52,IF($E52="Distribution Rev.",VLOOKUP(Y$4,'4. Billing Determinants'!$B$19:$R$41,8,0)/'4. Billing Determinants'!$I$41*$D52, VLOOKUP(Y$4,'4. Billing Determinants'!$B$19:$R$41,3,0)/'4. Billing Determinants'!$D$41*$D52))))),0)</f>
        <v>0</v>
      </c>
    </row>
    <row r="53" spans="1:25" s="1" customFormat="1" hidden="1" x14ac:dyDescent="0.2">
      <c r="A53" s="37">
        <v>30</v>
      </c>
      <c r="B53" s="327" t="s">
        <v>58</v>
      </c>
      <c r="C53" s="130"/>
      <c r="D53" s="328">
        <f>SUM(D22:D52)</f>
        <v>-548556.80115133675</v>
      </c>
      <c r="E53" s="130"/>
      <c r="F53" s="328">
        <f t="shared" ref="F53:Y53" si="1">SUM(F22:F52)</f>
        <v>-235082.04212603142</v>
      </c>
      <c r="G53" s="328">
        <f t="shared" si="1"/>
        <v>-80611.52975976927</v>
      </c>
      <c r="H53" s="328">
        <f t="shared" si="1"/>
        <v>-239320.74606140124</v>
      </c>
      <c r="I53" s="328">
        <f t="shared" si="1"/>
        <v>-799.61661558349351</v>
      </c>
      <c r="J53" s="328">
        <f t="shared" si="1"/>
        <v>6996.9157239299657</v>
      </c>
      <c r="K53" s="328">
        <f t="shared" si="1"/>
        <v>260.21768751869666</v>
      </c>
      <c r="L53" s="328">
        <f t="shared" si="1"/>
        <v>0</v>
      </c>
      <c r="M53" s="328">
        <f t="shared" si="1"/>
        <v>0</v>
      </c>
      <c r="N53" s="328">
        <f t="shared" si="1"/>
        <v>0</v>
      </c>
      <c r="O53" s="328">
        <f t="shared" si="1"/>
        <v>0</v>
      </c>
      <c r="P53" s="328">
        <f t="shared" si="1"/>
        <v>0</v>
      </c>
      <c r="Q53" s="328">
        <f t="shared" si="1"/>
        <v>0</v>
      </c>
      <c r="R53" s="328">
        <f t="shared" si="1"/>
        <v>0</v>
      </c>
      <c r="S53" s="328">
        <f t="shared" si="1"/>
        <v>0</v>
      </c>
      <c r="T53" s="328">
        <f t="shared" si="1"/>
        <v>0</v>
      </c>
      <c r="U53" s="328">
        <f t="shared" si="1"/>
        <v>0</v>
      </c>
      <c r="V53" s="328">
        <f t="shared" si="1"/>
        <v>0</v>
      </c>
      <c r="W53" s="328">
        <f t="shared" si="1"/>
        <v>0</v>
      </c>
      <c r="X53" s="328">
        <f t="shared" si="1"/>
        <v>0</v>
      </c>
      <c r="Y53" s="328">
        <f t="shared" si="1"/>
        <v>0</v>
      </c>
    </row>
    <row r="54" spans="1:25" hidden="1" x14ac:dyDescent="0.2">
      <c r="A54" s="37">
        <v>31</v>
      </c>
      <c r="B54" s="1"/>
      <c r="C54" s="35"/>
      <c r="D54" s="36"/>
      <c r="E54" s="131"/>
      <c r="F54" s="36"/>
      <c r="G54" s="36"/>
      <c r="H54" s="36"/>
      <c r="I54" s="36"/>
      <c r="J54" s="36"/>
      <c r="K54" s="36"/>
      <c r="L54" s="36"/>
      <c r="M54" s="36"/>
      <c r="N54" s="36"/>
      <c r="O54" s="36"/>
      <c r="P54" s="36"/>
      <c r="Q54" s="36"/>
      <c r="R54" s="36"/>
      <c r="S54" s="36"/>
      <c r="T54" s="36"/>
      <c r="U54" s="36"/>
      <c r="V54" s="36"/>
      <c r="W54" s="36"/>
      <c r="X54" s="36"/>
      <c r="Y54" s="36"/>
    </row>
    <row r="55" spans="1:25" ht="25.5" x14ac:dyDescent="0.2">
      <c r="A55" s="37">
        <v>32</v>
      </c>
      <c r="B55" s="39" t="s">
        <v>61</v>
      </c>
      <c r="C55" s="38">
        <v>1592</v>
      </c>
      <c r="D55" s="32">
        <f>'2b. Continuity Schedule'!BT82</f>
        <v>0</v>
      </c>
      <c r="E55" s="48" t="s">
        <v>139</v>
      </c>
      <c r="F55" s="32">
        <f>IFERROR(IF(F$4="",0,IF($E55="kWh",VLOOKUP(F$4,'4. Billing Determinants'!$B$19:$R$41,4,0)/'4. Billing Determinants'!$E$41*$D55,IF($E55="kW",VLOOKUP(F$4,'4. Billing Determinants'!$B$19:$R$41,5,0)/'4. Billing Determinants'!$F$41*$D55,IF($E55="Non-RPP kWh",VLOOKUP(F$4,'4. Billing Determinants'!$B$19:$R$41,6,0)/'4. Billing Determinants'!$G$41*$D55,IF($E55="Distribution Rev.",VLOOKUP(F$4,'4. Billing Determinants'!$B$19:$R$41,8,0)/'4. Billing Determinants'!$I$41*$D55, VLOOKUP(F$4,'4. Billing Determinants'!$B$19:$R$41,3,0)/'4. Billing Determinants'!$D$41*$D55))))),0)</f>
        <v>0</v>
      </c>
      <c r="G55" s="32">
        <f>IFERROR(IF(G$4="",0,IF($E55="kWh",VLOOKUP(G$4,'4. Billing Determinants'!$B$19:$R$41,4,0)/'4. Billing Determinants'!$E$41*$D55,IF($E55="kW",VLOOKUP(G$4,'4. Billing Determinants'!$B$19:$R$41,5,0)/'4. Billing Determinants'!$F$41*$D55,IF($E55="Non-RPP kWh",VLOOKUP(G$4,'4. Billing Determinants'!$B$19:$R$41,6,0)/'4. Billing Determinants'!$G$41*$D55,IF($E55="Distribution Rev.",VLOOKUP(G$4,'4. Billing Determinants'!$B$19:$R$41,8,0)/'4. Billing Determinants'!$I$41*$D55, VLOOKUP(G$4,'4. Billing Determinants'!$B$19:$R$41,3,0)/'4. Billing Determinants'!$D$41*$D55))))),0)</f>
        <v>0</v>
      </c>
      <c r="H55" s="32">
        <f>IFERROR(IF(H$4="",0,IF($E55="kWh",VLOOKUP(H$4,'4. Billing Determinants'!$B$19:$R$41,4,0)/'4. Billing Determinants'!$E$41*$D55,IF($E55="kW",VLOOKUP(H$4,'4. Billing Determinants'!$B$19:$R$41,5,0)/'4. Billing Determinants'!$F$41*$D55,IF($E55="Non-RPP kWh",VLOOKUP(H$4,'4. Billing Determinants'!$B$19:$R$41,6,0)/'4. Billing Determinants'!$G$41*$D55,IF($E55="Distribution Rev.",VLOOKUP(H$4,'4. Billing Determinants'!$B$19:$R$41,8,0)/'4. Billing Determinants'!$I$41*$D55, VLOOKUP(H$4,'4. Billing Determinants'!$B$19:$R$41,3,0)/'4. Billing Determinants'!$D$41*$D55))))),0)</f>
        <v>0</v>
      </c>
      <c r="I55" s="32">
        <f>IFERROR(IF(I$4="",0,IF($E55="kWh",VLOOKUP(I$4,'4. Billing Determinants'!$B$19:$R$41,4,0)/'4. Billing Determinants'!$E$41*$D55,IF($E55="kW",VLOOKUP(I$4,'4. Billing Determinants'!$B$19:$R$41,5,0)/'4. Billing Determinants'!$F$41*$D55,IF($E55="Non-RPP kWh",VLOOKUP(I$4,'4. Billing Determinants'!$B$19:$R$41,6,0)/'4. Billing Determinants'!$G$41*$D55,IF($E55="Distribution Rev.",VLOOKUP(I$4,'4. Billing Determinants'!$B$19:$R$41,8,0)/'4. Billing Determinants'!$I$41*$D55, VLOOKUP(I$4,'4. Billing Determinants'!$B$19:$R$41,3,0)/'4. Billing Determinants'!$D$41*$D55))))),0)</f>
        <v>0</v>
      </c>
      <c r="J55" s="32">
        <f>IFERROR(IF(J$4="",0,IF($E55="kWh",VLOOKUP(J$4,'4. Billing Determinants'!$B$19:$R$41,4,0)/'4. Billing Determinants'!$E$41*$D55,IF($E55="kW",VLOOKUP(J$4,'4. Billing Determinants'!$B$19:$R$41,5,0)/'4. Billing Determinants'!$F$41*$D55,IF($E55="Non-RPP kWh",VLOOKUP(J$4,'4. Billing Determinants'!$B$19:$R$41,6,0)/'4. Billing Determinants'!$G$41*$D55,IF($E55="Distribution Rev.",VLOOKUP(J$4,'4. Billing Determinants'!$B$19:$R$41,8,0)/'4. Billing Determinants'!$I$41*$D55, VLOOKUP(J$4,'4. Billing Determinants'!$B$19:$R$41,3,0)/'4. Billing Determinants'!$D$41*$D55))))),0)</f>
        <v>0</v>
      </c>
      <c r="K55" s="32">
        <f>IFERROR(IF(K$4="",0,IF($E55="kWh",VLOOKUP(K$4,'4. Billing Determinants'!$B$19:$R$41,4,0)/'4. Billing Determinants'!$E$41*$D55,IF($E55="kW",VLOOKUP(K$4,'4. Billing Determinants'!$B$19:$R$41,5,0)/'4. Billing Determinants'!$F$41*$D55,IF($E55="Non-RPP kWh",VLOOKUP(K$4,'4. Billing Determinants'!$B$19:$R$41,6,0)/'4. Billing Determinants'!$G$41*$D55,IF($E55="Distribution Rev.",VLOOKUP(K$4,'4. Billing Determinants'!$B$19:$R$41,8,0)/'4. Billing Determinants'!$I$41*$D55, VLOOKUP(K$4,'4. Billing Determinants'!$B$19:$R$41,3,0)/'4. Billing Determinants'!$D$41*$D55))))),0)</f>
        <v>0</v>
      </c>
      <c r="L55" s="32">
        <f>IFERROR(IF(L$4="",0,IF($E55="kWh",VLOOKUP(L$4,'4. Billing Determinants'!$B$19:$R$41,4,0)/'4. Billing Determinants'!$E$41*$D55,IF($E55="kW",VLOOKUP(L$4,'4. Billing Determinants'!$B$19:$R$41,5,0)/'4. Billing Determinants'!$F$41*$D55,IF($E55="Non-RPP kWh",VLOOKUP(L$4,'4. Billing Determinants'!$B$19:$R$41,6,0)/'4. Billing Determinants'!$G$41*$D55,IF($E55="Distribution Rev.",VLOOKUP(L$4,'4. Billing Determinants'!$B$19:$R$41,8,0)/'4. Billing Determinants'!$I$41*$D55, VLOOKUP(L$4,'4. Billing Determinants'!$B$19:$R$41,3,0)/'4. Billing Determinants'!$D$41*$D55))))),0)</f>
        <v>0</v>
      </c>
      <c r="M55" s="32">
        <f>IFERROR(IF(M$4="",0,IF($E55="kWh",VLOOKUP(M$4,'4. Billing Determinants'!$B$19:$R$41,4,0)/'4. Billing Determinants'!$E$41*$D55,IF($E55="kW",VLOOKUP(M$4,'4. Billing Determinants'!$B$19:$R$41,5,0)/'4. Billing Determinants'!$F$41*$D55,IF($E55="Non-RPP kWh",VLOOKUP(M$4,'4. Billing Determinants'!$B$19:$R$41,6,0)/'4. Billing Determinants'!$G$41*$D55,IF($E55="Distribution Rev.",VLOOKUP(M$4,'4. Billing Determinants'!$B$19:$R$41,8,0)/'4. Billing Determinants'!$I$41*$D55, VLOOKUP(M$4,'4. Billing Determinants'!$B$19:$R$41,3,0)/'4. Billing Determinants'!$D$41*$D55))))),0)</f>
        <v>0</v>
      </c>
      <c r="N55" s="32">
        <f>IFERROR(IF(N$4="",0,IF($E55="kWh",VLOOKUP(N$4,'4. Billing Determinants'!$B$19:$R$41,4,0)/'4. Billing Determinants'!$E$41*$D55,IF($E55="kW",VLOOKUP(N$4,'4. Billing Determinants'!$B$19:$R$41,5,0)/'4. Billing Determinants'!$F$41*$D55,IF($E55="Non-RPP kWh",VLOOKUP(N$4,'4. Billing Determinants'!$B$19:$R$41,6,0)/'4. Billing Determinants'!$G$41*$D55,IF($E55="Distribution Rev.",VLOOKUP(N$4,'4. Billing Determinants'!$B$19:$R$41,8,0)/'4. Billing Determinants'!$I$41*$D55, VLOOKUP(N$4,'4. Billing Determinants'!$B$19:$R$41,3,0)/'4. Billing Determinants'!$D$41*$D55))))),0)</f>
        <v>0</v>
      </c>
      <c r="O55" s="32">
        <f>IFERROR(IF(O$4="",0,IF($E55="kWh",VLOOKUP(O$4,'4. Billing Determinants'!$B$19:$R$41,4,0)/'4. Billing Determinants'!$E$41*$D55,IF($E55="kW",VLOOKUP(O$4,'4. Billing Determinants'!$B$19:$R$41,5,0)/'4. Billing Determinants'!$F$41*$D55,IF($E55="Non-RPP kWh",VLOOKUP(O$4,'4. Billing Determinants'!$B$19:$R$41,6,0)/'4. Billing Determinants'!$G$41*$D55,IF($E55="Distribution Rev.",VLOOKUP(O$4,'4. Billing Determinants'!$B$19:$R$41,8,0)/'4. Billing Determinants'!$I$41*$D55, VLOOKUP(O$4,'4. Billing Determinants'!$B$19:$R$41,3,0)/'4. Billing Determinants'!$D$41*$D55))))),0)</f>
        <v>0</v>
      </c>
      <c r="P55" s="32">
        <f>IFERROR(IF(P$4="",0,IF($E55="kWh",VLOOKUP(P$4,'4. Billing Determinants'!$B$19:$R$41,4,0)/'4. Billing Determinants'!$E$41*$D55,IF($E55="kW",VLOOKUP(P$4,'4. Billing Determinants'!$B$19:$R$41,5,0)/'4. Billing Determinants'!$F$41*$D55,IF($E55="Non-RPP kWh",VLOOKUP(P$4,'4. Billing Determinants'!$B$19:$R$41,6,0)/'4. Billing Determinants'!$G$41*$D55,IF($E55="Distribution Rev.",VLOOKUP(P$4,'4. Billing Determinants'!$B$19:$R$41,8,0)/'4. Billing Determinants'!$I$41*$D55, VLOOKUP(P$4,'4. Billing Determinants'!$B$19:$R$41,3,0)/'4. Billing Determinants'!$D$41*$D55))))),0)</f>
        <v>0</v>
      </c>
      <c r="Q55" s="32">
        <f>IFERROR(IF(Q$4="",0,IF($E55="kWh",VLOOKUP(Q$4,'4. Billing Determinants'!$B$19:$R$41,4,0)/'4. Billing Determinants'!$E$41*$D55,IF($E55="kW",VLOOKUP(Q$4,'4. Billing Determinants'!$B$19:$R$41,5,0)/'4. Billing Determinants'!$F$41*$D55,IF($E55="Non-RPP kWh",VLOOKUP(Q$4,'4. Billing Determinants'!$B$19:$R$41,6,0)/'4. Billing Determinants'!$G$41*$D55,IF($E55="Distribution Rev.",VLOOKUP(Q$4,'4. Billing Determinants'!$B$19:$R$41,8,0)/'4. Billing Determinants'!$I$41*$D55, VLOOKUP(Q$4,'4. Billing Determinants'!$B$19:$R$41,3,0)/'4. Billing Determinants'!$D$41*$D55))))),0)</f>
        <v>0</v>
      </c>
      <c r="R55" s="32">
        <f>IFERROR(IF(R$4="",0,IF($E55="kWh",VLOOKUP(R$4,'4. Billing Determinants'!$B$19:$R$41,4,0)/'4. Billing Determinants'!$E$41*$D55,IF($E55="kW",VLOOKUP(R$4,'4. Billing Determinants'!$B$19:$R$41,5,0)/'4. Billing Determinants'!$F$41*$D55,IF($E55="Non-RPP kWh",VLOOKUP(R$4,'4. Billing Determinants'!$B$19:$R$41,6,0)/'4. Billing Determinants'!$G$41*$D55,IF($E55="Distribution Rev.",VLOOKUP(R$4,'4. Billing Determinants'!$B$19:$R$41,8,0)/'4. Billing Determinants'!$I$41*$D55, VLOOKUP(R$4,'4. Billing Determinants'!$B$19:$R$41,3,0)/'4. Billing Determinants'!$D$41*$D55))))),0)</f>
        <v>0</v>
      </c>
      <c r="S55" s="32">
        <f>IFERROR(IF(S$4="",0,IF($E55="kWh",VLOOKUP(S$4,'4. Billing Determinants'!$B$19:$R$41,4,0)/'4. Billing Determinants'!$E$41*$D55,IF($E55="kW",VLOOKUP(S$4,'4. Billing Determinants'!$B$19:$R$41,5,0)/'4. Billing Determinants'!$F$41*$D55,IF($E55="Non-RPP kWh",VLOOKUP(S$4,'4. Billing Determinants'!$B$19:$R$41,6,0)/'4. Billing Determinants'!$G$41*$D55,IF($E55="Distribution Rev.",VLOOKUP(S$4,'4. Billing Determinants'!$B$19:$R$41,8,0)/'4. Billing Determinants'!$I$41*$D55, VLOOKUP(S$4,'4. Billing Determinants'!$B$19:$R$41,3,0)/'4. Billing Determinants'!$D$41*$D55))))),0)</f>
        <v>0</v>
      </c>
      <c r="T55" s="32">
        <f>IFERROR(IF(T$4="",0,IF($E55="kWh",VLOOKUP(T$4,'4. Billing Determinants'!$B$19:$R$41,4,0)/'4. Billing Determinants'!$E$41*$D55,IF($E55="kW",VLOOKUP(T$4,'4. Billing Determinants'!$B$19:$R$41,5,0)/'4. Billing Determinants'!$F$41*$D55,IF($E55="Non-RPP kWh",VLOOKUP(T$4,'4. Billing Determinants'!$B$19:$R$41,6,0)/'4. Billing Determinants'!$G$41*$D55,IF($E55="Distribution Rev.",VLOOKUP(T$4,'4. Billing Determinants'!$B$19:$R$41,8,0)/'4. Billing Determinants'!$I$41*$D55, VLOOKUP(T$4,'4. Billing Determinants'!$B$19:$R$41,3,0)/'4. Billing Determinants'!$D$41*$D55))))),0)</f>
        <v>0</v>
      </c>
      <c r="U55" s="32">
        <f>IFERROR(IF(U$4="",0,IF($E55="kWh",VLOOKUP(U$4,'4. Billing Determinants'!$B$19:$R$41,4,0)/'4. Billing Determinants'!$E$41*$D55,IF($E55="kW",VLOOKUP(U$4,'4. Billing Determinants'!$B$19:$R$41,5,0)/'4. Billing Determinants'!$F$41*$D55,IF($E55="Non-RPP kWh",VLOOKUP(U$4,'4. Billing Determinants'!$B$19:$R$41,6,0)/'4. Billing Determinants'!$G$41*$D55,IF($E55="Distribution Rev.",VLOOKUP(U$4,'4. Billing Determinants'!$B$19:$R$41,8,0)/'4. Billing Determinants'!$I$41*$D55, VLOOKUP(U$4,'4. Billing Determinants'!$B$19:$R$41,3,0)/'4. Billing Determinants'!$D$41*$D55))))),0)</f>
        <v>0</v>
      </c>
      <c r="V55" s="32">
        <f>IFERROR(IF(V$4="",0,IF($E55="kWh",VLOOKUP(V$4,'4. Billing Determinants'!$B$19:$R$41,4,0)/'4. Billing Determinants'!$E$41*$D55,IF($E55="kW",VLOOKUP(V$4,'4. Billing Determinants'!$B$19:$R$41,5,0)/'4. Billing Determinants'!$F$41*$D55,IF($E55="Non-RPP kWh",VLOOKUP(V$4,'4. Billing Determinants'!$B$19:$R$41,6,0)/'4. Billing Determinants'!$G$41*$D55,IF($E55="Distribution Rev.",VLOOKUP(V$4,'4. Billing Determinants'!$B$19:$R$41,8,0)/'4. Billing Determinants'!$I$41*$D55, VLOOKUP(V$4,'4. Billing Determinants'!$B$19:$R$41,3,0)/'4. Billing Determinants'!$D$41*$D55))))),0)</f>
        <v>0</v>
      </c>
      <c r="W55" s="32">
        <f>IFERROR(IF(W$4="",0,IF($E55="kWh",VLOOKUP(W$4,'4. Billing Determinants'!$B$19:$R$41,4,0)/'4. Billing Determinants'!$E$41*$D55,IF($E55="kW",VLOOKUP(W$4,'4. Billing Determinants'!$B$19:$R$41,5,0)/'4. Billing Determinants'!$F$41*$D55,IF($E55="Non-RPP kWh",VLOOKUP(W$4,'4. Billing Determinants'!$B$19:$R$41,6,0)/'4. Billing Determinants'!$G$41*$D55,IF($E55="Distribution Rev.",VLOOKUP(W$4,'4. Billing Determinants'!$B$19:$R$41,8,0)/'4. Billing Determinants'!$I$41*$D55, VLOOKUP(W$4,'4. Billing Determinants'!$B$19:$R$41,3,0)/'4. Billing Determinants'!$D$41*$D55))))),0)</f>
        <v>0</v>
      </c>
      <c r="X55" s="32">
        <f>IFERROR(IF(X$4="",0,IF($E55="kWh",VLOOKUP(X$4,'4. Billing Determinants'!$B$19:$R$41,4,0)/'4. Billing Determinants'!$E$41*$D55,IF($E55="kW",VLOOKUP(X$4,'4. Billing Determinants'!$B$19:$R$41,5,0)/'4. Billing Determinants'!$F$41*$D55,IF($E55="Non-RPP kWh",VLOOKUP(X$4,'4. Billing Determinants'!$B$19:$R$41,6,0)/'4. Billing Determinants'!$G$41*$D55,IF($E55="Distribution Rev.",VLOOKUP(X$4,'4. Billing Determinants'!$B$19:$R$41,8,0)/'4. Billing Determinants'!$I$41*$D55, VLOOKUP(X$4,'4. Billing Determinants'!$B$19:$R$41,3,0)/'4. Billing Determinants'!$D$41*$D55))))),0)</f>
        <v>0</v>
      </c>
      <c r="Y55" s="32">
        <f>IFERROR(IF(Y$4="",0,IF($E55="kWh",VLOOKUP(Y$4,'4. Billing Determinants'!$B$19:$R$41,4,0)/'4. Billing Determinants'!$E$41*$D55,IF($E55="kW",VLOOKUP(Y$4,'4. Billing Determinants'!$B$19:$R$41,5,0)/'4. Billing Determinants'!$F$41*$D55,IF($E55="Non-RPP kWh",VLOOKUP(Y$4,'4. Billing Determinants'!$B$19:$R$41,6,0)/'4. Billing Determinants'!$G$41*$D55,IF($E55="Distribution Rev.",VLOOKUP(Y$4,'4. Billing Determinants'!$B$19:$R$41,8,0)/'4. Billing Determinants'!$I$41*$D55, VLOOKUP(Y$4,'4. Billing Determinants'!$B$19:$R$41,3,0)/'4. Billing Determinants'!$D$41*$D55))))),0)</f>
        <v>0</v>
      </c>
    </row>
    <row r="56" spans="1:25" x14ac:dyDescent="0.2">
      <c r="A56" s="37">
        <v>33</v>
      </c>
      <c r="B56" s="39" t="s">
        <v>3025</v>
      </c>
      <c r="C56" s="38">
        <v>1592</v>
      </c>
      <c r="D56" s="32">
        <f>'2b. Continuity Schedule'!BT83</f>
        <v>0</v>
      </c>
      <c r="E56" s="48" t="s">
        <v>139</v>
      </c>
      <c r="F56" s="32">
        <f>IFERROR(IF(F$4="",0,IF($E56="kWh",VLOOKUP(F$4,'4. Billing Determinants'!$B$19:$R$41,4,0)/'4. Billing Determinants'!$E$41*$D56,IF($E56="kW",VLOOKUP(F$4,'4. Billing Determinants'!$B$19:$R$41,5,0)/'4. Billing Determinants'!$F$41*$D56,IF($E56="Non-RPP kWh",VLOOKUP(F$4,'4. Billing Determinants'!$B$19:$R$41,6,0)/'4. Billing Determinants'!$G$41*$D56,IF($E56="Distribution Rev.",VLOOKUP(F$4,'4. Billing Determinants'!$B$19:$R$41,8,0)/'4. Billing Determinants'!$I$41*$D56, VLOOKUP(F$4,'4. Billing Determinants'!$B$19:$R$41,3,0)/'4. Billing Determinants'!$D$41*$D56))))),0)</f>
        <v>0</v>
      </c>
      <c r="G56" s="32">
        <f>IFERROR(IF(G$4="",0,IF($E56="kWh",VLOOKUP(G$4,'4. Billing Determinants'!$B$19:$R$41,4,0)/'4. Billing Determinants'!$E$41*$D56,IF($E56="kW",VLOOKUP(G$4,'4. Billing Determinants'!$B$19:$R$41,5,0)/'4. Billing Determinants'!$F$41*$D56,IF($E56="Non-RPP kWh",VLOOKUP(G$4,'4. Billing Determinants'!$B$19:$R$41,6,0)/'4. Billing Determinants'!$G$41*$D56,IF($E56="Distribution Rev.",VLOOKUP(G$4,'4. Billing Determinants'!$B$19:$R$41,8,0)/'4. Billing Determinants'!$I$41*$D56, VLOOKUP(G$4,'4. Billing Determinants'!$B$19:$R$41,3,0)/'4. Billing Determinants'!$D$41*$D56))))),0)</f>
        <v>0</v>
      </c>
      <c r="H56" s="32">
        <f>IFERROR(IF(H$4="",0,IF($E56="kWh",VLOOKUP(H$4,'4. Billing Determinants'!$B$19:$R$41,4,0)/'4. Billing Determinants'!$E$41*$D56,IF($E56="kW",VLOOKUP(H$4,'4. Billing Determinants'!$B$19:$R$41,5,0)/'4. Billing Determinants'!$F$41*$D56,IF($E56="Non-RPP kWh",VLOOKUP(H$4,'4. Billing Determinants'!$B$19:$R$41,6,0)/'4. Billing Determinants'!$G$41*$D56,IF($E56="Distribution Rev.",VLOOKUP(H$4,'4. Billing Determinants'!$B$19:$R$41,8,0)/'4. Billing Determinants'!$I$41*$D56, VLOOKUP(H$4,'4. Billing Determinants'!$B$19:$R$41,3,0)/'4. Billing Determinants'!$D$41*$D56))))),0)</f>
        <v>0</v>
      </c>
      <c r="I56" s="32">
        <f>IFERROR(IF(I$4="",0,IF($E56="kWh",VLOOKUP(I$4,'4. Billing Determinants'!$B$19:$R$41,4,0)/'4. Billing Determinants'!$E$41*$D56,IF($E56="kW",VLOOKUP(I$4,'4. Billing Determinants'!$B$19:$R$41,5,0)/'4. Billing Determinants'!$F$41*$D56,IF($E56="Non-RPP kWh",VLOOKUP(I$4,'4. Billing Determinants'!$B$19:$R$41,6,0)/'4. Billing Determinants'!$G$41*$D56,IF($E56="Distribution Rev.",VLOOKUP(I$4,'4. Billing Determinants'!$B$19:$R$41,8,0)/'4. Billing Determinants'!$I$41*$D56, VLOOKUP(I$4,'4. Billing Determinants'!$B$19:$R$41,3,0)/'4. Billing Determinants'!$D$41*$D56))))),0)</f>
        <v>0</v>
      </c>
      <c r="J56" s="32">
        <f>IFERROR(IF(J$4="",0,IF($E56="kWh",VLOOKUP(J$4,'4. Billing Determinants'!$B$19:$R$41,4,0)/'4. Billing Determinants'!$E$41*$D56,IF($E56="kW",VLOOKUP(J$4,'4. Billing Determinants'!$B$19:$R$41,5,0)/'4. Billing Determinants'!$F$41*$D56,IF($E56="Non-RPP kWh",VLOOKUP(J$4,'4. Billing Determinants'!$B$19:$R$41,6,0)/'4. Billing Determinants'!$G$41*$D56,IF($E56="Distribution Rev.",VLOOKUP(J$4,'4. Billing Determinants'!$B$19:$R$41,8,0)/'4. Billing Determinants'!$I$41*$D56, VLOOKUP(J$4,'4. Billing Determinants'!$B$19:$R$41,3,0)/'4. Billing Determinants'!$D$41*$D56))))),0)</f>
        <v>0</v>
      </c>
      <c r="K56" s="32">
        <f>IFERROR(IF(K$4="",0,IF($E56="kWh",VLOOKUP(K$4,'4. Billing Determinants'!$B$19:$R$41,4,0)/'4. Billing Determinants'!$E$41*$D56,IF($E56="kW",VLOOKUP(K$4,'4. Billing Determinants'!$B$19:$R$41,5,0)/'4. Billing Determinants'!$F$41*$D56,IF($E56="Non-RPP kWh",VLOOKUP(K$4,'4. Billing Determinants'!$B$19:$R$41,6,0)/'4. Billing Determinants'!$G$41*$D56,IF($E56="Distribution Rev.",VLOOKUP(K$4,'4. Billing Determinants'!$B$19:$R$41,8,0)/'4. Billing Determinants'!$I$41*$D56, VLOOKUP(K$4,'4. Billing Determinants'!$B$19:$R$41,3,0)/'4. Billing Determinants'!$D$41*$D56))))),0)</f>
        <v>0</v>
      </c>
      <c r="L56" s="32">
        <f>IFERROR(IF(L$4="",0,IF($E56="kWh",VLOOKUP(L$4,'4. Billing Determinants'!$B$19:$R$41,4,0)/'4. Billing Determinants'!$E$41*$D56,IF($E56="kW",VLOOKUP(L$4,'4. Billing Determinants'!$B$19:$R$41,5,0)/'4. Billing Determinants'!$F$41*$D56,IF($E56="Non-RPP kWh",VLOOKUP(L$4,'4. Billing Determinants'!$B$19:$R$41,6,0)/'4. Billing Determinants'!$G$41*$D56,IF($E56="Distribution Rev.",VLOOKUP(L$4,'4. Billing Determinants'!$B$19:$R$41,8,0)/'4. Billing Determinants'!$I$41*$D56, VLOOKUP(L$4,'4. Billing Determinants'!$B$19:$R$41,3,0)/'4. Billing Determinants'!$D$41*$D56))))),0)</f>
        <v>0</v>
      </c>
      <c r="M56" s="32">
        <f>IFERROR(IF(M$4="",0,IF($E56="kWh",VLOOKUP(M$4,'4. Billing Determinants'!$B$19:$R$41,4,0)/'4. Billing Determinants'!$E$41*$D56,IF($E56="kW",VLOOKUP(M$4,'4. Billing Determinants'!$B$19:$R$41,5,0)/'4. Billing Determinants'!$F$41*$D56,IF($E56="Non-RPP kWh",VLOOKUP(M$4,'4. Billing Determinants'!$B$19:$R$41,6,0)/'4. Billing Determinants'!$G$41*$D56,IF($E56="Distribution Rev.",VLOOKUP(M$4,'4. Billing Determinants'!$B$19:$R$41,8,0)/'4. Billing Determinants'!$I$41*$D56, VLOOKUP(M$4,'4. Billing Determinants'!$B$19:$R$41,3,0)/'4. Billing Determinants'!$D$41*$D56))))),0)</f>
        <v>0</v>
      </c>
      <c r="N56" s="32">
        <f>IFERROR(IF(N$4="",0,IF($E56="kWh",VLOOKUP(N$4,'4. Billing Determinants'!$B$19:$R$41,4,0)/'4. Billing Determinants'!$E$41*$D56,IF($E56="kW",VLOOKUP(N$4,'4. Billing Determinants'!$B$19:$R$41,5,0)/'4. Billing Determinants'!$F$41*$D56,IF($E56="Non-RPP kWh",VLOOKUP(N$4,'4. Billing Determinants'!$B$19:$R$41,6,0)/'4. Billing Determinants'!$G$41*$D56,IF($E56="Distribution Rev.",VLOOKUP(N$4,'4. Billing Determinants'!$B$19:$R$41,8,0)/'4. Billing Determinants'!$I$41*$D56, VLOOKUP(N$4,'4. Billing Determinants'!$B$19:$R$41,3,0)/'4. Billing Determinants'!$D$41*$D56))))),0)</f>
        <v>0</v>
      </c>
      <c r="O56" s="32">
        <f>IFERROR(IF(O$4="",0,IF($E56="kWh",VLOOKUP(O$4,'4. Billing Determinants'!$B$19:$R$41,4,0)/'4. Billing Determinants'!$E$41*$D56,IF($E56="kW",VLOOKUP(O$4,'4. Billing Determinants'!$B$19:$R$41,5,0)/'4. Billing Determinants'!$F$41*$D56,IF($E56="Non-RPP kWh",VLOOKUP(O$4,'4. Billing Determinants'!$B$19:$R$41,6,0)/'4. Billing Determinants'!$G$41*$D56,IF($E56="Distribution Rev.",VLOOKUP(O$4,'4. Billing Determinants'!$B$19:$R$41,8,0)/'4. Billing Determinants'!$I$41*$D56, VLOOKUP(O$4,'4. Billing Determinants'!$B$19:$R$41,3,0)/'4. Billing Determinants'!$D$41*$D56))))),0)</f>
        <v>0</v>
      </c>
      <c r="P56" s="32">
        <f>IFERROR(IF(P$4="",0,IF($E56="kWh",VLOOKUP(P$4,'4. Billing Determinants'!$B$19:$R$41,4,0)/'4. Billing Determinants'!$E$41*$D56,IF($E56="kW",VLOOKUP(P$4,'4. Billing Determinants'!$B$19:$R$41,5,0)/'4. Billing Determinants'!$F$41*$D56,IF($E56="Non-RPP kWh",VLOOKUP(P$4,'4. Billing Determinants'!$B$19:$R$41,6,0)/'4. Billing Determinants'!$G$41*$D56,IF($E56="Distribution Rev.",VLOOKUP(P$4,'4. Billing Determinants'!$B$19:$R$41,8,0)/'4. Billing Determinants'!$I$41*$D56, VLOOKUP(P$4,'4. Billing Determinants'!$B$19:$R$41,3,0)/'4. Billing Determinants'!$D$41*$D56))))),0)</f>
        <v>0</v>
      </c>
      <c r="Q56" s="32">
        <f>IFERROR(IF(Q$4="",0,IF($E56="kWh",VLOOKUP(Q$4,'4. Billing Determinants'!$B$19:$R$41,4,0)/'4. Billing Determinants'!$E$41*$D56,IF($E56="kW",VLOOKUP(Q$4,'4. Billing Determinants'!$B$19:$R$41,5,0)/'4. Billing Determinants'!$F$41*$D56,IF($E56="Non-RPP kWh",VLOOKUP(Q$4,'4. Billing Determinants'!$B$19:$R$41,6,0)/'4. Billing Determinants'!$G$41*$D56,IF($E56="Distribution Rev.",VLOOKUP(Q$4,'4. Billing Determinants'!$B$19:$R$41,8,0)/'4. Billing Determinants'!$I$41*$D56, VLOOKUP(Q$4,'4. Billing Determinants'!$B$19:$R$41,3,0)/'4. Billing Determinants'!$D$41*$D56))))),0)</f>
        <v>0</v>
      </c>
      <c r="R56" s="32">
        <f>IFERROR(IF(R$4="",0,IF($E56="kWh",VLOOKUP(R$4,'4. Billing Determinants'!$B$19:$R$41,4,0)/'4. Billing Determinants'!$E$41*$D56,IF($E56="kW",VLOOKUP(R$4,'4. Billing Determinants'!$B$19:$R$41,5,0)/'4. Billing Determinants'!$F$41*$D56,IF($E56="Non-RPP kWh",VLOOKUP(R$4,'4. Billing Determinants'!$B$19:$R$41,6,0)/'4. Billing Determinants'!$G$41*$D56,IF($E56="Distribution Rev.",VLOOKUP(R$4,'4. Billing Determinants'!$B$19:$R$41,8,0)/'4. Billing Determinants'!$I$41*$D56, VLOOKUP(R$4,'4. Billing Determinants'!$B$19:$R$41,3,0)/'4. Billing Determinants'!$D$41*$D56))))),0)</f>
        <v>0</v>
      </c>
      <c r="S56" s="32">
        <f>IFERROR(IF(S$4="",0,IF($E56="kWh",VLOOKUP(S$4,'4. Billing Determinants'!$B$19:$R$41,4,0)/'4. Billing Determinants'!$E$41*$D56,IF($E56="kW",VLOOKUP(S$4,'4. Billing Determinants'!$B$19:$R$41,5,0)/'4. Billing Determinants'!$F$41*$D56,IF($E56="Non-RPP kWh",VLOOKUP(S$4,'4. Billing Determinants'!$B$19:$R$41,6,0)/'4. Billing Determinants'!$G$41*$D56,IF($E56="Distribution Rev.",VLOOKUP(S$4,'4. Billing Determinants'!$B$19:$R$41,8,0)/'4. Billing Determinants'!$I$41*$D56, VLOOKUP(S$4,'4. Billing Determinants'!$B$19:$R$41,3,0)/'4. Billing Determinants'!$D$41*$D56))))),0)</f>
        <v>0</v>
      </c>
      <c r="T56" s="32">
        <f>IFERROR(IF(T$4="",0,IF($E56="kWh",VLOOKUP(T$4,'4. Billing Determinants'!$B$19:$R$41,4,0)/'4. Billing Determinants'!$E$41*$D56,IF($E56="kW",VLOOKUP(T$4,'4. Billing Determinants'!$B$19:$R$41,5,0)/'4. Billing Determinants'!$F$41*$D56,IF($E56="Non-RPP kWh",VLOOKUP(T$4,'4. Billing Determinants'!$B$19:$R$41,6,0)/'4. Billing Determinants'!$G$41*$D56,IF($E56="Distribution Rev.",VLOOKUP(T$4,'4. Billing Determinants'!$B$19:$R$41,8,0)/'4. Billing Determinants'!$I$41*$D56, VLOOKUP(T$4,'4. Billing Determinants'!$B$19:$R$41,3,0)/'4. Billing Determinants'!$D$41*$D56))))),0)</f>
        <v>0</v>
      </c>
      <c r="U56" s="32">
        <f>IFERROR(IF(U$4="",0,IF($E56="kWh",VLOOKUP(U$4,'4. Billing Determinants'!$B$19:$R$41,4,0)/'4. Billing Determinants'!$E$41*$D56,IF($E56="kW",VLOOKUP(U$4,'4. Billing Determinants'!$B$19:$R$41,5,0)/'4. Billing Determinants'!$F$41*$D56,IF($E56="Non-RPP kWh",VLOOKUP(U$4,'4. Billing Determinants'!$B$19:$R$41,6,0)/'4. Billing Determinants'!$G$41*$D56,IF($E56="Distribution Rev.",VLOOKUP(U$4,'4. Billing Determinants'!$B$19:$R$41,8,0)/'4. Billing Determinants'!$I$41*$D56, VLOOKUP(U$4,'4. Billing Determinants'!$B$19:$R$41,3,0)/'4. Billing Determinants'!$D$41*$D56))))),0)</f>
        <v>0</v>
      </c>
      <c r="V56" s="32">
        <f>IFERROR(IF(V$4="",0,IF($E56="kWh",VLOOKUP(V$4,'4. Billing Determinants'!$B$19:$R$41,4,0)/'4. Billing Determinants'!$E$41*$D56,IF($E56="kW",VLOOKUP(V$4,'4. Billing Determinants'!$B$19:$R$41,5,0)/'4. Billing Determinants'!$F$41*$D56,IF($E56="Non-RPP kWh",VLOOKUP(V$4,'4. Billing Determinants'!$B$19:$R$41,6,0)/'4. Billing Determinants'!$G$41*$D56,IF($E56="Distribution Rev.",VLOOKUP(V$4,'4. Billing Determinants'!$B$19:$R$41,8,0)/'4. Billing Determinants'!$I$41*$D56, VLOOKUP(V$4,'4. Billing Determinants'!$B$19:$R$41,3,0)/'4. Billing Determinants'!$D$41*$D56))))),0)</f>
        <v>0</v>
      </c>
      <c r="W56" s="32">
        <f>IFERROR(IF(W$4="",0,IF($E56="kWh",VLOOKUP(W$4,'4. Billing Determinants'!$B$19:$R$41,4,0)/'4. Billing Determinants'!$E$41*$D56,IF($E56="kW",VLOOKUP(W$4,'4. Billing Determinants'!$B$19:$R$41,5,0)/'4. Billing Determinants'!$F$41*$D56,IF($E56="Non-RPP kWh",VLOOKUP(W$4,'4. Billing Determinants'!$B$19:$R$41,6,0)/'4. Billing Determinants'!$G$41*$D56,IF($E56="Distribution Rev.",VLOOKUP(W$4,'4. Billing Determinants'!$B$19:$R$41,8,0)/'4. Billing Determinants'!$I$41*$D56, VLOOKUP(W$4,'4. Billing Determinants'!$B$19:$R$41,3,0)/'4. Billing Determinants'!$D$41*$D56))))),0)</f>
        <v>0</v>
      </c>
      <c r="X56" s="32">
        <f>IFERROR(IF(X$4="",0,IF($E56="kWh",VLOOKUP(X$4,'4. Billing Determinants'!$B$19:$R$41,4,0)/'4. Billing Determinants'!$E$41*$D56,IF($E56="kW",VLOOKUP(X$4,'4. Billing Determinants'!$B$19:$R$41,5,0)/'4. Billing Determinants'!$F$41*$D56,IF($E56="Non-RPP kWh",VLOOKUP(X$4,'4. Billing Determinants'!$B$19:$R$41,6,0)/'4. Billing Determinants'!$G$41*$D56,IF($E56="Distribution Rev.",VLOOKUP(X$4,'4. Billing Determinants'!$B$19:$R$41,8,0)/'4. Billing Determinants'!$I$41*$D56, VLOOKUP(X$4,'4. Billing Determinants'!$B$19:$R$41,3,0)/'4. Billing Determinants'!$D$41*$D56))))),0)</f>
        <v>0</v>
      </c>
      <c r="Y56" s="32">
        <f>IFERROR(IF(Y$4="",0,IF($E56="kWh",VLOOKUP(Y$4,'4. Billing Determinants'!$B$19:$R$41,4,0)/'4. Billing Determinants'!$E$41*$D56,IF($E56="kW",VLOOKUP(Y$4,'4. Billing Determinants'!$B$19:$R$41,5,0)/'4. Billing Determinants'!$F$41*$D56,IF($E56="Non-RPP kWh",VLOOKUP(Y$4,'4. Billing Determinants'!$B$19:$R$41,6,0)/'4. Billing Determinants'!$G$41*$D56,IF($E56="Distribution Rev.",VLOOKUP(Y$4,'4. Billing Determinants'!$B$19:$R$41,8,0)/'4. Billing Determinants'!$I$41*$D56, VLOOKUP(Y$4,'4. Billing Determinants'!$B$19:$R$41,3,0)/'4. Billing Determinants'!$D$41*$D56))))),0)</f>
        <v>0</v>
      </c>
    </row>
    <row r="57" spans="1:25" s="1" customFormat="1" hidden="1" x14ac:dyDescent="0.2">
      <c r="A57" s="37">
        <v>34</v>
      </c>
      <c r="B57" s="327" t="s">
        <v>181</v>
      </c>
      <c r="C57" s="130"/>
      <c r="D57" s="328">
        <f>SUM(D55:D56)</f>
        <v>0</v>
      </c>
      <c r="E57" s="130"/>
      <c r="F57" s="328">
        <f t="shared" ref="F57:Y57" si="2">SUM(F55:F56)</f>
        <v>0</v>
      </c>
      <c r="G57" s="328">
        <f t="shared" si="2"/>
        <v>0</v>
      </c>
      <c r="H57" s="328">
        <f t="shared" si="2"/>
        <v>0</v>
      </c>
      <c r="I57" s="328">
        <f t="shared" si="2"/>
        <v>0</v>
      </c>
      <c r="J57" s="328">
        <f t="shared" si="2"/>
        <v>0</v>
      </c>
      <c r="K57" s="328">
        <f t="shared" si="2"/>
        <v>0</v>
      </c>
      <c r="L57" s="328">
        <f t="shared" si="2"/>
        <v>0</v>
      </c>
      <c r="M57" s="328">
        <f t="shared" si="2"/>
        <v>0</v>
      </c>
      <c r="N57" s="328">
        <f t="shared" si="2"/>
        <v>0</v>
      </c>
      <c r="O57" s="328">
        <f t="shared" si="2"/>
        <v>0</v>
      </c>
      <c r="P57" s="328">
        <f t="shared" si="2"/>
        <v>0</v>
      </c>
      <c r="Q57" s="328">
        <f t="shared" si="2"/>
        <v>0</v>
      </c>
      <c r="R57" s="328">
        <f t="shared" si="2"/>
        <v>0</v>
      </c>
      <c r="S57" s="328">
        <f t="shared" si="2"/>
        <v>0</v>
      </c>
      <c r="T57" s="328">
        <f t="shared" si="2"/>
        <v>0</v>
      </c>
      <c r="U57" s="328">
        <f t="shared" si="2"/>
        <v>0</v>
      </c>
      <c r="V57" s="328">
        <f t="shared" si="2"/>
        <v>0</v>
      </c>
      <c r="W57" s="328">
        <f t="shared" si="2"/>
        <v>0</v>
      </c>
      <c r="X57" s="328">
        <f t="shared" si="2"/>
        <v>0</v>
      </c>
      <c r="Y57" s="328">
        <f t="shared" si="2"/>
        <v>0</v>
      </c>
    </row>
    <row r="58" spans="1:25" x14ac:dyDescent="0.2">
      <c r="A58" s="37">
        <v>35</v>
      </c>
      <c r="B58" s="1"/>
      <c r="D58" s="664"/>
    </row>
    <row r="59" spans="1:25" s="477" customFormat="1" hidden="1" x14ac:dyDescent="0.2">
      <c r="A59" s="477">
        <v>36</v>
      </c>
      <c r="B59" s="478" t="s">
        <v>50</v>
      </c>
      <c r="C59" s="479">
        <v>1568</v>
      </c>
      <c r="D59" s="480">
        <f>'2b. Continuity Schedule'!BT88</f>
        <v>198188.95966149989</v>
      </c>
      <c r="E59" s="479"/>
      <c r="F59" s="480">
        <f>'4. Billing Determinants'!AC21</f>
        <v>44507</v>
      </c>
      <c r="G59" s="480">
        <f>'4. Billing Determinants'!AC22</f>
        <v>-110221</v>
      </c>
      <c r="H59" s="480">
        <f>'4. Billing Determinants'!AC23</f>
        <v>263903</v>
      </c>
      <c r="I59" s="480">
        <f>'4. Billing Determinants'!AC24</f>
        <v>0</v>
      </c>
      <c r="J59" s="480">
        <f>'4. Billing Determinants'!AC25</f>
        <v>0</v>
      </c>
      <c r="K59" s="480">
        <f>'4. Billing Determinants'!AC26</f>
        <v>0</v>
      </c>
      <c r="L59" s="480">
        <f>'4. Billing Determinants'!AC27</f>
        <v>0</v>
      </c>
      <c r="M59" s="480">
        <f>'4. Billing Determinants'!AC28</f>
        <v>0</v>
      </c>
      <c r="N59" s="480">
        <f>'4. Billing Determinants'!AC29</f>
        <v>0</v>
      </c>
      <c r="O59" s="480">
        <f>'4. Billing Determinants'!AC30</f>
        <v>0</v>
      </c>
      <c r="P59" s="480">
        <f>'4. Billing Determinants'!AC31</f>
        <v>0</v>
      </c>
      <c r="Q59" s="480">
        <f>'4. Billing Determinants'!AC32</f>
        <v>0</v>
      </c>
      <c r="R59" s="480">
        <f>'4. Billing Determinants'!AC33</f>
        <v>0</v>
      </c>
      <c r="S59" s="480">
        <f>'4. Billing Determinants'!AC34</f>
        <v>0</v>
      </c>
      <c r="T59" s="480">
        <f>'4. Billing Determinants'!AC35</f>
        <v>0</v>
      </c>
      <c r="U59" s="480">
        <f>'4. Billing Determinants'!AC36</f>
        <v>0</v>
      </c>
      <c r="V59" s="480">
        <f>'4. Billing Determinants'!AC37</f>
        <v>0</v>
      </c>
      <c r="W59" s="480">
        <f>'4. Billing Determinants'!AC38</f>
        <v>0</v>
      </c>
      <c r="X59" s="480">
        <f>'4. Billing Determinants'!AC39</f>
        <v>0</v>
      </c>
      <c r="Y59" s="480">
        <f>'4. Billing Determinants'!AC40</f>
        <v>0</v>
      </c>
    </row>
    <row r="60" spans="1:25" hidden="1" x14ac:dyDescent="0.2">
      <c r="A60" s="37">
        <v>37</v>
      </c>
      <c r="B60" s="813" t="s">
        <v>63</v>
      </c>
      <c r="C60" s="813"/>
      <c r="D60" s="125">
        <f>SUM(F59:Y59)</f>
        <v>198189</v>
      </c>
    </row>
    <row r="61" spans="1:25" hidden="1" x14ac:dyDescent="0.2">
      <c r="A61" s="37">
        <v>38</v>
      </c>
      <c r="B61" s="814" t="s">
        <v>54</v>
      </c>
      <c r="C61" s="814"/>
      <c r="D61" s="93">
        <f>D59-D60</f>
        <v>-4.0338500111829489E-2</v>
      </c>
      <c r="E61" s="40"/>
    </row>
    <row r="62" spans="1:25" hidden="1" x14ac:dyDescent="0.2">
      <c r="A62" s="37">
        <v>39</v>
      </c>
      <c r="B62" s="243"/>
      <c r="C62" s="243"/>
      <c r="D62" s="244"/>
      <c r="E62" s="40"/>
    </row>
    <row r="63" spans="1:25" x14ac:dyDescent="0.2">
      <c r="A63" s="37">
        <v>40</v>
      </c>
      <c r="B63" s="245" t="s">
        <v>26</v>
      </c>
      <c r="C63" s="546">
        <v>1532</v>
      </c>
      <c r="D63" s="32">
        <f>'2b. Continuity Schedule'!BT96</f>
        <v>0</v>
      </c>
      <c r="E63" s="48" t="s">
        <v>139</v>
      </c>
      <c r="F63" s="32">
        <f>IFERROR(IF(F$4="",0,IF($E63="kWh",VLOOKUP(F$4,'4. Billing Determinants'!$B$19:$R$41,4,0)/'4. Billing Determinants'!$E$41*$D63,IF($E63="kW",VLOOKUP(F$4,'4. Billing Determinants'!$B$19:$R$41,5,0)/'4. Billing Determinants'!$F$41*$D63,IF($E63="Non-RPP kWh",VLOOKUP(F$4,'4. Billing Determinants'!$B$19:$R$41,6,0)/'4. Billing Determinants'!$G$41*$D63,IF($E63="Distribution Rev.",VLOOKUP(F$4,'4. Billing Determinants'!$B$19:$R$41,8,0)/'4. Billing Determinants'!$I$41*$D63, VLOOKUP(F$4,'4. Billing Determinants'!$B$19:$R$41,3,0)/'4. Billing Determinants'!$D$41*$D63))))),0)</f>
        <v>0</v>
      </c>
      <c r="G63" s="32">
        <f>IFERROR(IF(G$4="",0,IF($E63="kWh",VLOOKUP(G$4,'4. Billing Determinants'!$B$19:$R$41,4,0)/'4. Billing Determinants'!$E$41*$D63,IF($E63="kW",VLOOKUP(G$4,'4. Billing Determinants'!$B$19:$R$41,5,0)/'4. Billing Determinants'!$F$41*$D63,IF($E63="Non-RPP kWh",VLOOKUP(G$4,'4. Billing Determinants'!$B$19:$R$41,6,0)/'4. Billing Determinants'!$G$41*$D63,IF($E63="Distribution Rev.",VLOOKUP(G$4,'4. Billing Determinants'!$B$19:$R$41,8,0)/'4. Billing Determinants'!$I$41*$D63, VLOOKUP(G$4,'4. Billing Determinants'!$B$19:$R$41,3,0)/'4. Billing Determinants'!$D$41*$D63))))),0)</f>
        <v>0</v>
      </c>
      <c r="H63" s="32">
        <f>IFERROR(IF(H$4="",0,IF($E63="kWh",VLOOKUP(H$4,'4. Billing Determinants'!$B$19:$R$41,4,0)/'4. Billing Determinants'!$E$41*$D63,IF($E63="kW",VLOOKUP(H$4,'4. Billing Determinants'!$B$19:$R$41,5,0)/'4. Billing Determinants'!$F$41*$D63,IF($E63="Non-RPP kWh",VLOOKUP(H$4,'4. Billing Determinants'!$B$19:$R$41,6,0)/'4. Billing Determinants'!$G$41*$D63,IF($E63="Distribution Rev.",VLOOKUP(H$4,'4. Billing Determinants'!$B$19:$R$41,8,0)/'4. Billing Determinants'!$I$41*$D63, VLOOKUP(H$4,'4. Billing Determinants'!$B$19:$R$41,3,0)/'4. Billing Determinants'!$D$41*$D63))))),0)</f>
        <v>0</v>
      </c>
      <c r="I63" s="32">
        <f>IFERROR(IF(I$4="",0,IF($E63="kWh",VLOOKUP(I$4,'4. Billing Determinants'!$B$19:$R$41,4,0)/'4. Billing Determinants'!$E$41*$D63,IF($E63="kW",VLOOKUP(I$4,'4. Billing Determinants'!$B$19:$R$41,5,0)/'4. Billing Determinants'!$F$41*$D63,IF($E63="Non-RPP kWh",VLOOKUP(I$4,'4. Billing Determinants'!$B$19:$R$41,6,0)/'4. Billing Determinants'!$G$41*$D63,IF($E63="Distribution Rev.",VLOOKUP(I$4,'4. Billing Determinants'!$B$19:$R$41,8,0)/'4. Billing Determinants'!$I$41*$D63, VLOOKUP(I$4,'4. Billing Determinants'!$B$19:$R$41,3,0)/'4. Billing Determinants'!$D$41*$D63))))),0)</f>
        <v>0</v>
      </c>
      <c r="J63" s="32">
        <f>IFERROR(IF(J$4="",0,IF($E63="kWh",VLOOKUP(J$4,'4. Billing Determinants'!$B$19:$R$41,4,0)/'4. Billing Determinants'!$E$41*$D63,IF($E63="kW",VLOOKUP(J$4,'4. Billing Determinants'!$B$19:$R$41,5,0)/'4. Billing Determinants'!$F$41*$D63,IF($E63="Non-RPP kWh",VLOOKUP(J$4,'4. Billing Determinants'!$B$19:$R$41,6,0)/'4. Billing Determinants'!$G$41*$D63,IF($E63="Distribution Rev.",VLOOKUP(J$4,'4. Billing Determinants'!$B$19:$R$41,8,0)/'4. Billing Determinants'!$I$41*$D63, VLOOKUP(J$4,'4. Billing Determinants'!$B$19:$R$41,3,0)/'4. Billing Determinants'!$D$41*$D63))))),0)</f>
        <v>0</v>
      </c>
      <c r="K63" s="32">
        <f>IFERROR(IF(K$4="",0,IF($E63="kWh",VLOOKUP(K$4,'4. Billing Determinants'!$B$19:$R$41,4,0)/'4. Billing Determinants'!$E$41*$D63,IF($E63="kW",VLOOKUP(K$4,'4. Billing Determinants'!$B$19:$R$41,5,0)/'4. Billing Determinants'!$F$41*$D63,IF($E63="Non-RPP kWh",VLOOKUP(K$4,'4. Billing Determinants'!$B$19:$R$41,6,0)/'4. Billing Determinants'!$G$41*$D63,IF($E63="Distribution Rev.",VLOOKUP(K$4,'4. Billing Determinants'!$B$19:$R$41,8,0)/'4. Billing Determinants'!$I$41*$D63, VLOOKUP(K$4,'4. Billing Determinants'!$B$19:$R$41,3,0)/'4. Billing Determinants'!$D$41*$D63))))),0)</f>
        <v>0</v>
      </c>
      <c r="L63" s="32">
        <f>IFERROR(IF(L$4="",0,IF($E63="kWh",VLOOKUP(L$4,'4. Billing Determinants'!$B$19:$R$41,4,0)/'4. Billing Determinants'!$E$41*$D63,IF($E63="kW",VLOOKUP(L$4,'4. Billing Determinants'!$B$19:$R$41,5,0)/'4. Billing Determinants'!$F$41*$D63,IF($E63="Non-RPP kWh",VLOOKUP(L$4,'4. Billing Determinants'!$B$19:$R$41,6,0)/'4. Billing Determinants'!$G$41*$D63,IF($E63="Distribution Rev.",VLOOKUP(L$4,'4. Billing Determinants'!$B$19:$R$41,8,0)/'4. Billing Determinants'!$I$41*$D63, VLOOKUP(L$4,'4. Billing Determinants'!$B$19:$R$41,3,0)/'4. Billing Determinants'!$D$41*$D63))))),0)</f>
        <v>0</v>
      </c>
      <c r="M63" s="32">
        <f>IFERROR(IF(M$4="",0,IF($E63="kWh",VLOOKUP(M$4,'4. Billing Determinants'!$B$19:$R$41,4,0)/'4. Billing Determinants'!$E$41*$D63,IF($E63="kW",VLOOKUP(M$4,'4. Billing Determinants'!$B$19:$R$41,5,0)/'4. Billing Determinants'!$F$41*$D63,IF($E63="Non-RPP kWh",VLOOKUP(M$4,'4. Billing Determinants'!$B$19:$R$41,6,0)/'4. Billing Determinants'!$G$41*$D63,IF($E63="Distribution Rev.",VLOOKUP(M$4,'4. Billing Determinants'!$B$19:$R$41,8,0)/'4. Billing Determinants'!$I$41*$D63, VLOOKUP(M$4,'4. Billing Determinants'!$B$19:$R$41,3,0)/'4. Billing Determinants'!$D$41*$D63))))),0)</f>
        <v>0</v>
      </c>
      <c r="N63" s="32">
        <f>IFERROR(IF(N$4="",0,IF($E63="kWh",VLOOKUP(N$4,'4. Billing Determinants'!$B$19:$R$41,4,0)/'4. Billing Determinants'!$E$41*$D63,IF($E63="kW",VLOOKUP(N$4,'4. Billing Determinants'!$B$19:$R$41,5,0)/'4. Billing Determinants'!$F$41*$D63,IF($E63="Non-RPP kWh",VLOOKUP(N$4,'4. Billing Determinants'!$B$19:$R$41,6,0)/'4. Billing Determinants'!$G$41*$D63,IF($E63="Distribution Rev.",VLOOKUP(N$4,'4. Billing Determinants'!$B$19:$R$41,8,0)/'4. Billing Determinants'!$I$41*$D63, VLOOKUP(N$4,'4. Billing Determinants'!$B$19:$R$41,3,0)/'4. Billing Determinants'!$D$41*$D63))))),0)</f>
        <v>0</v>
      </c>
      <c r="O63" s="32">
        <f>IFERROR(IF(O$4="",0,IF($E63="kWh",VLOOKUP(O$4,'4. Billing Determinants'!$B$19:$R$41,4,0)/'4. Billing Determinants'!$E$41*$D63,IF($E63="kW",VLOOKUP(O$4,'4. Billing Determinants'!$B$19:$R$41,5,0)/'4. Billing Determinants'!$F$41*$D63,IF($E63="Non-RPP kWh",VLOOKUP(O$4,'4. Billing Determinants'!$B$19:$R$41,6,0)/'4. Billing Determinants'!$G$41*$D63,IF($E63="Distribution Rev.",VLOOKUP(O$4,'4. Billing Determinants'!$B$19:$R$41,8,0)/'4. Billing Determinants'!$I$41*$D63, VLOOKUP(O$4,'4. Billing Determinants'!$B$19:$R$41,3,0)/'4. Billing Determinants'!$D$41*$D63))))),0)</f>
        <v>0</v>
      </c>
      <c r="P63" s="32">
        <f>IFERROR(IF(P$4="",0,IF($E63="kWh",VLOOKUP(P$4,'4. Billing Determinants'!$B$19:$R$41,4,0)/'4. Billing Determinants'!$E$41*$D63,IF($E63="kW",VLOOKUP(P$4,'4. Billing Determinants'!$B$19:$R$41,5,0)/'4. Billing Determinants'!$F$41*$D63,IF($E63="Non-RPP kWh",VLOOKUP(P$4,'4. Billing Determinants'!$B$19:$R$41,6,0)/'4. Billing Determinants'!$G$41*$D63,IF($E63="Distribution Rev.",VLOOKUP(P$4,'4. Billing Determinants'!$B$19:$R$41,8,0)/'4. Billing Determinants'!$I$41*$D63, VLOOKUP(P$4,'4. Billing Determinants'!$B$19:$R$41,3,0)/'4. Billing Determinants'!$D$41*$D63))))),0)</f>
        <v>0</v>
      </c>
      <c r="Q63" s="32">
        <f>IFERROR(IF(Q$4="",0,IF($E63="kWh",VLOOKUP(Q$4,'4. Billing Determinants'!$B$19:$R$41,4,0)/'4. Billing Determinants'!$E$41*$D63,IF($E63="kW",VLOOKUP(Q$4,'4. Billing Determinants'!$B$19:$R$41,5,0)/'4. Billing Determinants'!$F$41*$D63,IF($E63="Non-RPP kWh",VLOOKUP(Q$4,'4. Billing Determinants'!$B$19:$R$41,6,0)/'4. Billing Determinants'!$G$41*$D63,IF($E63="Distribution Rev.",VLOOKUP(Q$4,'4. Billing Determinants'!$B$19:$R$41,8,0)/'4. Billing Determinants'!$I$41*$D63, VLOOKUP(Q$4,'4. Billing Determinants'!$B$19:$R$41,3,0)/'4. Billing Determinants'!$D$41*$D63))))),0)</f>
        <v>0</v>
      </c>
      <c r="R63" s="32">
        <f>IFERROR(IF(R$4="",0,IF($E63="kWh",VLOOKUP(R$4,'4. Billing Determinants'!$B$19:$R$41,4,0)/'4. Billing Determinants'!$E$41*$D63,IF($E63="kW",VLOOKUP(R$4,'4. Billing Determinants'!$B$19:$R$41,5,0)/'4. Billing Determinants'!$F$41*$D63,IF($E63="Non-RPP kWh",VLOOKUP(R$4,'4. Billing Determinants'!$B$19:$R$41,6,0)/'4. Billing Determinants'!$G$41*$D63,IF($E63="Distribution Rev.",VLOOKUP(R$4,'4. Billing Determinants'!$B$19:$R$41,8,0)/'4. Billing Determinants'!$I$41*$D63, VLOOKUP(R$4,'4. Billing Determinants'!$B$19:$R$41,3,0)/'4. Billing Determinants'!$D$41*$D63))))),0)</f>
        <v>0</v>
      </c>
      <c r="S63" s="32">
        <f>IFERROR(IF(S$4="",0,IF($E63="kWh",VLOOKUP(S$4,'4. Billing Determinants'!$B$19:$R$41,4,0)/'4. Billing Determinants'!$E$41*$D63,IF($E63="kW",VLOOKUP(S$4,'4. Billing Determinants'!$B$19:$R$41,5,0)/'4. Billing Determinants'!$F$41*$D63,IF($E63="Non-RPP kWh",VLOOKUP(S$4,'4. Billing Determinants'!$B$19:$R$41,6,0)/'4. Billing Determinants'!$G$41*$D63,IF($E63="Distribution Rev.",VLOOKUP(S$4,'4. Billing Determinants'!$B$19:$R$41,8,0)/'4. Billing Determinants'!$I$41*$D63, VLOOKUP(S$4,'4. Billing Determinants'!$B$19:$R$41,3,0)/'4. Billing Determinants'!$D$41*$D63))))),0)</f>
        <v>0</v>
      </c>
      <c r="T63" s="32">
        <f>IFERROR(IF(T$4="",0,IF($E63="kWh",VLOOKUP(T$4,'4. Billing Determinants'!$B$19:$R$41,4,0)/'4. Billing Determinants'!$E$41*$D63,IF($E63="kW",VLOOKUP(T$4,'4. Billing Determinants'!$B$19:$R$41,5,0)/'4. Billing Determinants'!$F$41*$D63,IF($E63="Non-RPP kWh",VLOOKUP(T$4,'4. Billing Determinants'!$B$19:$R$41,6,0)/'4. Billing Determinants'!$G$41*$D63,IF($E63="Distribution Rev.",VLOOKUP(T$4,'4. Billing Determinants'!$B$19:$R$41,8,0)/'4. Billing Determinants'!$I$41*$D63, VLOOKUP(T$4,'4. Billing Determinants'!$B$19:$R$41,3,0)/'4. Billing Determinants'!$D$41*$D63))))),0)</f>
        <v>0</v>
      </c>
      <c r="U63" s="32">
        <f>IFERROR(IF(U$4="",0,IF($E63="kWh",VLOOKUP(U$4,'4. Billing Determinants'!$B$19:$R$41,4,0)/'4. Billing Determinants'!$E$41*$D63,IF($E63="kW",VLOOKUP(U$4,'4. Billing Determinants'!$B$19:$R$41,5,0)/'4. Billing Determinants'!$F$41*$D63,IF($E63="Non-RPP kWh",VLOOKUP(U$4,'4. Billing Determinants'!$B$19:$R$41,6,0)/'4. Billing Determinants'!$G$41*$D63,IF($E63="Distribution Rev.",VLOOKUP(U$4,'4. Billing Determinants'!$B$19:$R$41,8,0)/'4. Billing Determinants'!$I$41*$D63, VLOOKUP(U$4,'4. Billing Determinants'!$B$19:$R$41,3,0)/'4. Billing Determinants'!$D$41*$D63))))),0)</f>
        <v>0</v>
      </c>
      <c r="V63" s="32">
        <f>IFERROR(IF(V$4="",0,IF($E63="kWh",VLOOKUP(V$4,'4. Billing Determinants'!$B$19:$R$41,4,0)/'4. Billing Determinants'!$E$41*$D63,IF($E63="kW",VLOOKUP(V$4,'4. Billing Determinants'!$B$19:$R$41,5,0)/'4. Billing Determinants'!$F$41*$D63,IF($E63="Non-RPP kWh",VLOOKUP(V$4,'4. Billing Determinants'!$B$19:$R$41,6,0)/'4. Billing Determinants'!$G$41*$D63,IF($E63="Distribution Rev.",VLOOKUP(V$4,'4. Billing Determinants'!$B$19:$R$41,8,0)/'4. Billing Determinants'!$I$41*$D63, VLOOKUP(V$4,'4. Billing Determinants'!$B$19:$R$41,3,0)/'4. Billing Determinants'!$D$41*$D63))))),0)</f>
        <v>0</v>
      </c>
      <c r="W63" s="32">
        <f>IFERROR(IF(W$4="",0,IF($E63="kWh",VLOOKUP(W$4,'4. Billing Determinants'!$B$19:$R$41,4,0)/'4. Billing Determinants'!$E$41*$D63,IF($E63="kW",VLOOKUP(W$4,'4. Billing Determinants'!$B$19:$R$41,5,0)/'4. Billing Determinants'!$F$41*$D63,IF($E63="Non-RPP kWh",VLOOKUP(W$4,'4. Billing Determinants'!$B$19:$R$41,6,0)/'4. Billing Determinants'!$G$41*$D63,IF($E63="Distribution Rev.",VLOOKUP(W$4,'4. Billing Determinants'!$B$19:$R$41,8,0)/'4. Billing Determinants'!$I$41*$D63, VLOOKUP(W$4,'4. Billing Determinants'!$B$19:$R$41,3,0)/'4. Billing Determinants'!$D$41*$D63))))),0)</f>
        <v>0</v>
      </c>
      <c r="X63" s="32">
        <f>IFERROR(IF(X$4="",0,IF($E63="kWh",VLOOKUP(X$4,'4. Billing Determinants'!$B$19:$R$41,4,0)/'4. Billing Determinants'!$E$41*$D63,IF($E63="kW",VLOOKUP(X$4,'4. Billing Determinants'!$B$19:$R$41,5,0)/'4. Billing Determinants'!$F$41*$D63,IF($E63="Non-RPP kWh",VLOOKUP(X$4,'4. Billing Determinants'!$B$19:$R$41,6,0)/'4. Billing Determinants'!$G$41*$D63,IF($E63="Distribution Rev.",VLOOKUP(X$4,'4. Billing Determinants'!$B$19:$R$41,8,0)/'4. Billing Determinants'!$I$41*$D63, VLOOKUP(X$4,'4. Billing Determinants'!$B$19:$R$41,3,0)/'4. Billing Determinants'!$D$41*$D63))))),0)</f>
        <v>0</v>
      </c>
      <c r="Y63" s="32">
        <f>IFERROR(IF(Y$4="",0,IF($E63="kWh",VLOOKUP(Y$4,'4. Billing Determinants'!$B$19:$R$41,4,0)/'4. Billing Determinants'!$E$41*$D63,IF($E63="kW",VLOOKUP(Y$4,'4. Billing Determinants'!$B$19:$R$41,5,0)/'4. Billing Determinants'!$F$41*$D63,IF($E63="Non-RPP kWh",VLOOKUP(Y$4,'4. Billing Determinants'!$B$19:$R$41,6,0)/'4. Billing Determinants'!$G$41*$D63,IF($E63="Distribution Rev.",VLOOKUP(Y$4,'4. Billing Determinants'!$B$19:$R$41,8,0)/'4. Billing Determinants'!$I$41*$D63, VLOOKUP(Y$4,'4. Billing Determinants'!$B$19:$R$41,3,0)/'4. Billing Determinants'!$D$41*$D63))))),0)</f>
        <v>0</v>
      </c>
    </row>
    <row r="64" spans="1:25" ht="37.5" customHeight="1" x14ac:dyDescent="0.2">
      <c r="B64" s="586" t="s">
        <v>453</v>
      </c>
      <c r="C64" s="587">
        <v>1555</v>
      </c>
      <c r="D64" s="588">
        <f>'2b. Continuity Schedule'!BT103</f>
        <v>0</v>
      </c>
      <c r="E64" s="589" t="s">
        <v>139</v>
      </c>
      <c r="F64" s="588">
        <f>IFERROR(IF(F$4="",0,IF($E64="kWh",VLOOKUP(F$4,'4. Billing Determinants'!$B$19:$R$41,4,0)/'4. Billing Determinants'!$E$41*$D64,IF($E64="kW",VLOOKUP(F$4,'4. Billing Determinants'!$B$19:$R$41,5,0)/'4. Billing Determinants'!$F$41*$D64,IF($E64="Non-RPP kWh",VLOOKUP(F$4,'4. Billing Determinants'!$B$19:$R$41,6,0)/'4. Billing Determinants'!$G$41*$D64,IF($E64="Distribution Rev.",VLOOKUP(F$4,'4. Billing Determinants'!$B$19:$R$41,8,0)/'4. Billing Determinants'!$I$41*$D64, VLOOKUP(F$4,'4. Billing Determinants'!$B$19:$R$41,3,0)/'4. Billing Determinants'!$D$41*$D64))))),0)</f>
        <v>0</v>
      </c>
      <c r="G64" s="588">
        <f>IFERROR(IF(G$4="",0,IF($E64="kWh",VLOOKUP(G$4,'4. Billing Determinants'!$B$19:$R$41,4,0)/'4. Billing Determinants'!$E$41*$D64,IF($E64="kW",VLOOKUP(G$4,'4. Billing Determinants'!$B$19:$R$41,5,0)/'4. Billing Determinants'!$F$41*$D64,IF($E64="Non-RPP kWh",VLOOKUP(G$4,'4. Billing Determinants'!$B$19:$R$41,6,0)/'4. Billing Determinants'!$G$41*$D64,IF($E64="Distribution Rev.",VLOOKUP(G$4,'4. Billing Determinants'!$B$19:$R$41,8,0)/'4. Billing Determinants'!$I$41*$D64, VLOOKUP(G$4,'4. Billing Determinants'!$B$19:$R$41,3,0)/'4. Billing Determinants'!$D$41*$D64))))),0)</f>
        <v>0</v>
      </c>
      <c r="H64" s="588">
        <f>IFERROR(IF(H$4="",0,IF($E64="kWh",VLOOKUP(H$4,'4. Billing Determinants'!$B$19:$R$41,4,0)/'4. Billing Determinants'!$E$41*$D64,IF($E64="kW",VLOOKUP(H$4,'4. Billing Determinants'!$B$19:$R$41,5,0)/'4. Billing Determinants'!$F$41*$D64,IF($E64="Non-RPP kWh",VLOOKUP(H$4,'4. Billing Determinants'!$B$19:$R$41,6,0)/'4. Billing Determinants'!$G$41*$D64,IF($E64="Distribution Rev.",VLOOKUP(H$4,'4. Billing Determinants'!$B$19:$R$41,8,0)/'4. Billing Determinants'!$I$41*$D64, VLOOKUP(H$4,'4. Billing Determinants'!$B$19:$R$41,3,0)/'4. Billing Determinants'!$D$41*$D64))))),0)</f>
        <v>0</v>
      </c>
      <c r="I64" s="588">
        <f>IFERROR(IF(I$4="",0,IF($E64="kWh",VLOOKUP(I$4,'4. Billing Determinants'!$B$19:$R$41,4,0)/'4. Billing Determinants'!$E$41*$D64,IF($E64="kW",VLOOKUP(I$4,'4. Billing Determinants'!$B$19:$R$41,5,0)/'4. Billing Determinants'!$F$41*$D64,IF($E64="Non-RPP kWh",VLOOKUP(I$4,'4. Billing Determinants'!$B$19:$R$41,6,0)/'4. Billing Determinants'!$G$41*$D64,IF($E64="Distribution Rev.",VLOOKUP(I$4,'4. Billing Determinants'!$B$19:$R$41,8,0)/'4. Billing Determinants'!$I$41*$D64, VLOOKUP(I$4,'4. Billing Determinants'!$B$19:$R$41,3,0)/'4. Billing Determinants'!$D$41*$D64))))),0)</f>
        <v>0</v>
      </c>
      <c r="J64" s="588">
        <f>IFERROR(IF(J$4="",0,IF($E64="kWh",VLOOKUP(J$4,'4. Billing Determinants'!$B$19:$R$41,4,0)/'4. Billing Determinants'!$E$41*$D64,IF($E64="kW",VLOOKUP(J$4,'4. Billing Determinants'!$B$19:$R$41,5,0)/'4. Billing Determinants'!$F$41*$D64,IF($E64="Non-RPP kWh",VLOOKUP(J$4,'4. Billing Determinants'!$B$19:$R$41,6,0)/'4. Billing Determinants'!$G$41*$D64,IF($E64="Distribution Rev.",VLOOKUP(J$4,'4. Billing Determinants'!$B$19:$R$41,8,0)/'4. Billing Determinants'!$I$41*$D64, VLOOKUP(J$4,'4. Billing Determinants'!$B$19:$R$41,3,0)/'4. Billing Determinants'!$D$41*$D64))))),0)</f>
        <v>0</v>
      </c>
      <c r="K64" s="588">
        <f>IFERROR(IF(K$4="",0,IF($E64="kWh",VLOOKUP(K$4,'4. Billing Determinants'!$B$19:$R$41,4,0)/'4. Billing Determinants'!$E$41*$D64,IF($E64="kW",VLOOKUP(K$4,'4. Billing Determinants'!$B$19:$R$41,5,0)/'4. Billing Determinants'!$F$41*$D64,IF($E64="Non-RPP kWh",VLOOKUP(K$4,'4. Billing Determinants'!$B$19:$R$41,6,0)/'4. Billing Determinants'!$G$41*$D64,IF($E64="Distribution Rev.",VLOOKUP(K$4,'4. Billing Determinants'!$B$19:$R$41,8,0)/'4. Billing Determinants'!$I$41*$D64, VLOOKUP(K$4,'4. Billing Determinants'!$B$19:$R$41,3,0)/'4. Billing Determinants'!$D$41*$D64))))),0)</f>
        <v>0</v>
      </c>
      <c r="L64" s="588">
        <f>IFERROR(IF(L$4="",0,IF($E64="kWh",VLOOKUP(L$4,'4. Billing Determinants'!$B$19:$R$41,4,0)/'4. Billing Determinants'!$E$41*$D64,IF($E64="kW",VLOOKUP(L$4,'4. Billing Determinants'!$B$19:$R$41,5,0)/'4. Billing Determinants'!$F$41*$D64,IF($E64="Non-RPP kWh",VLOOKUP(L$4,'4. Billing Determinants'!$B$19:$R$41,6,0)/'4. Billing Determinants'!$G$41*$D64,IF($E64="Distribution Rev.",VLOOKUP(L$4,'4. Billing Determinants'!$B$19:$R$41,8,0)/'4. Billing Determinants'!$I$41*$D64, VLOOKUP(L$4,'4. Billing Determinants'!$B$19:$R$41,3,0)/'4. Billing Determinants'!$D$41*$D64))))),0)</f>
        <v>0</v>
      </c>
      <c r="M64" s="588">
        <f>IFERROR(IF(M$4="",0,IF($E64="kWh",VLOOKUP(M$4,'4. Billing Determinants'!$B$19:$R$41,4,0)/'4. Billing Determinants'!$E$41*$D64,IF($E64="kW",VLOOKUP(M$4,'4. Billing Determinants'!$B$19:$R$41,5,0)/'4. Billing Determinants'!$F$41*$D64,IF($E64="Non-RPP kWh",VLOOKUP(M$4,'4. Billing Determinants'!$B$19:$R$41,6,0)/'4. Billing Determinants'!$G$41*$D64,IF($E64="Distribution Rev.",VLOOKUP(M$4,'4. Billing Determinants'!$B$19:$R$41,8,0)/'4. Billing Determinants'!$I$41*$D64, VLOOKUP(M$4,'4. Billing Determinants'!$B$19:$R$41,3,0)/'4. Billing Determinants'!$D$41*$D64))))),0)</f>
        <v>0</v>
      </c>
      <c r="N64" s="588">
        <f>IFERROR(IF(N$4="",0,IF($E64="kWh",VLOOKUP(N$4,'4. Billing Determinants'!$B$19:$R$41,4,0)/'4. Billing Determinants'!$E$41*$D64,IF($E64="kW",VLOOKUP(N$4,'4. Billing Determinants'!$B$19:$R$41,5,0)/'4. Billing Determinants'!$F$41*$D64,IF($E64="Non-RPP kWh",VLOOKUP(N$4,'4. Billing Determinants'!$B$19:$R$41,6,0)/'4. Billing Determinants'!$G$41*$D64,IF($E64="Distribution Rev.",VLOOKUP(N$4,'4. Billing Determinants'!$B$19:$R$41,8,0)/'4. Billing Determinants'!$I$41*$D64, VLOOKUP(N$4,'4. Billing Determinants'!$B$19:$R$41,3,0)/'4. Billing Determinants'!$D$41*$D64))))),0)</f>
        <v>0</v>
      </c>
      <c r="O64" s="588">
        <f>IFERROR(IF(O$4="",0,IF($E64="kWh",VLOOKUP(O$4,'4. Billing Determinants'!$B$19:$R$41,4,0)/'4. Billing Determinants'!$E$41*$D64,IF($E64="kW",VLOOKUP(O$4,'4. Billing Determinants'!$B$19:$R$41,5,0)/'4. Billing Determinants'!$F$41*$D64,IF($E64="Non-RPP kWh",VLOOKUP(O$4,'4. Billing Determinants'!$B$19:$R$41,6,0)/'4. Billing Determinants'!$G$41*$D64,IF($E64="Distribution Rev.",VLOOKUP(O$4,'4. Billing Determinants'!$B$19:$R$41,8,0)/'4. Billing Determinants'!$I$41*$D64, VLOOKUP(O$4,'4. Billing Determinants'!$B$19:$R$41,3,0)/'4. Billing Determinants'!$D$41*$D64))))),0)</f>
        <v>0</v>
      </c>
      <c r="P64" s="588">
        <f>IFERROR(IF(P$4="",0,IF($E64="kWh",VLOOKUP(P$4,'4. Billing Determinants'!$B$19:$R$41,4,0)/'4. Billing Determinants'!$E$41*$D64,IF($E64="kW",VLOOKUP(P$4,'4. Billing Determinants'!$B$19:$R$41,5,0)/'4. Billing Determinants'!$F$41*$D64,IF($E64="Non-RPP kWh",VLOOKUP(P$4,'4. Billing Determinants'!$B$19:$R$41,6,0)/'4. Billing Determinants'!$G$41*$D64,IF($E64="Distribution Rev.",VLOOKUP(P$4,'4. Billing Determinants'!$B$19:$R$41,8,0)/'4. Billing Determinants'!$I$41*$D64, VLOOKUP(P$4,'4. Billing Determinants'!$B$19:$R$41,3,0)/'4. Billing Determinants'!$D$41*$D64))))),0)</f>
        <v>0</v>
      </c>
      <c r="Q64" s="32">
        <f>IFERROR(IF(Q$4="",0,IF($E64="kWh",VLOOKUP(Q$4,'4. Billing Determinants'!$B$19:$R$41,4,0)/'4. Billing Determinants'!$E$41*$D64,IF($E64="kW",VLOOKUP(Q$4,'4. Billing Determinants'!$B$19:$R$41,5,0)/'4. Billing Determinants'!$F$41*$D64,IF($E64="Non-RPP kWh",VLOOKUP(Q$4,'4. Billing Determinants'!$B$19:$R$41,6,0)/'4. Billing Determinants'!$G$41*$D64,IF($E64="Distribution Rev.",VLOOKUP(Q$4,'4. Billing Determinants'!$B$19:$R$41,8,0)/'4. Billing Determinants'!$I$41*$D64, VLOOKUP(Q$4,'4. Billing Determinants'!$B$19:$R$41,3,0)/'4. Billing Determinants'!$D$41*$D64))))),0)</f>
        <v>0</v>
      </c>
      <c r="R64" s="32">
        <f>IFERROR(IF(R$4="",0,IF($E64="kWh",VLOOKUP(R$4,'4. Billing Determinants'!$B$19:$R$41,4,0)/'4. Billing Determinants'!$E$41*$D64,IF($E64="kW",VLOOKUP(R$4,'4. Billing Determinants'!$B$19:$R$41,5,0)/'4. Billing Determinants'!$F$41*$D64,IF($E64="Non-RPP kWh",VLOOKUP(R$4,'4. Billing Determinants'!$B$19:$R$41,6,0)/'4. Billing Determinants'!$G$41*$D64,IF($E64="Distribution Rev.",VLOOKUP(R$4,'4. Billing Determinants'!$B$19:$R$41,8,0)/'4. Billing Determinants'!$I$41*$D64, VLOOKUP(R$4,'4. Billing Determinants'!$B$19:$R$41,3,0)/'4. Billing Determinants'!$D$41*$D64))))),0)</f>
        <v>0</v>
      </c>
      <c r="S64" s="32">
        <f>IFERROR(IF(S$4="",0,IF($E64="kWh",VLOOKUP(S$4,'4. Billing Determinants'!$B$19:$R$41,4,0)/'4. Billing Determinants'!$E$41*$D64,IF($E64="kW",VLOOKUP(S$4,'4. Billing Determinants'!$B$19:$R$41,5,0)/'4. Billing Determinants'!$F$41*$D64,IF($E64="Non-RPP kWh",VLOOKUP(S$4,'4. Billing Determinants'!$B$19:$R$41,6,0)/'4. Billing Determinants'!$G$41*$D64,IF($E64="Distribution Rev.",VLOOKUP(S$4,'4. Billing Determinants'!$B$19:$R$41,8,0)/'4. Billing Determinants'!$I$41*$D64, VLOOKUP(S$4,'4. Billing Determinants'!$B$19:$R$41,3,0)/'4. Billing Determinants'!$D$41*$D64))))),0)</f>
        <v>0</v>
      </c>
      <c r="T64" s="32">
        <f>IFERROR(IF(T$4="",0,IF($E64="kWh",VLOOKUP(T$4,'4. Billing Determinants'!$B$19:$R$41,4,0)/'4. Billing Determinants'!$E$41*$D64,IF($E64="kW",VLOOKUP(T$4,'4. Billing Determinants'!$B$19:$R$41,5,0)/'4. Billing Determinants'!$F$41*$D64,IF($E64="Non-RPP kWh",VLOOKUP(T$4,'4. Billing Determinants'!$B$19:$R$41,6,0)/'4. Billing Determinants'!$G$41*$D64,IF($E64="Distribution Rev.",VLOOKUP(T$4,'4. Billing Determinants'!$B$19:$R$41,8,0)/'4. Billing Determinants'!$I$41*$D64, VLOOKUP(T$4,'4. Billing Determinants'!$B$19:$R$41,3,0)/'4. Billing Determinants'!$D$41*$D64))))),0)</f>
        <v>0</v>
      </c>
      <c r="U64" s="32">
        <f>IFERROR(IF(U$4="",0,IF($E64="kWh",VLOOKUP(U$4,'4. Billing Determinants'!$B$19:$R$41,4,0)/'4. Billing Determinants'!$E$41*$D64,IF($E64="kW",VLOOKUP(U$4,'4. Billing Determinants'!$B$19:$R$41,5,0)/'4. Billing Determinants'!$F$41*$D64,IF($E64="Non-RPP kWh",VLOOKUP(U$4,'4. Billing Determinants'!$B$19:$R$41,6,0)/'4. Billing Determinants'!$G$41*$D64,IF($E64="Distribution Rev.",VLOOKUP(U$4,'4. Billing Determinants'!$B$19:$R$41,8,0)/'4. Billing Determinants'!$I$41*$D64, VLOOKUP(U$4,'4. Billing Determinants'!$B$19:$R$41,3,0)/'4. Billing Determinants'!$D$41*$D64))))),0)</f>
        <v>0</v>
      </c>
      <c r="V64" s="32">
        <f>IFERROR(IF(V$4="",0,IF($E64="kWh",VLOOKUP(V$4,'4. Billing Determinants'!$B$19:$R$41,4,0)/'4. Billing Determinants'!$E$41*$D64,IF($E64="kW",VLOOKUP(V$4,'4. Billing Determinants'!$B$19:$R$41,5,0)/'4. Billing Determinants'!$F$41*$D64,IF($E64="Non-RPP kWh",VLOOKUP(V$4,'4. Billing Determinants'!$B$19:$R$41,6,0)/'4. Billing Determinants'!$G$41*$D64,IF($E64="Distribution Rev.",VLOOKUP(V$4,'4. Billing Determinants'!$B$19:$R$41,8,0)/'4. Billing Determinants'!$I$41*$D64, VLOOKUP(V$4,'4. Billing Determinants'!$B$19:$R$41,3,0)/'4. Billing Determinants'!$D$41*$D64))))),0)</f>
        <v>0</v>
      </c>
      <c r="W64" s="32">
        <f>IFERROR(IF(W$4="",0,IF($E64="kWh",VLOOKUP(W$4,'4. Billing Determinants'!$B$19:$R$41,4,0)/'4. Billing Determinants'!$E$41*$D64,IF($E64="kW",VLOOKUP(W$4,'4. Billing Determinants'!$B$19:$R$41,5,0)/'4. Billing Determinants'!$F$41*$D64,IF($E64="Non-RPP kWh",VLOOKUP(W$4,'4. Billing Determinants'!$B$19:$R$41,6,0)/'4. Billing Determinants'!$G$41*$D64,IF($E64="Distribution Rev.",VLOOKUP(W$4,'4. Billing Determinants'!$B$19:$R$41,8,0)/'4. Billing Determinants'!$I$41*$D64, VLOOKUP(W$4,'4. Billing Determinants'!$B$19:$R$41,3,0)/'4. Billing Determinants'!$D$41*$D64))))),0)</f>
        <v>0</v>
      </c>
      <c r="X64" s="32">
        <f>IFERROR(IF(X$4="",0,IF($E64="kWh",VLOOKUP(X$4,'4. Billing Determinants'!$B$19:$R$41,4,0)/'4. Billing Determinants'!$E$41*$D64,IF($E64="kW",VLOOKUP(X$4,'4. Billing Determinants'!$B$19:$R$41,5,0)/'4. Billing Determinants'!$F$41*$D64,IF($E64="Non-RPP kWh",VLOOKUP(X$4,'4. Billing Determinants'!$B$19:$R$41,6,0)/'4. Billing Determinants'!$G$41*$D64,IF($E64="Distribution Rev.",VLOOKUP(X$4,'4. Billing Determinants'!$B$19:$R$41,8,0)/'4. Billing Determinants'!$I$41*$D64, VLOOKUP(X$4,'4. Billing Determinants'!$B$19:$R$41,3,0)/'4. Billing Determinants'!$D$41*$D64))))),0)</f>
        <v>0</v>
      </c>
      <c r="Y64" s="32">
        <f>IFERROR(IF(Y$4="",0,IF($E64="kWh",VLOOKUP(Y$4,'4. Billing Determinants'!$B$19:$R$41,4,0)/'4. Billing Determinants'!$E$41*$D64,IF($E64="kW",VLOOKUP(Y$4,'4. Billing Determinants'!$B$19:$R$41,5,0)/'4. Billing Determinants'!$F$41*$D64,IF($E64="Non-RPP kWh",VLOOKUP(Y$4,'4. Billing Determinants'!$B$19:$R$41,6,0)/'4. Billing Determinants'!$G$41*$D64,IF($E64="Distribution Rev.",VLOOKUP(Y$4,'4. Billing Determinants'!$B$19:$R$41,8,0)/'4. Billing Determinants'!$I$41*$D64, VLOOKUP(Y$4,'4. Billing Determinants'!$B$19:$R$41,3,0)/'4. Billing Determinants'!$D$41*$D64))))),0)</f>
        <v>0</v>
      </c>
    </row>
    <row r="65" spans="1:25" s="617" customFormat="1" ht="12" customHeight="1" x14ac:dyDescent="0.2">
      <c r="A65" s="617">
        <v>41</v>
      </c>
      <c r="B65" s="618" t="s">
        <v>452</v>
      </c>
      <c r="C65" s="619">
        <v>1580</v>
      </c>
      <c r="D65" s="620">
        <f>IF('1. Information Sheet'!L61="Yes",'6.2a CBR B_Allocation'!C29,0)</f>
        <v>-76539.976211500005</v>
      </c>
      <c r="E65" s="621" t="s">
        <v>139</v>
      </c>
      <c r="F65" s="620">
        <f>IFERROR(VLOOKUP(F$4,'6.2 CBR B'!$A$17:$K$36,11,FALSE)*'6.2a CBR B_Allocation'!$C$29,0)</f>
        <v>-38136.305787341851</v>
      </c>
      <c r="G65" s="620">
        <f>IFERROR(VLOOKUP(G$4,'6.2 CBR B'!$A$17:$K$36,11,FALSE)*'6.2a CBR B_Allocation'!$C$29,0)</f>
        <v>-11665.021730636156</v>
      </c>
      <c r="H65" s="620">
        <f>IFERROR(VLOOKUP(H$4,'6.2 CBR B'!$A$17:$K$36,11,FALSE)*'6.2a CBR B_Allocation'!$C$29,0)</f>
        <v>-26262.506516644353</v>
      </c>
      <c r="I65" s="620">
        <f>IFERROR(VLOOKUP(I$4,'6.2 CBR B'!$A$17:$K$36,11,FALSE)*'6.2a CBR B_Allocation'!$C$29,0)</f>
        <v>-118.42051181261949</v>
      </c>
      <c r="J65" s="620">
        <f>IFERROR(VLOOKUP(J$4,'6.2 CBR B'!$A$17:$K$36,11,FALSE)*'6.2a CBR B_Allocation'!$C$29,0)</f>
        <v>-331.59301528918047</v>
      </c>
      <c r="K65" s="620">
        <f>IFERROR(VLOOKUP(K$4,'6.2 CBR B'!$A$17:$K$36,11,FALSE)*'6.2a CBR B_Allocation'!$C$29,0)</f>
        <v>-26.128649775840923</v>
      </c>
      <c r="L65" s="620">
        <f>IFERROR(VLOOKUP(L$4,'6.2 CBR B'!$A$17:$K$36,11,FALSE)*'6.2a CBR B_Allocation'!$C$29,0)</f>
        <v>0</v>
      </c>
      <c r="M65" s="620">
        <f>IFERROR(VLOOKUP(M$4,'6.2 CBR B'!$A$17:$K$36,11,FALSE)*'6.2a CBR B_Allocation'!$C$29,0)</f>
        <v>0</v>
      </c>
      <c r="N65" s="620">
        <f>IFERROR(VLOOKUP(N$4,'6.2 CBR B'!$A$17:$K$36,11,FALSE)*'6.2a CBR B_Allocation'!$C$29,0)</f>
        <v>0</v>
      </c>
      <c r="O65" s="620">
        <f>IFERROR(VLOOKUP(O$4,'6.2 CBR B'!$A$17:$K$36,11,FALSE)*'6.2a CBR B_Allocation'!$C$29,0)</f>
        <v>0</v>
      </c>
      <c r="P65" s="620">
        <f>IFERROR(VLOOKUP(P$4,'6.2 CBR B'!$A$17:$K$36,11,FALSE)*'6.2a CBR B_Allocation'!$C$29,0)</f>
        <v>0</v>
      </c>
      <c r="Q65" s="480">
        <f>IFERROR(VLOOKUP(Q$4,'6.2 CBR B'!$A$17:$K$36,11,FALSE)*'6.2a CBR B_Allocation'!$C$29,0)</f>
        <v>0</v>
      </c>
      <c r="R65" s="480">
        <f>IFERROR(VLOOKUP(R$4,'6.2 CBR B'!$A$17:$K$36,11,FALSE)*'6.2a CBR B_Allocation'!$C$29,0)</f>
        <v>0</v>
      </c>
      <c r="S65" s="480">
        <f>IFERROR(VLOOKUP(S$4,'6.2 CBR B'!$A$17:$K$36,11,FALSE)*'6.2a CBR B_Allocation'!$C$29,0)</f>
        <v>0</v>
      </c>
      <c r="T65" s="480">
        <f>IFERROR(VLOOKUP(T$4,'6.2 CBR B'!$A$17:$K$36,11,FALSE)*'6.2a CBR B_Allocation'!$C$29,0)</f>
        <v>0</v>
      </c>
      <c r="U65" s="480">
        <f>IFERROR(VLOOKUP(U$4,'6.2 CBR B'!$A$17:$K$36,11,FALSE)*'6.2a CBR B_Allocation'!$C$29,0)</f>
        <v>0</v>
      </c>
      <c r="V65" s="480">
        <f>IFERROR(VLOOKUP(V$4,'6.2 CBR B'!$A$17:$K$36,11,FALSE)*'6.2a CBR B_Allocation'!$C$29,0)</f>
        <v>0</v>
      </c>
      <c r="W65" s="480">
        <f>IFERROR(VLOOKUP(W$4,'6.2 CBR B'!$A$17:$K$36,11,FALSE)*'6.2a CBR B_Allocation'!$C$29,0)</f>
        <v>0</v>
      </c>
      <c r="X65" s="480">
        <f>IFERROR(VLOOKUP(X$4,'6.2 CBR B'!$A$17:$K$36,11,FALSE)*'6.2a CBR B_Allocation'!$C$29,0)</f>
        <v>0</v>
      </c>
      <c r="Y65" s="480">
        <f>IFERROR(VLOOKUP(Y$4,'6.2 CBR B'!$A$17:$K$36,11,FALSE)*'6.2a CBR B_Allocation'!$C$29,0)</f>
        <v>0</v>
      </c>
    </row>
    <row r="66" spans="1:25" x14ac:dyDescent="0.2">
      <c r="A66" s="37">
        <v>42</v>
      </c>
      <c r="B66" s="615"/>
      <c r="C66" s="615"/>
      <c r="D66" s="616"/>
      <c r="E66" s="616"/>
      <c r="F66" s="616"/>
      <c r="G66" s="616"/>
      <c r="H66" s="616"/>
      <c r="I66" s="616"/>
      <c r="J66" s="616"/>
      <c r="K66" s="616"/>
      <c r="L66" s="616"/>
      <c r="M66" s="616"/>
      <c r="N66" s="616"/>
      <c r="O66" s="616"/>
      <c r="P66" s="616"/>
      <c r="Q66" s="616"/>
      <c r="R66" s="616"/>
      <c r="S66" s="616"/>
      <c r="T66" s="616"/>
      <c r="U66" s="616"/>
      <c r="V66" s="616"/>
      <c r="W66" s="616"/>
      <c r="X66" s="616"/>
      <c r="Y66" s="616"/>
    </row>
    <row r="67" spans="1:25" s="481" customFormat="1" x14ac:dyDescent="0.2">
      <c r="A67" s="481">
        <v>43</v>
      </c>
      <c r="B67" s="811" t="s">
        <v>147</v>
      </c>
      <c r="C67" s="811"/>
      <c r="D67" s="480">
        <f>SUM(F67:Y67)</f>
        <v>435507.75578899996</v>
      </c>
      <c r="E67" s="479"/>
      <c r="F67" s="480">
        <f>SUM(F5,F6,F8,F9,F12:F19)</f>
        <v>196016.94670578942</v>
      </c>
      <c r="G67" s="480">
        <f>SUM(G5,G6,G8,G9,G12:G19)</f>
        <v>62953.752486932033</v>
      </c>
      <c r="H67" s="480">
        <f t="shared" ref="H67:Y67" si="3">SUM(H5,H6,H8,H9,H12:H19)</f>
        <v>173896.68988682935</v>
      </c>
      <c r="I67" s="480">
        <f t="shared" si="3"/>
        <v>656.6811181407403</v>
      </c>
      <c r="J67" s="480">
        <f t="shared" si="3"/>
        <v>1838.7935393516339</v>
      </c>
      <c r="K67" s="480">
        <f t="shared" si="3"/>
        <v>144.89205195681782</v>
      </c>
      <c r="L67" s="480">
        <f t="shared" si="3"/>
        <v>0</v>
      </c>
      <c r="M67" s="480">
        <f t="shared" si="3"/>
        <v>0</v>
      </c>
      <c r="N67" s="480">
        <f t="shared" si="3"/>
        <v>0</v>
      </c>
      <c r="O67" s="480">
        <f t="shared" si="3"/>
        <v>0</v>
      </c>
      <c r="P67" s="480">
        <f t="shared" si="3"/>
        <v>0</v>
      </c>
      <c r="Q67" s="480">
        <f t="shared" si="3"/>
        <v>0</v>
      </c>
      <c r="R67" s="480">
        <f t="shared" si="3"/>
        <v>0</v>
      </c>
      <c r="S67" s="480">
        <f t="shared" si="3"/>
        <v>0</v>
      </c>
      <c r="T67" s="480">
        <f t="shared" si="3"/>
        <v>0</v>
      </c>
      <c r="U67" s="480">
        <f t="shared" si="3"/>
        <v>0</v>
      </c>
      <c r="V67" s="480">
        <f t="shared" si="3"/>
        <v>0</v>
      </c>
      <c r="W67" s="480">
        <f t="shared" si="3"/>
        <v>0</v>
      </c>
      <c r="X67" s="480">
        <f t="shared" si="3"/>
        <v>0</v>
      </c>
      <c r="Y67" s="480">
        <f t="shared" si="3"/>
        <v>0</v>
      </c>
    </row>
    <row r="68" spans="1:25" s="481" customFormat="1" x14ac:dyDescent="0.2">
      <c r="A68" s="481">
        <v>44</v>
      </c>
      <c r="B68" s="811" t="s">
        <v>149</v>
      </c>
      <c r="C68" s="811"/>
      <c r="D68" s="480">
        <f>SUM(F68:Y68)</f>
        <v>-273665.38329125097</v>
      </c>
      <c r="E68" s="480"/>
      <c r="F68" s="480">
        <f t="shared" ref="F68:Y68" si="4">SUM(F7,F10)</f>
        <v>-127842.03916239837</v>
      </c>
      <c r="G68" s="480">
        <f t="shared" si="4"/>
        <v>-39103.949219255504</v>
      </c>
      <c r="H68" s="480">
        <f t="shared" si="4"/>
        <v>-105123.25219030236</v>
      </c>
      <c r="I68" s="480">
        <f t="shared" si="4"/>
        <v>-396.97394375847284</v>
      </c>
      <c r="J68" s="480">
        <f t="shared" si="4"/>
        <v>-1111.5792778399559</v>
      </c>
      <c r="K68" s="480">
        <f t="shared" si="4"/>
        <v>-87.58949769624428</v>
      </c>
      <c r="L68" s="480">
        <f t="shared" si="4"/>
        <v>0</v>
      </c>
      <c r="M68" s="480">
        <f t="shared" si="4"/>
        <v>0</v>
      </c>
      <c r="N68" s="480">
        <f t="shared" si="4"/>
        <v>0</v>
      </c>
      <c r="O68" s="480">
        <f t="shared" si="4"/>
        <v>0</v>
      </c>
      <c r="P68" s="480">
        <f t="shared" si="4"/>
        <v>0</v>
      </c>
      <c r="Q68" s="480">
        <f t="shared" si="4"/>
        <v>0</v>
      </c>
      <c r="R68" s="480">
        <f t="shared" si="4"/>
        <v>0</v>
      </c>
      <c r="S68" s="480">
        <f t="shared" si="4"/>
        <v>0</v>
      </c>
      <c r="T68" s="480">
        <f t="shared" si="4"/>
        <v>0</v>
      </c>
      <c r="U68" s="480">
        <f t="shared" si="4"/>
        <v>0</v>
      </c>
      <c r="V68" s="480">
        <f t="shared" si="4"/>
        <v>0</v>
      </c>
      <c r="W68" s="480">
        <f t="shared" si="4"/>
        <v>0</v>
      </c>
      <c r="X68" s="480">
        <f t="shared" si="4"/>
        <v>0</v>
      </c>
      <c r="Y68" s="480">
        <f t="shared" si="4"/>
        <v>0</v>
      </c>
    </row>
    <row r="69" spans="1:25" s="481" customFormat="1" x14ac:dyDescent="0.2">
      <c r="A69" s="481">
        <v>45</v>
      </c>
      <c r="B69" s="811" t="s">
        <v>2872</v>
      </c>
      <c r="C69" s="811"/>
      <c r="D69" s="480">
        <f>SUM(F69:Y69)</f>
        <v>-73878.999364249423</v>
      </c>
      <c r="E69" s="480"/>
      <c r="F69" s="480">
        <f t="shared" ref="F69:Y69" si="5">F11</f>
        <v>-1497.5418548176904</v>
      </c>
      <c r="G69" s="480">
        <f t="shared" si="5"/>
        <v>-5710.4810908746504</v>
      </c>
      <c r="H69" s="480">
        <f t="shared" si="5"/>
        <v>-65663.645692044083</v>
      </c>
      <c r="I69" s="480">
        <f t="shared" si="5"/>
        <v>0</v>
      </c>
      <c r="J69" s="480">
        <f t="shared" si="5"/>
        <v>-1007.3307265130051</v>
      </c>
      <c r="K69" s="480">
        <f t="shared" si="5"/>
        <v>0</v>
      </c>
      <c r="L69" s="480">
        <f t="shared" si="5"/>
        <v>0</v>
      </c>
      <c r="M69" s="480">
        <f t="shared" si="5"/>
        <v>0</v>
      </c>
      <c r="N69" s="480">
        <f t="shared" si="5"/>
        <v>0</v>
      </c>
      <c r="O69" s="480">
        <f t="shared" si="5"/>
        <v>0</v>
      </c>
      <c r="P69" s="480">
        <f t="shared" si="5"/>
        <v>0</v>
      </c>
      <c r="Q69" s="480">
        <f t="shared" si="5"/>
        <v>0</v>
      </c>
      <c r="R69" s="480">
        <f t="shared" si="5"/>
        <v>0</v>
      </c>
      <c r="S69" s="480">
        <f t="shared" si="5"/>
        <v>0</v>
      </c>
      <c r="T69" s="480">
        <f t="shared" si="5"/>
        <v>0</v>
      </c>
      <c r="U69" s="480">
        <f t="shared" si="5"/>
        <v>0</v>
      </c>
      <c r="V69" s="480">
        <f t="shared" si="5"/>
        <v>0</v>
      </c>
      <c r="W69" s="480">
        <f t="shared" si="5"/>
        <v>0</v>
      </c>
      <c r="X69" s="480">
        <f t="shared" si="5"/>
        <v>0</v>
      </c>
      <c r="Y69" s="480">
        <f t="shared" si="5"/>
        <v>0</v>
      </c>
    </row>
    <row r="70" spans="1:25" x14ac:dyDescent="0.2">
      <c r="A70" s="37">
        <v>46</v>
      </c>
    </row>
    <row r="71" spans="1:25" s="240" customFormat="1" hidden="1" x14ac:dyDescent="0.2">
      <c r="A71" s="37">
        <v>47</v>
      </c>
      <c r="B71" s="812" t="s">
        <v>152</v>
      </c>
      <c r="C71" s="812"/>
      <c r="D71" s="241">
        <f>SUM(F71:Y71)</f>
        <v>0</v>
      </c>
      <c r="E71" s="241"/>
      <c r="F71" s="241">
        <f>'4. Billing Determinants'!$N21*'2b. Continuity Schedule'!$BT$45</f>
        <v>0</v>
      </c>
      <c r="G71" s="241">
        <f>'4. Billing Determinants'!$N22*'2b. Continuity Schedule'!$BT$45</f>
        <v>0</v>
      </c>
      <c r="H71" s="241">
        <f>'4. Billing Determinants'!$N23*'2b. Continuity Schedule'!$BT$45</f>
        <v>0</v>
      </c>
      <c r="I71" s="241">
        <f>'4. Billing Determinants'!$N24*'2b. Continuity Schedule'!$BT$45</f>
        <v>0</v>
      </c>
      <c r="J71" s="241">
        <f>'4. Billing Determinants'!$N25*'2b. Continuity Schedule'!$BT$45</f>
        <v>0</v>
      </c>
      <c r="K71" s="241">
        <f>'4. Billing Determinants'!$N26*'2b. Continuity Schedule'!$BT$45</f>
        <v>0</v>
      </c>
      <c r="L71" s="241">
        <f>'4. Billing Determinants'!$N27*'2b. Continuity Schedule'!$BT$45</f>
        <v>0</v>
      </c>
      <c r="M71" s="241">
        <f>'4. Billing Determinants'!$N28*'2b. Continuity Schedule'!$BT$45</f>
        <v>0</v>
      </c>
      <c r="N71" s="241">
        <f>'4. Billing Determinants'!$N29*'2b. Continuity Schedule'!$BT$45</f>
        <v>0</v>
      </c>
      <c r="O71" s="241">
        <f>'4. Billing Determinants'!$N30*'2b. Continuity Schedule'!$BT$45</f>
        <v>0</v>
      </c>
      <c r="P71" s="241">
        <f>'4. Billing Determinants'!$N31*'2b. Continuity Schedule'!$BT$45</f>
        <v>0</v>
      </c>
      <c r="Q71" s="241">
        <f>'4. Billing Determinants'!$N32*'2b. Continuity Schedule'!$BT$45</f>
        <v>0</v>
      </c>
      <c r="R71" s="241">
        <f>'4. Billing Determinants'!$N33*'2b. Continuity Schedule'!$BT$45</f>
        <v>0</v>
      </c>
      <c r="S71" s="241">
        <f>'4. Billing Determinants'!$N34*'2b. Continuity Schedule'!$BT$45</f>
        <v>0</v>
      </c>
      <c r="T71" s="241">
        <f>'4. Billing Determinants'!$N35*'2b. Continuity Schedule'!$BT$45</f>
        <v>0</v>
      </c>
      <c r="U71" s="241">
        <f>'4. Billing Determinants'!$N36*'2b. Continuity Schedule'!$BT$45</f>
        <v>0</v>
      </c>
      <c r="V71" s="241">
        <f>'4. Billing Determinants'!$N37*'2b. Continuity Schedule'!$BT$45</f>
        <v>0</v>
      </c>
      <c r="W71" s="241">
        <f>'4. Billing Determinants'!$N38*'2b. Continuity Schedule'!$BT$45</f>
        <v>0</v>
      </c>
      <c r="X71" s="241">
        <f>'4. Billing Determinants'!$N39*'2b. Continuity Schedule'!$BT$45</f>
        <v>0</v>
      </c>
      <c r="Y71" s="241">
        <f>'4. Billing Determinants'!$N40*'2b. Continuity Schedule'!$BT$45</f>
        <v>0</v>
      </c>
    </row>
    <row r="72" spans="1:25" x14ac:dyDescent="0.2">
      <c r="A72" s="37">
        <v>48</v>
      </c>
    </row>
    <row r="73" spans="1:25" s="482" customFormat="1" x14ac:dyDescent="0.2">
      <c r="A73" s="482">
        <v>49</v>
      </c>
      <c r="B73" s="811" t="s">
        <v>3459</v>
      </c>
      <c r="C73" s="811"/>
      <c r="D73" s="480">
        <f>SUM(F73:Y73)</f>
        <v>-548556.80115133675</v>
      </c>
      <c r="E73" s="479"/>
      <c r="F73" s="480">
        <f>SUM(F22:F52)+F57+F63+F64</f>
        <v>-235082.04212603142</v>
      </c>
      <c r="G73" s="480">
        <f t="shared" ref="G73:Y73" si="6">SUM(G22:G52)+G57+G63+G64</f>
        <v>-80611.52975976927</v>
      </c>
      <c r="H73" s="480">
        <f t="shared" si="6"/>
        <v>-239320.74606140124</v>
      </c>
      <c r="I73" s="480">
        <f t="shared" si="6"/>
        <v>-799.61661558349351</v>
      </c>
      <c r="J73" s="480">
        <f t="shared" si="6"/>
        <v>6996.9157239299657</v>
      </c>
      <c r="K73" s="480">
        <f t="shared" si="6"/>
        <v>260.21768751869666</v>
      </c>
      <c r="L73" s="480">
        <f t="shared" si="6"/>
        <v>0</v>
      </c>
      <c r="M73" s="480">
        <f t="shared" si="6"/>
        <v>0</v>
      </c>
      <c r="N73" s="480">
        <f t="shared" si="6"/>
        <v>0</v>
      </c>
      <c r="O73" s="480">
        <f t="shared" si="6"/>
        <v>0</v>
      </c>
      <c r="P73" s="480">
        <f t="shared" si="6"/>
        <v>0</v>
      </c>
      <c r="Q73" s="480">
        <f t="shared" si="6"/>
        <v>0</v>
      </c>
      <c r="R73" s="480">
        <f t="shared" si="6"/>
        <v>0</v>
      </c>
      <c r="S73" s="480">
        <f t="shared" si="6"/>
        <v>0</v>
      </c>
      <c r="T73" s="480">
        <f t="shared" si="6"/>
        <v>0</v>
      </c>
      <c r="U73" s="480">
        <f t="shared" si="6"/>
        <v>0</v>
      </c>
      <c r="V73" s="480">
        <f t="shared" si="6"/>
        <v>0</v>
      </c>
      <c r="W73" s="480">
        <f t="shared" si="6"/>
        <v>0</v>
      </c>
      <c r="X73" s="480">
        <f t="shared" si="6"/>
        <v>0</v>
      </c>
      <c r="Y73" s="480">
        <f t="shared" si="6"/>
        <v>0</v>
      </c>
    </row>
    <row r="74" spans="1:25" x14ac:dyDescent="0.2">
      <c r="A74" s="37">
        <v>50</v>
      </c>
    </row>
    <row r="75" spans="1:25" x14ac:dyDescent="0.2">
      <c r="A75" s="37">
        <v>51</v>
      </c>
      <c r="B75" s="30" t="s">
        <v>124</v>
      </c>
      <c r="C75" s="31">
        <v>1575</v>
      </c>
      <c r="D75" s="32">
        <f>'2b. Continuity Schedule'!BT107</f>
        <v>0</v>
      </c>
      <c r="E75" s="48" t="s">
        <v>139</v>
      </c>
      <c r="F75" s="32">
        <f>IFERROR(IF(F$4="",0,IF($E75="kWh",VLOOKUP(F$4,'4. Billing Determinants'!$B$19:$R$41,4,0)/'4. Billing Determinants'!$E$41*$D75,IF($E75="kW",VLOOKUP(F$4,'4. Billing Determinants'!$B$19:$R$41,5,0)/'4. Billing Determinants'!$F$41*$D75,IF($E75="Non-RPP kWh",VLOOKUP(F$4,'4. Billing Determinants'!$B$19:$R$41,6,0)/'4. Billing Determinants'!$G$41*$D75,IF($E75="Distribution Rev.",VLOOKUP(F$4,'4. Billing Determinants'!$B$19:$R$41,8,0)/'4. Billing Determinants'!$I$41*$D75, VLOOKUP(F$4,'4. Billing Determinants'!$B$19:$R$41,3,0)/'4. Billing Determinants'!$D$41*$D75))))),0)</f>
        <v>0</v>
      </c>
      <c r="G75" s="32">
        <f>IFERROR(IF(G$4="",0,IF($E75="kWh",VLOOKUP(G$4,'4. Billing Determinants'!$B$19:$R$41,4,0)/'4. Billing Determinants'!$E$41*$D75,IF($E75="kW",VLOOKUP(G$4,'4. Billing Determinants'!$B$19:$R$41,5,0)/'4. Billing Determinants'!$F$41*$D75,IF($E75="Non-RPP kWh",VLOOKUP(G$4,'4. Billing Determinants'!$B$19:$R$41,6,0)/'4. Billing Determinants'!$G$41*$D75,IF($E75="Distribution Rev.",VLOOKUP(G$4,'4. Billing Determinants'!$B$19:$R$41,8,0)/'4. Billing Determinants'!$I$41*$D75, VLOOKUP(G$4,'4. Billing Determinants'!$B$19:$R$41,3,0)/'4. Billing Determinants'!$D$41*$D75))))),0)</f>
        <v>0</v>
      </c>
      <c r="H75" s="32">
        <f>IFERROR(IF(H$4="",0,IF($E75="kWh",VLOOKUP(H$4,'4. Billing Determinants'!$B$19:$R$41,4,0)/'4. Billing Determinants'!$E$41*$D75,IF($E75="kW",VLOOKUP(H$4,'4. Billing Determinants'!$B$19:$R$41,5,0)/'4. Billing Determinants'!$F$41*$D75,IF($E75="Non-RPP kWh",VLOOKUP(H$4,'4. Billing Determinants'!$B$19:$R$41,6,0)/'4. Billing Determinants'!$G$41*$D75,IF($E75="Distribution Rev.",VLOOKUP(H$4,'4. Billing Determinants'!$B$19:$R$41,8,0)/'4. Billing Determinants'!$I$41*$D75, VLOOKUP(H$4,'4. Billing Determinants'!$B$19:$R$41,3,0)/'4. Billing Determinants'!$D$41*$D75))))),0)</f>
        <v>0</v>
      </c>
      <c r="I75" s="32">
        <f>IFERROR(IF(I$4="",0,IF($E75="kWh",VLOOKUP(I$4,'4. Billing Determinants'!$B$19:$R$41,4,0)/'4. Billing Determinants'!$E$41*$D75,IF($E75="kW",VLOOKUP(I$4,'4. Billing Determinants'!$B$19:$R$41,5,0)/'4. Billing Determinants'!$F$41*$D75,IF($E75="Non-RPP kWh",VLOOKUP(I$4,'4. Billing Determinants'!$B$19:$R$41,6,0)/'4. Billing Determinants'!$G$41*$D75,IF($E75="Distribution Rev.",VLOOKUP(I$4,'4. Billing Determinants'!$B$19:$R$41,8,0)/'4. Billing Determinants'!$I$41*$D75, VLOOKUP(I$4,'4. Billing Determinants'!$B$19:$R$41,3,0)/'4. Billing Determinants'!$D$41*$D75))))),0)</f>
        <v>0</v>
      </c>
      <c r="J75" s="32">
        <f>IFERROR(IF(J$4="",0,IF($E75="kWh",VLOOKUP(J$4,'4. Billing Determinants'!$B$19:$R$41,4,0)/'4. Billing Determinants'!$E$41*$D75,IF($E75="kW",VLOOKUP(J$4,'4. Billing Determinants'!$B$19:$R$41,5,0)/'4. Billing Determinants'!$F$41*$D75,IF($E75="Non-RPP kWh",VLOOKUP(J$4,'4. Billing Determinants'!$B$19:$R$41,6,0)/'4. Billing Determinants'!$G$41*$D75,IF($E75="Distribution Rev.",VLOOKUP(J$4,'4. Billing Determinants'!$B$19:$R$41,8,0)/'4. Billing Determinants'!$I$41*$D75, VLOOKUP(J$4,'4. Billing Determinants'!$B$19:$R$41,3,0)/'4. Billing Determinants'!$D$41*$D75))))),0)</f>
        <v>0</v>
      </c>
      <c r="K75" s="32">
        <f>IFERROR(IF(K$4="",0,IF($E75="kWh",VLOOKUP(K$4,'4. Billing Determinants'!$B$19:$R$41,4,0)/'4. Billing Determinants'!$E$41*$D75,IF($E75="kW",VLOOKUP(K$4,'4. Billing Determinants'!$B$19:$R$41,5,0)/'4. Billing Determinants'!$F$41*$D75,IF($E75="Non-RPP kWh",VLOOKUP(K$4,'4. Billing Determinants'!$B$19:$R$41,6,0)/'4. Billing Determinants'!$G$41*$D75,IF($E75="Distribution Rev.",VLOOKUP(K$4,'4. Billing Determinants'!$B$19:$R$41,8,0)/'4. Billing Determinants'!$I$41*$D75, VLOOKUP(K$4,'4. Billing Determinants'!$B$19:$R$41,3,0)/'4. Billing Determinants'!$D$41*$D75))))),0)</f>
        <v>0</v>
      </c>
      <c r="L75" s="32">
        <f>IFERROR(IF(L$4="",0,IF($E75="kWh",VLOOKUP(L$4,'4. Billing Determinants'!$B$19:$R$41,4,0)/'4. Billing Determinants'!$E$41*$D75,IF($E75="kW",VLOOKUP(L$4,'4. Billing Determinants'!$B$19:$R$41,5,0)/'4. Billing Determinants'!$F$41*$D75,IF($E75="Non-RPP kWh",VLOOKUP(L$4,'4. Billing Determinants'!$B$19:$R$41,6,0)/'4. Billing Determinants'!$G$41*$D75,IF($E75="Distribution Rev.",VLOOKUP(L$4,'4. Billing Determinants'!$B$19:$R$41,8,0)/'4. Billing Determinants'!$I$41*$D75, VLOOKUP(L$4,'4. Billing Determinants'!$B$19:$R$41,3,0)/'4. Billing Determinants'!$D$41*$D75))))),0)</f>
        <v>0</v>
      </c>
      <c r="M75" s="32">
        <f>IFERROR(IF(M$4="",0,IF($E75="kWh",VLOOKUP(M$4,'4. Billing Determinants'!$B$19:$R$41,4,0)/'4. Billing Determinants'!$E$41*$D75,IF($E75="kW",VLOOKUP(M$4,'4. Billing Determinants'!$B$19:$R$41,5,0)/'4. Billing Determinants'!$F$41*$D75,IF($E75="Non-RPP kWh",VLOOKUP(M$4,'4. Billing Determinants'!$B$19:$R$41,6,0)/'4. Billing Determinants'!$G$41*$D75,IF($E75="Distribution Rev.",VLOOKUP(M$4,'4. Billing Determinants'!$B$19:$R$41,8,0)/'4. Billing Determinants'!$I$41*$D75, VLOOKUP(M$4,'4. Billing Determinants'!$B$19:$R$41,3,0)/'4. Billing Determinants'!$D$41*$D75))))),0)</f>
        <v>0</v>
      </c>
      <c r="N75" s="32">
        <f>IFERROR(IF(N$4="",0,IF($E75="kWh",VLOOKUP(N$4,'4. Billing Determinants'!$B$19:$R$41,4,0)/'4. Billing Determinants'!$E$41*$D75,IF($E75="kW",VLOOKUP(N$4,'4. Billing Determinants'!$B$19:$R$41,5,0)/'4. Billing Determinants'!$F$41*$D75,IF($E75="Non-RPP kWh",VLOOKUP(N$4,'4. Billing Determinants'!$B$19:$R$41,6,0)/'4. Billing Determinants'!$G$41*$D75,IF($E75="Distribution Rev.",VLOOKUP(N$4,'4. Billing Determinants'!$B$19:$R$41,8,0)/'4. Billing Determinants'!$I$41*$D75, VLOOKUP(N$4,'4. Billing Determinants'!$B$19:$R$41,3,0)/'4. Billing Determinants'!$D$41*$D75))))),0)</f>
        <v>0</v>
      </c>
      <c r="O75" s="32">
        <f>IFERROR(IF(O$4="",0,IF($E75="kWh",VLOOKUP(O$4,'4. Billing Determinants'!$B$19:$R$41,4,0)/'4. Billing Determinants'!$E$41*$D75,IF($E75="kW",VLOOKUP(O$4,'4. Billing Determinants'!$B$19:$R$41,5,0)/'4. Billing Determinants'!$F$41*$D75,IF($E75="Non-RPP kWh",VLOOKUP(O$4,'4. Billing Determinants'!$B$19:$R$41,6,0)/'4. Billing Determinants'!$G$41*$D75,IF($E75="Distribution Rev.",VLOOKUP(O$4,'4. Billing Determinants'!$B$19:$R$41,8,0)/'4. Billing Determinants'!$I$41*$D75, VLOOKUP(O$4,'4. Billing Determinants'!$B$19:$R$41,3,0)/'4. Billing Determinants'!$D$41*$D75))))),0)</f>
        <v>0</v>
      </c>
      <c r="P75" s="32">
        <f>IFERROR(IF(P$4="",0,IF($E75="kWh",VLOOKUP(P$4,'4. Billing Determinants'!$B$19:$R$41,4,0)/'4. Billing Determinants'!$E$41*$D75,IF($E75="kW",VLOOKUP(P$4,'4. Billing Determinants'!$B$19:$R$41,5,0)/'4. Billing Determinants'!$F$41*$D75,IF($E75="Non-RPP kWh",VLOOKUP(P$4,'4. Billing Determinants'!$B$19:$R$41,6,0)/'4. Billing Determinants'!$G$41*$D75,IF($E75="Distribution Rev.",VLOOKUP(P$4,'4. Billing Determinants'!$B$19:$R$41,8,0)/'4. Billing Determinants'!$I$41*$D75, VLOOKUP(P$4,'4. Billing Determinants'!$B$19:$R$41,3,0)/'4. Billing Determinants'!$D$41*$D75))))),0)</f>
        <v>0</v>
      </c>
      <c r="Q75" s="32">
        <f>IFERROR(IF(Q$4="",0,IF($E75="kWh",VLOOKUP(Q$4,'4. Billing Determinants'!$B$19:$R$41,4,0)/'4. Billing Determinants'!$E$41*$D75,IF($E75="kW",VLOOKUP(Q$4,'4. Billing Determinants'!$B$19:$R$41,5,0)/'4. Billing Determinants'!$F$41*$D75,IF($E75="Non-RPP kWh",VLOOKUP(Q$4,'4. Billing Determinants'!$B$19:$R$41,6,0)/'4. Billing Determinants'!$G$41*$D75,IF($E75="Distribution Rev.",VLOOKUP(Q$4,'4. Billing Determinants'!$B$19:$R$41,8,0)/'4. Billing Determinants'!$I$41*$D75, VLOOKUP(Q$4,'4. Billing Determinants'!$B$19:$R$41,3,0)/'4. Billing Determinants'!$D$41*$D75))))),0)</f>
        <v>0</v>
      </c>
      <c r="R75" s="32">
        <f>IFERROR(IF(R$4="",0,IF($E75="kWh",VLOOKUP(R$4,'4. Billing Determinants'!$B$19:$R$41,4,0)/'4. Billing Determinants'!$E$41*$D75,IF($E75="kW",VLOOKUP(R$4,'4. Billing Determinants'!$B$19:$R$41,5,0)/'4. Billing Determinants'!$F$41*$D75,IF($E75="Non-RPP kWh",VLOOKUP(R$4,'4. Billing Determinants'!$B$19:$R$41,6,0)/'4. Billing Determinants'!$G$41*$D75,IF($E75="Distribution Rev.",VLOOKUP(R$4,'4. Billing Determinants'!$B$19:$R$41,8,0)/'4. Billing Determinants'!$I$41*$D75, VLOOKUP(R$4,'4. Billing Determinants'!$B$19:$R$41,3,0)/'4. Billing Determinants'!$D$41*$D75))))),0)</f>
        <v>0</v>
      </c>
      <c r="S75" s="32">
        <f>IFERROR(IF(S$4="",0,IF($E75="kWh",VLOOKUP(S$4,'4. Billing Determinants'!$B$19:$R$41,4,0)/'4. Billing Determinants'!$E$41*$D75,IF($E75="kW",VLOOKUP(S$4,'4. Billing Determinants'!$B$19:$R$41,5,0)/'4. Billing Determinants'!$F$41*$D75,IF($E75="Non-RPP kWh",VLOOKUP(S$4,'4. Billing Determinants'!$B$19:$R$41,6,0)/'4. Billing Determinants'!$G$41*$D75,IF($E75="Distribution Rev.",VLOOKUP(S$4,'4. Billing Determinants'!$B$19:$R$41,8,0)/'4. Billing Determinants'!$I$41*$D75, VLOOKUP(S$4,'4. Billing Determinants'!$B$19:$R$41,3,0)/'4. Billing Determinants'!$D$41*$D75))))),0)</f>
        <v>0</v>
      </c>
      <c r="T75" s="32">
        <f>IFERROR(IF(T$4="",0,IF($E75="kWh",VLOOKUP(T$4,'4. Billing Determinants'!$B$19:$R$41,4,0)/'4. Billing Determinants'!$E$41*$D75,IF($E75="kW",VLOOKUP(T$4,'4. Billing Determinants'!$B$19:$R$41,5,0)/'4. Billing Determinants'!$F$41*$D75,IF($E75="Non-RPP kWh",VLOOKUP(T$4,'4. Billing Determinants'!$B$19:$R$41,6,0)/'4. Billing Determinants'!$G$41*$D75,IF($E75="Distribution Rev.",VLOOKUP(T$4,'4. Billing Determinants'!$B$19:$R$41,8,0)/'4. Billing Determinants'!$I$41*$D75, VLOOKUP(T$4,'4. Billing Determinants'!$B$19:$R$41,3,0)/'4. Billing Determinants'!$D$41*$D75))))),0)</f>
        <v>0</v>
      </c>
      <c r="U75" s="32">
        <f>IFERROR(IF(U$4="",0,IF($E75="kWh",VLOOKUP(U$4,'4. Billing Determinants'!$B$19:$R$41,4,0)/'4. Billing Determinants'!$E$41*$D75,IF($E75="kW",VLOOKUP(U$4,'4. Billing Determinants'!$B$19:$R$41,5,0)/'4. Billing Determinants'!$F$41*$D75,IF($E75="Non-RPP kWh",VLOOKUP(U$4,'4. Billing Determinants'!$B$19:$R$41,6,0)/'4. Billing Determinants'!$G$41*$D75,IF($E75="Distribution Rev.",VLOOKUP(U$4,'4. Billing Determinants'!$B$19:$R$41,8,0)/'4. Billing Determinants'!$I$41*$D75, VLOOKUP(U$4,'4. Billing Determinants'!$B$19:$R$41,3,0)/'4. Billing Determinants'!$D$41*$D75))))),0)</f>
        <v>0</v>
      </c>
      <c r="V75" s="32">
        <f>IFERROR(IF(V$4="",0,IF($E75="kWh",VLOOKUP(V$4,'4. Billing Determinants'!$B$19:$R$41,4,0)/'4. Billing Determinants'!$E$41*$D75,IF($E75="kW",VLOOKUP(V$4,'4. Billing Determinants'!$B$19:$R$41,5,0)/'4. Billing Determinants'!$F$41*$D75,IF($E75="Non-RPP kWh",VLOOKUP(V$4,'4. Billing Determinants'!$B$19:$R$41,6,0)/'4. Billing Determinants'!$G$41*$D75,IF($E75="Distribution Rev.",VLOOKUP(V$4,'4. Billing Determinants'!$B$19:$R$41,8,0)/'4. Billing Determinants'!$I$41*$D75, VLOOKUP(V$4,'4. Billing Determinants'!$B$19:$R$41,3,0)/'4. Billing Determinants'!$D$41*$D75))))),0)</f>
        <v>0</v>
      </c>
      <c r="W75" s="32">
        <f>IFERROR(IF(W$4="",0,IF($E75="kWh",VLOOKUP(W$4,'4. Billing Determinants'!$B$19:$R$41,4,0)/'4. Billing Determinants'!$E$41*$D75,IF($E75="kW",VLOOKUP(W$4,'4. Billing Determinants'!$B$19:$R$41,5,0)/'4. Billing Determinants'!$F$41*$D75,IF($E75="Non-RPP kWh",VLOOKUP(W$4,'4. Billing Determinants'!$B$19:$R$41,6,0)/'4. Billing Determinants'!$G$41*$D75,IF($E75="Distribution Rev.",VLOOKUP(W$4,'4. Billing Determinants'!$B$19:$R$41,8,0)/'4. Billing Determinants'!$I$41*$D75, VLOOKUP(W$4,'4. Billing Determinants'!$B$19:$R$41,3,0)/'4. Billing Determinants'!$D$41*$D75))))),0)</f>
        <v>0</v>
      </c>
      <c r="X75" s="32">
        <f>IFERROR(IF(X$4="",0,IF($E75="kWh",VLOOKUP(X$4,'4. Billing Determinants'!$B$19:$R$41,4,0)/'4. Billing Determinants'!$E$41*$D75,IF($E75="kW",VLOOKUP(X$4,'4. Billing Determinants'!$B$19:$R$41,5,0)/'4. Billing Determinants'!$F$41*$D75,IF($E75="Non-RPP kWh",VLOOKUP(X$4,'4. Billing Determinants'!$B$19:$R$41,6,0)/'4. Billing Determinants'!$G$41*$D75,IF($E75="Distribution Rev.",VLOOKUP(X$4,'4. Billing Determinants'!$B$19:$R$41,8,0)/'4. Billing Determinants'!$I$41*$D75, VLOOKUP(X$4,'4. Billing Determinants'!$B$19:$R$41,3,0)/'4. Billing Determinants'!$D$41*$D75))))),0)</f>
        <v>0</v>
      </c>
      <c r="Y75" s="32">
        <f>IFERROR(IF(Y$4="",0,IF($E75="kWh",VLOOKUP(Y$4,'4. Billing Determinants'!$B$19:$R$41,4,0)/'4. Billing Determinants'!$E$41*$D75,IF($E75="kW",VLOOKUP(Y$4,'4. Billing Determinants'!$B$19:$R$41,5,0)/'4. Billing Determinants'!$F$41*$D75,IF($E75="Non-RPP kWh",VLOOKUP(Y$4,'4. Billing Determinants'!$B$19:$R$41,6,0)/'4. Billing Determinants'!$G$41*$D75,IF($E75="Distribution Rev.",VLOOKUP(Y$4,'4. Billing Determinants'!$B$19:$R$41,8,0)/'4. Billing Determinants'!$I$41*$D75, VLOOKUP(Y$4,'4. Billing Determinants'!$B$19:$R$41,3,0)/'4. Billing Determinants'!$D$41*$D75))))),0)</f>
        <v>0</v>
      </c>
    </row>
    <row r="76" spans="1:25" x14ac:dyDescent="0.2">
      <c r="A76" s="37">
        <v>52</v>
      </c>
      <c r="B76" s="30" t="s">
        <v>125</v>
      </c>
      <c r="C76" s="31">
        <v>1576</v>
      </c>
      <c r="D76" s="32">
        <f>'2b. Continuity Schedule'!BT108</f>
        <v>0</v>
      </c>
      <c r="E76" s="48" t="s">
        <v>139</v>
      </c>
      <c r="F76" s="32">
        <f>IFERROR(IF(F$4="",0,IF($E76="kWh",VLOOKUP(F$4,'4. Billing Determinants'!$B$19:$R$41,4,0)/'4. Billing Determinants'!$E$41*$D76,IF($E76="kW",VLOOKUP(F$4,'4. Billing Determinants'!$B$19:$R$41,5,0)/'4. Billing Determinants'!$F$41*$D76,IF($E76="Non-RPP kWh",VLOOKUP(F$4,'4. Billing Determinants'!$B$19:$R$41,6,0)/'4. Billing Determinants'!$G$41*$D76,IF($E76="Distribution Rev.",VLOOKUP(F$4,'4. Billing Determinants'!$B$19:$R$41,8,0)/'4. Billing Determinants'!$I$41*$D76, VLOOKUP(F$4,'4. Billing Determinants'!$B$19:$R$41,3,0)/'4. Billing Determinants'!$D$41*$D76))))),0)</f>
        <v>0</v>
      </c>
      <c r="G76" s="32">
        <f>IFERROR(IF(G$4="",0,IF($E76="kWh",VLOOKUP(G$4,'4. Billing Determinants'!$B$19:$R$41,4,0)/'4. Billing Determinants'!$E$41*$D76,IF($E76="kW",VLOOKUP(G$4,'4. Billing Determinants'!$B$19:$R$41,5,0)/'4. Billing Determinants'!$F$41*$D76,IF($E76="Non-RPP kWh",VLOOKUP(G$4,'4. Billing Determinants'!$B$19:$R$41,6,0)/'4. Billing Determinants'!$G$41*$D76,IF($E76="Distribution Rev.",VLOOKUP(G$4,'4. Billing Determinants'!$B$19:$R$41,8,0)/'4. Billing Determinants'!$I$41*$D76, VLOOKUP(G$4,'4. Billing Determinants'!$B$19:$R$41,3,0)/'4. Billing Determinants'!$D$41*$D76))))),0)</f>
        <v>0</v>
      </c>
      <c r="H76" s="32">
        <f>IFERROR(IF(H$4="",0,IF($E76="kWh",VLOOKUP(H$4,'4. Billing Determinants'!$B$19:$R$41,4,0)/'4. Billing Determinants'!$E$41*$D76,IF($E76="kW",VLOOKUP(H$4,'4. Billing Determinants'!$B$19:$R$41,5,0)/'4. Billing Determinants'!$F$41*$D76,IF($E76="Non-RPP kWh",VLOOKUP(H$4,'4. Billing Determinants'!$B$19:$R$41,6,0)/'4. Billing Determinants'!$G$41*$D76,IF($E76="Distribution Rev.",VLOOKUP(H$4,'4. Billing Determinants'!$B$19:$R$41,8,0)/'4. Billing Determinants'!$I$41*$D76, VLOOKUP(H$4,'4. Billing Determinants'!$B$19:$R$41,3,0)/'4. Billing Determinants'!$D$41*$D76))))),0)</f>
        <v>0</v>
      </c>
      <c r="I76" s="32">
        <f>IFERROR(IF(I$4="",0,IF($E76="kWh",VLOOKUP(I$4,'4. Billing Determinants'!$B$19:$R$41,4,0)/'4. Billing Determinants'!$E$41*$D76,IF($E76="kW",VLOOKUP(I$4,'4. Billing Determinants'!$B$19:$R$41,5,0)/'4. Billing Determinants'!$F$41*$D76,IF($E76="Non-RPP kWh",VLOOKUP(I$4,'4. Billing Determinants'!$B$19:$R$41,6,0)/'4. Billing Determinants'!$G$41*$D76,IF($E76="Distribution Rev.",VLOOKUP(I$4,'4. Billing Determinants'!$B$19:$R$41,8,0)/'4. Billing Determinants'!$I$41*$D76, VLOOKUP(I$4,'4. Billing Determinants'!$B$19:$R$41,3,0)/'4. Billing Determinants'!$D$41*$D76))))),0)</f>
        <v>0</v>
      </c>
      <c r="J76" s="32">
        <f>IFERROR(IF(J$4="",0,IF($E76="kWh",VLOOKUP(J$4,'4. Billing Determinants'!$B$19:$R$41,4,0)/'4. Billing Determinants'!$E$41*$D76,IF($E76="kW",VLOOKUP(J$4,'4. Billing Determinants'!$B$19:$R$41,5,0)/'4. Billing Determinants'!$F$41*$D76,IF($E76="Non-RPP kWh",VLOOKUP(J$4,'4. Billing Determinants'!$B$19:$R$41,6,0)/'4. Billing Determinants'!$G$41*$D76,IF($E76="Distribution Rev.",VLOOKUP(J$4,'4. Billing Determinants'!$B$19:$R$41,8,0)/'4. Billing Determinants'!$I$41*$D76, VLOOKUP(J$4,'4. Billing Determinants'!$B$19:$R$41,3,0)/'4. Billing Determinants'!$D$41*$D76))))),0)</f>
        <v>0</v>
      </c>
      <c r="K76" s="32">
        <f>IFERROR(IF(K$4="",0,IF($E76="kWh",VLOOKUP(K$4,'4. Billing Determinants'!$B$19:$R$41,4,0)/'4. Billing Determinants'!$E$41*$D76,IF($E76="kW",VLOOKUP(K$4,'4. Billing Determinants'!$B$19:$R$41,5,0)/'4. Billing Determinants'!$F$41*$D76,IF($E76="Non-RPP kWh",VLOOKUP(K$4,'4. Billing Determinants'!$B$19:$R$41,6,0)/'4. Billing Determinants'!$G$41*$D76,IF($E76="Distribution Rev.",VLOOKUP(K$4,'4. Billing Determinants'!$B$19:$R$41,8,0)/'4. Billing Determinants'!$I$41*$D76, VLOOKUP(K$4,'4. Billing Determinants'!$B$19:$R$41,3,0)/'4. Billing Determinants'!$D$41*$D76))))),0)</f>
        <v>0</v>
      </c>
      <c r="L76" s="32">
        <f>IFERROR(IF(L$4="",0,IF($E76="kWh",VLOOKUP(L$4,'4. Billing Determinants'!$B$19:$R$41,4,0)/'4. Billing Determinants'!$E$41*$D76,IF($E76="kW",VLOOKUP(L$4,'4. Billing Determinants'!$B$19:$R$41,5,0)/'4. Billing Determinants'!$F$41*$D76,IF($E76="Non-RPP kWh",VLOOKUP(L$4,'4. Billing Determinants'!$B$19:$R$41,6,0)/'4. Billing Determinants'!$G$41*$D76,IF($E76="Distribution Rev.",VLOOKUP(L$4,'4. Billing Determinants'!$B$19:$R$41,8,0)/'4. Billing Determinants'!$I$41*$D76, VLOOKUP(L$4,'4. Billing Determinants'!$B$19:$R$41,3,0)/'4. Billing Determinants'!$D$41*$D76))))),0)</f>
        <v>0</v>
      </c>
      <c r="M76" s="32">
        <f>IFERROR(IF(M$4="",0,IF($E76="kWh",VLOOKUP(M$4,'4. Billing Determinants'!$B$19:$R$41,4,0)/'4. Billing Determinants'!$E$41*$D76,IF($E76="kW",VLOOKUP(M$4,'4. Billing Determinants'!$B$19:$R$41,5,0)/'4. Billing Determinants'!$F$41*$D76,IF($E76="Non-RPP kWh",VLOOKUP(M$4,'4. Billing Determinants'!$B$19:$R$41,6,0)/'4. Billing Determinants'!$G$41*$D76,IF($E76="Distribution Rev.",VLOOKUP(M$4,'4. Billing Determinants'!$B$19:$R$41,8,0)/'4. Billing Determinants'!$I$41*$D76, VLOOKUP(M$4,'4. Billing Determinants'!$B$19:$R$41,3,0)/'4. Billing Determinants'!$D$41*$D76))))),0)</f>
        <v>0</v>
      </c>
      <c r="N76" s="32">
        <f>IFERROR(IF(N$4="",0,IF($E76="kWh",VLOOKUP(N$4,'4. Billing Determinants'!$B$19:$R$41,4,0)/'4. Billing Determinants'!$E$41*$D76,IF($E76="kW",VLOOKUP(N$4,'4. Billing Determinants'!$B$19:$R$41,5,0)/'4. Billing Determinants'!$F$41*$D76,IF($E76="Non-RPP kWh",VLOOKUP(N$4,'4. Billing Determinants'!$B$19:$R$41,6,0)/'4. Billing Determinants'!$G$41*$D76,IF($E76="Distribution Rev.",VLOOKUP(N$4,'4. Billing Determinants'!$B$19:$R$41,8,0)/'4. Billing Determinants'!$I$41*$D76, VLOOKUP(N$4,'4. Billing Determinants'!$B$19:$R$41,3,0)/'4. Billing Determinants'!$D$41*$D76))))),0)</f>
        <v>0</v>
      </c>
      <c r="O76" s="32">
        <f>IFERROR(IF(O$4="",0,IF($E76="kWh",VLOOKUP(O$4,'4. Billing Determinants'!$B$19:$R$41,4,0)/'4. Billing Determinants'!$E$41*$D76,IF($E76="kW",VLOOKUP(O$4,'4. Billing Determinants'!$B$19:$R$41,5,0)/'4. Billing Determinants'!$F$41*$D76,IF($E76="Non-RPP kWh",VLOOKUP(O$4,'4. Billing Determinants'!$B$19:$R$41,6,0)/'4. Billing Determinants'!$G$41*$D76,IF($E76="Distribution Rev.",VLOOKUP(O$4,'4. Billing Determinants'!$B$19:$R$41,8,0)/'4. Billing Determinants'!$I$41*$D76, VLOOKUP(O$4,'4. Billing Determinants'!$B$19:$R$41,3,0)/'4. Billing Determinants'!$D$41*$D76))))),0)</f>
        <v>0</v>
      </c>
      <c r="P76" s="32">
        <f>IFERROR(IF(P$4="",0,IF($E76="kWh",VLOOKUP(P$4,'4. Billing Determinants'!$B$19:$R$41,4,0)/'4. Billing Determinants'!$E$41*$D76,IF($E76="kW",VLOOKUP(P$4,'4. Billing Determinants'!$B$19:$R$41,5,0)/'4. Billing Determinants'!$F$41*$D76,IF($E76="Non-RPP kWh",VLOOKUP(P$4,'4. Billing Determinants'!$B$19:$R$41,6,0)/'4. Billing Determinants'!$G$41*$D76,IF($E76="Distribution Rev.",VLOOKUP(P$4,'4. Billing Determinants'!$B$19:$R$41,8,0)/'4. Billing Determinants'!$I$41*$D76, VLOOKUP(P$4,'4. Billing Determinants'!$B$19:$R$41,3,0)/'4. Billing Determinants'!$D$41*$D76))))),0)</f>
        <v>0</v>
      </c>
      <c r="Q76" s="32">
        <f>IFERROR(IF(Q$4="",0,IF($E76="kWh",VLOOKUP(Q$4,'4. Billing Determinants'!$B$19:$R$41,4,0)/'4. Billing Determinants'!$E$41*$D76,IF($E76="kW",VLOOKUP(Q$4,'4. Billing Determinants'!$B$19:$R$41,5,0)/'4. Billing Determinants'!$F$41*$D76,IF($E76="Non-RPP kWh",VLOOKUP(Q$4,'4. Billing Determinants'!$B$19:$R$41,6,0)/'4. Billing Determinants'!$G$41*$D76,IF($E76="Distribution Rev.",VLOOKUP(Q$4,'4. Billing Determinants'!$B$19:$R$41,8,0)/'4. Billing Determinants'!$I$41*$D76, VLOOKUP(Q$4,'4. Billing Determinants'!$B$19:$R$41,3,0)/'4. Billing Determinants'!$D$41*$D76))))),0)</f>
        <v>0</v>
      </c>
      <c r="R76" s="32">
        <f>IFERROR(IF(R$4="",0,IF($E76="kWh",VLOOKUP(R$4,'4. Billing Determinants'!$B$19:$R$41,4,0)/'4. Billing Determinants'!$E$41*$D76,IF($E76="kW",VLOOKUP(R$4,'4. Billing Determinants'!$B$19:$R$41,5,0)/'4. Billing Determinants'!$F$41*$D76,IF($E76="Non-RPP kWh",VLOOKUP(R$4,'4. Billing Determinants'!$B$19:$R$41,6,0)/'4. Billing Determinants'!$G$41*$D76,IF($E76="Distribution Rev.",VLOOKUP(R$4,'4. Billing Determinants'!$B$19:$R$41,8,0)/'4. Billing Determinants'!$I$41*$D76, VLOOKUP(R$4,'4. Billing Determinants'!$B$19:$R$41,3,0)/'4. Billing Determinants'!$D$41*$D76))))),0)</f>
        <v>0</v>
      </c>
      <c r="S76" s="32">
        <f>IFERROR(IF(S$4="",0,IF($E76="kWh",VLOOKUP(S$4,'4. Billing Determinants'!$B$19:$R$41,4,0)/'4. Billing Determinants'!$E$41*$D76,IF($E76="kW",VLOOKUP(S$4,'4. Billing Determinants'!$B$19:$R$41,5,0)/'4. Billing Determinants'!$F$41*$D76,IF($E76="Non-RPP kWh",VLOOKUP(S$4,'4. Billing Determinants'!$B$19:$R$41,6,0)/'4. Billing Determinants'!$G$41*$D76,IF($E76="Distribution Rev.",VLOOKUP(S$4,'4. Billing Determinants'!$B$19:$R$41,8,0)/'4. Billing Determinants'!$I$41*$D76, VLOOKUP(S$4,'4. Billing Determinants'!$B$19:$R$41,3,0)/'4. Billing Determinants'!$D$41*$D76))))),0)</f>
        <v>0</v>
      </c>
      <c r="T76" s="32">
        <f>IFERROR(IF(T$4="",0,IF($E76="kWh",VLOOKUP(T$4,'4. Billing Determinants'!$B$19:$R$41,4,0)/'4. Billing Determinants'!$E$41*$D76,IF($E76="kW",VLOOKUP(T$4,'4. Billing Determinants'!$B$19:$R$41,5,0)/'4. Billing Determinants'!$F$41*$D76,IF($E76="Non-RPP kWh",VLOOKUP(T$4,'4. Billing Determinants'!$B$19:$R$41,6,0)/'4. Billing Determinants'!$G$41*$D76,IF($E76="Distribution Rev.",VLOOKUP(T$4,'4. Billing Determinants'!$B$19:$R$41,8,0)/'4. Billing Determinants'!$I$41*$D76, VLOOKUP(T$4,'4. Billing Determinants'!$B$19:$R$41,3,0)/'4. Billing Determinants'!$D$41*$D76))))),0)</f>
        <v>0</v>
      </c>
      <c r="U76" s="32">
        <f>IFERROR(IF(U$4="",0,IF($E76="kWh",VLOOKUP(U$4,'4. Billing Determinants'!$B$19:$R$41,4,0)/'4. Billing Determinants'!$E$41*$D76,IF($E76="kW",VLOOKUP(U$4,'4. Billing Determinants'!$B$19:$R$41,5,0)/'4. Billing Determinants'!$F$41*$D76,IF($E76="Non-RPP kWh",VLOOKUP(U$4,'4. Billing Determinants'!$B$19:$R$41,6,0)/'4. Billing Determinants'!$G$41*$D76,IF($E76="Distribution Rev.",VLOOKUP(U$4,'4. Billing Determinants'!$B$19:$R$41,8,0)/'4. Billing Determinants'!$I$41*$D76, VLOOKUP(U$4,'4. Billing Determinants'!$B$19:$R$41,3,0)/'4. Billing Determinants'!$D$41*$D76))))),0)</f>
        <v>0</v>
      </c>
      <c r="V76" s="32">
        <f>IFERROR(IF(V$4="",0,IF($E76="kWh",VLOOKUP(V$4,'4. Billing Determinants'!$B$19:$R$41,4,0)/'4. Billing Determinants'!$E$41*$D76,IF($E76="kW",VLOOKUP(V$4,'4. Billing Determinants'!$B$19:$R$41,5,0)/'4. Billing Determinants'!$F$41*$D76,IF($E76="Non-RPP kWh",VLOOKUP(V$4,'4. Billing Determinants'!$B$19:$R$41,6,0)/'4. Billing Determinants'!$G$41*$D76,IF($E76="Distribution Rev.",VLOOKUP(V$4,'4. Billing Determinants'!$B$19:$R$41,8,0)/'4. Billing Determinants'!$I$41*$D76, VLOOKUP(V$4,'4. Billing Determinants'!$B$19:$R$41,3,0)/'4. Billing Determinants'!$D$41*$D76))))),0)</f>
        <v>0</v>
      </c>
      <c r="W76" s="32">
        <f>IFERROR(IF(W$4="",0,IF($E76="kWh",VLOOKUP(W$4,'4. Billing Determinants'!$B$19:$R$41,4,0)/'4. Billing Determinants'!$E$41*$D76,IF($E76="kW",VLOOKUP(W$4,'4. Billing Determinants'!$B$19:$R$41,5,0)/'4. Billing Determinants'!$F$41*$D76,IF($E76="Non-RPP kWh",VLOOKUP(W$4,'4. Billing Determinants'!$B$19:$R$41,6,0)/'4. Billing Determinants'!$G$41*$D76,IF($E76="Distribution Rev.",VLOOKUP(W$4,'4. Billing Determinants'!$B$19:$R$41,8,0)/'4. Billing Determinants'!$I$41*$D76, VLOOKUP(W$4,'4. Billing Determinants'!$B$19:$R$41,3,0)/'4. Billing Determinants'!$D$41*$D76))))),0)</f>
        <v>0</v>
      </c>
      <c r="X76" s="32">
        <f>IFERROR(IF(X$4="",0,IF($E76="kWh",VLOOKUP(X$4,'4. Billing Determinants'!$B$19:$R$41,4,0)/'4. Billing Determinants'!$E$41*$D76,IF($E76="kW",VLOOKUP(X$4,'4. Billing Determinants'!$B$19:$R$41,5,0)/'4. Billing Determinants'!$F$41*$D76,IF($E76="Non-RPP kWh",VLOOKUP(X$4,'4. Billing Determinants'!$B$19:$R$41,6,0)/'4. Billing Determinants'!$G$41*$D76,IF($E76="Distribution Rev.",VLOOKUP(X$4,'4. Billing Determinants'!$B$19:$R$41,8,0)/'4. Billing Determinants'!$I$41*$D76, VLOOKUP(X$4,'4. Billing Determinants'!$B$19:$R$41,3,0)/'4. Billing Determinants'!$D$41*$D76))))),0)</f>
        <v>0</v>
      </c>
      <c r="Y76" s="32">
        <f>IFERROR(IF(Y$4="",0,IF($E76="kWh",VLOOKUP(Y$4,'4. Billing Determinants'!$B$19:$R$41,4,0)/'4. Billing Determinants'!$E$41*$D76,IF($E76="kW",VLOOKUP(Y$4,'4. Billing Determinants'!$B$19:$R$41,5,0)/'4. Billing Determinants'!$F$41*$D76,IF($E76="Non-RPP kWh",VLOOKUP(Y$4,'4. Billing Determinants'!$B$19:$R$41,6,0)/'4. Billing Determinants'!$G$41*$D76,IF($E76="Distribution Rev.",VLOOKUP(Y$4,'4. Billing Determinants'!$B$19:$R$41,8,0)/'4. Billing Determinants'!$I$41*$D76, VLOOKUP(Y$4,'4. Billing Determinants'!$B$19:$R$41,3,0)/'4. Billing Determinants'!$D$41*$D76))))),0)</f>
        <v>0</v>
      </c>
    </row>
    <row r="77" spans="1:25" s="481" customFormat="1" x14ac:dyDescent="0.2">
      <c r="A77" s="481">
        <v>53</v>
      </c>
      <c r="B77" s="483" t="s">
        <v>454</v>
      </c>
      <c r="C77" s="483"/>
      <c r="D77" s="484">
        <f>SUM(D75:D76)</f>
        <v>0</v>
      </c>
      <c r="E77" s="484"/>
      <c r="F77" s="484">
        <f>SUM(F75:F76)</f>
        <v>0</v>
      </c>
      <c r="G77" s="484">
        <f t="shared" ref="G77:Y77" si="7">SUM(G75:G76)</f>
        <v>0</v>
      </c>
      <c r="H77" s="484">
        <f t="shared" si="7"/>
        <v>0</v>
      </c>
      <c r="I77" s="484">
        <f t="shared" si="7"/>
        <v>0</v>
      </c>
      <c r="J77" s="484">
        <f t="shared" si="7"/>
        <v>0</v>
      </c>
      <c r="K77" s="484">
        <f t="shared" si="7"/>
        <v>0</v>
      </c>
      <c r="L77" s="484">
        <f t="shared" si="7"/>
        <v>0</v>
      </c>
      <c r="M77" s="484">
        <f t="shared" si="7"/>
        <v>0</v>
      </c>
      <c r="N77" s="484">
        <f t="shared" si="7"/>
        <v>0</v>
      </c>
      <c r="O77" s="484">
        <f t="shared" si="7"/>
        <v>0</v>
      </c>
      <c r="P77" s="484">
        <f t="shared" si="7"/>
        <v>0</v>
      </c>
      <c r="Q77" s="484">
        <f t="shared" si="7"/>
        <v>0</v>
      </c>
      <c r="R77" s="484">
        <f t="shared" si="7"/>
        <v>0</v>
      </c>
      <c r="S77" s="484">
        <f t="shared" si="7"/>
        <v>0</v>
      </c>
      <c r="T77" s="484">
        <f t="shared" si="7"/>
        <v>0</v>
      </c>
      <c r="U77" s="484">
        <f t="shared" si="7"/>
        <v>0</v>
      </c>
      <c r="V77" s="484">
        <f t="shared" si="7"/>
        <v>0</v>
      </c>
      <c r="W77" s="484">
        <f t="shared" si="7"/>
        <v>0</v>
      </c>
      <c r="X77" s="484">
        <f t="shared" si="7"/>
        <v>0</v>
      </c>
      <c r="Y77" s="484">
        <f t="shared" si="7"/>
        <v>0</v>
      </c>
    </row>
    <row r="79" spans="1:25" hidden="1" x14ac:dyDescent="0.2">
      <c r="B79" s="126" t="s">
        <v>151</v>
      </c>
      <c r="C79" s="126"/>
    </row>
    <row r="80" spans="1:25" hidden="1" x14ac:dyDescent="0.2">
      <c r="B80" s="127" t="s">
        <v>153</v>
      </c>
      <c r="C80" s="128">
        <f>IF(ISERROR('2a. Continuity Schedule'!BT45/'4. Billing Determinants'!D41), 0, '2a. Continuity Schedule'!BT45/'4. Billing Determinants'!D41)</f>
        <v>-1.7398440845971654</v>
      </c>
    </row>
    <row r="81" spans="2:25" hidden="1" x14ac:dyDescent="0.2">
      <c r="B81" s="127" t="s">
        <v>150</v>
      </c>
      <c r="C81" s="129">
        <f>IF(ISERROR('2a. Continuity Schedule'!BT45/'4. Billing Determinants'!E41), 0, '2a. Continuity Schedule'!BT45/'4. Billing Determinants'!E41)</f>
        <v>-1.2198530967594693E-4</v>
      </c>
    </row>
    <row r="82" spans="2:25" x14ac:dyDescent="0.2">
      <c r="B82" s="478" t="s">
        <v>50</v>
      </c>
      <c r="C82" s="479">
        <v>1568</v>
      </c>
      <c r="D82" s="480">
        <f>'2b. Continuity Schedule'!BT88</f>
        <v>198188.95966149989</v>
      </c>
      <c r="E82" s="479"/>
      <c r="F82" s="480">
        <f>'4. Billing Determinants'!AC21</f>
        <v>44507</v>
      </c>
      <c r="G82" s="480">
        <f>'4. Billing Determinants'!AC22</f>
        <v>-110221</v>
      </c>
      <c r="H82" s="480">
        <f>'4. Billing Determinants'!AC23</f>
        <v>263903</v>
      </c>
      <c r="I82" s="480">
        <f>'4. Billing Determinants'!AC24</f>
        <v>0</v>
      </c>
      <c r="J82" s="480">
        <f>'4. Billing Determinants'!AC25</f>
        <v>0</v>
      </c>
      <c r="K82" s="480">
        <f>'4. Billing Determinants'!AC26</f>
        <v>0</v>
      </c>
      <c r="L82" s="480">
        <f>'4. Billing Determinants'!AC27</f>
        <v>0</v>
      </c>
      <c r="M82" s="480">
        <f>'4. Billing Determinants'!AC28</f>
        <v>0</v>
      </c>
      <c r="N82" s="480">
        <f>'4. Billing Determinants'!AC29</f>
        <v>0</v>
      </c>
      <c r="O82" s="480">
        <f>'4. Billing Determinants'!AC30</f>
        <v>0</v>
      </c>
      <c r="P82" s="480">
        <f>'4. Billing Determinants'!AC31</f>
        <v>0</v>
      </c>
      <c r="Q82" s="480">
        <f>'4. Billing Determinants'!AC32</f>
        <v>0</v>
      </c>
      <c r="R82" s="480">
        <f>'4. Billing Determinants'!AC33</f>
        <v>0</v>
      </c>
      <c r="S82" s="480">
        <f>'4. Billing Determinants'!AC34</f>
        <v>0</v>
      </c>
      <c r="T82" s="480">
        <f>'4. Billing Determinants'!AC35</f>
        <v>0</v>
      </c>
      <c r="U82" s="480">
        <f>'4. Billing Determinants'!AC36</f>
        <v>0</v>
      </c>
      <c r="V82" s="480">
        <f>'4. Billing Determinants'!AC37</f>
        <v>0</v>
      </c>
      <c r="W82" s="480">
        <f>'4. Billing Determinants'!AC38</f>
        <v>0</v>
      </c>
      <c r="X82" s="480">
        <f>'4. Billing Determinants'!AC39</f>
        <v>0</v>
      </c>
      <c r="Y82" s="480">
        <f>'4. Billing Determinants'!AC40</f>
        <v>0</v>
      </c>
    </row>
    <row r="84" spans="2:25" x14ac:dyDescent="0.2">
      <c r="B84" s="478" t="s">
        <v>3460</v>
      </c>
      <c r="C84" s="479">
        <v>1509</v>
      </c>
      <c r="D84" s="480">
        <f>'2b. Continuity Schedule'!BT110</f>
        <v>326141.3296324999</v>
      </c>
      <c r="E84" s="627" t="s">
        <v>3041</v>
      </c>
      <c r="F84" s="480">
        <f>IFERROR(IF(F$4="",0,IF($E84="kWh",VLOOKUP(F$4,'4. Billing Determinants'!$B$19:$R$41,4,0)/'4. Billing Determinants'!$E$41*$D84,IF($E84="kW",VLOOKUP(F$4,'4. Billing Determinants'!$B$19:$R$41,5,0)/'4. Billing Determinants'!$F$41*$D84,IF($E84="Non-RPP kWh",VLOOKUP(F$4,'4. Billing Determinants'!$B$19:$R$41,6,0)/'4. Billing Determinants'!$G$41*$D84,IF($E84="Distribution Rev.",VLOOKUP(F$4,'4. Billing Determinants'!$B$19:$R$41,8,0)/'4. Billing Determinants'!$I$41*$D84, VLOOKUP(F$4,'4. Billing Determinants'!$B$19:$R$41,3,0)/'4. Billing Determinants'!$D$41*$D84))))),0)</f>
        <v>197336.97439183824</v>
      </c>
      <c r="G84" s="480">
        <f>IFERROR(IF(G$4="",0,IF($E84="kWh",VLOOKUP(G$4,'4. Billing Determinants'!$B$19:$R$41,4,0)/'4. Billing Determinants'!$E$41*$D84,IF($E84="kW",VLOOKUP(G$4,'4. Billing Determinants'!$B$19:$R$41,5,0)/'4. Billing Determinants'!$F$41*$D84,IF($E84="Non-RPP kWh",VLOOKUP(G$4,'4. Billing Determinants'!$B$19:$R$41,6,0)/'4. Billing Determinants'!$G$41*$D84,IF($E84="Distribution Rev.",VLOOKUP(G$4,'4. Billing Determinants'!$B$19:$R$41,8,0)/'4. Billing Determinants'!$I$41*$D84, VLOOKUP(G$4,'4. Billing Determinants'!$B$19:$R$41,3,0)/'4. Billing Determinants'!$D$41*$D84))))),0)</f>
        <v>49992.304974565261</v>
      </c>
      <c r="H84" s="480">
        <f>IFERROR(IF(H$4="",0,IF($E84="kWh",VLOOKUP(H$4,'4. Billing Determinants'!$B$19:$R$41,4,0)/'4. Billing Determinants'!$E$41*$D84,IF($E84="kW",VLOOKUP(H$4,'4. Billing Determinants'!$B$19:$R$41,5,0)/'4. Billing Determinants'!$F$41*$D84,IF($E84="Non-RPP kWh",VLOOKUP(H$4,'4. Billing Determinants'!$B$19:$R$41,6,0)/'4. Billing Determinants'!$G$41*$D84,IF($E84="Distribution Rev.",VLOOKUP(H$4,'4. Billing Determinants'!$B$19:$R$41,8,0)/'4. Billing Determinants'!$I$41*$D84, VLOOKUP(H$4,'4. Billing Determinants'!$B$19:$R$41,3,0)/'4. Billing Determinants'!$D$41*$D84))))),0)</f>
        <v>73771.421497910633</v>
      </c>
      <c r="I84" s="480">
        <f>IFERROR(IF(I$4="",0,IF($E84="kWh",VLOOKUP(I$4,'4. Billing Determinants'!$B$19:$R$41,4,0)/'4. Billing Determinants'!$E$41*$D84,IF($E84="kW",VLOOKUP(I$4,'4. Billing Determinants'!$B$19:$R$41,5,0)/'4. Billing Determinants'!$F$41*$D84,IF($E84="Non-RPP kWh",VLOOKUP(I$4,'4. Billing Determinants'!$B$19:$R$41,6,0)/'4. Billing Determinants'!$G$41*$D84,IF($E84="Distribution Rev.",VLOOKUP(I$4,'4. Billing Determinants'!$B$19:$R$41,8,0)/'4. Billing Determinants'!$I$41*$D84, VLOOKUP(I$4,'4. Billing Determinants'!$B$19:$R$41,3,0)/'4. Billing Determinants'!$D$41*$D84))))),0)</f>
        <v>645.11416610040271</v>
      </c>
      <c r="J84" s="480">
        <f>IFERROR(IF(J$4="",0,IF($E84="kWh",VLOOKUP(J$4,'4. Billing Determinants'!$B$19:$R$41,4,0)/'4. Billing Determinants'!$E$41*$D84,IF($E84="kW",VLOOKUP(J$4,'4. Billing Determinants'!$B$19:$R$41,5,0)/'4. Billing Determinants'!$F$41*$D84,IF($E84="Non-RPP kWh",VLOOKUP(J$4,'4. Billing Determinants'!$B$19:$R$41,6,0)/'4. Billing Determinants'!$G$41*$D84,IF($E84="Distribution Rev.",VLOOKUP(J$4,'4. Billing Determinants'!$B$19:$R$41,8,0)/'4. Billing Determinants'!$I$41*$D84, VLOOKUP(J$4,'4. Billing Determinants'!$B$19:$R$41,3,0)/'4. Billing Determinants'!$D$41*$D84))))),0)</f>
        <v>3819.0944374629448</v>
      </c>
      <c r="K84" s="480">
        <f>IFERROR(IF(K$4="",0,IF($E84="kWh",VLOOKUP(K$4,'4. Billing Determinants'!$B$19:$R$41,4,0)/'4. Billing Determinants'!$E$41*$D84,IF($E84="kW",VLOOKUP(K$4,'4. Billing Determinants'!$B$19:$R$41,5,0)/'4. Billing Determinants'!$F$41*$D84,IF($E84="Non-RPP kWh",VLOOKUP(K$4,'4. Billing Determinants'!$B$19:$R$41,6,0)/'4. Billing Determinants'!$G$41*$D84,IF($E84="Distribution Rev.",VLOOKUP(K$4,'4. Billing Determinants'!$B$19:$R$41,8,0)/'4. Billing Determinants'!$I$41*$D84, VLOOKUP(K$4,'4. Billing Determinants'!$B$19:$R$41,3,0)/'4. Billing Determinants'!$D$41*$D84))))),0)</f>
        <v>576.42016462240417</v>
      </c>
      <c r="L84" s="480">
        <f>IFERROR(IF(L$4="",0,IF($E84="kWh",VLOOKUP(L$4,'4. Billing Determinants'!$B$19:$R$41,4,0)/'4. Billing Determinants'!$E$41*$D84,IF($E84="kW",VLOOKUP(L$4,'4. Billing Determinants'!$B$19:$R$41,5,0)/'4. Billing Determinants'!$F$41*$D84,IF($E84="Non-RPP kWh",VLOOKUP(L$4,'4. Billing Determinants'!$B$19:$R$41,6,0)/'4. Billing Determinants'!$G$41*$D84,IF($E84="Distribution Rev.",VLOOKUP(L$4,'4. Billing Determinants'!$B$19:$R$41,8,0)/'4. Billing Determinants'!$I$41*$D84, VLOOKUP(L$4,'4. Billing Determinants'!$B$19:$R$41,3,0)/'4. Billing Determinants'!$D$41*$D84))))),0)</f>
        <v>0</v>
      </c>
      <c r="M84" s="480">
        <f>IFERROR(IF(M$4="",0,IF($E84="kWh",VLOOKUP(M$4,'4. Billing Determinants'!$B$19:$R$41,4,0)/'4. Billing Determinants'!$E$41*$D84,IF($E84="kW",VLOOKUP(M$4,'4. Billing Determinants'!$B$19:$R$41,5,0)/'4. Billing Determinants'!$F$41*$D84,IF($E84="Non-RPP kWh",VLOOKUP(M$4,'4. Billing Determinants'!$B$19:$R$41,6,0)/'4. Billing Determinants'!$G$41*$D84,IF($E84="Distribution Rev.",VLOOKUP(M$4,'4. Billing Determinants'!$B$19:$R$41,8,0)/'4. Billing Determinants'!$I$41*$D84, VLOOKUP(M$4,'4. Billing Determinants'!$B$19:$R$41,3,0)/'4. Billing Determinants'!$D$41*$D84))))),0)</f>
        <v>0</v>
      </c>
      <c r="N84" s="480">
        <f>IFERROR(IF(N$4="",0,IF($E84="kWh",VLOOKUP(N$4,'4. Billing Determinants'!$B$19:$R$41,4,0)/'4. Billing Determinants'!$E$41*$D84,IF($E84="kW",VLOOKUP(N$4,'4. Billing Determinants'!$B$19:$R$41,5,0)/'4. Billing Determinants'!$F$41*$D84,IF($E84="Non-RPP kWh",VLOOKUP(N$4,'4. Billing Determinants'!$B$19:$R$41,6,0)/'4. Billing Determinants'!$G$41*$D84,IF($E84="Distribution Rev.",VLOOKUP(N$4,'4. Billing Determinants'!$B$19:$R$41,8,0)/'4. Billing Determinants'!$I$41*$D84, VLOOKUP(N$4,'4. Billing Determinants'!$B$19:$R$41,3,0)/'4. Billing Determinants'!$D$41*$D84))))),0)</f>
        <v>0</v>
      </c>
      <c r="O84" s="480">
        <f>IFERROR(IF(O$4="",0,IF($E84="kWh",VLOOKUP(O$4,'4. Billing Determinants'!$B$19:$R$41,4,0)/'4. Billing Determinants'!$E$41*$D84,IF($E84="kW",VLOOKUP(O$4,'4. Billing Determinants'!$B$19:$R$41,5,0)/'4. Billing Determinants'!$F$41*$D84,IF($E84="Non-RPP kWh",VLOOKUP(O$4,'4. Billing Determinants'!$B$19:$R$41,6,0)/'4. Billing Determinants'!$G$41*$D84,IF($E84="Distribution Rev.",VLOOKUP(O$4,'4. Billing Determinants'!$B$19:$R$41,8,0)/'4. Billing Determinants'!$I$41*$D84, VLOOKUP(O$4,'4. Billing Determinants'!$B$19:$R$41,3,0)/'4. Billing Determinants'!$D$41*$D84))))),0)</f>
        <v>0</v>
      </c>
      <c r="P84" s="480">
        <f>IFERROR(IF(P$4="",0,IF($E84="kWh",VLOOKUP(P$4,'4. Billing Determinants'!$B$19:$R$41,4,0)/'4. Billing Determinants'!$E$41*$D84,IF($E84="kW",VLOOKUP(P$4,'4. Billing Determinants'!$B$19:$R$41,5,0)/'4. Billing Determinants'!$F$41*$D84,IF($E84="Non-RPP kWh",VLOOKUP(P$4,'4. Billing Determinants'!$B$19:$R$41,6,0)/'4. Billing Determinants'!$G$41*$D84,IF($E84="Distribution Rev.",VLOOKUP(P$4,'4. Billing Determinants'!$B$19:$R$41,8,0)/'4. Billing Determinants'!$I$41*$D84, VLOOKUP(P$4,'4. Billing Determinants'!$B$19:$R$41,3,0)/'4. Billing Determinants'!$D$41*$D84))))),0)</f>
        <v>0</v>
      </c>
      <c r="Q84" s="480">
        <f>IFERROR(IF(Q$4="",0,IF($E84="kWh",VLOOKUP(Q$4,'4. Billing Determinants'!$B$19:$R$41,4,0)/'4. Billing Determinants'!$E$41*$D84,IF($E84="kW",VLOOKUP(Q$4,'4. Billing Determinants'!$B$19:$R$41,5,0)/'4. Billing Determinants'!$F$41*$D84,IF($E84="Non-RPP kWh",VLOOKUP(Q$4,'4. Billing Determinants'!$B$19:$R$41,6,0)/'4. Billing Determinants'!$G$41*$D84,IF($E84="Distribution Rev.",VLOOKUP(Q$4,'4. Billing Determinants'!$B$19:$R$41,8,0)/'4. Billing Determinants'!$I$41*$D84, VLOOKUP(Q$4,'4. Billing Determinants'!$B$19:$R$41,3,0)/'4. Billing Determinants'!$D$41*$D84))))),0)</f>
        <v>0</v>
      </c>
      <c r="R84" s="480">
        <f>IFERROR(IF(R$4="",0,IF($E84="kWh",VLOOKUP(R$4,'4. Billing Determinants'!$B$19:$R$41,4,0)/'4. Billing Determinants'!$E$41*$D84,IF($E84="kW",VLOOKUP(R$4,'4. Billing Determinants'!$B$19:$R$41,5,0)/'4. Billing Determinants'!$F$41*$D84,IF($E84="Non-RPP kWh",VLOOKUP(R$4,'4. Billing Determinants'!$B$19:$R$41,6,0)/'4. Billing Determinants'!$G$41*$D84,IF($E84="Distribution Rev.",VLOOKUP(R$4,'4. Billing Determinants'!$B$19:$R$41,8,0)/'4. Billing Determinants'!$I$41*$D84, VLOOKUP(R$4,'4. Billing Determinants'!$B$19:$R$41,3,0)/'4. Billing Determinants'!$D$41*$D84))))),0)</f>
        <v>0</v>
      </c>
      <c r="S84" s="480">
        <f>IFERROR(IF(S$4="",0,IF($E84="kWh",VLOOKUP(S$4,'4. Billing Determinants'!$B$19:$R$41,4,0)/'4. Billing Determinants'!$E$41*$D84,IF($E84="kW",VLOOKUP(S$4,'4. Billing Determinants'!$B$19:$R$41,5,0)/'4. Billing Determinants'!$F$41*$D84,IF($E84="Non-RPP kWh",VLOOKUP(S$4,'4. Billing Determinants'!$B$19:$R$41,6,0)/'4. Billing Determinants'!$G$41*$D84,IF($E84="Distribution Rev.",VLOOKUP(S$4,'4. Billing Determinants'!$B$19:$R$41,8,0)/'4. Billing Determinants'!$I$41*$D84, VLOOKUP(S$4,'4. Billing Determinants'!$B$19:$R$41,3,0)/'4. Billing Determinants'!$D$41*$D84))))),0)</f>
        <v>0</v>
      </c>
      <c r="T84" s="480">
        <f>IFERROR(IF(T$4="",0,IF($E84="kWh",VLOOKUP(T$4,'4. Billing Determinants'!$B$19:$R$41,4,0)/'4. Billing Determinants'!$E$41*$D84,IF($E84="kW",VLOOKUP(T$4,'4. Billing Determinants'!$B$19:$R$41,5,0)/'4. Billing Determinants'!$F$41*$D84,IF($E84="Non-RPP kWh",VLOOKUP(T$4,'4. Billing Determinants'!$B$19:$R$41,6,0)/'4. Billing Determinants'!$G$41*$D84,IF($E84="Distribution Rev.",VLOOKUP(T$4,'4. Billing Determinants'!$B$19:$R$41,8,0)/'4. Billing Determinants'!$I$41*$D84, VLOOKUP(T$4,'4. Billing Determinants'!$B$19:$R$41,3,0)/'4. Billing Determinants'!$D$41*$D84))))),0)</f>
        <v>0</v>
      </c>
      <c r="U84" s="480">
        <f>IFERROR(IF(U$4="",0,IF($E84="kWh",VLOOKUP(U$4,'4. Billing Determinants'!$B$19:$R$41,4,0)/'4. Billing Determinants'!$E$41*$D84,IF($E84="kW",VLOOKUP(U$4,'4. Billing Determinants'!$B$19:$R$41,5,0)/'4. Billing Determinants'!$F$41*$D84,IF($E84="Non-RPP kWh",VLOOKUP(U$4,'4. Billing Determinants'!$B$19:$R$41,6,0)/'4. Billing Determinants'!$G$41*$D84,IF($E84="Distribution Rev.",VLOOKUP(U$4,'4. Billing Determinants'!$B$19:$R$41,8,0)/'4. Billing Determinants'!$I$41*$D84, VLOOKUP(U$4,'4. Billing Determinants'!$B$19:$R$41,3,0)/'4. Billing Determinants'!$D$41*$D84))))),0)</f>
        <v>0</v>
      </c>
      <c r="V84" s="480">
        <f>IFERROR(IF(V$4="",0,IF($E84="kWh",VLOOKUP(V$4,'4. Billing Determinants'!$B$19:$R$41,4,0)/'4. Billing Determinants'!$E$41*$D84,IF($E84="kW",VLOOKUP(V$4,'4. Billing Determinants'!$B$19:$R$41,5,0)/'4. Billing Determinants'!$F$41*$D84,IF($E84="Non-RPP kWh",VLOOKUP(V$4,'4. Billing Determinants'!$B$19:$R$41,6,0)/'4. Billing Determinants'!$G$41*$D84,IF($E84="Distribution Rev.",VLOOKUP(V$4,'4. Billing Determinants'!$B$19:$R$41,8,0)/'4. Billing Determinants'!$I$41*$D84, VLOOKUP(V$4,'4. Billing Determinants'!$B$19:$R$41,3,0)/'4. Billing Determinants'!$D$41*$D84))))),0)</f>
        <v>0</v>
      </c>
      <c r="W84" s="480">
        <f>IFERROR(IF(W$4="",0,IF($E84="kWh",VLOOKUP(W$4,'4. Billing Determinants'!$B$19:$R$41,4,0)/'4. Billing Determinants'!$E$41*$D84,IF($E84="kW",VLOOKUP(W$4,'4. Billing Determinants'!$B$19:$R$41,5,0)/'4. Billing Determinants'!$F$41*$D84,IF($E84="Non-RPP kWh",VLOOKUP(W$4,'4. Billing Determinants'!$B$19:$R$41,6,0)/'4. Billing Determinants'!$G$41*$D84,IF($E84="Distribution Rev.",VLOOKUP(W$4,'4. Billing Determinants'!$B$19:$R$41,8,0)/'4. Billing Determinants'!$I$41*$D84, VLOOKUP(W$4,'4. Billing Determinants'!$B$19:$R$41,3,0)/'4. Billing Determinants'!$D$41*$D84))))),0)</f>
        <v>0</v>
      </c>
      <c r="X84" s="480">
        <f>IFERROR(IF(X$4="",0,IF($E84="kWh",VLOOKUP(X$4,'4. Billing Determinants'!$B$19:$R$41,4,0)/'4. Billing Determinants'!$E$41*$D84,IF($E84="kW",VLOOKUP(X$4,'4. Billing Determinants'!$B$19:$R$41,5,0)/'4. Billing Determinants'!$F$41*$D84,IF($E84="Non-RPP kWh",VLOOKUP(X$4,'4. Billing Determinants'!$B$19:$R$41,6,0)/'4. Billing Determinants'!$G$41*$D84,IF($E84="Distribution Rev.",VLOOKUP(X$4,'4. Billing Determinants'!$B$19:$R$41,8,0)/'4. Billing Determinants'!$I$41*$D84, VLOOKUP(X$4,'4. Billing Determinants'!$B$19:$R$41,3,0)/'4. Billing Determinants'!$D$41*$D84))))),0)</f>
        <v>0</v>
      </c>
      <c r="Y84" s="480">
        <f>IFERROR(IF(Y$4="",0,IF($E84="kWh",VLOOKUP(Y$4,'4. Billing Determinants'!$B$19:$R$41,4,0)/'4. Billing Determinants'!$E$41*$D84,IF($E84="kW",VLOOKUP(Y$4,'4. Billing Determinants'!$B$19:$R$41,5,0)/'4. Billing Determinants'!$F$41*$D84,IF($E84="Non-RPP kWh",VLOOKUP(Y$4,'4. Billing Determinants'!$B$19:$R$41,6,0)/'4. Billing Determinants'!$G$41*$D84,IF($E84="Distribution Rev.",VLOOKUP(Y$4,'4. Billing Determinants'!$B$19:$R$41,8,0)/'4. Billing Determinants'!$I$41*$D84, VLOOKUP(Y$4,'4. Billing Determinants'!$B$19:$R$41,3,0)/'4. Billing Determinants'!$D$41*$D84))))),0)</f>
        <v>0</v>
      </c>
    </row>
  </sheetData>
  <mergeCells count="7">
    <mergeCell ref="B73:C73"/>
    <mergeCell ref="B71:C71"/>
    <mergeCell ref="B60:C60"/>
    <mergeCell ref="B61:C61"/>
    <mergeCell ref="B69:C69"/>
    <mergeCell ref="B67:C67"/>
    <mergeCell ref="B68:C68"/>
  </mergeCells>
  <dataValidations count="3">
    <dataValidation type="list" allowBlank="1" showInputMessage="1" showErrorMessage="1" sqref="E5 E65 E7:E10" xr:uid="{00000000-0002-0000-0800-000000000000}">
      <formula1>"kWh, kW"</formula1>
    </dataValidation>
    <dataValidation type="list" allowBlank="1" showInputMessage="1" showErrorMessage="1" sqref="E53 E57" xr:uid="{00000000-0002-0000-0800-000001000000}">
      <formula1>"kWh, kW, Non-RPP kWh, Distribution Rev."</formula1>
    </dataValidation>
    <dataValidation type="list" allowBlank="1" showInputMessage="1" showErrorMessage="1" sqref="E63:E64 E55:E56 E75:E76 E22 E24:E52" xr:uid="{00000000-0002-0000-0800-000003000000}">
      <formula1>"kWh, kW,Distribution Rev., # of Customers"</formula1>
    </dataValidation>
  </dataValidations>
  <pageMargins left="0.23622047244094491" right="0.23622047244094491" top="0.74803149606299213" bottom="0.74803149606299213" header="0.31496062992125984" footer="0.31496062992125984"/>
  <pageSetup scale="42" fitToWidth="2" fitToHeight="4" orientation="landscape" r:id="rId1"/>
  <colBreaks count="2" manualBreakCount="2">
    <brk id="12" max="1048575" man="1"/>
    <brk id="18"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18</vt:i4>
      </vt:variant>
    </vt:vector>
  </HeadingPairs>
  <TitlesOfParts>
    <vt:vector size="34" baseType="lpstr">
      <vt:lpstr>Sheet1</vt:lpstr>
      <vt:lpstr>2016 List</vt:lpstr>
      <vt:lpstr>1.1 Instruction Sheet</vt:lpstr>
      <vt:lpstr>1. Information Sheet</vt:lpstr>
      <vt:lpstr>2a. Continuity Schedule</vt:lpstr>
      <vt:lpstr>2b. Continuity Schedule</vt:lpstr>
      <vt:lpstr>3. Appendix A</vt:lpstr>
      <vt:lpstr>4. Billing Determinants</vt:lpstr>
      <vt:lpstr>5. Allocation of Balances</vt:lpstr>
      <vt:lpstr>6. Class A Consumption Data</vt:lpstr>
      <vt:lpstr>6.1a GA Allocation</vt:lpstr>
      <vt:lpstr>6.2a CBR B_Allocation</vt:lpstr>
      <vt:lpstr>6.2 CBR B</vt:lpstr>
      <vt:lpstr>7. Rate Rider Calculations</vt:lpstr>
      <vt:lpstr>2.1.7 Filing</vt:lpstr>
      <vt:lpstr>Summary Sheet</vt:lpstr>
      <vt:lpstr>'4. Billing Determinants'!_GoBack</vt:lpstr>
      <vt:lpstr>'6. Class A Consumption Data'!Cust3a</vt:lpstr>
      <vt:lpstr>'6. Class A Consumption Data'!Cust3b</vt:lpstr>
      <vt:lpstr>'6. Class A Consumption Data'!G1LD</vt:lpstr>
      <vt:lpstr>'6. Class A Consumption Data'!G1LDCBR</vt:lpstr>
      <vt:lpstr>'6. Class A Consumption Data'!listdata</vt:lpstr>
      <vt:lpstr>listdata</vt:lpstr>
      <vt:lpstr>passwordlist</vt:lpstr>
      <vt:lpstr>'1. Information Sheet'!Print_Area</vt:lpstr>
      <vt:lpstr>'3. Appendix A'!Print_Area</vt:lpstr>
      <vt:lpstr>'4. Billing Determinants'!Print_Area</vt:lpstr>
      <vt:lpstr>'7. Rate Rider Calculations'!Print_Area</vt:lpstr>
      <vt:lpstr>'2a. Continuity Schedule'!Print_Titles</vt:lpstr>
      <vt:lpstr>'2b. Continuity Schedule'!Print_Titles</vt:lpstr>
      <vt:lpstr>'3. Appendix A'!Print_Titles</vt:lpstr>
      <vt:lpstr>'6. Class A Consumption Data'!TranCust</vt:lpstr>
      <vt:lpstr>'6. Class A Consumption Data'!TranCustb</vt:lpstr>
      <vt:lpstr>'6. Class A Consumption Data'!TransCust</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Theodore Antonopoulos</dc:creator>
  <cp:lastModifiedBy>Tyler Kasubeck</cp:lastModifiedBy>
  <cp:lastPrinted>2022-11-26T14:36:03Z</cp:lastPrinted>
  <dcterms:created xsi:type="dcterms:W3CDTF">2005-04-25T20:13:02Z</dcterms:created>
  <dcterms:modified xsi:type="dcterms:W3CDTF">2023-02-14T03:02:16Z</dcterms:modified>
</cp:coreProperties>
</file>