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ounting\Terry Debbie (FINANCE MGT)\1 regulatory affairs\2 Rate Applications\2023 PUC COS Application\Settlement Conference\SUBMISSION\"/>
    </mc:Choice>
  </mc:AlternateContent>
  <xr:revisionPtr revIDLastSave="0" documentId="13_ncr:1_{40ABF83F-8211-4E79-9BBB-5D659874A7D0}" xr6:coauthVersionLast="47" xr6:coauthVersionMax="47" xr10:uidLastSave="{00000000-0000-0000-0000-000000000000}"/>
  <bookViews>
    <workbookView xWindow="-110" yWindow="-110" windowWidth="19420" windowHeight="10420" activeTab="1" xr2:uid="{B3C2F84E-7653-4B3E-9857-3992132763BE}"/>
  </bookViews>
  <sheets>
    <sheet name="Depreciation" sheetId="7" r:id="rId1"/>
    <sheet name="CCA Calc" sheetId="5" r:id="rId2"/>
    <sheet name="2023 Rev Req Calc" sheetId="1" r:id="rId3"/>
    <sheet name="Rate Design and RR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0" i="1" l="1"/>
  <c r="F40" i="1" s="1"/>
  <c r="G40" i="1" s="1"/>
  <c r="H40" i="1" s="1"/>
  <c r="I40" i="1" s="1"/>
  <c r="D5" i="5"/>
  <c r="AK5" i="5"/>
  <c r="E23" i="7" l="1"/>
  <c r="E49" i="13"/>
  <c r="D49" i="13"/>
  <c r="E38" i="13"/>
  <c r="D38" i="13"/>
  <c r="E26" i="13"/>
  <c r="D26" i="13"/>
  <c r="E16" i="13"/>
  <c r="E27" i="13" s="1"/>
  <c r="E39" i="13" s="1"/>
  <c r="E50" i="13" s="1"/>
  <c r="E17" i="13"/>
  <c r="E28" i="13" s="1"/>
  <c r="E40" i="13" s="1"/>
  <c r="E51" i="13" s="1"/>
  <c r="E18" i="13"/>
  <c r="E29" i="13" s="1"/>
  <c r="E41" i="13" s="1"/>
  <c r="E52" i="13" s="1"/>
  <c r="E19" i="13"/>
  <c r="E30" i="13" s="1"/>
  <c r="E42" i="13" s="1"/>
  <c r="E53" i="13" s="1"/>
  <c r="E20" i="13"/>
  <c r="E31" i="13" s="1"/>
  <c r="E43" i="13" s="1"/>
  <c r="E54" i="13" s="1"/>
  <c r="E15" i="13"/>
  <c r="D16" i="13"/>
  <c r="D27" i="13" s="1"/>
  <c r="D39" i="13" s="1"/>
  <c r="D50" i="13" s="1"/>
  <c r="D17" i="13"/>
  <c r="D28" i="13" s="1"/>
  <c r="D40" i="13" s="1"/>
  <c r="D51" i="13" s="1"/>
  <c r="D18" i="13"/>
  <c r="D29" i="13" s="1"/>
  <c r="D41" i="13" s="1"/>
  <c r="D52" i="13" s="1"/>
  <c r="D19" i="13"/>
  <c r="D30" i="13" s="1"/>
  <c r="D42" i="13" s="1"/>
  <c r="D53" i="13" s="1"/>
  <c r="D20" i="13"/>
  <c r="D31" i="13" s="1"/>
  <c r="D43" i="13" s="1"/>
  <c r="D54" i="13" s="1"/>
  <c r="D15" i="13"/>
  <c r="B29" i="13"/>
  <c r="B41" i="13" s="1"/>
  <c r="B52" i="13" s="1"/>
  <c r="B28" i="13"/>
  <c r="B40" i="13" s="1"/>
  <c r="B51" i="13" s="1"/>
  <c r="B27" i="13"/>
  <c r="B39" i="13" s="1"/>
  <c r="B50" i="13" s="1"/>
  <c r="B16" i="13"/>
  <c r="B17" i="13"/>
  <c r="B18" i="13"/>
  <c r="B19" i="13"/>
  <c r="B30" i="13" s="1"/>
  <c r="B42" i="13" s="1"/>
  <c r="B53" i="13" s="1"/>
  <c r="B20" i="13"/>
  <c r="B31" i="13" s="1"/>
  <c r="B43" i="13" s="1"/>
  <c r="B54" i="13" s="1"/>
  <c r="B15" i="13"/>
  <c r="B26" i="13" s="1"/>
  <c r="B38" i="13" s="1"/>
  <c r="B49" i="13" s="1"/>
  <c r="E9" i="5" l="1"/>
  <c r="D21" i="7"/>
  <c r="H10" i="7"/>
  <c r="E10" i="7"/>
  <c r="E4" i="5" s="1"/>
  <c r="D10" i="7"/>
  <c r="I9" i="7"/>
  <c r="I21" i="7" s="1"/>
  <c r="F9" i="7"/>
  <c r="I8" i="7"/>
  <c r="I20" i="7" s="1"/>
  <c r="F8" i="7"/>
  <c r="D20" i="7" s="1"/>
  <c r="I7" i="7"/>
  <c r="I19" i="7" s="1"/>
  <c r="F7" i="7"/>
  <c r="D19" i="7" s="1"/>
  <c r="I6" i="7"/>
  <c r="F6" i="7"/>
  <c r="D18" i="7" s="1"/>
  <c r="I5" i="7"/>
  <c r="I17" i="7" s="1"/>
  <c r="F5" i="7"/>
  <c r="D17" i="7" s="1"/>
  <c r="I4" i="7"/>
  <c r="I27" i="7" s="1"/>
  <c r="F4" i="7"/>
  <c r="D16" i="7" s="1"/>
  <c r="I3" i="7"/>
  <c r="I15" i="7" s="1"/>
  <c r="F3" i="7"/>
  <c r="D15" i="7" s="1"/>
  <c r="J5" i="7" l="1"/>
  <c r="I28" i="7"/>
  <c r="J9" i="7"/>
  <c r="H21" i="7" s="1"/>
  <c r="I32" i="7"/>
  <c r="I16" i="7"/>
  <c r="F4" i="5"/>
  <c r="E5" i="5"/>
  <c r="G4" i="5"/>
  <c r="G5" i="5" s="1"/>
  <c r="J3" i="7"/>
  <c r="I26" i="7"/>
  <c r="J7" i="7"/>
  <c r="H19" i="7" s="1"/>
  <c r="I30" i="7"/>
  <c r="J6" i="7"/>
  <c r="H18" i="7" s="1"/>
  <c r="I29" i="7"/>
  <c r="J8" i="7"/>
  <c r="H20" i="7" s="1"/>
  <c r="I31" i="7"/>
  <c r="I18" i="7"/>
  <c r="K9" i="7"/>
  <c r="K7" i="7"/>
  <c r="I10" i="7"/>
  <c r="F10" i="7"/>
  <c r="J4" i="7"/>
  <c r="K8" i="7" l="1"/>
  <c r="K4" i="7"/>
  <c r="H16" i="7"/>
  <c r="J4" i="5"/>
  <c r="F5" i="5"/>
  <c r="K6" i="7"/>
  <c r="K3" i="7"/>
  <c r="K10" i="7" s="1"/>
  <c r="H15" i="7"/>
  <c r="K5" i="7"/>
  <c r="H17" i="7"/>
  <c r="J10" i="7"/>
  <c r="D9" i="5" l="1"/>
  <c r="F9" i="5" l="1"/>
  <c r="G9" i="5" s="1"/>
  <c r="F10" i="5" l="1"/>
  <c r="D10" i="5"/>
  <c r="E10" i="5"/>
  <c r="D14" i="5" l="1"/>
  <c r="G10" i="5" l="1"/>
  <c r="I39" i="7" l="1"/>
  <c r="J20" i="7"/>
  <c r="J15" i="7"/>
  <c r="H26" i="7" s="1"/>
  <c r="E66" i="7"/>
  <c r="E55" i="7"/>
  <c r="E44" i="7"/>
  <c r="E33" i="7"/>
  <c r="H22" i="7"/>
  <c r="D22" i="7"/>
  <c r="E22" i="7"/>
  <c r="E7" i="1" s="1"/>
  <c r="F16" i="7"/>
  <c r="D27" i="7" s="1"/>
  <c r="F27" i="7" s="1"/>
  <c r="D38" i="7" s="1"/>
  <c r="F38" i="7" s="1"/>
  <c r="D49" i="7" s="1"/>
  <c r="F49" i="7" s="1"/>
  <c r="D60" i="7" s="1"/>
  <c r="F60" i="7" s="1"/>
  <c r="F17" i="7"/>
  <c r="F18" i="7"/>
  <c r="D29" i="7" s="1"/>
  <c r="F29" i="7" s="1"/>
  <c r="D40" i="7" s="1"/>
  <c r="F40" i="7" s="1"/>
  <c r="D51" i="7" s="1"/>
  <c r="F51" i="7" s="1"/>
  <c r="D62" i="7" s="1"/>
  <c r="F62" i="7" s="1"/>
  <c r="F19" i="7"/>
  <c r="D30" i="7" s="1"/>
  <c r="F30" i="7" s="1"/>
  <c r="D41" i="7" s="1"/>
  <c r="F41" i="7" s="1"/>
  <c r="D52" i="7" s="1"/>
  <c r="F52" i="7" s="1"/>
  <c r="D63" i="7" s="1"/>
  <c r="F63" i="7" s="1"/>
  <c r="F20" i="7"/>
  <c r="D31" i="7" s="1"/>
  <c r="F31" i="7" s="1"/>
  <c r="D42" i="7" s="1"/>
  <c r="F42" i="7" s="1"/>
  <c r="D53" i="7" s="1"/>
  <c r="F53" i="7" s="1"/>
  <c r="D64" i="7" s="1"/>
  <c r="F64" i="7" s="1"/>
  <c r="F21" i="7"/>
  <c r="D32" i="7" s="1"/>
  <c r="F32" i="7" s="1"/>
  <c r="D43" i="7" s="1"/>
  <c r="F43" i="7" s="1"/>
  <c r="D54" i="7" s="1"/>
  <c r="F54" i="7" s="1"/>
  <c r="D65" i="7" s="1"/>
  <c r="F65" i="7" s="1"/>
  <c r="F15" i="7"/>
  <c r="D26" i="7" s="1"/>
  <c r="F26" i="7" s="1"/>
  <c r="D37" i="7" s="1"/>
  <c r="M22" i="7" l="1"/>
  <c r="E11" i="1"/>
  <c r="J21" i="7"/>
  <c r="H32" i="7" s="1"/>
  <c r="J32" i="7" s="1"/>
  <c r="J17" i="7"/>
  <c r="H28" i="7" s="1"/>
  <c r="J28" i="7" s="1"/>
  <c r="K20" i="7"/>
  <c r="H31" i="7"/>
  <c r="I37" i="7"/>
  <c r="I48" i="7" s="1"/>
  <c r="D28" i="7"/>
  <c r="F28" i="7" s="1"/>
  <c r="D39" i="7" s="1"/>
  <c r="F39" i="7" s="1"/>
  <c r="D50" i="7" s="1"/>
  <c r="F50" i="7" s="1"/>
  <c r="D61" i="7" s="1"/>
  <c r="F61" i="7" s="1"/>
  <c r="K21" i="7"/>
  <c r="I42" i="7"/>
  <c r="J18" i="7"/>
  <c r="H29" i="7" s="1"/>
  <c r="J29" i="7" s="1"/>
  <c r="F37" i="7"/>
  <c r="D48" i="7" s="1"/>
  <c r="I43" i="7"/>
  <c r="I53" i="7"/>
  <c r="I41" i="7"/>
  <c r="J19" i="7"/>
  <c r="I40" i="7"/>
  <c r="I50" i="7"/>
  <c r="I38" i="7"/>
  <c r="I33" i="7"/>
  <c r="F12" i="1" s="1"/>
  <c r="G12" i="1" s="1"/>
  <c r="H12" i="1" s="1"/>
  <c r="I12" i="1" s="1"/>
  <c r="J16" i="7"/>
  <c r="H27" i="7" s="1"/>
  <c r="F22" i="7"/>
  <c r="K15" i="7"/>
  <c r="I22" i="7"/>
  <c r="E12" i="1" s="1"/>
  <c r="E32" i="1" s="1"/>
  <c r="K18" i="7" l="1"/>
  <c r="K17" i="7"/>
  <c r="E13" i="1"/>
  <c r="J31" i="7"/>
  <c r="I44" i="7"/>
  <c r="D55" i="7"/>
  <c r="K29" i="7"/>
  <c r="H40" i="7"/>
  <c r="D33" i="7"/>
  <c r="E38" i="1"/>
  <c r="E65" i="1"/>
  <c r="K16" i="7"/>
  <c r="K19" i="7"/>
  <c r="H30" i="7"/>
  <c r="J30" i="7" s="1"/>
  <c r="K32" i="7"/>
  <c r="H43" i="7"/>
  <c r="J43" i="7" s="1"/>
  <c r="F48" i="7"/>
  <c r="F33" i="7"/>
  <c r="K31" i="7"/>
  <c r="H42" i="7"/>
  <c r="J42" i="7" s="1"/>
  <c r="J27" i="7"/>
  <c r="F44" i="7"/>
  <c r="K28" i="7"/>
  <c r="H39" i="7"/>
  <c r="J39" i="7" s="1"/>
  <c r="D44" i="7"/>
  <c r="J26" i="7"/>
  <c r="I54" i="7"/>
  <c r="I64" i="7"/>
  <c r="J22" i="7"/>
  <c r="N22" i="7" s="1"/>
  <c r="O22" i="7" s="1"/>
  <c r="I52" i="7"/>
  <c r="I51" i="7"/>
  <c r="J40" i="7"/>
  <c r="I61" i="7"/>
  <c r="I49" i="7"/>
  <c r="I59" i="7"/>
  <c r="J33" i="7" l="1"/>
  <c r="N33" i="7" s="1"/>
  <c r="K22" i="7"/>
  <c r="F11" i="1" s="1"/>
  <c r="F13" i="1" s="1"/>
  <c r="H33" i="7"/>
  <c r="M33" i="7" s="1"/>
  <c r="K42" i="7"/>
  <c r="H53" i="7"/>
  <c r="J53" i="7" s="1"/>
  <c r="K27" i="7"/>
  <c r="H38" i="7"/>
  <c r="J38" i="7" s="1"/>
  <c r="H49" i="7" s="1"/>
  <c r="J49" i="7" s="1"/>
  <c r="K40" i="7"/>
  <c r="H51" i="7"/>
  <c r="J51" i="7" s="1"/>
  <c r="K30" i="7"/>
  <c r="H41" i="7"/>
  <c r="J41" i="7" s="1"/>
  <c r="H37" i="7"/>
  <c r="K26" i="7"/>
  <c r="K39" i="7"/>
  <c r="H50" i="7"/>
  <c r="J50" i="7" s="1"/>
  <c r="D59" i="7"/>
  <c r="F55" i="7"/>
  <c r="K43" i="7"/>
  <c r="H54" i="7"/>
  <c r="J54" i="7" s="1"/>
  <c r="E16" i="1"/>
  <c r="E19" i="1" s="1"/>
  <c r="E24" i="1"/>
  <c r="E26" i="1" s="1"/>
  <c r="E15" i="1"/>
  <c r="E18" i="1" s="1"/>
  <c r="I65" i="7"/>
  <c r="I63" i="7"/>
  <c r="I62" i="7"/>
  <c r="I60" i="7"/>
  <c r="I55" i="7"/>
  <c r="O33" i="7" l="1"/>
  <c r="E36" i="1"/>
  <c r="E21" i="1"/>
  <c r="E28" i="1" s="1"/>
  <c r="E64" i="1" s="1"/>
  <c r="K38" i="7"/>
  <c r="K54" i="7"/>
  <c r="H65" i="7"/>
  <c r="J65" i="7" s="1"/>
  <c r="K65" i="7" s="1"/>
  <c r="D66" i="7"/>
  <c r="F59" i="7"/>
  <c r="F66" i="7" s="1"/>
  <c r="K49" i="7"/>
  <c r="H60" i="7"/>
  <c r="J60" i="7" s="1"/>
  <c r="K60" i="7" s="1"/>
  <c r="K50" i="7"/>
  <c r="H61" i="7"/>
  <c r="J61" i="7" s="1"/>
  <c r="K61" i="7" s="1"/>
  <c r="K33" i="7"/>
  <c r="G11" i="1" s="1"/>
  <c r="G13" i="1" s="1"/>
  <c r="K51" i="7"/>
  <c r="H62" i="7"/>
  <c r="J62" i="7" s="1"/>
  <c r="K62" i="7" s="1"/>
  <c r="H44" i="7"/>
  <c r="M44" i="7" s="1"/>
  <c r="J37" i="7"/>
  <c r="K53" i="7"/>
  <c r="H64" i="7"/>
  <c r="J64" i="7" s="1"/>
  <c r="K64" i="7" s="1"/>
  <c r="K41" i="7"/>
  <c r="H52" i="7"/>
  <c r="J52" i="7" s="1"/>
  <c r="I66" i="7"/>
  <c r="K37" i="7" l="1"/>
  <c r="K44" i="7" s="1"/>
  <c r="H11" i="1" s="1"/>
  <c r="H13" i="1" s="1"/>
  <c r="H48" i="7"/>
  <c r="J44" i="7"/>
  <c r="N44" i="7" s="1"/>
  <c r="O44" i="7" s="1"/>
  <c r="K52" i="7"/>
  <c r="H63" i="7"/>
  <c r="J63" i="7" s="1"/>
  <c r="K63" i="7" s="1"/>
  <c r="G32" i="1"/>
  <c r="H32" i="1"/>
  <c r="I32" i="1"/>
  <c r="F32" i="1"/>
  <c r="F38" i="1" s="1"/>
  <c r="H55" i="7" l="1"/>
  <c r="M55" i="7" s="1"/>
  <c r="J48" i="7"/>
  <c r="I65" i="1"/>
  <c r="I38" i="1"/>
  <c r="H38" i="1"/>
  <c r="H65" i="1"/>
  <c r="G38" i="1"/>
  <c r="G65" i="1"/>
  <c r="F65" i="1"/>
  <c r="H59" i="7" l="1"/>
  <c r="K48" i="7"/>
  <c r="K55" i="7" s="1"/>
  <c r="I11" i="1" s="1"/>
  <c r="I13" i="1" s="1"/>
  <c r="J55" i="7"/>
  <c r="N55" i="7" s="1"/>
  <c r="O55" i="7" s="1"/>
  <c r="E33" i="5"/>
  <c r="E27" i="5"/>
  <c r="E21" i="5"/>
  <c r="H66" i="7" l="1"/>
  <c r="M66" i="7" s="1"/>
  <c r="J59" i="7"/>
  <c r="E15" i="5"/>
  <c r="C23" i="1"/>
  <c r="C25" i="1"/>
  <c r="B66" i="1"/>
  <c r="K59" i="7" l="1"/>
  <c r="K66" i="7" s="1"/>
  <c r="J66" i="7"/>
  <c r="N66" i="7" s="1"/>
  <c r="O66" i="7" s="1"/>
  <c r="F16" i="1"/>
  <c r="F19" i="1" s="1"/>
  <c r="F15" i="1"/>
  <c r="F18" i="1" s="1"/>
  <c r="F24" i="1"/>
  <c r="F26" i="1" s="1"/>
  <c r="F36" i="1" s="1"/>
  <c r="F21" i="1" l="1"/>
  <c r="F28" i="1" s="1"/>
  <c r="F64" i="1" s="1"/>
  <c r="G16" i="1"/>
  <c r="G19" i="1" s="1"/>
  <c r="G24" i="1"/>
  <c r="G26" i="1" s="1"/>
  <c r="G36" i="1" s="1"/>
  <c r="G15" i="1"/>
  <c r="G18" i="1" s="1"/>
  <c r="D15" i="5"/>
  <c r="F14" i="5" s="1"/>
  <c r="G21" i="1" l="1"/>
  <c r="G28" i="1" s="1"/>
  <c r="G64" i="1" s="1"/>
  <c r="H15" i="1"/>
  <c r="H18" i="1" s="1"/>
  <c r="H16" i="1"/>
  <c r="H19" i="1" s="1"/>
  <c r="H24" i="1"/>
  <c r="H26" i="1" s="1"/>
  <c r="H36" i="1" s="1"/>
  <c r="F15" i="5"/>
  <c r="G14" i="5"/>
  <c r="G15" i="5" s="1"/>
  <c r="H21" i="1" l="1"/>
  <c r="H28" i="1" s="1"/>
  <c r="H64" i="1" s="1"/>
  <c r="I15" i="1"/>
  <c r="I18" i="1" s="1"/>
  <c r="I16" i="1"/>
  <c r="I19" i="1" s="1"/>
  <c r="I24" i="1"/>
  <c r="I26" i="1" s="1"/>
  <c r="I36" i="1" s="1"/>
  <c r="D20" i="5"/>
  <c r="I21" i="1" l="1"/>
  <c r="I28" i="1" s="1"/>
  <c r="I64" i="1" s="1"/>
  <c r="F20" i="5"/>
  <c r="D21" i="5"/>
  <c r="G20" i="5" l="1"/>
  <c r="F21" i="5"/>
  <c r="D26" i="5" l="1"/>
  <c r="G21" i="5"/>
  <c r="F26" i="5" l="1"/>
  <c r="D27" i="5"/>
  <c r="G26" i="5" l="1"/>
  <c r="F27" i="5"/>
  <c r="D32" i="5" l="1"/>
  <c r="G27" i="5"/>
  <c r="F32" i="5" l="1"/>
  <c r="D33" i="5"/>
  <c r="G32" i="5" l="1"/>
  <c r="AJ4" i="5" s="1"/>
  <c r="F33" i="5"/>
  <c r="F36" i="5" s="1"/>
  <c r="F39" i="5" s="1"/>
  <c r="AJ5" i="5" l="1"/>
  <c r="AL4" i="5"/>
  <c r="AL5" i="5" s="1"/>
  <c r="F40" i="5"/>
  <c r="G33" i="5"/>
  <c r="AM4" i="5" l="1"/>
  <c r="AM5" i="5" s="1"/>
  <c r="E42" i="1" l="1"/>
  <c r="E46" i="1" s="1"/>
  <c r="E48" i="1" s="1"/>
  <c r="E66" i="1" s="1"/>
  <c r="E69" i="1" s="1"/>
  <c r="C10" i="13" s="1"/>
  <c r="F42" i="1"/>
  <c r="F46" i="1" s="1"/>
  <c r="F48" i="1" s="1"/>
  <c r="F66" i="1" s="1"/>
  <c r="F69" i="1" s="1"/>
  <c r="C4" i="13" l="1"/>
  <c r="F4" i="13" s="1"/>
  <c r="C9" i="13"/>
  <c r="F9" i="13" s="1"/>
  <c r="N9" i="13" s="1"/>
  <c r="C5" i="13"/>
  <c r="F5" i="13" s="1"/>
  <c r="N5" i="13" s="1"/>
  <c r="C8" i="13"/>
  <c r="F8" i="13" s="1"/>
  <c r="N8" i="13" s="1"/>
  <c r="C7" i="13"/>
  <c r="F7" i="13" s="1"/>
  <c r="N7" i="13" s="1"/>
  <c r="C6" i="13"/>
  <c r="F6" i="13" s="1"/>
  <c r="N6" i="13" s="1"/>
  <c r="G42" i="1"/>
  <c r="G46" i="1" s="1"/>
  <c r="G48" i="1" s="1"/>
  <c r="G66" i="1" s="1"/>
  <c r="G69" i="1" s="1"/>
  <c r="C21" i="13"/>
  <c r="G5" i="13"/>
  <c r="M5" i="13" s="1"/>
  <c r="G4" i="13"/>
  <c r="G9" i="13" l="1"/>
  <c r="M9" i="13" s="1"/>
  <c r="G7" i="13"/>
  <c r="M7" i="13" s="1"/>
  <c r="G6" i="13"/>
  <c r="M6" i="13" s="1"/>
  <c r="G8" i="13"/>
  <c r="M8" i="13" s="1"/>
  <c r="C32" i="13"/>
  <c r="C26" i="13" s="1"/>
  <c r="M4" i="13"/>
  <c r="C20" i="13"/>
  <c r="C16" i="13"/>
  <c r="C17" i="13"/>
  <c r="C15" i="13"/>
  <c r="C19" i="13"/>
  <c r="C18" i="13"/>
  <c r="C30" i="13"/>
  <c r="F10" i="13"/>
  <c r="I42" i="1"/>
  <c r="I46" i="1" s="1"/>
  <c r="I48" i="1" s="1"/>
  <c r="I66" i="1" s="1"/>
  <c r="I69" i="1" s="1"/>
  <c r="H42" i="1"/>
  <c r="H46" i="1" s="1"/>
  <c r="H48" i="1" s="1"/>
  <c r="H66" i="1" s="1"/>
  <c r="H69" i="1" s="1"/>
  <c r="G10" i="13" l="1"/>
  <c r="C29" i="13"/>
  <c r="C27" i="13"/>
  <c r="C28" i="13"/>
  <c r="C31" i="13"/>
  <c r="F31" i="13" s="1"/>
  <c r="N31" i="13" s="1"/>
  <c r="C55" i="13"/>
  <c r="C53" i="13" s="1"/>
  <c r="G53" i="13" s="1"/>
  <c r="M53" i="13" s="1"/>
  <c r="F19" i="13"/>
  <c r="N19" i="13" s="1"/>
  <c r="G19" i="13"/>
  <c r="M19" i="13" s="1"/>
  <c r="F15" i="13"/>
  <c r="G15" i="13"/>
  <c r="M15" i="13" s="1"/>
  <c r="G26" i="13"/>
  <c r="F26" i="13"/>
  <c r="G17" i="13"/>
  <c r="M17" i="13" s="1"/>
  <c r="F17" i="13"/>
  <c r="N17" i="13" s="1"/>
  <c r="G18" i="13"/>
  <c r="M18" i="13" s="1"/>
  <c r="F18" i="13"/>
  <c r="N18" i="13" s="1"/>
  <c r="G30" i="13"/>
  <c r="M30" i="13" s="1"/>
  <c r="F30" i="13"/>
  <c r="N30" i="13" s="1"/>
  <c r="G16" i="13"/>
  <c r="M16" i="13" s="1"/>
  <c r="F16" i="13"/>
  <c r="N16" i="13" s="1"/>
  <c r="F29" i="13"/>
  <c r="N29" i="13" s="1"/>
  <c r="G29" i="13"/>
  <c r="M29" i="13" s="1"/>
  <c r="G20" i="13"/>
  <c r="M20" i="13" s="1"/>
  <c r="F20" i="13"/>
  <c r="N20" i="13" s="1"/>
  <c r="G27" i="13"/>
  <c r="M27" i="13" s="1"/>
  <c r="F27" i="13"/>
  <c r="N27" i="13" s="1"/>
  <c r="C44" i="13"/>
  <c r="G28" i="13"/>
  <c r="M28" i="13" s="1"/>
  <c r="F28" i="13"/>
  <c r="N28" i="13" s="1"/>
  <c r="C51" i="13" l="1"/>
  <c r="F51" i="13" s="1"/>
  <c r="N51" i="13" s="1"/>
  <c r="C49" i="13"/>
  <c r="C54" i="13"/>
  <c r="F54" i="13" s="1"/>
  <c r="N54" i="13" s="1"/>
  <c r="C50" i="13"/>
  <c r="C52" i="13"/>
  <c r="F52" i="13" s="1"/>
  <c r="N52" i="13" s="1"/>
  <c r="G31" i="13"/>
  <c r="M31" i="13" s="1"/>
  <c r="F53" i="13"/>
  <c r="N53" i="13" s="1"/>
  <c r="F21" i="13"/>
  <c r="G21" i="13"/>
  <c r="C41" i="13"/>
  <c r="C40" i="13"/>
  <c r="C42" i="13"/>
  <c r="C39" i="13"/>
  <c r="C43" i="13"/>
  <c r="C38" i="13"/>
  <c r="F32" i="13"/>
  <c r="M26" i="13"/>
  <c r="G49" i="13"/>
  <c r="M49" i="13" s="1"/>
  <c r="F49" i="13"/>
  <c r="G54" i="13"/>
  <c r="M54" i="13" s="1"/>
  <c r="G50" i="13"/>
  <c r="M50" i="13" s="1"/>
  <c r="F50" i="13"/>
  <c r="N50" i="13" s="1"/>
  <c r="G32" i="13" l="1"/>
  <c r="G51" i="13"/>
  <c r="M51" i="13" s="1"/>
  <c r="G52" i="13"/>
  <c r="M52" i="13" s="1"/>
  <c r="F55" i="13"/>
  <c r="F43" i="13"/>
  <c r="N43" i="13" s="1"/>
  <c r="G43" i="13"/>
  <c r="M43" i="13" s="1"/>
  <c r="F42" i="13"/>
  <c r="N42" i="13" s="1"/>
  <c r="G42" i="13"/>
  <c r="M42" i="13" s="1"/>
  <c r="F39" i="13"/>
  <c r="N39" i="13" s="1"/>
  <c r="G39" i="13"/>
  <c r="M39" i="13" s="1"/>
  <c r="G40" i="13"/>
  <c r="M40" i="13" s="1"/>
  <c r="F40" i="13"/>
  <c r="N40" i="13" s="1"/>
  <c r="G38" i="13"/>
  <c r="F38" i="13"/>
  <c r="G41" i="13"/>
  <c r="M41" i="13" s="1"/>
  <c r="F41" i="13"/>
  <c r="N41" i="13" s="1"/>
  <c r="G55" i="13" l="1"/>
  <c r="F44" i="13"/>
  <c r="M38" i="13"/>
  <c r="G44" i="13"/>
</calcChain>
</file>

<file path=xl/sharedStrings.xml><?xml version="1.0" encoding="utf-8"?>
<sst xmlns="http://schemas.openxmlformats.org/spreadsheetml/2006/main" count="354" uniqueCount="108">
  <si>
    <t>Incremental Revenue Requirement</t>
  </si>
  <si>
    <t>Z</t>
  </si>
  <si>
    <t>S</t>
  </si>
  <si>
    <t>Amortization Expense - Total</t>
  </si>
  <si>
    <t>Q</t>
  </si>
  <si>
    <t>Return on Rate Base - Total</t>
  </si>
  <si>
    <t>Incremental Ontario Capital Tax</t>
  </si>
  <si>
    <t>AD</t>
  </si>
  <si>
    <r>
      <t xml:space="preserve">Ontario Capital Tax Rate </t>
    </r>
    <r>
      <rPr>
        <sz val="8"/>
        <rFont val="Arial"/>
        <family val="2"/>
      </rPr>
      <t>(F1.1 Z-Factor Tax Changes)</t>
    </r>
  </si>
  <si>
    <t>Incremental Capital CAPEX subject to OCT</t>
  </si>
  <si>
    <t>Less : Available Capital Exemption (if any)</t>
  </si>
  <si>
    <t>Incremental Capital CAPEX</t>
  </si>
  <si>
    <t>Ontario Capital Tax</t>
  </si>
  <si>
    <t>Grossed-Up Taxes/PILs</t>
  </si>
  <si>
    <t>Taxes/PILs Before Gross Up</t>
  </si>
  <si>
    <t>X</t>
  </si>
  <si>
    <t>Current Tax Rate</t>
  </si>
  <si>
    <t>Incremental Taxable Income</t>
  </si>
  <si>
    <t>O</t>
  </si>
  <si>
    <t>Regulatory Taxable Income</t>
  </si>
  <si>
    <t>Grossed up Taxes/PILs</t>
  </si>
  <si>
    <t>C</t>
  </si>
  <si>
    <t>Amortization Expense - Incremental</t>
  </si>
  <si>
    <t>Amortization Expense</t>
  </si>
  <si>
    <t>Return on Rate Base -Equity</t>
  </si>
  <si>
    <t>N</t>
  </si>
  <si>
    <t>Deemed Equity %</t>
  </si>
  <si>
    <t>Return on Rate Base - Interest</t>
  </si>
  <si>
    <t>J</t>
  </si>
  <si>
    <t>Long-Term Interest</t>
  </si>
  <si>
    <t>I</t>
  </si>
  <si>
    <t>Short-Term Interest</t>
  </si>
  <si>
    <t>Rate (%)</t>
  </si>
  <si>
    <t>F</t>
  </si>
  <si>
    <t>Deemed Long-Term Debt</t>
  </si>
  <si>
    <t>E</t>
  </si>
  <si>
    <t>Deemed Short-Term Debt</t>
  </si>
  <si>
    <t>% of capital structure</t>
  </si>
  <si>
    <t>Return on Rate Base</t>
  </si>
  <si>
    <t>CCA Class</t>
  </si>
  <si>
    <t>Opening</t>
  </si>
  <si>
    <t>Addition</t>
  </si>
  <si>
    <t>AIIP</t>
  </si>
  <si>
    <t>Ending</t>
  </si>
  <si>
    <t>Opening Net Book Value</t>
  </si>
  <si>
    <t>Average Ending Net Book Value</t>
  </si>
  <si>
    <t>Cost of Capital Parameters</t>
  </si>
  <si>
    <t>OEB</t>
  </si>
  <si>
    <t>Distribution Station Equipment - Normally Primary below 50 kV</t>
  </si>
  <si>
    <t>Poles, Towers and Fixtures</t>
  </si>
  <si>
    <t>Overhead Conductors and Devices</t>
  </si>
  <si>
    <t>Underground Conductors and Devices</t>
  </si>
  <si>
    <t>Line Transformers</t>
  </si>
  <si>
    <t>System Supervisory Equipment</t>
  </si>
  <si>
    <t>Contributions and Grants</t>
  </si>
  <si>
    <t>Useful Life</t>
  </si>
  <si>
    <t>Description</t>
  </si>
  <si>
    <t>Opening Balance</t>
  </si>
  <si>
    <t>Addtions</t>
  </si>
  <si>
    <t>Closing Balance</t>
  </si>
  <si>
    <t>Additions</t>
  </si>
  <si>
    <t>Net Book Value</t>
  </si>
  <si>
    <t>Total</t>
  </si>
  <si>
    <t>GROSS Additions</t>
  </si>
  <si>
    <t>Customer Class</t>
  </si>
  <si>
    <t>Residential</t>
  </si>
  <si>
    <t>GS &lt; 50 kW</t>
  </si>
  <si>
    <t>GS &gt;50 to 4,999 kW</t>
  </si>
  <si>
    <t>Street Lighting</t>
  </si>
  <si>
    <t>Sentinel Lighting</t>
  </si>
  <si>
    <t>Unmetered and Scattered</t>
  </si>
  <si>
    <t>Rev Requirement %</t>
  </si>
  <si>
    <t>Allocated Revenue</t>
  </si>
  <si>
    <t>Billing Determinants</t>
  </si>
  <si>
    <t># of Customers</t>
  </si>
  <si>
    <t>Consumption</t>
  </si>
  <si>
    <t>unit</t>
  </si>
  <si>
    <t>kWh</t>
  </si>
  <si>
    <t>kW</t>
  </si>
  <si>
    <t>Current Volumetric Split</t>
  </si>
  <si>
    <t>Current Fixed Charge Split</t>
  </si>
  <si>
    <t>Volumetric Revenue</t>
  </si>
  <si>
    <t>Fixed Revenue</t>
  </si>
  <si>
    <t>Fixed Rate</t>
  </si>
  <si>
    <t>Volumetric Rate</t>
  </si>
  <si>
    <t>CCA Accelerated</t>
  </si>
  <si>
    <t>Rate Riders</t>
  </si>
  <si>
    <t>avg nbg</t>
  </si>
  <si>
    <t>beginning nbv</t>
  </si>
  <si>
    <t>ending nbv</t>
  </si>
  <si>
    <t>Smoothed Yearly</t>
  </si>
  <si>
    <t>Revised</t>
  </si>
  <si>
    <t>CCA used in ICM True up</t>
  </si>
  <si>
    <t>Difference</t>
  </si>
  <si>
    <t xml:space="preserve">this amount included intax loss carry forward calculation </t>
  </si>
  <si>
    <t>Notes</t>
  </si>
  <si>
    <t>Revised Total of CCA for SSG Project Recovery Mechanism</t>
  </si>
  <si>
    <t>Depreciation Expense (NET OF CONTRIBUTED CAPITAL)</t>
  </si>
  <si>
    <t xml:space="preserve">Add Back Amortization Expense </t>
  </si>
  <si>
    <t xml:space="preserve">Deduct CCA </t>
  </si>
  <si>
    <t>2023 (effective from May 1, 2023 to April 30, 2024)</t>
  </si>
  <si>
    <t>2024 (effective from May 1, 2024 to April 30, 2025)</t>
  </si>
  <si>
    <t>2025 (effective from May 1, 2025 to April 30, 2026)</t>
  </si>
  <si>
    <t>2026 (effective from May 1, 2026 to April 30, 2027)</t>
  </si>
  <si>
    <t>2027 (effective from May 1, 2027 to April 30, 2028)</t>
  </si>
  <si>
    <t>Total CCA from 2022 to 2027</t>
  </si>
  <si>
    <t>2022 CCA included in ICM True up</t>
  </si>
  <si>
    <t>2022 CCA included in tax loss carry forward refund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</si>
</sst>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%"/>
    <numFmt numFmtId="167" formatCode="_(&quot;$&quot;* #,##0_);_(&quot;$&quot;* \(#,##0\);_(&quot;$&quot;* &quot;-&quot;??_);_(@_)"/>
    <numFmt numFmtId="168" formatCode="_(* #,##0_);_(* \(#,##0\);_(* &quot;-&quot;??_);_(@_)"/>
    <numFmt numFmtId="169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u val="singleAccounting"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165" fontId="3" fillId="0" borderId="0" xfId="2" applyNumberFormat="1" applyFont="1" applyFill="1" applyBorder="1" applyProtection="1"/>
    <xf numFmtId="0" fontId="4" fillId="0" borderId="0" xfId="0" applyFont="1"/>
    <xf numFmtId="165" fontId="3" fillId="2" borderId="1" xfId="2" applyNumberFormat="1" applyFont="1" applyFill="1" applyBorder="1" applyProtection="1"/>
    <xf numFmtId="0" fontId="0" fillId="0" borderId="1" xfId="0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 applyAlignment="1">
      <alignment horizontal="center"/>
    </xf>
    <xf numFmtId="165" fontId="3" fillId="0" borderId="4" xfId="2" applyNumberFormat="1" applyFont="1" applyFill="1" applyBorder="1" applyProtection="1"/>
    <xf numFmtId="165" fontId="3" fillId="0" borderId="5" xfId="2" applyNumberFormat="1" applyFont="1" applyFill="1" applyBorder="1" applyProtection="1"/>
    <xf numFmtId="0" fontId="5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left"/>
    </xf>
    <xf numFmtId="0" fontId="8" fillId="0" borderId="0" xfId="0" applyFont="1"/>
    <xf numFmtId="166" fontId="4" fillId="0" borderId="0" xfId="3" applyNumberFormat="1" applyFont="1" applyFill="1" applyBorder="1" applyAlignment="1" applyProtection="1">
      <alignment horizontal="center"/>
      <protection locked="0"/>
    </xf>
    <xf numFmtId="165" fontId="3" fillId="0" borderId="0" xfId="2" applyNumberFormat="1" applyFont="1" applyFill="1" applyBorder="1" applyProtection="1">
      <protection locked="0"/>
    </xf>
    <xf numFmtId="0" fontId="7" fillId="0" borderId="0" xfId="0" applyFont="1" applyAlignment="1">
      <alignment horizontal="left"/>
    </xf>
    <xf numFmtId="165" fontId="3" fillId="0" borderId="1" xfId="2" applyNumberFormat="1" applyFont="1" applyFill="1" applyBorder="1" applyProtection="1"/>
    <xf numFmtId="165" fontId="3" fillId="0" borderId="8" xfId="2" applyNumberFormat="1" applyFont="1" applyFill="1" applyBorder="1" applyProtection="1"/>
    <xf numFmtId="0" fontId="5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10" fontId="4" fillId="0" borderId="0" xfId="3" applyNumberFormat="1" applyFont="1" applyFill="1" applyBorder="1" applyAlignment="1" applyProtection="1">
      <alignment horizontal="center"/>
    </xf>
    <xf numFmtId="167" fontId="3" fillId="0" borderId="0" xfId="2" applyNumberFormat="1" applyFont="1" applyFill="1" applyBorder="1" applyProtection="1"/>
    <xf numFmtId="0" fontId="0" fillId="0" borderId="5" xfId="0" applyBorder="1"/>
    <xf numFmtId="165" fontId="10" fillId="0" borderId="0" xfId="0" applyNumberFormat="1" applyFont="1" applyAlignment="1">
      <alignment horizontal="center"/>
    </xf>
    <xf numFmtId="10" fontId="4" fillId="3" borderId="1" xfId="3" applyNumberFormat="1" applyFont="1" applyFill="1" applyBorder="1" applyAlignment="1" applyProtection="1">
      <alignment horizontal="center"/>
    </xf>
    <xf numFmtId="0" fontId="0" fillId="0" borderId="2" xfId="0" applyBorder="1"/>
    <xf numFmtId="10" fontId="4" fillId="3" borderId="0" xfId="3" applyNumberFormat="1" applyFont="1" applyFill="1" applyBorder="1" applyAlignment="1" applyProtection="1">
      <alignment horizontal="center"/>
    </xf>
    <xf numFmtId="0" fontId="0" fillId="0" borderId="3" xfId="0" applyBorder="1"/>
    <xf numFmtId="10" fontId="4" fillId="3" borderId="5" xfId="3" applyNumberFormat="1" applyFont="1" applyFill="1" applyBorder="1" applyAlignment="1" applyProtection="1">
      <alignment horizontal="center"/>
    </xf>
    <xf numFmtId="0" fontId="0" fillId="0" borderId="6" xfId="0" applyBorder="1"/>
    <xf numFmtId="44" fontId="0" fillId="0" borderId="0" xfId="0" applyNumberFormat="1"/>
    <xf numFmtId="42" fontId="3" fillId="0" borderId="0" xfId="2" applyNumberFormat="1" applyFont="1" applyFill="1" applyBorder="1" applyProtection="1"/>
    <xf numFmtId="42" fontId="3" fillId="0" borderId="1" xfId="2" applyNumberFormat="1" applyFont="1" applyFill="1" applyBorder="1" applyProtection="1"/>
    <xf numFmtId="42" fontId="3" fillId="0" borderId="4" xfId="2" applyNumberFormat="1" applyFont="1" applyFill="1" applyBorder="1" applyProtection="1"/>
    <xf numFmtId="0" fontId="11" fillId="0" borderId="0" xfId="0" applyFont="1" applyAlignment="1">
      <alignment horizontal="center" wrapText="1"/>
    </xf>
    <xf numFmtId="0" fontId="13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textRotation="59"/>
    </xf>
    <xf numFmtId="0" fontId="13" fillId="0" borderId="0" xfId="0" applyFont="1" applyAlignment="1">
      <alignment horizontal="center"/>
    </xf>
    <xf numFmtId="9" fontId="15" fillId="4" borderId="10" xfId="0" applyNumberFormat="1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3" fillId="0" borderId="4" xfId="0" applyFont="1" applyBorder="1"/>
    <xf numFmtId="168" fontId="13" fillId="0" borderId="4" xfId="4" applyNumberFormat="1" applyFont="1" applyFill="1" applyBorder="1"/>
    <xf numFmtId="168" fontId="13" fillId="0" borderId="4" xfId="0" applyNumberFormat="1" applyFont="1" applyBorder="1"/>
    <xf numFmtId="169" fontId="13" fillId="0" borderId="4" xfId="0" applyNumberFormat="1" applyFont="1" applyBorder="1"/>
    <xf numFmtId="168" fontId="13" fillId="0" borderId="0" xfId="4" applyNumberFormat="1" applyFont="1"/>
    <xf numFmtId="168" fontId="13" fillId="0" borderId="4" xfId="4" applyNumberFormat="1" applyFont="1" applyBorder="1"/>
    <xf numFmtId="165" fontId="0" fillId="0" borderId="0" xfId="0" applyNumberFormat="1"/>
    <xf numFmtId="165" fontId="3" fillId="0" borderId="11" xfId="2" applyNumberFormat="1" applyFont="1" applyFill="1" applyBorder="1" applyProtection="1"/>
    <xf numFmtId="165" fontId="3" fillId="0" borderId="12" xfId="2" applyNumberFormat="1" applyFont="1" applyFill="1" applyBorder="1" applyProtection="1"/>
    <xf numFmtId="165" fontId="3" fillId="0" borderId="13" xfId="2" applyNumberFormat="1" applyFont="1" applyFill="1" applyBorder="1" applyProtection="1"/>
    <xf numFmtId="167" fontId="3" fillId="0" borderId="12" xfId="2" applyNumberFormat="1" applyFont="1" applyFill="1" applyBorder="1" applyProtection="1"/>
    <xf numFmtId="0" fontId="0" fillId="0" borderId="8" xfId="0" applyBorder="1"/>
    <xf numFmtId="10" fontId="4" fillId="3" borderId="11" xfId="3" applyNumberFormat="1" applyFont="1" applyFill="1" applyBorder="1" applyAlignment="1" applyProtection="1">
      <alignment horizontal="center"/>
    </xf>
    <xf numFmtId="10" fontId="4" fillId="3" borderId="12" xfId="3" applyNumberFormat="1" applyFont="1" applyFill="1" applyBorder="1" applyAlignment="1" applyProtection="1">
      <alignment horizontal="center"/>
    </xf>
    <xf numFmtId="10" fontId="4" fillId="3" borderId="13" xfId="3" applyNumberFormat="1" applyFont="1" applyFill="1" applyBorder="1" applyAlignment="1" applyProtection="1">
      <alignment horizontal="center"/>
    </xf>
    <xf numFmtId="165" fontId="3" fillId="0" borderId="14" xfId="2" applyNumberFormat="1" applyFont="1" applyFill="1" applyBorder="1" applyProtection="1"/>
    <xf numFmtId="42" fontId="3" fillId="0" borderId="12" xfId="2" applyNumberFormat="1" applyFont="1" applyFill="1" applyBorder="1" applyProtection="1"/>
    <xf numFmtId="42" fontId="3" fillId="0" borderId="13" xfId="2" applyNumberFormat="1" applyFont="1" applyFill="1" applyBorder="1" applyProtection="1"/>
    <xf numFmtId="42" fontId="3" fillId="0" borderId="15" xfId="2" applyNumberFormat="1" applyFont="1" applyFill="1" applyBorder="1" applyProtection="1"/>
    <xf numFmtId="165" fontId="3" fillId="2" borderId="13" xfId="2" applyNumberFormat="1" applyFont="1" applyFill="1" applyBorder="1" applyProtection="1"/>
    <xf numFmtId="167" fontId="11" fillId="0" borderId="0" xfId="1" applyNumberFormat="1" applyFont="1"/>
    <xf numFmtId="167" fontId="0" fillId="0" borderId="0" xfId="1" applyNumberFormat="1" applyFont="1"/>
    <xf numFmtId="168" fontId="15" fillId="0" borderId="10" xfId="0" applyNumberFormat="1" applyFont="1" applyBorder="1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7" xfId="0" applyBorder="1"/>
    <xf numFmtId="168" fontId="16" fillId="0" borderId="17" xfId="0" applyNumberFormat="1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/>
    <xf numFmtId="0" fontId="15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11" fillId="5" borderId="10" xfId="0" applyFont="1" applyFill="1" applyBorder="1" applyAlignment="1">
      <alignment horizontal="center" wrapText="1"/>
    </xf>
    <xf numFmtId="0" fontId="11" fillId="5" borderId="10" xfId="0" applyFont="1" applyFill="1" applyBorder="1" applyAlignment="1">
      <alignment horizontal="center"/>
    </xf>
    <xf numFmtId="168" fontId="0" fillId="0" borderId="10" xfId="4" applyNumberFormat="1" applyFont="1" applyBorder="1"/>
    <xf numFmtId="168" fontId="0" fillId="3" borderId="10" xfId="4" applyNumberFormat="1" applyFont="1" applyFill="1" applyBorder="1"/>
    <xf numFmtId="168" fontId="0" fillId="0" borderId="16" xfId="4" applyNumberFormat="1" applyFont="1" applyBorder="1"/>
    <xf numFmtId="168" fontId="0" fillId="3" borderId="16" xfId="4" applyNumberFormat="1" applyFont="1" applyFill="1" applyBorder="1"/>
    <xf numFmtId="168" fontId="0" fillId="0" borderId="17" xfId="4" applyNumberFormat="1" applyFont="1" applyBorder="1"/>
    <xf numFmtId="0" fontId="4" fillId="0" borderId="3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9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44" fontId="4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/>
    </xf>
    <xf numFmtId="10" fontId="4" fillId="0" borderId="8" xfId="3" applyNumberFormat="1" applyFont="1" applyFill="1" applyBorder="1" applyAlignment="1" applyProtection="1">
      <alignment horizontal="center"/>
    </xf>
    <xf numFmtId="10" fontId="4" fillId="0" borderId="14" xfId="3" applyNumberFormat="1" applyFont="1" applyFill="1" applyBorder="1" applyAlignment="1" applyProtection="1">
      <alignment horizontal="center"/>
    </xf>
    <xf numFmtId="168" fontId="4" fillId="0" borderId="8" xfId="4" applyNumberFormat="1" applyFont="1" applyFill="1" applyBorder="1" applyAlignment="1" applyProtection="1">
      <alignment horizontal="center"/>
    </xf>
    <xf numFmtId="0" fontId="16" fillId="6" borderId="10" xfId="0" applyFont="1" applyFill="1" applyBorder="1" applyAlignment="1">
      <alignment horizontal="center" wrapText="1"/>
    </xf>
    <xf numFmtId="37" fontId="16" fillId="0" borderId="10" xfId="0" applyNumberFormat="1" applyFont="1" applyBorder="1"/>
    <xf numFmtId="37" fontId="16" fillId="0" borderId="10" xfId="0" applyNumberFormat="1" applyFont="1" applyBorder="1" applyAlignment="1">
      <alignment wrapText="1"/>
    </xf>
    <xf numFmtId="44" fontId="0" fillId="0" borderId="0" xfId="1" applyFont="1"/>
    <xf numFmtId="0" fontId="16" fillId="6" borderId="19" xfId="0" applyFont="1" applyFill="1" applyBorder="1" applyAlignment="1">
      <alignment horizontal="center" wrapText="1"/>
    </xf>
    <xf numFmtId="0" fontId="16" fillId="6" borderId="10" xfId="0" applyFont="1" applyFill="1" applyBorder="1" applyAlignment="1">
      <alignment horizontal="center"/>
    </xf>
    <xf numFmtId="44" fontId="0" fillId="0" borderId="10" xfId="0" applyNumberFormat="1" applyBorder="1"/>
    <xf numFmtId="166" fontId="0" fillId="0" borderId="10" xfId="5" applyNumberFormat="1" applyFont="1" applyBorder="1"/>
    <xf numFmtId="9" fontId="0" fillId="0" borderId="10" xfId="5" applyFont="1" applyBorder="1"/>
    <xf numFmtId="167" fontId="0" fillId="0" borderId="10" xfId="1" applyNumberFormat="1" applyFont="1" applyBorder="1"/>
    <xf numFmtId="168" fontId="0" fillId="5" borderId="17" xfId="4" applyNumberFormat="1" applyFont="1" applyFill="1" applyBorder="1"/>
    <xf numFmtId="43" fontId="0" fillId="0" borderId="0" xfId="0" applyNumberFormat="1"/>
    <xf numFmtId="165" fontId="19" fillId="0" borderId="0" xfId="2" applyNumberFormat="1" applyFont="1" applyFill="1" applyBorder="1" applyProtection="1"/>
    <xf numFmtId="165" fontId="19" fillId="0" borderId="12" xfId="2" applyNumberFormat="1" applyFont="1" applyFill="1" applyBorder="1" applyProtection="1"/>
    <xf numFmtId="10" fontId="0" fillId="0" borderId="0" xfId="5" applyNumberFormat="1" applyFont="1"/>
    <xf numFmtId="0" fontId="12" fillId="0" borderId="0" xfId="0" applyFont="1" applyAlignment="1">
      <alignment horizontal="center" vertical="center" textRotation="59" wrapText="1"/>
    </xf>
    <xf numFmtId="10" fontId="0" fillId="0" borderId="0" xfId="0" applyNumberFormat="1"/>
    <xf numFmtId="168" fontId="0" fillId="0" borderId="0" xfId="0" applyNumberFormat="1"/>
    <xf numFmtId="0" fontId="11" fillId="0" borderId="0" xfId="0" applyFont="1" applyAlignment="1">
      <alignment horizontal="center"/>
    </xf>
    <xf numFmtId="5" fontId="0" fillId="0" borderId="0" xfId="0" applyNumberFormat="1"/>
    <xf numFmtId="165" fontId="3" fillId="0" borderId="15" xfId="2" applyNumberFormat="1" applyFont="1" applyFill="1" applyBorder="1" applyProtection="1"/>
    <xf numFmtId="0" fontId="0" fillId="0" borderId="22" xfId="0" applyBorder="1"/>
    <xf numFmtId="168" fontId="0" fillId="0" borderId="23" xfId="4" applyNumberFormat="1" applyFont="1" applyBorder="1"/>
    <xf numFmtId="0" fontId="0" fillId="0" borderId="24" xfId="0" applyBorder="1"/>
    <xf numFmtId="168" fontId="0" fillId="0" borderId="25" xfId="4" applyNumberFormat="1" applyFont="1" applyBorder="1"/>
    <xf numFmtId="167" fontId="0" fillId="0" borderId="0" xfId="0" applyNumberFormat="1"/>
    <xf numFmtId="166" fontId="0" fillId="0" borderId="0" xfId="5" applyNumberFormat="1" applyFont="1"/>
    <xf numFmtId="168" fontId="0" fillId="0" borderId="10" xfId="0" applyNumberFormat="1" applyBorder="1"/>
    <xf numFmtId="0" fontId="0" fillId="0" borderId="10" xfId="0" applyBorder="1" applyAlignment="1">
      <alignment wrapText="1"/>
    </xf>
    <xf numFmtId="0" fontId="14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wrapText="1"/>
    </xf>
    <xf numFmtId="0" fontId="0" fillId="0" borderId="28" xfId="0" applyBorder="1"/>
    <xf numFmtId="168" fontId="0" fillId="0" borderId="29" xfId="4" applyNumberFormat="1" applyFont="1" applyBorder="1"/>
    <xf numFmtId="168" fontId="0" fillId="3" borderId="25" xfId="4" applyNumberFormat="1" applyFont="1" applyFill="1" applyBorder="1"/>
    <xf numFmtId="0" fontId="0" fillId="0" borderId="30" xfId="0" applyBorder="1"/>
    <xf numFmtId="168" fontId="0" fillId="0" borderId="31" xfId="4" applyNumberFormat="1" applyFont="1" applyBorder="1"/>
    <xf numFmtId="0" fontId="0" fillId="0" borderId="24" xfId="0" applyBorder="1" applyAlignment="1">
      <alignment wrapText="1"/>
    </xf>
    <xf numFmtId="166" fontId="3" fillId="0" borderId="0" xfId="5" applyNumberFormat="1" applyFont="1" applyFill="1" applyBorder="1" applyProtection="1"/>
    <xf numFmtId="0" fontId="18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8" borderId="0" xfId="0" applyFont="1" applyFill="1" applyAlignment="1">
      <alignment horizontal="center"/>
    </xf>
    <xf numFmtId="0" fontId="12" fillId="0" borderId="0" xfId="0" applyFont="1" applyAlignment="1">
      <alignment horizontal="center" vertical="center" textRotation="59" wrapText="1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8" fillId="7" borderId="9" xfId="0" applyFont="1" applyFill="1" applyBorder="1" applyAlignment="1">
      <alignment horizontal="center"/>
    </xf>
    <xf numFmtId="0" fontId="18" fillId="7" borderId="8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20" xfId="0" applyFont="1" applyBorder="1" applyAlignment="1">
      <alignment horizontal="center"/>
    </xf>
  </cellXfs>
  <cellStyles count="6">
    <cellStyle name="Comma" xfId="4" builtinId="3"/>
    <cellStyle name="Currency" xfId="1" builtinId="4"/>
    <cellStyle name="Currency 3" xfId="2" xr:uid="{7DE08E47-2E39-496B-8410-975D45FA3A3F}"/>
    <cellStyle name="Normal" xfId="0" builtinId="0"/>
    <cellStyle name="Percent" xfId="5" builtinId="5"/>
    <cellStyle name="Percent 4" xfId="3" xr:uid="{91317079-67CC-460E-8360-61A3F5C55806}"/>
  </cellStyles>
  <dxfs count="12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6AB8-57A7-44FF-8590-3169491651E2}">
  <dimension ref="A1:O66"/>
  <sheetViews>
    <sheetView topLeftCell="C1" zoomScale="130" zoomScaleNormal="130" workbookViewId="0">
      <selection activeCell="M12" sqref="M12"/>
    </sheetView>
  </sheetViews>
  <sheetFormatPr defaultRowHeight="14.5" x14ac:dyDescent="0.35"/>
  <cols>
    <col min="2" max="2" width="55.54296875" bestFit="1" customWidth="1"/>
    <col min="3" max="3" width="10.453125" style="69" bestFit="1" customWidth="1"/>
    <col min="4" max="6" width="12.7265625" customWidth="1"/>
    <col min="7" max="7" width="1.7265625" customWidth="1"/>
    <col min="8" max="10" width="12.7265625" customWidth="1"/>
    <col min="11" max="11" width="14.26953125" bestFit="1" customWidth="1"/>
    <col min="13" max="13" width="13.7265625" bestFit="1" customWidth="1"/>
    <col min="14" max="14" width="12.54296875" customWidth="1"/>
    <col min="15" max="15" width="14.81640625" customWidth="1"/>
  </cols>
  <sheetData>
    <row r="1" spans="1:11" ht="21" x14ac:dyDescent="0.5">
      <c r="C1" s="134">
        <v>2022</v>
      </c>
      <c r="D1" s="134"/>
      <c r="E1" s="134"/>
      <c r="F1" s="134"/>
      <c r="H1" s="134">
        <v>2022</v>
      </c>
      <c r="I1" s="134"/>
      <c r="J1" s="134"/>
      <c r="K1" s="134"/>
    </row>
    <row r="2" spans="1:11" ht="29" x14ac:dyDescent="0.35">
      <c r="A2" s="79" t="s">
        <v>47</v>
      </c>
      <c r="B2" s="79" t="s">
        <v>56</v>
      </c>
      <c r="C2" s="79" t="s">
        <v>55</v>
      </c>
      <c r="D2" s="78" t="s">
        <v>57</v>
      </c>
      <c r="E2" s="78" t="s">
        <v>58</v>
      </c>
      <c r="F2" s="78" t="s">
        <v>59</v>
      </c>
      <c r="H2" s="78" t="s">
        <v>57</v>
      </c>
      <c r="I2" s="78" t="s">
        <v>60</v>
      </c>
      <c r="J2" s="78" t="s">
        <v>59</v>
      </c>
      <c r="K2" s="78" t="s">
        <v>61</v>
      </c>
    </row>
    <row r="3" spans="1:11" x14ac:dyDescent="0.35">
      <c r="A3" s="70">
        <v>1820</v>
      </c>
      <c r="B3" s="68" t="s">
        <v>48</v>
      </c>
      <c r="C3" s="71">
        <v>40</v>
      </c>
      <c r="D3" s="80"/>
      <c r="E3" s="81">
        <v>8702746</v>
      </c>
      <c r="F3" s="80">
        <f>D3+E3</f>
        <v>8702746</v>
      </c>
      <c r="H3" s="80"/>
      <c r="I3" s="81">
        <f>E3/2/C3</f>
        <v>108784.325</v>
      </c>
      <c r="J3" s="80">
        <f>H3+I3</f>
        <v>108784.325</v>
      </c>
      <c r="K3" s="80">
        <f>F3-J3</f>
        <v>8593961.6750000007</v>
      </c>
    </row>
    <row r="4" spans="1:11" x14ac:dyDescent="0.35">
      <c r="A4" s="70">
        <v>1830</v>
      </c>
      <c r="B4" s="68" t="s">
        <v>49</v>
      </c>
      <c r="C4" s="71">
        <v>45</v>
      </c>
      <c r="D4" s="80"/>
      <c r="E4" s="81">
        <v>461127</v>
      </c>
      <c r="F4" s="80">
        <f t="shared" ref="F4:F9" si="0">D4+E4</f>
        <v>461127</v>
      </c>
      <c r="H4" s="80"/>
      <c r="I4" s="81">
        <f t="shared" ref="I4:I9" si="1">E4/2/C4</f>
        <v>5123.6333333333332</v>
      </c>
      <c r="J4" s="80">
        <f t="shared" ref="J4:J9" si="2">H4+I4</f>
        <v>5123.6333333333332</v>
      </c>
      <c r="K4" s="80">
        <f t="shared" ref="K4:K9" si="3">F4-J4</f>
        <v>456003.36666666664</v>
      </c>
    </row>
    <row r="5" spans="1:11" x14ac:dyDescent="0.35">
      <c r="A5" s="70">
        <v>1835</v>
      </c>
      <c r="B5" s="68" t="s">
        <v>50</v>
      </c>
      <c r="C5" s="71">
        <v>60</v>
      </c>
      <c r="D5" s="80"/>
      <c r="E5" s="81">
        <v>893956</v>
      </c>
      <c r="F5" s="80">
        <f t="shared" si="0"/>
        <v>893956</v>
      </c>
      <c r="H5" s="80"/>
      <c r="I5" s="81">
        <f t="shared" si="1"/>
        <v>7449.6333333333332</v>
      </c>
      <c r="J5" s="80">
        <f t="shared" si="2"/>
        <v>7449.6333333333332</v>
      </c>
      <c r="K5" s="80">
        <f t="shared" si="3"/>
        <v>886506.3666666667</v>
      </c>
    </row>
    <row r="6" spans="1:11" x14ac:dyDescent="0.35">
      <c r="A6" s="70">
        <v>1845</v>
      </c>
      <c r="B6" s="68" t="s">
        <v>51</v>
      </c>
      <c r="C6" s="71">
        <v>40</v>
      </c>
      <c r="D6" s="80"/>
      <c r="E6" s="81">
        <v>431751</v>
      </c>
      <c r="F6" s="80">
        <f t="shared" si="0"/>
        <v>431751</v>
      </c>
      <c r="H6" s="80"/>
      <c r="I6" s="81">
        <f t="shared" si="1"/>
        <v>5396.8874999999998</v>
      </c>
      <c r="J6" s="80">
        <f t="shared" si="2"/>
        <v>5396.8874999999998</v>
      </c>
      <c r="K6" s="80">
        <f t="shared" si="3"/>
        <v>426354.11249999999</v>
      </c>
    </row>
    <row r="7" spans="1:11" x14ac:dyDescent="0.35">
      <c r="A7" s="70">
        <v>1850</v>
      </c>
      <c r="B7" s="68" t="s">
        <v>52</v>
      </c>
      <c r="C7" s="71">
        <v>40</v>
      </c>
      <c r="D7" s="80"/>
      <c r="E7" s="81">
        <v>155030</v>
      </c>
      <c r="F7" s="80">
        <f t="shared" si="0"/>
        <v>155030</v>
      </c>
      <c r="H7" s="80"/>
      <c r="I7" s="81">
        <f t="shared" si="1"/>
        <v>1937.875</v>
      </c>
      <c r="J7" s="80">
        <f t="shared" si="2"/>
        <v>1937.875</v>
      </c>
      <c r="K7" s="80">
        <f t="shared" si="3"/>
        <v>153092.125</v>
      </c>
    </row>
    <row r="8" spans="1:11" x14ac:dyDescent="0.35">
      <c r="A8" s="70">
        <v>1980</v>
      </c>
      <c r="B8" s="68" t="s">
        <v>53</v>
      </c>
      <c r="C8" s="71">
        <v>20</v>
      </c>
      <c r="D8" s="80"/>
      <c r="E8" s="81">
        <v>1472423</v>
      </c>
      <c r="F8" s="80">
        <f t="shared" si="0"/>
        <v>1472423</v>
      </c>
      <c r="H8" s="80"/>
      <c r="I8" s="81">
        <f t="shared" si="1"/>
        <v>36810.574999999997</v>
      </c>
      <c r="J8" s="80">
        <f t="shared" si="2"/>
        <v>36810.574999999997</v>
      </c>
      <c r="K8" s="80">
        <f t="shared" si="3"/>
        <v>1435612.425</v>
      </c>
    </row>
    <row r="9" spans="1:11" ht="15" thickBot="1" x14ac:dyDescent="0.4">
      <c r="A9" s="75">
        <v>2440</v>
      </c>
      <c r="B9" s="76" t="s">
        <v>54</v>
      </c>
      <c r="C9" s="77">
        <v>40</v>
      </c>
      <c r="D9" s="82"/>
      <c r="E9" s="83">
        <v>-3090576</v>
      </c>
      <c r="F9" s="82">
        <f t="shared" si="0"/>
        <v>-3090576</v>
      </c>
      <c r="H9" s="82"/>
      <c r="I9" s="83">
        <f t="shared" si="1"/>
        <v>-38632.199999999997</v>
      </c>
      <c r="J9" s="82">
        <f t="shared" si="2"/>
        <v>-38632.199999999997</v>
      </c>
      <c r="K9" s="82">
        <f t="shared" si="3"/>
        <v>-3051943.8</v>
      </c>
    </row>
    <row r="10" spans="1:11" x14ac:dyDescent="0.35">
      <c r="A10" s="72"/>
      <c r="B10" s="73" t="s">
        <v>62</v>
      </c>
      <c r="C10" s="74"/>
      <c r="D10" s="84">
        <f>SUM(D3:D9)</f>
        <v>0</v>
      </c>
      <c r="E10" s="84">
        <f>SUM(E3:E9)</f>
        <v>9026457</v>
      </c>
      <c r="F10" s="84">
        <f>SUM(F3:F9)</f>
        <v>9026457</v>
      </c>
      <c r="H10" s="84">
        <f>SUM(H3:H9)</f>
        <v>0</v>
      </c>
      <c r="I10" s="84">
        <f>SUM(I3:I9)</f>
        <v>126870.72916666664</v>
      </c>
      <c r="J10" s="84">
        <f>SUM(J3:J9)</f>
        <v>126870.72916666664</v>
      </c>
      <c r="K10" s="106">
        <f>SUM(K3:K9)</f>
        <v>8899586.2708333358</v>
      </c>
    </row>
    <row r="13" spans="1:11" ht="21" x14ac:dyDescent="0.5">
      <c r="C13" s="134">
        <v>2023</v>
      </c>
      <c r="D13" s="134"/>
      <c r="E13" s="134"/>
      <c r="F13" s="134"/>
      <c r="H13" s="134">
        <v>2023</v>
      </c>
      <c r="I13" s="134"/>
      <c r="J13" s="134"/>
      <c r="K13" s="134"/>
    </row>
    <row r="14" spans="1:11" ht="29" x14ac:dyDescent="0.35">
      <c r="A14" s="79" t="s">
        <v>47</v>
      </c>
      <c r="B14" s="79" t="s">
        <v>56</v>
      </c>
      <c r="C14" s="79" t="s">
        <v>55</v>
      </c>
      <c r="D14" s="78" t="s">
        <v>57</v>
      </c>
      <c r="E14" s="78" t="s">
        <v>58</v>
      </c>
      <c r="F14" s="78" t="s">
        <v>59</v>
      </c>
      <c r="H14" s="78" t="s">
        <v>57</v>
      </c>
      <c r="I14" s="78" t="s">
        <v>60</v>
      </c>
      <c r="J14" s="78" t="s">
        <v>59</v>
      </c>
      <c r="K14" s="78" t="s">
        <v>61</v>
      </c>
    </row>
    <row r="15" spans="1:11" x14ac:dyDescent="0.35">
      <c r="A15" s="70">
        <v>1820</v>
      </c>
      <c r="B15" s="68" t="s">
        <v>48</v>
      </c>
      <c r="C15" s="71">
        <v>40</v>
      </c>
      <c r="D15" s="80">
        <f>F3</f>
        <v>8702746</v>
      </c>
      <c r="E15" s="81">
        <v>14211278</v>
      </c>
      <c r="F15" s="80">
        <f>D15+E15</f>
        <v>22914024</v>
      </c>
      <c r="H15" s="80">
        <f>J3</f>
        <v>108784.325</v>
      </c>
      <c r="I15" s="81">
        <f>E15/2/C15+I3*2</f>
        <v>395209.625</v>
      </c>
      <c r="J15" s="80">
        <f>H15+I15</f>
        <v>503993.95</v>
      </c>
      <c r="K15" s="80">
        <f>F15-J15</f>
        <v>22410030.050000001</v>
      </c>
    </row>
    <row r="16" spans="1:11" x14ac:dyDescent="0.35">
      <c r="A16" s="70">
        <v>1830</v>
      </c>
      <c r="B16" s="68" t="s">
        <v>49</v>
      </c>
      <c r="C16" s="71">
        <v>45</v>
      </c>
      <c r="D16" s="80">
        <f t="shared" ref="D16:D21" si="4">F4</f>
        <v>461127</v>
      </c>
      <c r="E16" s="81">
        <v>753003</v>
      </c>
      <c r="F16" s="80">
        <f t="shared" ref="F16:F21" si="5">D16+E16</f>
        <v>1214130</v>
      </c>
      <c r="H16" s="80">
        <f t="shared" ref="H16:H21" si="6">J4</f>
        <v>5123.6333333333332</v>
      </c>
      <c r="I16" s="81">
        <f t="shared" ref="I16:I21" si="7">E16/2/C16+I4*2</f>
        <v>18613.966666666667</v>
      </c>
      <c r="J16" s="80">
        <f t="shared" ref="J16:J21" si="8">H16+I16</f>
        <v>23737.599999999999</v>
      </c>
      <c r="K16" s="80">
        <f t="shared" ref="K16:K21" si="9">F16-J16</f>
        <v>1190392.3999999999</v>
      </c>
    </row>
    <row r="17" spans="1:15" x14ac:dyDescent="0.35">
      <c r="A17" s="70">
        <v>1835</v>
      </c>
      <c r="B17" s="68" t="s">
        <v>50</v>
      </c>
      <c r="C17" s="71">
        <v>60</v>
      </c>
      <c r="D17" s="80">
        <f t="shared" si="4"/>
        <v>893956</v>
      </c>
      <c r="E17" s="81">
        <v>1459798</v>
      </c>
      <c r="F17" s="80">
        <f t="shared" si="5"/>
        <v>2353754</v>
      </c>
      <c r="H17" s="80">
        <f t="shared" si="6"/>
        <v>7449.6333333333332</v>
      </c>
      <c r="I17" s="81">
        <f t="shared" si="7"/>
        <v>27064.25</v>
      </c>
      <c r="J17" s="80">
        <f t="shared" si="8"/>
        <v>34513.883333333331</v>
      </c>
      <c r="K17" s="80">
        <f t="shared" si="9"/>
        <v>2319240.1166666667</v>
      </c>
    </row>
    <row r="18" spans="1:15" x14ac:dyDescent="0.35">
      <c r="A18" s="70">
        <v>1845</v>
      </c>
      <c r="B18" s="68" t="s">
        <v>51</v>
      </c>
      <c r="C18" s="71">
        <v>40</v>
      </c>
      <c r="D18" s="80">
        <f t="shared" si="4"/>
        <v>431751</v>
      </c>
      <c r="E18" s="81">
        <v>705033</v>
      </c>
      <c r="F18" s="80">
        <f t="shared" si="5"/>
        <v>1136784</v>
      </c>
      <c r="H18" s="80">
        <f t="shared" si="6"/>
        <v>5396.8874999999998</v>
      </c>
      <c r="I18" s="81">
        <f t="shared" si="7"/>
        <v>19606.6875</v>
      </c>
      <c r="J18" s="80">
        <f t="shared" si="8"/>
        <v>25003.575000000001</v>
      </c>
      <c r="K18" s="80">
        <f t="shared" si="9"/>
        <v>1111780.425</v>
      </c>
    </row>
    <row r="19" spans="1:15" x14ac:dyDescent="0.35">
      <c r="A19" s="70">
        <v>1850</v>
      </c>
      <c r="B19" s="68" t="s">
        <v>52</v>
      </c>
      <c r="C19" s="71">
        <v>40</v>
      </c>
      <c r="D19" s="80">
        <f t="shared" si="4"/>
        <v>155030</v>
      </c>
      <c r="E19" s="81">
        <v>253158</v>
      </c>
      <c r="F19" s="80">
        <f t="shared" si="5"/>
        <v>408188</v>
      </c>
      <c r="H19" s="80">
        <f t="shared" si="6"/>
        <v>1937.875</v>
      </c>
      <c r="I19" s="81">
        <f t="shared" si="7"/>
        <v>7040.2250000000004</v>
      </c>
      <c r="J19" s="80">
        <f t="shared" si="8"/>
        <v>8978.1</v>
      </c>
      <c r="K19" s="80">
        <f t="shared" si="9"/>
        <v>399209.9</v>
      </c>
    </row>
    <row r="20" spans="1:15" x14ac:dyDescent="0.35">
      <c r="A20" s="70">
        <v>1980</v>
      </c>
      <c r="B20" s="68" t="s">
        <v>53</v>
      </c>
      <c r="C20" s="71">
        <v>20</v>
      </c>
      <c r="D20" s="80">
        <f t="shared" si="4"/>
        <v>1472423</v>
      </c>
      <c r="E20" s="81">
        <v>2404415</v>
      </c>
      <c r="F20" s="80">
        <f t="shared" si="5"/>
        <v>3876838</v>
      </c>
      <c r="H20" s="80">
        <f t="shared" si="6"/>
        <v>36810.574999999997</v>
      </c>
      <c r="I20" s="81">
        <f t="shared" si="7"/>
        <v>133731.52499999999</v>
      </c>
      <c r="J20" s="80">
        <f t="shared" si="8"/>
        <v>170542.09999999998</v>
      </c>
      <c r="K20" s="80">
        <f t="shared" si="9"/>
        <v>3706295.9</v>
      </c>
    </row>
    <row r="21" spans="1:15" ht="15" thickBot="1" x14ac:dyDescent="0.4">
      <c r="A21" s="75">
        <v>2440</v>
      </c>
      <c r="B21" s="76" t="s">
        <v>54</v>
      </c>
      <c r="C21" s="77">
        <v>40</v>
      </c>
      <c r="D21" s="82">
        <f t="shared" si="4"/>
        <v>-3090576</v>
      </c>
      <c r="E21" s="83">
        <v>-4264862</v>
      </c>
      <c r="F21" s="82">
        <f t="shared" si="5"/>
        <v>-7355438</v>
      </c>
      <c r="H21" s="82">
        <f t="shared" si="6"/>
        <v>-38632.199999999997</v>
      </c>
      <c r="I21" s="83">
        <f t="shared" si="7"/>
        <v>-130575.17499999999</v>
      </c>
      <c r="J21" s="82">
        <f t="shared" si="8"/>
        <v>-169207.375</v>
      </c>
      <c r="K21" s="82">
        <f t="shared" si="9"/>
        <v>-7186230.625</v>
      </c>
      <c r="M21" s="114" t="s">
        <v>88</v>
      </c>
      <c r="N21" s="114" t="s">
        <v>89</v>
      </c>
      <c r="O21" s="114" t="s">
        <v>87</v>
      </c>
    </row>
    <row r="22" spans="1:15" x14ac:dyDescent="0.35">
      <c r="A22" s="72"/>
      <c r="B22" s="73" t="s">
        <v>62</v>
      </c>
      <c r="C22" s="74"/>
      <c r="D22" s="84">
        <f>SUM(D15:D21)</f>
        <v>9026457</v>
      </c>
      <c r="E22" s="84">
        <f>SUM(E15:E21)</f>
        <v>15521823</v>
      </c>
      <c r="F22" s="84">
        <f>SUM(F15:F21)</f>
        <v>24548280</v>
      </c>
      <c r="H22" s="84">
        <f>SUM(H15:H21)</f>
        <v>126870.72916666664</v>
      </c>
      <c r="I22" s="84">
        <f>SUM(I15:I21)</f>
        <v>470691.10416666669</v>
      </c>
      <c r="J22" s="84">
        <f>SUM(J15:J21)</f>
        <v>597561.83333333326</v>
      </c>
      <c r="K22" s="106">
        <f>SUM(K15:K21)</f>
        <v>23950718.166666664</v>
      </c>
      <c r="M22" s="113">
        <f>D22-H22</f>
        <v>8899586.270833334</v>
      </c>
      <c r="N22" s="113">
        <f>F22-J22</f>
        <v>23950718.166666668</v>
      </c>
      <c r="O22" s="113">
        <f>AVERAGE(M22:N22)</f>
        <v>16425152.21875</v>
      </c>
    </row>
    <row r="23" spans="1:15" x14ac:dyDescent="0.35">
      <c r="E23" s="122">
        <f>E22/106598063</f>
        <v>0.14561074153852122</v>
      </c>
    </row>
    <row r="24" spans="1:15" ht="21" x14ac:dyDescent="0.5">
      <c r="C24" s="134">
        <v>2024</v>
      </c>
      <c r="D24" s="134"/>
      <c r="E24" s="134"/>
      <c r="F24" s="134"/>
      <c r="H24" s="134">
        <v>2024</v>
      </c>
      <c r="I24" s="134"/>
      <c r="J24" s="134"/>
      <c r="K24" s="134"/>
    </row>
    <row r="25" spans="1:15" ht="29" x14ac:dyDescent="0.35">
      <c r="A25" s="79" t="s">
        <v>47</v>
      </c>
      <c r="B25" s="79" t="s">
        <v>56</v>
      </c>
      <c r="C25" s="79" t="s">
        <v>55</v>
      </c>
      <c r="D25" s="78" t="s">
        <v>57</v>
      </c>
      <c r="E25" s="78" t="s">
        <v>58</v>
      </c>
      <c r="F25" s="78" t="s">
        <v>59</v>
      </c>
      <c r="H25" s="78" t="s">
        <v>57</v>
      </c>
      <c r="I25" s="78" t="s">
        <v>60</v>
      </c>
      <c r="J25" s="78" t="s">
        <v>59</v>
      </c>
      <c r="K25" s="78" t="s">
        <v>61</v>
      </c>
    </row>
    <row r="26" spans="1:15" x14ac:dyDescent="0.35">
      <c r="A26" s="70">
        <v>1820</v>
      </c>
      <c r="B26" s="68" t="s">
        <v>48</v>
      </c>
      <c r="C26" s="71">
        <v>40</v>
      </c>
      <c r="D26" s="80">
        <f>F15</f>
        <v>22914024</v>
      </c>
      <c r="E26" s="81"/>
      <c r="F26" s="80">
        <f>D26+E26</f>
        <v>22914024</v>
      </c>
      <c r="H26" s="80">
        <f>J15</f>
        <v>503993.95</v>
      </c>
      <c r="I26" s="81">
        <f t="shared" ref="I26:I32" si="10">E15/C15+I3*2</f>
        <v>572850.6</v>
      </c>
      <c r="J26" s="80">
        <f>H26+I26</f>
        <v>1076844.55</v>
      </c>
      <c r="K26" s="80">
        <f>F26-J26</f>
        <v>21837179.449999999</v>
      </c>
    </row>
    <row r="27" spans="1:15" x14ac:dyDescent="0.35">
      <c r="A27" s="70">
        <v>1830</v>
      </c>
      <c r="B27" s="68" t="s">
        <v>49</v>
      </c>
      <c r="C27" s="71">
        <v>45</v>
      </c>
      <c r="D27" s="80">
        <f t="shared" ref="D27:D32" si="11">F16</f>
        <v>1214130</v>
      </c>
      <c r="E27" s="81"/>
      <c r="F27" s="80">
        <f t="shared" ref="F27:F32" si="12">D27+E27</f>
        <v>1214130</v>
      </c>
      <c r="H27" s="80">
        <f t="shared" ref="H27:H32" si="13">J16</f>
        <v>23737.599999999999</v>
      </c>
      <c r="I27" s="81">
        <f t="shared" si="10"/>
        <v>26980.666666666668</v>
      </c>
      <c r="J27" s="80">
        <f t="shared" ref="J27:J32" si="14">H27+I27</f>
        <v>50718.266666666663</v>
      </c>
      <c r="K27" s="80">
        <f t="shared" ref="K27:K32" si="15">F27-J27</f>
        <v>1163411.7333333334</v>
      </c>
    </row>
    <row r="28" spans="1:15" x14ac:dyDescent="0.35">
      <c r="A28" s="70">
        <v>1835</v>
      </c>
      <c r="B28" s="68" t="s">
        <v>50</v>
      </c>
      <c r="C28" s="71">
        <v>60</v>
      </c>
      <c r="D28" s="80">
        <f t="shared" si="11"/>
        <v>2353754</v>
      </c>
      <c r="E28" s="81"/>
      <c r="F28" s="80">
        <f t="shared" si="12"/>
        <v>2353754</v>
      </c>
      <c r="H28" s="80">
        <f t="shared" si="13"/>
        <v>34513.883333333331</v>
      </c>
      <c r="I28" s="81">
        <f t="shared" si="10"/>
        <v>39229.233333333337</v>
      </c>
      <c r="J28" s="80">
        <f t="shared" si="14"/>
        <v>73743.116666666669</v>
      </c>
      <c r="K28" s="80">
        <f t="shared" si="15"/>
        <v>2280010.8833333333</v>
      </c>
    </row>
    <row r="29" spans="1:15" x14ac:dyDescent="0.35">
      <c r="A29" s="70">
        <v>1845</v>
      </c>
      <c r="B29" s="68" t="s">
        <v>51</v>
      </c>
      <c r="C29" s="71">
        <v>40</v>
      </c>
      <c r="D29" s="80">
        <f t="shared" si="11"/>
        <v>1136784</v>
      </c>
      <c r="E29" s="81"/>
      <c r="F29" s="80">
        <f t="shared" si="12"/>
        <v>1136784</v>
      </c>
      <c r="H29" s="80">
        <f t="shared" si="13"/>
        <v>25003.575000000001</v>
      </c>
      <c r="I29" s="81">
        <f t="shared" si="10"/>
        <v>28419.599999999999</v>
      </c>
      <c r="J29" s="80">
        <f t="shared" si="14"/>
        <v>53423.175000000003</v>
      </c>
      <c r="K29" s="80">
        <f t="shared" si="15"/>
        <v>1083360.825</v>
      </c>
    </row>
    <row r="30" spans="1:15" x14ac:dyDescent="0.35">
      <c r="A30" s="70">
        <v>1850</v>
      </c>
      <c r="B30" s="68" t="s">
        <v>52</v>
      </c>
      <c r="C30" s="71">
        <v>40</v>
      </c>
      <c r="D30" s="80">
        <f t="shared" si="11"/>
        <v>408188</v>
      </c>
      <c r="E30" s="81"/>
      <c r="F30" s="80">
        <f t="shared" si="12"/>
        <v>408188</v>
      </c>
      <c r="H30" s="80">
        <f t="shared" si="13"/>
        <v>8978.1</v>
      </c>
      <c r="I30" s="81">
        <f t="shared" si="10"/>
        <v>10204.700000000001</v>
      </c>
      <c r="J30" s="80">
        <f t="shared" si="14"/>
        <v>19182.800000000003</v>
      </c>
      <c r="K30" s="80">
        <f t="shared" si="15"/>
        <v>389005.2</v>
      </c>
    </row>
    <row r="31" spans="1:15" x14ac:dyDescent="0.35">
      <c r="A31" s="70">
        <v>1980</v>
      </c>
      <c r="B31" s="68" t="s">
        <v>53</v>
      </c>
      <c r="C31" s="71">
        <v>20</v>
      </c>
      <c r="D31" s="80">
        <f t="shared" si="11"/>
        <v>3876838</v>
      </c>
      <c r="E31" s="81"/>
      <c r="F31" s="80">
        <f t="shared" si="12"/>
        <v>3876838</v>
      </c>
      <c r="H31" s="80">
        <f t="shared" si="13"/>
        <v>170542.09999999998</v>
      </c>
      <c r="I31" s="81">
        <f t="shared" si="10"/>
        <v>193841.9</v>
      </c>
      <c r="J31" s="80">
        <f t="shared" si="14"/>
        <v>364384</v>
      </c>
      <c r="K31" s="80">
        <f t="shared" si="15"/>
        <v>3512454</v>
      </c>
    </row>
    <row r="32" spans="1:15" ht="15" thickBot="1" x14ac:dyDescent="0.4">
      <c r="A32" s="75">
        <v>2440</v>
      </c>
      <c r="B32" s="76" t="s">
        <v>54</v>
      </c>
      <c r="C32" s="77">
        <v>40</v>
      </c>
      <c r="D32" s="82">
        <f t="shared" si="11"/>
        <v>-7355438</v>
      </c>
      <c r="E32" s="83"/>
      <c r="F32" s="82">
        <f t="shared" si="12"/>
        <v>-7355438</v>
      </c>
      <c r="H32" s="82">
        <f t="shared" si="13"/>
        <v>-169207.375</v>
      </c>
      <c r="I32" s="83">
        <f t="shared" si="10"/>
        <v>-183885.95</v>
      </c>
      <c r="J32" s="82">
        <f t="shared" si="14"/>
        <v>-353093.32500000001</v>
      </c>
      <c r="K32" s="82">
        <f t="shared" si="15"/>
        <v>-7002344.6749999998</v>
      </c>
      <c r="M32" s="114" t="s">
        <v>88</v>
      </c>
      <c r="N32" s="114" t="s">
        <v>89</v>
      </c>
      <c r="O32" s="114" t="s">
        <v>87</v>
      </c>
    </row>
    <row r="33" spans="1:15" x14ac:dyDescent="0.35">
      <c r="A33" s="72"/>
      <c r="B33" s="73" t="s">
        <v>62</v>
      </c>
      <c r="C33" s="74"/>
      <c r="D33" s="84">
        <f>SUM(D26:D32)</f>
        <v>24548280</v>
      </c>
      <c r="E33" s="84">
        <f>SUM(E26:E32)</f>
        <v>0</v>
      </c>
      <c r="F33" s="84">
        <f>SUM(F26:F32)</f>
        <v>24548280</v>
      </c>
      <c r="H33" s="84">
        <f>SUM(H26:H32)</f>
        <v>597561.83333333326</v>
      </c>
      <c r="I33" s="84">
        <f>SUM(I26:I32)</f>
        <v>687640.75</v>
      </c>
      <c r="J33" s="84">
        <f>SUM(J26:J32)</f>
        <v>1285202.5833333335</v>
      </c>
      <c r="K33" s="106">
        <f>SUM(K26:K32)</f>
        <v>23263077.416666664</v>
      </c>
      <c r="M33" s="113">
        <f>D33-H33</f>
        <v>23950718.166666668</v>
      </c>
      <c r="N33" s="113">
        <f>F33-J33</f>
        <v>23263077.416666668</v>
      </c>
      <c r="O33" s="113">
        <f>AVERAGE(M33:N33)</f>
        <v>23606897.791666668</v>
      </c>
    </row>
    <row r="35" spans="1:15" ht="21" x14ac:dyDescent="0.5">
      <c r="C35" s="134">
        <v>2025</v>
      </c>
      <c r="D35" s="134"/>
      <c r="E35" s="134"/>
      <c r="F35" s="134"/>
      <c r="H35" s="134">
        <v>2025</v>
      </c>
      <c r="I35" s="134"/>
      <c r="J35" s="134"/>
      <c r="K35" s="134"/>
    </row>
    <row r="36" spans="1:15" ht="29" x14ac:dyDescent="0.35">
      <c r="A36" s="79" t="s">
        <v>47</v>
      </c>
      <c r="B36" s="79" t="s">
        <v>56</v>
      </c>
      <c r="C36" s="79" t="s">
        <v>55</v>
      </c>
      <c r="D36" s="78" t="s">
        <v>57</v>
      </c>
      <c r="E36" s="78" t="s">
        <v>58</v>
      </c>
      <c r="F36" s="78" t="s">
        <v>59</v>
      </c>
      <c r="H36" s="78" t="s">
        <v>57</v>
      </c>
      <c r="I36" s="78" t="s">
        <v>60</v>
      </c>
      <c r="J36" s="78" t="s">
        <v>59</v>
      </c>
      <c r="K36" s="78" t="s">
        <v>61</v>
      </c>
    </row>
    <row r="37" spans="1:15" x14ac:dyDescent="0.35">
      <c r="A37" s="70">
        <v>1820</v>
      </c>
      <c r="B37" s="68" t="s">
        <v>48</v>
      </c>
      <c r="C37" s="71">
        <v>40</v>
      </c>
      <c r="D37" s="80">
        <f>F26</f>
        <v>22914024</v>
      </c>
      <c r="E37" s="81"/>
      <c r="F37" s="80">
        <f>D37+E37</f>
        <v>22914024</v>
      </c>
      <c r="H37" s="80">
        <f>J26</f>
        <v>1076844.55</v>
      </c>
      <c r="I37" s="81">
        <f>I26</f>
        <v>572850.6</v>
      </c>
      <c r="J37" s="80">
        <f>H37+I37</f>
        <v>1649695.15</v>
      </c>
      <c r="K37" s="80">
        <f>F37-J37</f>
        <v>21264328.850000001</v>
      </c>
    </row>
    <row r="38" spans="1:15" x14ac:dyDescent="0.35">
      <c r="A38" s="70">
        <v>1830</v>
      </c>
      <c r="B38" s="68" t="s">
        <v>49</v>
      </c>
      <c r="C38" s="71">
        <v>45</v>
      </c>
      <c r="D38" s="80">
        <f t="shared" ref="D38:D43" si="16">F27</f>
        <v>1214130</v>
      </c>
      <c r="E38" s="81"/>
      <c r="F38" s="80">
        <f t="shared" ref="F38:F43" si="17">D38+E38</f>
        <v>1214130</v>
      </c>
      <c r="H38" s="80">
        <f t="shared" ref="H38:H43" si="18">J27</f>
        <v>50718.266666666663</v>
      </c>
      <c r="I38" s="81">
        <f t="shared" ref="I38:I43" si="19">I27</f>
        <v>26980.666666666668</v>
      </c>
      <c r="J38" s="80">
        <f t="shared" ref="J38:J43" si="20">H38+I38</f>
        <v>77698.933333333334</v>
      </c>
      <c r="K38" s="80">
        <f t="shared" ref="K38:K43" si="21">F38-J38</f>
        <v>1136431.0666666667</v>
      </c>
    </row>
    <row r="39" spans="1:15" x14ac:dyDescent="0.35">
      <c r="A39" s="70">
        <v>1835</v>
      </c>
      <c r="B39" s="68" t="s">
        <v>50</v>
      </c>
      <c r="C39" s="71">
        <v>60</v>
      </c>
      <c r="D39" s="80">
        <f t="shared" si="16"/>
        <v>2353754</v>
      </c>
      <c r="E39" s="81"/>
      <c r="F39" s="80">
        <f t="shared" si="17"/>
        <v>2353754</v>
      </c>
      <c r="H39" s="80">
        <f t="shared" si="18"/>
        <v>73743.116666666669</v>
      </c>
      <c r="I39" s="81">
        <f t="shared" si="19"/>
        <v>39229.233333333337</v>
      </c>
      <c r="J39" s="80">
        <f t="shared" si="20"/>
        <v>112972.35</v>
      </c>
      <c r="K39" s="80">
        <f t="shared" si="21"/>
        <v>2240781.65</v>
      </c>
    </row>
    <row r="40" spans="1:15" x14ac:dyDescent="0.35">
      <c r="A40" s="70">
        <v>1845</v>
      </c>
      <c r="B40" s="68" t="s">
        <v>51</v>
      </c>
      <c r="C40" s="71">
        <v>40</v>
      </c>
      <c r="D40" s="80">
        <f t="shared" si="16"/>
        <v>1136784</v>
      </c>
      <c r="E40" s="81"/>
      <c r="F40" s="80">
        <f t="shared" si="17"/>
        <v>1136784</v>
      </c>
      <c r="H40" s="80">
        <f t="shared" si="18"/>
        <v>53423.175000000003</v>
      </c>
      <c r="I40" s="81">
        <f t="shared" si="19"/>
        <v>28419.599999999999</v>
      </c>
      <c r="J40" s="80">
        <f t="shared" si="20"/>
        <v>81842.774999999994</v>
      </c>
      <c r="K40" s="80">
        <f t="shared" si="21"/>
        <v>1054941.2250000001</v>
      </c>
    </row>
    <row r="41" spans="1:15" x14ac:dyDescent="0.35">
      <c r="A41" s="70">
        <v>1850</v>
      </c>
      <c r="B41" s="68" t="s">
        <v>52</v>
      </c>
      <c r="C41" s="71">
        <v>40</v>
      </c>
      <c r="D41" s="80">
        <f t="shared" si="16"/>
        <v>408188</v>
      </c>
      <c r="E41" s="81"/>
      <c r="F41" s="80">
        <f t="shared" si="17"/>
        <v>408188</v>
      </c>
      <c r="H41" s="80">
        <f t="shared" si="18"/>
        <v>19182.800000000003</v>
      </c>
      <c r="I41" s="81">
        <f t="shared" si="19"/>
        <v>10204.700000000001</v>
      </c>
      <c r="J41" s="80">
        <f t="shared" si="20"/>
        <v>29387.500000000004</v>
      </c>
      <c r="K41" s="80">
        <f t="shared" si="21"/>
        <v>378800.5</v>
      </c>
    </row>
    <row r="42" spans="1:15" x14ac:dyDescent="0.35">
      <c r="A42" s="70">
        <v>1980</v>
      </c>
      <c r="B42" s="68" t="s">
        <v>53</v>
      </c>
      <c r="C42" s="71">
        <v>20</v>
      </c>
      <c r="D42" s="80">
        <f t="shared" si="16"/>
        <v>3876838</v>
      </c>
      <c r="E42" s="81"/>
      <c r="F42" s="80">
        <f t="shared" si="17"/>
        <v>3876838</v>
      </c>
      <c r="H42" s="80">
        <f t="shared" si="18"/>
        <v>364384</v>
      </c>
      <c r="I42" s="81">
        <f t="shared" si="19"/>
        <v>193841.9</v>
      </c>
      <c r="J42" s="80">
        <f t="shared" si="20"/>
        <v>558225.9</v>
      </c>
      <c r="K42" s="80">
        <f t="shared" si="21"/>
        <v>3318612.1</v>
      </c>
    </row>
    <row r="43" spans="1:15" ht="15" thickBot="1" x14ac:dyDescent="0.4">
      <c r="A43" s="75">
        <v>2440</v>
      </c>
      <c r="B43" s="76" t="s">
        <v>54</v>
      </c>
      <c r="C43" s="77">
        <v>40</v>
      </c>
      <c r="D43" s="82">
        <f t="shared" si="16"/>
        <v>-7355438</v>
      </c>
      <c r="E43" s="83"/>
      <c r="F43" s="82">
        <f t="shared" si="17"/>
        <v>-7355438</v>
      </c>
      <c r="H43" s="82">
        <f t="shared" si="18"/>
        <v>-353093.32500000001</v>
      </c>
      <c r="I43" s="83">
        <f t="shared" si="19"/>
        <v>-183885.95</v>
      </c>
      <c r="J43" s="82">
        <f t="shared" si="20"/>
        <v>-536979.27500000002</v>
      </c>
      <c r="K43" s="82">
        <f t="shared" si="21"/>
        <v>-6818458.7249999996</v>
      </c>
      <c r="M43" s="114" t="s">
        <v>88</v>
      </c>
      <c r="N43" s="114" t="s">
        <v>89</v>
      </c>
      <c r="O43" s="114" t="s">
        <v>87</v>
      </c>
    </row>
    <row r="44" spans="1:15" x14ac:dyDescent="0.35">
      <c r="A44" s="72"/>
      <c r="B44" s="73" t="s">
        <v>62</v>
      </c>
      <c r="C44" s="74"/>
      <c r="D44" s="84">
        <f>SUM(D37:D43)</f>
        <v>24548280</v>
      </c>
      <c r="E44" s="84">
        <f>SUM(E37:E43)</f>
        <v>0</v>
      </c>
      <c r="F44" s="84">
        <f>SUM(F37:F43)</f>
        <v>24548280</v>
      </c>
      <c r="H44" s="84">
        <f>SUM(H37:H43)</f>
        <v>1285202.5833333335</v>
      </c>
      <c r="I44" s="84">
        <f>SUM(I37:I43)</f>
        <v>687640.75</v>
      </c>
      <c r="J44" s="84">
        <f>SUM(J37:J43)</f>
        <v>1972843.3333333335</v>
      </c>
      <c r="K44" s="106">
        <f>SUM(K37:K43)</f>
        <v>22575436.666666672</v>
      </c>
      <c r="M44" s="113">
        <f>D44-H44</f>
        <v>23263077.416666668</v>
      </c>
      <c r="N44" s="113">
        <f>F44-J44</f>
        <v>22575436.666666668</v>
      </c>
      <c r="O44" s="113">
        <f>AVERAGE(M44:N44)</f>
        <v>22919257.041666668</v>
      </c>
    </row>
    <row r="46" spans="1:15" ht="21" x14ac:dyDescent="0.5">
      <c r="C46" s="134">
        <v>2026</v>
      </c>
      <c r="D46" s="134"/>
      <c r="E46" s="134"/>
      <c r="F46" s="134"/>
      <c r="H46" s="134">
        <v>2026</v>
      </c>
      <c r="I46" s="134"/>
      <c r="J46" s="134"/>
      <c r="K46" s="134"/>
    </row>
    <row r="47" spans="1:15" ht="29" x14ac:dyDescent="0.35">
      <c r="A47" s="79" t="s">
        <v>47</v>
      </c>
      <c r="B47" s="79" t="s">
        <v>56</v>
      </c>
      <c r="C47" s="79" t="s">
        <v>55</v>
      </c>
      <c r="D47" s="78" t="s">
        <v>57</v>
      </c>
      <c r="E47" s="78" t="s">
        <v>58</v>
      </c>
      <c r="F47" s="78" t="s">
        <v>59</v>
      </c>
      <c r="H47" s="78" t="s">
        <v>57</v>
      </c>
      <c r="I47" s="78" t="s">
        <v>60</v>
      </c>
      <c r="J47" s="78" t="s">
        <v>59</v>
      </c>
      <c r="K47" s="78" t="s">
        <v>61</v>
      </c>
    </row>
    <row r="48" spans="1:15" x14ac:dyDescent="0.35">
      <c r="A48" s="70">
        <v>1820</v>
      </c>
      <c r="B48" s="68" t="s">
        <v>48</v>
      </c>
      <c r="C48" s="71">
        <v>40</v>
      </c>
      <c r="D48" s="80">
        <f>F37</f>
        <v>22914024</v>
      </c>
      <c r="E48" s="81"/>
      <c r="F48" s="80">
        <f>D48+E48</f>
        <v>22914024</v>
      </c>
      <c r="H48" s="80">
        <f>J37</f>
        <v>1649695.15</v>
      </c>
      <c r="I48" s="81">
        <f>I37</f>
        <v>572850.6</v>
      </c>
      <c r="J48" s="80">
        <f>H48+I48</f>
        <v>2222545.75</v>
      </c>
      <c r="K48" s="80">
        <f>F48-J48</f>
        <v>20691478.25</v>
      </c>
    </row>
    <row r="49" spans="1:15" x14ac:dyDescent="0.35">
      <c r="A49" s="70">
        <v>1830</v>
      </c>
      <c r="B49" s="68" t="s">
        <v>49</v>
      </c>
      <c r="C49" s="71">
        <v>45</v>
      </c>
      <c r="D49" s="80">
        <f t="shared" ref="D49:D54" si="22">F38</f>
        <v>1214130</v>
      </c>
      <c r="E49" s="81"/>
      <c r="F49" s="80">
        <f t="shared" ref="F49:F54" si="23">D49+E49</f>
        <v>1214130</v>
      </c>
      <c r="H49" s="80">
        <f t="shared" ref="H49:H54" si="24">J38</f>
        <v>77698.933333333334</v>
      </c>
      <c r="I49" s="81">
        <f t="shared" ref="I49:I54" si="25">I38</f>
        <v>26980.666666666668</v>
      </c>
      <c r="J49" s="80">
        <f t="shared" ref="J49:J54" si="26">H49+I49</f>
        <v>104679.6</v>
      </c>
      <c r="K49" s="80">
        <f t="shared" ref="K49:K54" si="27">F49-J49</f>
        <v>1109450.3999999999</v>
      </c>
    </row>
    <row r="50" spans="1:15" x14ac:dyDescent="0.35">
      <c r="A50" s="70">
        <v>1835</v>
      </c>
      <c r="B50" s="68" t="s">
        <v>50</v>
      </c>
      <c r="C50" s="71">
        <v>60</v>
      </c>
      <c r="D50" s="80">
        <f t="shared" si="22"/>
        <v>2353754</v>
      </c>
      <c r="E50" s="81"/>
      <c r="F50" s="80">
        <f t="shared" si="23"/>
        <v>2353754</v>
      </c>
      <c r="H50" s="80">
        <f t="shared" si="24"/>
        <v>112972.35</v>
      </c>
      <c r="I50" s="81">
        <f t="shared" si="25"/>
        <v>39229.233333333337</v>
      </c>
      <c r="J50" s="80">
        <f t="shared" si="26"/>
        <v>152201.58333333334</v>
      </c>
      <c r="K50" s="80">
        <f t="shared" si="27"/>
        <v>2201552.4166666665</v>
      </c>
    </row>
    <row r="51" spans="1:15" x14ac:dyDescent="0.35">
      <c r="A51" s="70">
        <v>1845</v>
      </c>
      <c r="B51" s="68" t="s">
        <v>51</v>
      </c>
      <c r="C51" s="71">
        <v>40</v>
      </c>
      <c r="D51" s="80">
        <f t="shared" si="22"/>
        <v>1136784</v>
      </c>
      <c r="E51" s="81"/>
      <c r="F51" s="80">
        <f t="shared" si="23"/>
        <v>1136784</v>
      </c>
      <c r="H51" s="80">
        <f t="shared" si="24"/>
        <v>81842.774999999994</v>
      </c>
      <c r="I51" s="81">
        <f t="shared" si="25"/>
        <v>28419.599999999999</v>
      </c>
      <c r="J51" s="80">
        <f t="shared" si="26"/>
        <v>110262.375</v>
      </c>
      <c r="K51" s="80">
        <f t="shared" si="27"/>
        <v>1026521.625</v>
      </c>
    </row>
    <row r="52" spans="1:15" x14ac:dyDescent="0.35">
      <c r="A52" s="70">
        <v>1850</v>
      </c>
      <c r="B52" s="68" t="s">
        <v>52</v>
      </c>
      <c r="C52" s="71">
        <v>40</v>
      </c>
      <c r="D52" s="80">
        <f t="shared" si="22"/>
        <v>408188</v>
      </c>
      <c r="E52" s="81"/>
      <c r="F52" s="80">
        <f t="shared" si="23"/>
        <v>408188</v>
      </c>
      <c r="H52" s="80">
        <f t="shared" si="24"/>
        <v>29387.500000000004</v>
      </c>
      <c r="I52" s="81">
        <f t="shared" si="25"/>
        <v>10204.700000000001</v>
      </c>
      <c r="J52" s="80">
        <f t="shared" si="26"/>
        <v>39592.200000000004</v>
      </c>
      <c r="K52" s="80">
        <f t="shared" si="27"/>
        <v>368595.8</v>
      </c>
    </row>
    <row r="53" spans="1:15" x14ac:dyDescent="0.35">
      <c r="A53" s="70">
        <v>1980</v>
      </c>
      <c r="B53" s="68" t="s">
        <v>53</v>
      </c>
      <c r="C53" s="71">
        <v>20</v>
      </c>
      <c r="D53" s="80">
        <f t="shared" si="22"/>
        <v>3876838</v>
      </c>
      <c r="E53" s="81"/>
      <c r="F53" s="80">
        <f t="shared" si="23"/>
        <v>3876838</v>
      </c>
      <c r="H53" s="80">
        <f t="shared" si="24"/>
        <v>558225.9</v>
      </c>
      <c r="I53" s="81">
        <f t="shared" si="25"/>
        <v>193841.9</v>
      </c>
      <c r="J53" s="80">
        <f t="shared" si="26"/>
        <v>752067.8</v>
      </c>
      <c r="K53" s="80">
        <f t="shared" si="27"/>
        <v>3124770.2</v>
      </c>
    </row>
    <row r="54" spans="1:15" ht="15" thickBot="1" x14ac:dyDescent="0.4">
      <c r="A54" s="75">
        <v>2440</v>
      </c>
      <c r="B54" s="76" t="s">
        <v>54</v>
      </c>
      <c r="C54" s="77">
        <v>40</v>
      </c>
      <c r="D54" s="82">
        <f t="shared" si="22"/>
        <v>-7355438</v>
      </c>
      <c r="E54" s="83"/>
      <c r="F54" s="82">
        <f t="shared" si="23"/>
        <v>-7355438</v>
      </c>
      <c r="H54" s="82">
        <f t="shared" si="24"/>
        <v>-536979.27500000002</v>
      </c>
      <c r="I54" s="83">
        <f t="shared" si="25"/>
        <v>-183885.95</v>
      </c>
      <c r="J54" s="82">
        <f t="shared" si="26"/>
        <v>-720865.22500000009</v>
      </c>
      <c r="K54" s="82">
        <f t="shared" si="27"/>
        <v>-6634572.7750000004</v>
      </c>
      <c r="M54" s="114" t="s">
        <v>88</v>
      </c>
      <c r="N54" s="114" t="s">
        <v>89</v>
      </c>
      <c r="O54" s="114" t="s">
        <v>87</v>
      </c>
    </row>
    <row r="55" spans="1:15" x14ac:dyDescent="0.35">
      <c r="A55" s="72"/>
      <c r="B55" s="73" t="s">
        <v>62</v>
      </c>
      <c r="C55" s="74"/>
      <c r="D55" s="84">
        <f>SUM(D48:D54)</f>
        <v>24548280</v>
      </c>
      <c r="E55" s="84">
        <f>SUM(E48:E54)</f>
        <v>0</v>
      </c>
      <c r="F55" s="84">
        <f>SUM(F48:F54)</f>
        <v>24548280</v>
      </c>
      <c r="H55" s="84">
        <f>SUM(H48:H54)</f>
        <v>1972843.3333333335</v>
      </c>
      <c r="I55" s="84">
        <f>SUM(I48:I54)</f>
        <v>687640.75</v>
      </c>
      <c r="J55" s="84">
        <f>SUM(J48:J54)</f>
        <v>2660484.0833333335</v>
      </c>
      <c r="K55" s="106">
        <f>SUM(K48:K54)</f>
        <v>21887795.916666664</v>
      </c>
      <c r="M55" s="113">
        <f>D55-H55</f>
        <v>22575436.666666668</v>
      </c>
      <c r="N55" s="113">
        <f>F55-J55</f>
        <v>21887795.916666668</v>
      </c>
      <c r="O55" s="113">
        <f>AVERAGE(M55:N55)</f>
        <v>22231616.291666668</v>
      </c>
    </row>
    <row r="57" spans="1:15" ht="21" x14ac:dyDescent="0.5">
      <c r="C57" s="134">
        <v>2027</v>
      </c>
      <c r="D57" s="134"/>
      <c r="E57" s="134"/>
      <c r="F57" s="134"/>
      <c r="H57" s="134">
        <v>2027</v>
      </c>
      <c r="I57" s="134"/>
      <c r="J57" s="134"/>
      <c r="K57" s="134"/>
    </row>
    <row r="58" spans="1:15" ht="29" x14ac:dyDescent="0.35">
      <c r="A58" s="79" t="s">
        <v>47</v>
      </c>
      <c r="B58" s="79" t="s">
        <v>56</v>
      </c>
      <c r="C58" s="79" t="s">
        <v>55</v>
      </c>
      <c r="D58" s="78" t="s">
        <v>57</v>
      </c>
      <c r="E58" s="78" t="s">
        <v>58</v>
      </c>
      <c r="F58" s="78" t="s">
        <v>59</v>
      </c>
      <c r="H58" s="78" t="s">
        <v>57</v>
      </c>
      <c r="I58" s="78" t="s">
        <v>60</v>
      </c>
      <c r="J58" s="78" t="s">
        <v>59</v>
      </c>
      <c r="K58" s="78" t="s">
        <v>61</v>
      </c>
    </row>
    <row r="59" spans="1:15" x14ac:dyDescent="0.35">
      <c r="A59" s="70">
        <v>1820</v>
      </c>
      <c r="B59" s="68" t="s">
        <v>48</v>
      </c>
      <c r="C59" s="71">
        <v>40</v>
      </c>
      <c r="D59" s="80">
        <f>F48</f>
        <v>22914024</v>
      </c>
      <c r="E59" s="81"/>
      <c r="F59" s="80">
        <f>D59+E59</f>
        <v>22914024</v>
      </c>
      <c r="H59" s="80">
        <f>J48</f>
        <v>2222545.75</v>
      </c>
      <c r="I59" s="81">
        <f>I48</f>
        <v>572850.6</v>
      </c>
      <c r="J59" s="80">
        <f>H59+I59</f>
        <v>2795396.35</v>
      </c>
      <c r="K59" s="80">
        <f>F59-J59</f>
        <v>20118627.649999999</v>
      </c>
    </row>
    <row r="60" spans="1:15" x14ac:dyDescent="0.35">
      <c r="A60" s="70">
        <v>1830</v>
      </c>
      <c r="B60" s="68" t="s">
        <v>49</v>
      </c>
      <c r="C60" s="71">
        <v>45</v>
      </c>
      <c r="D60" s="80">
        <f t="shared" ref="D60:D65" si="28">F49</f>
        <v>1214130</v>
      </c>
      <c r="E60" s="81"/>
      <c r="F60" s="80">
        <f t="shared" ref="F60:F65" si="29">D60+E60</f>
        <v>1214130</v>
      </c>
      <c r="H60" s="80">
        <f t="shared" ref="H60:H65" si="30">J49</f>
        <v>104679.6</v>
      </c>
      <c r="I60" s="81">
        <f t="shared" ref="I60:I65" si="31">I49</f>
        <v>26980.666666666668</v>
      </c>
      <c r="J60" s="80">
        <f t="shared" ref="J60:J65" si="32">H60+I60</f>
        <v>131660.26666666666</v>
      </c>
      <c r="K60" s="80">
        <f t="shared" ref="K60:K65" si="33">F60-J60</f>
        <v>1082469.7333333334</v>
      </c>
    </row>
    <row r="61" spans="1:15" x14ac:dyDescent="0.35">
      <c r="A61" s="70">
        <v>1835</v>
      </c>
      <c r="B61" s="68" t="s">
        <v>50</v>
      </c>
      <c r="C61" s="71">
        <v>60</v>
      </c>
      <c r="D61" s="80">
        <f t="shared" si="28"/>
        <v>2353754</v>
      </c>
      <c r="E61" s="81"/>
      <c r="F61" s="80">
        <f t="shared" si="29"/>
        <v>2353754</v>
      </c>
      <c r="H61" s="80">
        <f t="shared" si="30"/>
        <v>152201.58333333334</v>
      </c>
      <c r="I61" s="81">
        <f t="shared" si="31"/>
        <v>39229.233333333337</v>
      </c>
      <c r="J61" s="80">
        <f t="shared" si="32"/>
        <v>191430.81666666668</v>
      </c>
      <c r="K61" s="80">
        <f t="shared" si="33"/>
        <v>2162323.1833333331</v>
      </c>
    </row>
    <row r="62" spans="1:15" x14ac:dyDescent="0.35">
      <c r="A62" s="70">
        <v>1845</v>
      </c>
      <c r="B62" s="68" t="s">
        <v>51</v>
      </c>
      <c r="C62" s="71">
        <v>40</v>
      </c>
      <c r="D62" s="80">
        <f t="shared" si="28"/>
        <v>1136784</v>
      </c>
      <c r="E62" s="81"/>
      <c r="F62" s="80">
        <f t="shared" si="29"/>
        <v>1136784</v>
      </c>
      <c r="H62" s="80">
        <f t="shared" si="30"/>
        <v>110262.375</v>
      </c>
      <c r="I62" s="81">
        <f t="shared" si="31"/>
        <v>28419.599999999999</v>
      </c>
      <c r="J62" s="80">
        <f t="shared" si="32"/>
        <v>138681.97500000001</v>
      </c>
      <c r="K62" s="80">
        <f t="shared" si="33"/>
        <v>998102.02500000002</v>
      </c>
    </row>
    <row r="63" spans="1:15" x14ac:dyDescent="0.35">
      <c r="A63" s="70">
        <v>1850</v>
      </c>
      <c r="B63" s="68" t="s">
        <v>52</v>
      </c>
      <c r="C63" s="71">
        <v>40</v>
      </c>
      <c r="D63" s="80">
        <f t="shared" si="28"/>
        <v>408188</v>
      </c>
      <c r="E63" s="81"/>
      <c r="F63" s="80">
        <f t="shared" si="29"/>
        <v>408188</v>
      </c>
      <c r="H63" s="80">
        <f t="shared" si="30"/>
        <v>39592.200000000004</v>
      </c>
      <c r="I63" s="81">
        <f t="shared" si="31"/>
        <v>10204.700000000001</v>
      </c>
      <c r="J63" s="80">
        <f t="shared" si="32"/>
        <v>49796.900000000009</v>
      </c>
      <c r="K63" s="80">
        <f t="shared" si="33"/>
        <v>358391.1</v>
      </c>
    </row>
    <row r="64" spans="1:15" x14ac:dyDescent="0.35">
      <c r="A64" s="70">
        <v>1980</v>
      </c>
      <c r="B64" s="68" t="s">
        <v>53</v>
      </c>
      <c r="C64" s="71">
        <v>20</v>
      </c>
      <c r="D64" s="80">
        <f t="shared" si="28"/>
        <v>3876838</v>
      </c>
      <c r="E64" s="81"/>
      <c r="F64" s="80">
        <f t="shared" si="29"/>
        <v>3876838</v>
      </c>
      <c r="H64" s="80">
        <f t="shared" si="30"/>
        <v>752067.8</v>
      </c>
      <c r="I64" s="81">
        <f t="shared" si="31"/>
        <v>193841.9</v>
      </c>
      <c r="J64" s="80">
        <f t="shared" si="32"/>
        <v>945909.70000000007</v>
      </c>
      <c r="K64" s="80">
        <f t="shared" si="33"/>
        <v>2930928.3</v>
      </c>
    </row>
    <row r="65" spans="1:15" ht="15" thickBot="1" x14ac:dyDescent="0.4">
      <c r="A65" s="75">
        <v>2440</v>
      </c>
      <c r="B65" s="76" t="s">
        <v>54</v>
      </c>
      <c r="C65" s="77">
        <v>40</v>
      </c>
      <c r="D65" s="82">
        <f t="shared" si="28"/>
        <v>-7355438</v>
      </c>
      <c r="E65" s="83"/>
      <c r="F65" s="82">
        <f t="shared" si="29"/>
        <v>-7355438</v>
      </c>
      <c r="H65" s="82">
        <f t="shared" si="30"/>
        <v>-720865.22500000009</v>
      </c>
      <c r="I65" s="83">
        <f t="shared" si="31"/>
        <v>-183885.95</v>
      </c>
      <c r="J65" s="82">
        <f t="shared" si="32"/>
        <v>-904751.17500000005</v>
      </c>
      <c r="K65" s="82">
        <f t="shared" si="33"/>
        <v>-6450686.8250000002</v>
      </c>
      <c r="M65" s="114" t="s">
        <v>88</v>
      </c>
      <c r="N65" s="114" t="s">
        <v>89</v>
      </c>
      <c r="O65" s="114" t="s">
        <v>87</v>
      </c>
    </row>
    <row r="66" spans="1:15" x14ac:dyDescent="0.35">
      <c r="A66" s="72"/>
      <c r="B66" s="73" t="s">
        <v>62</v>
      </c>
      <c r="C66" s="74"/>
      <c r="D66" s="84">
        <f>SUM(D59:D65)</f>
        <v>24548280</v>
      </c>
      <c r="E66" s="84">
        <f>SUM(E59:E65)</f>
        <v>0</v>
      </c>
      <c r="F66" s="84">
        <f>SUM(F59:F65)</f>
        <v>24548280</v>
      </c>
      <c r="H66" s="84">
        <f>SUM(H59:H65)</f>
        <v>2660484.0833333335</v>
      </c>
      <c r="I66" s="84">
        <f>SUM(I59:I65)</f>
        <v>687640.75</v>
      </c>
      <c r="J66" s="84">
        <f>SUM(J59:J65)</f>
        <v>3348124.833333334</v>
      </c>
      <c r="K66" s="106">
        <f>SUM(K59:K65)</f>
        <v>21200155.166666668</v>
      </c>
      <c r="M66" s="113">
        <f>D66-H66</f>
        <v>21887795.916666668</v>
      </c>
      <c r="N66" s="113">
        <f>F66-J66</f>
        <v>21200155.166666664</v>
      </c>
      <c r="O66" s="113">
        <f>AVERAGE(M66:N66)</f>
        <v>21543975.541666664</v>
      </c>
    </row>
  </sheetData>
  <mergeCells count="12">
    <mergeCell ref="C1:F1"/>
    <mergeCell ref="H1:K1"/>
    <mergeCell ref="H57:K57"/>
    <mergeCell ref="C13:F13"/>
    <mergeCell ref="H13:K13"/>
    <mergeCell ref="C24:F24"/>
    <mergeCell ref="C35:F35"/>
    <mergeCell ref="C46:F46"/>
    <mergeCell ref="C57:F57"/>
    <mergeCell ref="H24:K24"/>
    <mergeCell ref="H35:K35"/>
    <mergeCell ref="H46:K46"/>
  </mergeCells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74F7-D98F-420D-B899-B1EDE98A9C01}">
  <dimension ref="A2:AM44"/>
  <sheetViews>
    <sheetView tabSelected="1" topLeftCell="C20" zoomScale="115" zoomScaleNormal="115" workbookViewId="0">
      <selection activeCell="E33" sqref="E33"/>
    </sheetView>
  </sheetViews>
  <sheetFormatPr defaultRowHeight="14.5" x14ac:dyDescent="0.35"/>
  <cols>
    <col min="1" max="4" width="17.81640625" customWidth="1"/>
    <col min="5" max="5" width="52.1796875" customWidth="1"/>
    <col min="6" max="8" width="17.81640625" customWidth="1"/>
    <col min="9" max="10" width="15.54296875" customWidth="1"/>
    <col min="11" max="11" width="31.7265625" customWidth="1"/>
    <col min="12" max="12" width="14.7265625" customWidth="1"/>
    <col min="13" max="13" width="16" customWidth="1"/>
    <col min="14" max="14" width="10.81640625" customWidth="1"/>
    <col min="15" max="15" width="13.26953125" customWidth="1"/>
    <col min="16" max="16" width="11" bestFit="1" customWidth="1"/>
    <col min="17" max="17" width="15.26953125" customWidth="1"/>
    <col min="18" max="18" width="18.1796875" bestFit="1" customWidth="1"/>
    <col min="19" max="19" width="11.54296875" customWidth="1"/>
    <col min="21" max="21" width="11" bestFit="1" customWidth="1"/>
    <col min="22" max="22" width="14" customWidth="1"/>
    <col min="23" max="23" width="11.1796875" customWidth="1"/>
    <col min="24" max="24" width="11" bestFit="1" customWidth="1"/>
    <col min="26" max="26" width="11" bestFit="1" customWidth="1"/>
    <col min="27" max="27" width="10.81640625" customWidth="1"/>
    <col min="28" max="28" width="10" bestFit="1" customWidth="1"/>
    <col min="29" max="29" width="11" bestFit="1" customWidth="1"/>
    <col min="31" max="31" width="11" bestFit="1" customWidth="1"/>
    <col min="32" max="32" width="11.7265625" customWidth="1"/>
    <col min="33" max="33" width="10" bestFit="1" customWidth="1"/>
    <col min="34" max="34" width="12.81640625" customWidth="1"/>
    <col min="36" max="36" width="11.81640625" customWidth="1"/>
    <col min="38" max="38" width="10" bestFit="1" customWidth="1"/>
    <col min="39" max="39" width="12.453125" customWidth="1"/>
  </cols>
  <sheetData>
    <row r="2" spans="1:39" x14ac:dyDescent="0.35">
      <c r="A2" s="137" t="s">
        <v>85</v>
      </c>
      <c r="B2" s="40"/>
      <c r="C2" s="40"/>
      <c r="D2" s="136">
        <v>2022</v>
      </c>
      <c r="E2" s="136"/>
      <c r="F2" s="136"/>
      <c r="G2" s="136"/>
      <c r="H2" s="111"/>
      <c r="O2" s="41"/>
      <c r="T2" s="41"/>
      <c r="Y2" s="41"/>
      <c r="AD2" s="41"/>
      <c r="AJ2" s="135">
        <v>2028</v>
      </c>
      <c r="AK2" s="135"/>
      <c r="AL2" s="135"/>
      <c r="AM2" s="135"/>
    </row>
    <row r="3" spans="1:39" ht="26.5" x14ac:dyDescent="0.35">
      <c r="A3" s="137"/>
      <c r="B3" s="42"/>
      <c r="C3" s="40" t="s">
        <v>39</v>
      </c>
      <c r="D3" s="40" t="s">
        <v>40</v>
      </c>
      <c r="E3" s="43" t="s">
        <v>41</v>
      </c>
      <c r="F3" s="40" t="s">
        <v>42</v>
      </c>
      <c r="G3" s="40" t="s">
        <v>43</v>
      </c>
      <c r="H3" s="111"/>
      <c r="I3" s="125" t="s">
        <v>92</v>
      </c>
      <c r="J3" s="125" t="s">
        <v>93</v>
      </c>
      <c r="K3" s="126" t="s">
        <v>95</v>
      </c>
      <c r="O3" s="40"/>
      <c r="T3" s="40"/>
      <c r="Y3" s="40"/>
      <c r="AD3" s="40"/>
      <c r="AJ3" s="40" t="s">
        <v>40</v>
      </c>
      <c r="AK3" s="43" t="s">
        <v>41</v>
      </c>
      <c r="AL3" s="40" t="s">
        <v>42</v>
      </c>
      <c r="AM3" s="40" t="s">
        <v>43</v>
      </c>
    </row>
    <row r="4" spans="1:39" ht="29" x14ac:dyDescent="0.35">
      <c r="A4" s="137"/>
      <c r="B4" s="44">
        <v>0.08</v>
      </c>
      <c r="C4" s="45">
        <v>47</v>
      </c>
      <c r="D4" s="46"/>
      <c r="E4" s="47">
        <f>Depreciation!E10</f>
        <v>9026457</v>
      </c>
      <c r="F4" s="47">
        <f>E4*1.5*B4</f>
        <v>1083174.8400000001</v>
      </c>
      <c r="G4" s="47">
        <f>E4-F4</f>
        <v>7943282.1600000001</v>
      </c>
      <c r="H4" s="111"/>
      <c r="I4" s="123">
        <v>361058.28</v>
      </c>
      <c r="J4" s="123">
        <f>F4-I4</f>
        <v>722116.56</v>
      </c>
      <c r="K4" s="124" t="s">
        <v>94</v>
      </c>
      <c r="O4" s="40"/>
      <c r="T4" s="40"/>
      <c r="Y4" s="40"/>
      <c r="AD4" s="40"/>
      <c r="AJ4" s="48">
        <f>G32</f>
        <v>15020628.261958336</v>
      </c>
      <c r="AK4" s="46"/>
      <c r="AL4" s="49">
        <f>AJ4*0.08</f>
        <v>1201650.2609566669</v>
      </c>
      <c r="AM4" s="48">
        <f>AJ4-AL4</f>
        <v>13818978.001001669</v>
      </c>
    </row>
    <row r="5" spans="1:39" x14ac:dyDescent="0.35">
      <c r="A5" s="137"/>
      <c r="B5" s="40"/>
      <c r="C5" s="40"/>
      <c r="D5" s="40">
        <f>SUM(D4:D4)</f>
        <v>0</v>
      </c>
      <c r="E5" s="50">
        <f>SUM(E4:E4)</f>
        <v>9026457</v>
      </c>
      <c r="F5" s="50">
        <f>SUM(F4:F4)</f>
        <v>1083174.8400000001</v>
      </c>
      <c r="G5" s="50">
        <f>SUM(G4:G4)</f>
        <v>7943282.1600000001</v>
      </c>
      <c r="H5" s="111"/>
      <c r="I5" s="107"/>
      <c r="J5" s="107"/>
      <c r="O5" s="50"/>
      <c r="T5" s="50"/>
      <c r="Y5" s="50"/>
      <c r="AD5" s="50"/>
      <c r="AJ5" s="50">
        <f>SUM(AJ4:AJ4)</f>
        <v>15020628.261958336</v>
      </c>
      <c r="AK5" s="50">
        <f>SUM(AK4:AK4)</f>
        <v>0</v>
      </c>
      <c r="AL5" s="50">
        <f>SUM(AL4:AL4)</f>
        <v>1201650.2609566669</v>
      </c>
      <c r="AM5" s="50">
        <f>SUM(AM4:AM4)</f>
        <v>13818978.001001669</v>
      </c>
    </row>
    <row r="7" spans="1:39" x14ac:dyDescent="0.35">
      <c r="B7" s="40"/>
      <c r="C7" s="40"/>
      <c r="D7" s="136">
        <v>2023</v>
      </c>
      <c r="E7" s="136"/>
      <c r="F7" s="136"/>
      <c r="G7" s="136"/>
      <c r="M7" s="107"/>
    </row>
    <row r="8" spans="1:39" x14ac:dyDescent="0.35">
      <c r="B8" s="42"/>
      <c r="C8" s="40" t="s">
        <v>39</v>
      </c>
      <c r="D8" s="40" t="s">
        <v>40</v>
      </c>
      <c r="E8" s="43" t="s">
        <v>41</v>
      </c>
      <c r="F8" s="40" t="s">
        <v>42</v>
      </c>
      <c r="G8" s="40" t="s">
        <v>43</v>
      </c>
    </row>
    <row r="9" spans="1:39" x14ac:dyDescent="0.35">
      <c r="B9" s="44">
        <v>0.08</v>
      </c>
      <c r="C9" s="45">
        <v>47</v>
      </c>
      <c r="D9" s="48">
        <f>G4</f>
        <v>7943282.1600000001</v>
      </c>
      <c r="E9" s="47">
        <f>Depreciation!E22</f>
        <v>15521823</v>
      </c>
      <c r="F9" s="47">
        <f>E9*1.5*B9+D9*B9</f>
        <v>2498081.3328</v>
      </c>
      <c r="G9" s="47">
        <f>E9+D9-F9</f>
        <v>20967023.827199999</v>
      </c>
    </row>
    <row r="10" spans="1:39" x14ac:dyDescent="0.35">
      <c r="B10" s="40"/>
      <c r="C10" s="40"/>
      <c r="D10" s="50">
        <f>SUM(D9:D9)</f>
        <v>7943282.1600000001</v>
      </c>
      <c r="E10" s="50">
        <f>SUM(E9:E9)</f>
        <v>15521823</v>
      </c>
      <c r="F10" s="50">
        <f>SUM(F9:F9)</f>
        <v>2498081.3328</v>
      </c>
      <c r="G10" s="50">
        <f>SUM(G9:G9)</f>
        <v>20967023.827199999</v>
      </c>
    </row>
    <row r="12" spans="1:39" x14ac:dyDescent="0.35">
      <c r="D12" s="136">
        <v>2024</v>
      </c>
      <c r="E12" s="136"/>
      <c r="F12" s="136"/>
      <c r="G12" s="136"/>
    </row>
    <row r="13" spans="1:39" x14ac:dyDescent="0.35">
      <c r="B13" s="42"/>
      <c r="C13" s="40" t="s">
        <v>39</v>
      </c>
      <c r="D13" s="40" t="s">
        <v>40</v>
      </c>
      <c r="E13" s="43" t="s">
        <v>41</v>
      </c>
      <c r="F13" s="40" t="s">
        <v>42</v>
      </c>
      <c r="G13" s="40" t="s">
        <v>43</v>
      </c>
    </row>
    <row r="14" spans="1:39" x14ac:dyDescent="0.35">
      <c r="B14" s="44">
        <v>0.08</v>
      </c>
      <c r="C14" s="45">
        <v>47</v>
      </c>
      <c r="D14" s="48">
        <f>G9</f>
        <v>20967023.827199999</v>
      </c>
      <c r="E14" s="51"/>
      <c r="F14" s="49">
        <f>D15*B9</f>
        <v>1677361.9061759999</v>
      </c>
      <c r="G14" s="48">
        <f>D14-F14+E14</f>
        <v>19289661.921023998</v>
      </c>
    </row>
    <row r="15" spans="1:39" x14ac:dyDescent="0.35">
      <c r="D15" s="50">
        <f>SUM(D14:D14)</f>
        <v>20967023.827199999</v>
      </c>
      <c r="E15" s="50">
        <f>SUM(E14:E14)</f>
        <v>0</v>
      </c>
      <c r="F15" s="50">
        <f>SUM(F14:F14)</f>
        <v>1677361.9061759999</v>
      </c>
      <c r="G15" s="50">
        <f>SUM(G14:G14)</f>
        <v>19289661.921023998</v>
      </c>
    </row>
    <row r="18" spans="2:7" x14ac:dyDescent="0.35">
      <c r="D18" s="136">
        <v>2025</v>
      </c>
      <c r="E18" s="136"/>
      <c r="F18" s="136"/>
      <c r="G18" s="136"/>
    </row>
    <row r="19" spans="2:7" x14ac:dyDescent="0.35">
      <c r="B19" s="42"/>
      <c r="C19" s="40" t="s">
        <v>39</v>
      </c>
      <c r="D19" s="40" t="s">
        <v>40</v>
      </c>
      <c r="E19" s="43" t="s">
        <v>41</v>
      </c>
      <c r="F19" s="40" t="s">
        <v>42</v>
      </c>
      <c r="G19" s="40" t="s">
        <v>43</v>
      </c>
    </row>
    <row r="20" spans="2:7" x14ac:dyDescent="0.35">
      <c r="B20" s="44">
        <v>0.08</v>
      </c>
      <c r="C20" s="45">
        <v>47</v>
      </c>
      <c r="D20" s="48">
        <f>G14</f>
        <v>19289661.921023998</v>
      </c>
      <c r="E20" s="46"/>
      <c r="F20" s="49">
        <f>D20*B9</f>
        <v>1543172.95368192</v>
      </c>
      <c r="G20" s="48">
        <f>D20-F20</f>
        <v>17746488.967342079</v>
      </c>
    </row>
    <row r="21" spans="2:7" x14ac:dyDescent="0.35">
      <c r="D21" s="50">
        <f>SUM(D20:D20)</f>
        <v>19289661.921023998</v>
      </c>
      <c r="E21" s="50">
        <f>SUM(E20:E20)</f>
        <v>0</v>
      </c>
      <c r="F21" s="50">
        <f>SUM(F20:F20)</f>
        <v>1543172.95368192</v>
      </c>
      <c r="G21" s="50">
        <f>SUM(G20:G20)</f>
        <v>17746488.967342079</v>
      </c>
    </row>
    <row r="24" spans="2:7" x14ac:dyDescent="0.35">
      <c r="D24" s="136">
        <v>2026</v>
      </c>
      <c r="E24" s="136"/>
      <c r="F24" s="136"/>
      <c r="G24" s="136"/>
    </row>
    <row r="25" spans="2:7" x14ac:dyDescent="0.35">
      <c r="B25" s="42"/>
      <c r="C25" s="40" t="s">
        <v>39</v>
      </c>
      <c r="D25" s="40" t="s">
        <v>40</v>
      </c>
      <c r="E25" s="43" t="s">
        <v>41</v>
      </c>
      <c r="F25" s="40" t="s">
        <v>42</v>
      </c>
      <c r="G25" s="40" t="s">
        <v>43</v>
      </c>
    </row>
    <row r="26" spans="2:7" x14ac:dyDescent="0.35">
      <c r="B26" s="44">
        <v>0.08</v>
      </c>
      <c r="C26" s="45">
        <v>47</v>
      </c>
      <c r="D26" s="48">
        <f>G20</f>
        <v>17746488.967342079</v>
      </c>
      <c r="E26" s="46"/>
      <c r="F26" s="49">
        <f>D26*B9</f>
        <v>1419719.1173873662</v>
      </c>
      <c r="G26" s="48">
        <f>D26-F26</f>
        <v>16326769.849954713</v>
      </c>
    </row>
    <row r="27" spans="2:7" x14ac:dyDescent="0.35">
      <c r="D27" s="50">
        <f>SUM(D26:D26)</f>
        <v>17746488.967342079</v>
      </c>
      <c r="E27" s="50">
        <f>SUM(E26:E26)</f>
        <v>0</v>
      </c>
      <c r="F27" s="50">
        <f>SUM(F26:F26)</f>
        <v>1419719.1173873662</v>
      </c>
      <c r="G27" s="50">
        <f>SUM(G26:G26)</f>
        <v>16326769.849954713</v>
      </c>
    </row>
    <row r="30" spans="2:7" x14ac:dyDescent="0.35">
      <c r="D30" s="136">
        <v>2027</v>
      </c>
      <c r="E30" s="136"/>
      <c r="F30" s="136"/>
      <c r="G30" s="136"/>
    </row>
    <row r="31" spans="2:7" x14ac:dyDescent="0.35">
      <c r="B31" s="42"/>
      <c r="C31" s="40" t="s">
        <v>39</v>
      </c>
      <c r="D31" s="40" t="s">
        <v>40</v>
      </c>
      <c r="E31" s="43" t="s">
        <v>41</v>
      </c>
      <c r="F31" s="40" t="s">
        <v>42</v>
      </c>
      <c r="G31" s="40" t="s">
        <v>43</v>
      </c>
    </row>
    <row r="32" spans="2:7" x14ac:dyDescent="0.35">
      <c r="B32" s="44">
        <v>0.08</v>
      </c>
      <c r="C32" s="45">
        <v>47</v>
      </c>
      <c r="D32" s="48">
        <f>G26</f>
        <v>16326769.849954713</v>
      </c>
      <c r="E32" s="46"/>
      <c r="F32" s="49">
        <f>B9*D32</f>
        <v>1306141.5879963771</v>
      </c>
      <c r="G32" s="48">
        <f>D32-F32</f>
        <v>15020628.261958336</v>
      </c>
    </row>
    <row r="33" spans="4:7" x14ac:dyDescent="0.35">
      <c r="D33" s="50">
        <f>SUM(D32:D32)</f>
        <v>16326769.849954713</v>
      </c>
      <c r="E33" s="50">
        <f>SUM(E32:E32)</f>
        <v>0</v>
      </c>
      <c r="F33" s="50">
        <f>SUM(F32:F32)</f>
        <v>1306141.5879963771</v>
      </c>
      <c r="G33" s="50">
        <f>SUM(G32:G32)</f>
        <v>15020628.261958336</v>
      </c>
    </row>
    <row r="35" spans="4:7" ht="15" thickBot="1" x14ac:dyDescent="0.4">
      <c r="F35" t="s">
        <v>91</v>
      </c>
    </row>
    <row r="36" spans="4:7" x14ac:dyDescent="0.35">
      <c r="E36" s="117" t="s">
        <v>105</v>
      </c>
      <c r="F36" s="118">
        <f>F33+F27+F21+F15+F10+F4</f>
        <v>9527651.7380416617</v>
      </c>
      <c r="G36" s="113"/>
    </row>
    <row r="37" spans="4:7" x14ac:dyDescent="0.35">
      <c r="E37" s="127" t="s">
        <v>106</v>
      </c>
      <c r="F37" s="128">
        <v>361058.28</v>
      </c>
      <c r="G37" s="113"/>
    </row>
    <row r="38" spans="4:7" ht="15" thickBot="1" x14ac:dyDescent="0.4">
      <c r="E38" s="132" t="s">
        <v>107</v>
      </c>
      <c r="F38" s="120">
        <v>722116.56</v>
      </c>
      <c r="G38" s="113"/>
    </row>
    <row r="39" spans="4:7" x14ac:dyDescent="0.35">
      <c r="E39" s="130" t="s">
        <v>96</v>
      </c>
      <c r="F39" s="131">
        <f>F36-F37-F38</f>
        <v>8444476.8980416618</v>
      </c>
      <c r="G39" s="113"/>
    </row>
    <row r="40" spans="4:7" ht="15" thickBot="1" x14ac:dyDescent="0.4">
      <c r="E40" s="119" t="s">
        <v>90</v>
      </c>
      <c r="F40" s="129">
        <f>F39/5</f>
        <v>1688895.3796083324</v>
      </c>
    </row>
    <row r="44" spans="4:7" x14ac:dyDescent="0.35">
      <c r="F44" s="113"/>
    </row>
  </sheetData>
  <mergeCells count="8">
    <mergeCell ref="AJ2:AM2"/>
    <mergeCell ref="D24:G24"/>
    <mergeCell ref="D30:G30"/>
    <mergeCell ref="A2:A5"/>
    <mergeCell ref="D7:G7"/>
    <mergeCell ref="D12:G12"/>
    <mergeCell ref="D18:G18"/>
    <mergeCell ref="D2:G2"/>
  </mergeCells>
  <conditionalFormatting sqref="C9">
    <cfRule type="expression" dxfId="11" priority="21" stopIfTrue="1">
      <formula>LEN(C9)&gt;0</formula>
    </cfRule>
  </conditionalFormatting>
  <conditionalFormatting sqref="B9">
    <cfRule type="expression" dxfId="10" priority="19" stopIfTrue="1">
      <formula>LEN(B9)&gt;0</formula>
    </cfRule>
  </conditionalFormatting>
  <conditionalFormatting sqref="C4">
    <cfRule type="expression" dxfId="9" priority="10" stopIfTrue="1">
      <formula>LEN(C4)&gt;0</formula>
    </cfRule>
  </conditionalFormatting>
  <conditionalFormatting sqref="B4">
    <cfRule type="expression" dxfId="8" priority="9" stopIfTrue="1">
      <formula>LEN(B4)&gt;0</formula>
    </cfRule>
  </conditionalFormatting>
  <conditionalFormatting sqref="C14">
    <cfRule type="expression" dxfId="7" priority="8" stopIfTrue="1">
      <formula>LEN(C14)&gt;0</formula>
    </cfRule>
  </conditionalFormatting>
  <conditionalFormatting sqref="B14">
    <cfRule type="expression" dxfId="6" priority="7" stopIfTrue="1">
      <formula>LEN(B14)&gt;0</formula>
    </cfRule>
  </conditionalFormatting>
  <conditionalFormatting sqref="C20">
    <cfRule type="expression" dxfId="5" priority="6" stopIfTrue="1">
      <formula>LEN(C20)&gt;0</formula>
    </cfRule>
  </conditionalFormatting>
  <conditionalFormatting sqref="B20">
    <cfRule type="expression" dxfId="4" priority="5" stopIfTrue="1">
      <formula>LEN(B20)&gt;0</formula>
    </cfRule>
  </conditionalFormatting>
  <conditionalFormatting sqref="C26">
    <cfRule type="expression" dxfId="3" priority="4" stopIfTrue="1">
      <formula>LEN(C26)&gt;0</formula>
    </cfRule>
  </conditionalFormatting>
  <conditionalFormatting sqref="B26">
    <cfRule type="expression" dxfId="2" priority="3" stopIfTrue="1">
      <formula>LEN(B26)&gt;0</formula>
    </cfRule>
  </conditionalFormatting>
  <conditionalFormatting sqref="C32">
    <cfRule type="expression" dxfId="1" priority="2" stopIfTrue="1">
      <formula>LEN(C32)&gt;0</formula>
    </cfRule>
  </conditionalFormatting>
  <conditionalFormatting sqref="B32">
    <cfRule type="expression" dxfId="0" priority="1" stopIfTrue="1">
      <formula>LEN(B32)&gt;0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2B257-544F-4181-8490-7F2E158AB13E}">
  <sheetPr codeName="Sheet1">
    <pageSetUpPr fitToPage="1"/>
  </sheetPr>
  <dimension ref="B1:J81"/>
  <sheetViews>
    <sheetView topLeftCell="B1" zoomScale="115" zoomScaleNormal="115" workbookViewId="0">
      <pane xSplit="1" ySplit="3" topLeftCell="C7" activePane="bottomRight" state="frozen"/>
      <selection activeCell="B1" sqref="B1"/>
      <selection pane="topRight" activeCell="C1" sqref="C1"/>
      <selection pane="bottomLeft" activeCell="B4" sqref="B4"/>
      <selection pane="bottomRight" activeCell="E40" sqref="E40"/>
    </sheetView>
  </sheetViews>
  <sheetFormatPr defaultRowHeight="14.5" x14ac:dyDescent="0.35"/>
  <cols>
    <col min="2" max="2" width="51.54296875" customWidth="1"/>
    <col min="3" max="3" width="20" customWidth="1"/>
    <col min="4" max="4" width="8" customWidth="1"/>
    <col min="5" max="6" width="24.81640625" customWidth="1"/>
    <col min="7" max="7" width="20.81640625" customWidth="1"/>
    <col min="8" max="8" width="23.26953125" customWidth="1"/>
    <col min="9" max="9" width="21.7265625" customWidth="1"/>
    <col min="10" max="10" width="13.453125" bestFit="1" customWidth="1"/>
  </cols>
  <sheetData>
    <row r="1" spans="2:10" ht="44.25" customHeight="1" thickBot="1" x14ac:dyDescent="0.4">
      <c r="E1" s="39"/>
      <c r="F1" s="39"/>
      <c r="G1" s="39"/>
      <c r="H1" s="39"/>
      <c r="I1" s="39"/>
    </row>
    <row r="2" spans="2:10" ht="21.5" thickBot="1" x14ac:dyDescent="0.55000000000000004">
      <c r="B2" s="15" t="s">
        <v>46</v>
      </c>
      <c r="E2" s="86">
        <v>2023</v>
      </c>
      <c r="F2" s="86">
        <v>2024</v>
      </c>
      <c r="G2" s="86">
        <v>2025</v>
      </c>
      <c r="H2" s="86">
        <v>2026</v>
      </c>
      <c r="I2" s="86">
        <v>2027</v>
      </c>
    </row>
    <row r="3" spans="2:10" x14ac:dyDescent="0.35">
      <c r="B3" s="34" t="s">
        <v>36</v>
      </c>
      <c r="C3" s="27"/>
      <c r="D3" s="27"/>
      <c r="E3" s="33">
        <v>4.7899999999999998E-2</v>
      </c>
      <c r="F3" s="33">
        <v>4.7899999999999998E-2</v>
      </c>
      <c r="G3" s="33">
        <v>4.7899999999999998E-2</v>
      </c>
      <c r="H3" s="33">
        <v>4.7899999999999998E-2</v>
      </c>
      <c r="I3" s="58">
        <v>4.7899999999999998E-2</v>
      </c>
    </row>
    <row r="4" spans="2:10" x14ac:dyDescent="0.35">
      <c r="B4" s="32" t="s">
        <v>34</v>
      </c>
      <c r="E4" s="31">
        <v>4.3099999999999999E-2</v>
      </c>
      <c r="F4" s="31">
        <v>4.3099999999999999E-2</v>
      </c>
      <c r="G4" s="31">
        <v>4.3099999999999999E-2</v>
      </c>
      <c r="H4" s="31">
        <v>4.3099999999999999E-2</v>
      </c>
      <c r="I4" s="59">
        <v>4.3099999999999999E-2</v>
      </c>
    </row>
    <row r="5" spans="2:10" ht="15" thickBot="1" x14ac:dyDescent="0.4">
      <c r="B5" s="30" t="s">
        <v>24</v>
      </c>
      <c r="C5" s="4"/>
      <c r="D5" s="4"/>
      <c r="E5" s="29">
        <v>9.3600000000000003E-2</v>
      </c>
      <c r="F5" s="29">
        <v>9.3600000000000003E-2</v>
      </c>
      <c r="G5" s="29">
        <v>9.3600000000000003E-2</v>
      </c>
      <c r="H5" s="29">
        <v>9.3600000000000003E-2</v>
      </c>
      <c r="I5" s="60">
        <v>9.3600000000000003E-2</v>
      </c>
      <c r="J5" s="110"/>
    </row>
    <row r="6" spans="2:10" ht="15" thickBot="1" x14ac:dyDescent="0.4">
      <c r="E6" s="25"/>
      <c r="F6" s="25"/>
      <c r="G6" s="25"/>
      <c r="H6" s="25"/>
      <c r="I6" s="25"/>
    </row>
    <row r="7" spans="2:10" ht="18.5" thickBot="1" x14ac:dyDescent="0.45">
      <c r="B7" s="92" t="s">
        <v>63</v>
      </c>
      <c r="C7" s="57"/>
      <c r="D7" s="57"/>
      <c r="E7" s="95">
        <f>Depreciation!E22</f>
        <v>15521823</v>
      </c>
      <c r="F7" s="93"/>
      <c r="G7" s="93"/>
      <c r="H7" s="93"/>
      <c r="I7" s="94"/>
    </row>
    <row r="8" spans="2:10" ht="16" thickBot="1" x14ac:dyDescent="0.4">
      <c r="C8" s="2"/>
      <c r="E8" s="1"/>
      <c r="F8" s="1"/>
      <c r="G8" s="1"/>
      <c r="H8" s="1"/>
      <c r="I8" s="1"/>
    </row>
    <row r="9" spans="2:10" ht="18" thickBot="1" x14ac:dyDescent="0.4">
      <c r="B9" s="138" t="s">
        <v>0</v>
      </c>
      <c r="C9" s="139"/>
      <c r="D9" s="139"/>
      <c r="E9" s="28"/>
      <c r="F9" s="28"/>
      <c r="G9" s="28"/>
      <c r="H9" s="28"/>
      <c r="I9" s="28"/>
    </row>
    <row r="10" spans="2:10" ht="21.5" thickBot="1" x14ac:dyDescent="0.55000000000000004">
      <c r="B10" s="15" t="s">
        <v>38</v>
      </c>
      <c r="C10" s="2"/>
      <c r="E10" s="86">
        <v>2023</v>
      </c>
      <c r="F10" s="86">
        <v>2024</v>
      </c>
      <c r="G10" s="86">
        <v>2025</v>
      </c>
      <c r="H10" s="86">
        <v>2026</v>
      </c>
      <c r="I10" s="86">
        <v>2027</v>
      </c>
    </row>
    <row r="11" spans="2:10" ht="15.5" x14ac:dyDescent="0.35">
      <c r="B11" s="13" t="s">
        <v>44</v>
      </c>
      <c r="C11" s="12"/>
      <c r="D11" s="27"/>
      <c r="E11" s="10">
        <f>Depreciation!D22-Depreciation!H22</f>
        <v>8899586.270833334</v>
      </c>
      <c r="F11" s="10">
        <f>Depreciation!K22</f>
        <v>23950718.166666664</v>
      </c>
      <c r="G11" s="10">
        <f>Depreciation!K33</f>
        <v>23263077.416666664</v>
      </c>
      <c r="H11" s="10">
        <f>Depreciation!K44</f>
        <v>22575436.666666672</v>
      </c>
      <c r="I11" s="53">
        <f>Depreciation!K55</f>
        <v>21887795.916666664</v>
      </c>
    </row>
    <row r="12" spans="2:10" ht="37.5" customHeight="1" x14ac:dyDescent="0.65">
      <c r="B12" s="85" t="s">
        <v>97</v>
      </c>
      <c r="C12" s="2"/>
      <c r="D12" s="8"/>
      <c r="E12" s="108">
        <f>Depreciation!I22</f>
        <v>470691.10416666669</v>
      </c>
      <c r="F12" s="108">
        <f>Depreciation!I33</f>
        <v>687640.75</v>
      </c>
      <c r="G12" s="108">
        <f>F12</f>
        <v>687640.75</v>
      </c>
      <c r="H12" s="108">
        <f>G12</f>
        <v>687640.75</v>
      </c>
      <c r="I12" s="109">
        <f>H12</f>
        <v>687640.75</v>
      </c>
    </row>
    <row r="13" spans="2:10" ht="15.5" x14ac:dyDescent="0.35">
      <c r="B13" s="7" t="s">
        <v>45</v>
      </c>
      <c r="C13" s="2"/>
      <c r="D13" s="8"/>
      <c r="E13" s="26">
        <f>(E11+(E7-E12+E11))/2</f>
        <v>16425152.21875</v>
      </c>
      <c r="F13" s="26">
        <f>(F11+(F11-F12))/2</f>
        <v>23606897.791666664</v>
      </c>
      <c r="G13" s="26">
        <f t="shared" ref="G13:I13" si="0">(G11+(G11-G12))/2</f>
        <v>22919257.041666664</v>
      </c>
      <c r="H13" s="26">
        <f t="shared" si="0"/>
        <v>22231616.291666672</v>
      </c>
      <c r="I13" s="56">
        <f t="shared" si="0"/>
        <v>21543975.541666664</v>
      </c>
    </row>
    <row r="14" spans="2:10" ht="15.5" x14ac:dyDescent="0.35">
      <c r="B14" s="7"/>
      <c r="C14" s="87" t="s">
        <v>37</v>
      </c>
      <c r="D14" s="8"/>
      <c r="E14" s="1"/>
      <c r="F14" s="1"/>
      <c r="G14" s="1"/>
      <c r="H14" s="1"/>
      <c r="I14" s="54"/>
    </row>
    <row r="15" spans="2:10" ht="15.5" x14ac:dyDescent="0.35">
      <c r="B15" s="7" t="s">
        <v>36</v>
      </c>
      <c r="C15" s="25">
        <v>0.04</v>
      </c>
      <c r="D15" s="8" t="s">
        <v>35</v>
      </c>
      <c r="E15" s="1">
        <f>E13*$C$15</f>
        <v>657006.08875</v>
      </c>
      <c r="F15" s="1">
        <f>F13*$C$15</f>
        <v>944275.91166666662</v>
      </c>
      <c r="G15" s="1">
        <f t="shared" ref="G15:I15" si="1">G13*$C$15</f>
        <v>916770.28166666662</v>
      </c>
      <c r="H15" s="1">
        <f t="shared" si="1"/>
        <v>889264.65166666685</v>
      </c>
      <c r="I15" s="54">
        <f t="shared" si="1"/>
        <v>861759.02166666661</v>
      </c>
    </row>
    <row r="16" spans="2:10" ht="15.5" x14ac:dyDescent="0.35">
      <c r="B16" s="7" t="s">
        <v>34</v>
      </c>
      <c r="C16" s="25">
        <v>0.56000000000000005</v>
      </c>
      <c r="D16" s="8" t="s">
        <v>33</v>
      </c>
      <c r="E16" s="1">
        <f>$C$16*E13</f>
        <v>9198085.2425000016</v>
      </c>
      <c r="F16" s="1">
        <f>$C$16*F13</f>
        <v>13219862.763333334</v>
      </c>
      <c r="G16" s="1">
        <f t="shared" ref="G16:I16" si="2">$C$16*G13</f>
        <v>12834783.943333333</v>
      </c>
      <c r="H16" s="1">
        <f t="shared" si="2"/>
        <v>12449705.123333337</v>
      </c>
      <c r="I16" s="54">
        <f t="shared" si="2"/>
        <v>12064626.303333333</v>
      </c>
    </row>
    <row r="17" spans="2:9" ht="15.5" x14ac:dyDescent="0.35">
      <c r="B17" s="7"/>
      <c r="C17" s="88" t="s">
        <v>32</v>
      </c>
      <c r="D17" s="8"/>
      <c r="E17" s="1"/>
      <c r="F17" s="1"/>
      <c r="G17" s="1"/>
      <c r="H17" s="1"/>
      <c r="I17" s="54"/>
    </row>
    <row r="18" spans="2:9" ht="15.5" x14ac:dyDescent="0.35">
      <c r="B18" s="7" t="s">
        <v>31</v>
      </c>
      <c r="D18" s="8" t="s">
        <v>30</v>
      </c>
      <c r="E18" s="1">
        <f>E15*E3</f>
        <v>31470.591651125</v>
      </c>
      <c r="F18" s="1">
        <f>F15*F3</f>
        <v>45230.816168833328</v>
      </c>
      <c r="G18" s="1">
        <f>G15*G3</f>
        <v>43913.296491833331</v>
      </c>
      <c r="H18" s="1">
        <f>H15*H3</f>
        <v>42595.776814833342</v>
      </c>
      <c r="I18" s="54">
        <f>I15*I3</f>
        <v>41278.25713783333</v>
      </c>
    </row>
    <row r="19" spans="2:9" ht="15.5" x14ac:dyDescent="0.35">
      <c r="B19" s="7" t="s">
        <v>29</v>
      </c>
      <c r="D19" s="8" t="s">
        <v>28</v>
      </c>
      <c r="E19" s="1">
        <f>E4*E16</f>
        <v>396437.47395175009</v>
      </c>
      <c r="F19" s="1">
        <f>F4*F16</f>
        <v>569776.08509966673</v>
      </c>
      <c r="G19" s="1">
        <f>G4*G16</f>
        <v>553179.1879576667</v>
      </c>
      <c r="H19" s="1">
        <f>H4*H16</f>
        <v>536582.29081566678</v>
      </c>
      <c r="I19" s="54">
        <f>I4*I16</f>
        <v>519985.39367366664</v>
      </c>
    </row>
    <row r="20" spans="2:9" ht="15.5" x14ac:dyDescent="0.35">
      <c r="B20" s="7"/>
      <c r="C20" s="2"/>
      <c r="D20" s="8"/>
      <c r="E20" s="1"/>
      <c r="F20" s="1"/>
      <c r="G20" s="1"/>
      <c r="H20" s="1"/>
      <c r="I20" s="54"/>
    </row>
    <row r="21" spans="2:9" ht="15.5" x14ac:dyDescent="0.35">
      <c r="B21" s="7" t="s">
        <v>27</v>
      </c>
      <c r="C21" s="89"/>
      <c r="D21" s="8"/>
      <c r="E21" s="1">
        <f t="shared" ref="E21:F21" si="3">SUM(E18:E19)</f>
        <v>427908.06560287508</v>
      </c>
      <c r="F21" s="1">
        <f t="shared" si="3"/>
        <v>615006.90126850002</v>
      </c>
      <c r="G21" s="1">
        <f t="shared" ref="G21:I21" si="4">SUM(G18:G19)</f>
        <v>597092.48444949999</v>
      </c>
      <c r="H21" s="1">
        <f t="shared" si="4"/>
        <v>579178.06763050007</v>
      </c>
      <c r="I21" s="54">
        <f t="shared" si="4"/>
        <v>561263.65081149992</v>
      </c>
    </row>
    <row r="22" spans="2:9" ht="15.5" x14ac:dyDescent="0.35">
      <c r="B22" s="7"/>
      <c r="C22" s="2"/>
      <c r="D22" s="8"/>
      <c r="E22" s="1"/>
      <c r="F22" s="1"/>
      <c r="G22" s="1"/>
      <c r="H22" s="1"/>
      <c r="I22" s="54"/>
    </row>
    <row r="23" spans="2:9" ht="15.5" x14ac:dyDescent="0.35">
      <c r="B23" s="7"/>
      <c r="C23" s="90" t="str">
        <f>C14</f>
        <v>% of capital structure</v>
      </c>
      <c r="D23" s="8"/>
      <c r="E23" s="1"/>
      <c r="F23" s="1"/>
      <c r="G23" s="1"/>
      <c r="H23" s="1"/>
      <c r="I23" s="54"/>
    </row>
    <row r="24" spans="2:9" ht="15.5" x14ac:dyDescent="0.35">
      <c r="B24" s="7" t="s">
        <v>26</v>
      </c>
      <c r="C24" s="25">
        <v>0.4</v>
      </c>
      <c r="D24" s="8" t="s">
        <v>25</v>
      </c>
      <c r="E24" s="1">
        <f>E13*$C$24</f>
        <v>6570060.8875000002</v>
      </c>
      <c r="F24" s="1">
        <f>F13*$C$24</f>
        <v>9442759.1166666653</v>
      </c>
      <c r="G24" s="1">
        <f t="shared" ref="G24:I24" si="5">G13*$C$24</f>
        <v>9167702.8166666664</v>
      </c>
      <c r="H24" s="1">
        <f t="shared" si="5"/>
        <v>8892646.5166666694</v>
      </c>
      <c r="I24" s="54">
        <f t="shared" si="5"/>
        <v>8617590.2166666668</v>
      </c>
    </row>
    <row r="25" spans="2:9" ht="15.5" x14ac:dyDescent="0.35">
      <c r="B25" s="7"/>
      <c r="C25" s="91" t="str">
        <f>C17</f>
        <v>Rate (%)</v>
      </c>
      <c r="D25" s="8"/>
      <c r="E25" s="1"/>
      <c r="F25" s="1"/>
      <c r="G25" s="1"/>
      <c r="H25" s="1"/>
      <c r="I25" s="54"/>
    </row>
    <row r="26" spans="2:9" ht="15.5" x14ac:dyDescent="0.35">
      <c r="B26" s="7" t="s">
        <v>24</v>
      </c>
      <c r="D26" s="8" t="s">
        <v>18</v>
      </c>
      <c r="E26" s="1">
        <f>E24*E5</f>
        <v>614957.69907000009</v>
      </c>
      <c r="F26" s="1">
        <f>F24*F5</f>
        <v>883842.2533199999</v>
      </c>
      <c r="G26" s="1">
        <f>G24*G5</f>
        <v>858096.98363999999</v>
      </c>
      <c r="H26" s="1">
        <f>H24*H5</f>
        <v>832351.71396000031</v>
      </c>
      <c r="I26" s="54">
        <f>I24*I5</f>
        <v>806606.44428000005</v>
      </c>
    </row>
    <row r="27" spans="2:9" ht="15.5" x14ac:dyDescent="0.35">
      <c r="B27" s="7"/>
      <c r="C27" s="2"/>
      <c r="E27" s="1"/>
      <c r="F27" s="1"/>
      <c r="G27" s="1"/>
      <c r="H27" s="1"/>
      <c r="I27" s="54"/>
    </row>
    <row r="28" spans="2:9" ht="16" thickBot="1" x14ac:dyDescent="0.4">
      <c r="B28" s="6" t="s">
        <v>5</v>
      </c>
      <c r="C28" s="5"/>
      <c r="D28" s="4"/>
      <c r="E28" s="20">
        <f t="shared" ref="E28:F28" si="6">E21+E26</f>
        <v>1042865.7646728752</v>
      </c>
      <c r="F28" s="20">
        <f t="shared" si="6"/>
        <v>1498849.1545885</v>
      </c>
      <c r="G28" s="20">
        <f t="shared" ref="G28:I28" si="7">G21+G26</f>
        <v>1455189.4680895</v>
      </c>
      <c r="H28" s="20">
        <f t="shared" si="7"/>
        <v>1411529.7815905004</v>
      </c>
      <c r="I28" s="55">
        <f t="shared" si="7"/>
        <v>1367870.0950914999</v>
      </c>
    </row>
    <row r="29" spans="2:9" ht="15.5" x14ac:dyDescent="0.35">
      <c r="B29" s="2"/>
      <c r="C29" s="2"/>
      <c r="E29" s="1"/>
      <c r="F29" s="1"/>
      <c r="G29" s="1"/>
      <c r="H29" s="1"/>
      <c r="I29" s="1"/>
    </row>
    <row r="30" spans="2:9" ht="16" thickBot="1" x14ac:dyDescent="0.4">
      <c r="C30" s="2"/>
      <c r="E30" s="1"/>
      <c r="F30" s="1"/>
      <c r="G30" s="1"/>
      <c r="H30" s="1"/>
      <c r="I30" s="1"/>
    </row>
    <row r="31" spans="2:9" ht="18.5" thickBot="1" x14ac:dyDescent="0.45">
      <c r="B31" s="15" t="s">
        <v>23</v>
      </c>
      <c r="C31" s="2"/>
      <c r="E31" s="14">
        <v>2024</v>
      </c>
      <c r="F31" s="14">
        <v>2024</v>
      </c>
      <c r="G31" s="14">
        <v>2025</v>
      </c>
      <c r="H31" s="14">
        <v>2026</v>
      </c>
      <c r="I31" s="14">
        <v>2027</v>
      </c>
    </row>
    <row r="32" spans="2:9" ht="16" thickBot="1" x14ac:dyDescent="0.4">
      <c r="B32" s="24" t="s">
        <v>22</v>
      </c>
      <c r="C32" s="23"/>
      <c r="D32" s="22" t="s">
        <v>21</v>
      </c>
      <c r="E32" s="21">
        <f t="shared" ref="E32:F32" si="8">E12</f>
        <v>470691.10416666669</v>
      </c>
      <c r="F32" s="21">
        <f t="shared" si="8"/>
        <v>687640.75</v>
      </c>
      <c r="G32" s="21">
        <f t="shared" ref="G32:I32" si="9">G12</f>
        <v>687640.75</v>
      </c>
      <c r="H32" s="21">
        <f t="shared" si="9"/>
        <v>687640.75</v>
      </c>
      <c r="I32" s="61">
        <f t="shared" si="9"/>
        <v>687640.75</v>
      </c>
    </row>
    <row r="33" spans="2:9" ht="15.5" x14ac:dyDescent="0.35">
      <c r="C33" s="2"/>
      <c r="E33" s="1"/>
      <c r="F33" s="1"/>
      <c r="G33" s="1"/>
      <c r="H33" s="1"/>
      <c r="I33" s="1"/>
    </row>
    <row r="34" spans="2:9" ht="16" thickBot="1" x14ac:dyDescent="0.4">
      <c r="C34" s="2"/>
      <c r="E34" s="1"/>
      <c r="F34" s="1"/>
      <c r="G34" s="1"/>
      <c r="H34" s="1"/>
      <c r="I34" s="1"/>
    </row>
    <row r="35" spans="2:9" ht="18.5" thickBot="1" x14ac:dyDescent="0.45">
      <c r="B35" s="15" t="s">
        <v>20</v>
      </c>
      <c r="C35" s="2"/>
      <c r="E35" s="1"/>
      <c r="F35" s="1"/>
      <c r="G35" s="1"/>
      <c r="H35" s="1"/>
      <c r="I35" s="1"/>
    </row>
    <row r="36" spans="2:9" ht="15.5" x14ac:dyDescent="0.35">
      <c r="B36" s="13" t="s">
        <v>19</v>
      </c>
      <c r="C36" s="12"/>
      <c r="D36" s="11" t="s">
        <v>18</v>
      </c>
      <c r="E36" s="10">
        <f t="shared" ref="E36:F36" si="10">E26</f>
        <v>614957.69907000009</v>
      </c>
      <c r="F36" s="10">
        <f t="shared" si="10"/>
        <v>883842.2533199999</v>
      </c>
      <c r="G36" s="10">
        <f t="shared" ref="G36:I36" si="11">G26</f>
        <v>858096.98363999999</v>
      </c>
      <c r="H36" s="10">
        <f t="shared" si="11"/>
        <v>832351.71396000031</v>
      </c>
      <c r="I36" s="53">
        <f t="shared" si="11"/>
        <v>806606.44428000005</v>
      </c>
    </row>
    <row r="37" spans="2:9" ht="15.5" x14ac:dyDescent="0.35">
      <c r="B37" s="7"/>
      <c r="C37" s="2"/>
      <c r="E37" s="1"/>
      <c r="F37" s="1"/>
      <c r="G37" s="1"/>
      <c r="H37" s="1"/>
      <c r="I37" s="54"/>
    </row>
    <row r="38" spans="2:9" ht="15.5" x14ac:dyDescent="0.35">
      <c r="B38" s="7" t="s">
        <v>98</v>
      </c>
      <c r="C38" s="2"/>
      <c r="D38" s="8" t="s">
        <v>2</v>
      </c>
      <c r="E38" s="1">
        <f t="shared" ref="E38:F38" si="12">E32</f>
        <v>470691.10416666669</v>
      </c>
      <c r="F38" s="1">
        <f t="shared" si="12"/>
        <v>687640.75</v>
      </c>
      <c r="G38" s="1">
        <f t="shared" ref="G38:I38" si="13">G32</f>
        <v>687640.75</v>
      </c>
      <c r="H38" s="1">
        <f t="shared" si="13"/>
        <v>687640.75</v>
      </c>
      <c r="I38" s="54">
        <f t="shared" si="13"/>
        <v>687640.75</v>
      </c>
    </row>
    <row r="39" spans="2:9" ht="15.5" x14ac:dyDescent="0.35">
      <c r="B39" s="7"/>
      <c r="C39" s="2"/>
      <c r="E39" s="1"/>
      <c r="F39" s="1"/>
      <c r="G39" s="1"/>
      <c r="H39" s="1"/>
      <c r="I39" s="54"/>
    </row>
    <row r="40" spans="2:9" ht="15.5" x14ac:dyDescent="0.35">
      <c r="B40" s="7" t="s">
        <v>99</v>
      </c>
      <c r="C40" s="2"/>
      <c r="D40" s="8"/>
      <c r="E40" s="9">
        <f>'CCA Calc'!F40</f>
        <v>1688895.3796083324</v>
      </c>
      <c r="F40" s="9">
        <f>E40</f>
        <v>1688895.3796083324</v>
      </c>
      <c r="G40" s="9">
        <f t="shared" ref="G40:I40" si="14">F40</f>
        <v>1688895.3796083324</v>
      </c>
      <c r="H40" s="9">
        <f t="shared" si="14"/>
        <v>1688895.3796083324</v>
      </c>
      <c r="I40" s="116">
        <f t="shared" si="14"/>
        <v>1688895.3796083324</v>
      </c>
    </row>
    <row r="41" spans="2:9" ht="15.5" x14ac:dyDescent="0.35">
      <c r="B41" s="7"/>
      <c r="C41" s="2"/>
      <c r="D41" s="8"/>
      <c r="E41" s="1"/>
      <c r="F41" s="1"/>
      <c r="G41" s="1"/>
      <c r="H41" s="1"/>
      <c r="I41" s="54"/>
    </row>
    <row r="42" spans="2:9" ht="15.5" x14ac:dyDescent="0.35">
      <c r="B42" s="7" t="s">
        <v>17</v>
      </c>
      <c r="C42" s="2"/>
      <c r="D42" s="8"/>
      <c r="E42" s="36">
        <f t="shared" ref="E42:F42" si="15">E36+E38-E40</f>
        <v>-603246.57637166558</v>
      </c>
      <c r="F42" s="36">
        <f t="shared" si="15"/>
        <v>-117412.37628833251</v>
      </c>
      <c r="G42" s="36">
        <f t="shared" ref="G42:I42" si="16">G36+G38-G40</f>
        <v>-143157.64596833242</v>
      </c>
      <c r="H42" s="36">
        <f t="shared" si="16"/>
        <v>-168902.9156483321</v>
      </c>
      <c r="I42" s="62">
        <f t="shared" si="16"/>
        <v>-194648.18532833247</v>
      </c>
    </row>
    <row r="43" spans="2:9" ht="15.5" x14ac:dyDescent="0.35">
      <c r="B43" s="7"/>
      <c r="C43" s="2"/>
      <c r="D43" s="8"/>
      <c r="E43" s="36"/>
      <c r="F43" s="36"/>
      <c r="G43" s="36"/>
      <c r="H43" s="36"/>
      <c r="I43" s="62"/>
    </row>
    <row r="44" spans="2:9" ht="15.5" x14ac:dyDescent="0.35">
      <c r="B44" s="7" t="s">
        <v>16</v>
      </c>
      <c r="C44" s="17">
        <v>0.26500000000000001</v>
      </c>
      <c r="D44" s="8" t="s">
        <v>15</v>
      </c>
      <c r="E44" s="133">
        <v>0.26500000000000001</v>
      </c>
      <c r="F44" s="133">
        <v>0.26500000000000001</v>
      </c>
      <c r="G44" s="133">
        <v>0.26500000000000001</v>
      </c>
      <c r="H44" s="133">
        <v>0.26500000000000001</v>
      </c>
      <c r="I44" s="133">
        <v>0.26500000000000001</v>
      </c>
    </row>
    <row r="45" spans="2:9" ht="15.5" x14ac:dyDescent="0.35">
      <c r="B45" s="7"/>
      <c r="C45" s="2"/>
      <c r="E45" s="36"/>
      <c r="F45" s="36"/>
      <c r="G45" s="36"/>
      <c r="H45" s="36"/>
      <c r="I45" s="62"/>
    </row>
    <row r="46" spans="2:9" ht="15.5" x14ac:dyDescent="0.35">
      <c r="B46" s="7" t="s">
        <v>14</v>
      </c>
      <c r="C46" s="2"/>
      <c r="E46" s="36">
        <f>E42*$C$44</f>
        <v>-159860.3427384914</v>
      </c>
      <c r="F46" s="36">
        <f>F42*$C$44</f>
        <v>-31114.279716408117</v>
      </c>
      <c r="G46" s="36">
        <f t="shared" ref="G46:I46" si="17">G42*$C$44</f>
        <v>-37936.776181608097</v>
      </c>
      <c r="H46" s="36">
        <f t="shared" si="17"/>
        <v>-44759.272646808007</v>
      </c>
      <c r="I46" s="62">
        <f t="shared" si="17"/>
        <v>-51581.769112008107</v>
      </c>
    </row>
    <row r="47" spans="2:9" ht="15.5" x14ac:dyDescent="0.35">
      <c r="B47" s="7"/>
      <c r="C47" s="2"/>
      <c r="E47" s="36"/>
      <c r="F47" s="36"/>
      <c r="G47" s="36"/>
      <c r="H47" s="36"/>
      <c r="I47" s="62"/>
    </row>
    <row r="48" spans="2:9" ht="16" thickBot="1" x14ac:dyDescent="0.4">
      <c r="B48" s="6" t="s">
        <v>13</v>
      </c>
      <c r="C48" s="5"/>
      <c r="D48" s="4"/>
      <c r="E48" s="37">
        <f>E46/(1-$C$44)</f>
        <v>-217497.06495032844</v>
      </c>
      <c r="F48" s="37">
        <f>F46/(1-$C$44)</f>
        <v>-42332.353355657302</v>
      </c>
      <c r="G48" s="37">
        <f t="shared" ref="G48:I48" si="18">G46/(1-$C$44)</f>
        <v>-51614.661471575644</v>
      </c>
      <c r="H48" s="37">
        <f t="shared" si="18"/>
        <v>-60896.969587493892</v>
      </c>
      <c r="I48" s="63">
        <f t="shared" si="18"/>
        <v>-70179.277703412386</v>
      </c>
    </row>
    <row r="49" spans="2:9" ht="15.5" x14ac:dyDescent="0.35">
      <c r="B49" s="2"/>
      <c r="C49" s="2"/>
      <c r="E49" s="1"/>
      <c r="F49" s="1"/>
      <c r="G49" s="1"/>
      <c r="H49" s="1"/>
      <c r="I49" s="1"/>
    </row>
    <row r="50" spans="2:9" ht="15.5" x14ac:dyDescent="0.35">
      <c r="C50" s="2"/>
      <c r="E50" s="1"/>
      <c r="F50" s="1"/>
      <c r="G50" s="1"/>
      <c r="H50" s="1"/>
      <c r="I50" s="1"/>
    </row>
    <row r="51" spans="2:9" ht="18" hidden="1" x14ac:dyDescent="0.4">
      <c r="B51" s="19" t="s">
        <v>12</v>
      </c>
      <c r="C51" s="2"/>
      <c r="E51" s="1"/>
      <c r="F51" s="1"/>
      <c r="G51" s="1"/>
      <c r="H51" s="1"/>
      <c r="I51" s="1"/>
    </row>
    <row r="52" spans="2:9" ht="15.5" hidden="1" x14ac:dyDescent="0.35">
      <c r="B52" s="2" t="s">
        <v>11</v>
      </c>
      <c r="C52" s="2"/>
      <c r="E52" s="1"/>
      <c r="F52" s="1"/>
      <c r="G52" s="1"/>
      <c r="H52" s="1"/>
      <c r="I52" s="1"/>
    </row>
    <row r="53" spans="2:9" ht="15.5" hidden="1" x14ac:dyDescent="0.35">
      <c r="B53" s="2"/>
      <c r="C53" s="2"/>
      <c r="E53" s="1"/>
      <c r="F53" s="1"/>
      <c r="G53" s="1"/>
      <c r="H53" s="1"/>
      <c r="I53" s="1"/>
    </row>
    <row r="54" spans="2:9" ht="15.5" hidden="1" x14ac:dyDescent="0.35">
      <c r="B54" s="2" t="s">
        <v>10</v>
      </c>
      <c r="C54" s="2"/>
      <c r="E54" s="18"/>
      <c r="F54" s="18"/>
      <c r="G54" s="18"/>
      <c r="H54" s="18"/>
      <c r="I54" s="18"/>
    </row>
    <row r="55" spans="2:9" ht="15.5" hidden="1" x14ac:dyDescent="0.35">
      <c r="B55" s="2"/>
      <c r="C55" s="2"/>
      <c r="E55" s="1"/>
      <c r="F55" s="1"/>
      <c r="G55" s="1"/>
      <c r="H55" s="1"/>
      <c r="I55" s="1"/>
    </row>
    <row r="56" spans="2:9" ht="15.5" hidden="1" x14ac:dyDescent="0.35">
      <c r="B56" s="2" t="s">
        <v>9</v>
      </c>
      <c r="C56" s="2"/>
      <c r="E56" s="1"/>
      <c r="F56" s="1"/>
      <c r="G56" s="1"/>
      <c r="H56" s="1"/>
      <c r="I56" s="1"/>
    </row>
    <row r="57" spans="2:9" ht="15.5" hidden="1" x14ac:dyDescent="0.35">
      <c r="B57" s="2"/>
      <c r="C57" s="2"/>
      <c r="E57" s="1"/>
      <c r="F57" s="1"/>
      <c r="G57" s="1"/>
      <c r="H57" s="1"/>
      <c r="I57" s="1"/>
    </row>
    <row r="58" spans="2:9" ht="15.5" hidden="1" x14ac:dyDescent="0.35">
      <c r="B58" s="2" t="s">
        <v>8</v>
      </c>
      <c r="C58" s="17"/>
      <c r="D58" s="8" t="s">
        <v>7</v>
      </c>
      <c r="E58" s="1"/>
      <c r="F58" s="1"/>
      <c r="G58" s="1"/>
      <c r="H58" s="1"/>
      <c r="I58" s="1"/>
    </row>
    <row r="59" spans="2:9" ht="15.5" hidden="1" x14ac:dyDescent="0.35">
      <c r="B59" s="16"/>
      <c r="C59" s="2"/>
      <c r="E59" s="1"/>
      <c r="F59" s="1"/>
      <c r="G59" s="1"/>
      <c r="H59" s="1"/>
      <c r="I59" s="1"/>
    </row>
    <row r="60" spans="2:9" ht="15.5" hidden="1" x14ac:dyDescent="0.35">
      <c r="B60" s="2" t="s">
        <v>6</v>
      </c>
      <c r="C60" s="2"/>
      <c r="E60" s="1"/>
      <c r="F60" s="1"/>
      <c r="G60" s="1"/>
      <c r="H60" s="1"/>
      <c r="I60" s="1"/>
    </row>
    <row r="61" spans="2:9" ht="15.5" hidden="1" x14ac:dyDescent="0.35">
      <c r="B61" s="2"/>
      <c r="C61" s="2"/>
      <c r="E61" s="1"/>
      <c r="F61" s="1"/>
      <c r="G61" s="1"/>
      <c r="H61" s="1"/>
      <c r="I61" s="1"/>
    </row>
    <row r="62" spans="2:9" ht="16" thickBot="1" x14ac:dyDescent="0.4">
      <c r="C62" s="2"/>
      <c r="E62" s="1"/>
      <c r="F62" s="1"/>
      <c r="G62" s="1"/>
      <c r="H62" s="1"/>
      <c r="I62" s="1"/>
    </row>
    <row r="63" spans="2:9" ht="18.5" thickBot="1" x14ac:dyDescent="0.45">
      <c r="B63" s="15" t="s">
        <v>0</v>
      </c>
      <c r="C63" s="2"/>
      <c r="E63" s="14">
        <v>2023</v>
      </c>
      <c r="F63" s="14">
        <v>2024</v>
      </c>
      <c r="G63" s="14">
        <v>2025</v>
      </c>
      <c r="H63" s="14">
        <v>2026</v>
      </c>
      <c r="I63" s="14">
        <v>2027</v>
      </c>
    </row>
    <row r="64" spans="2:9" ht="15.5" x14ac:dyDescent="0.35">
      <c r="B64" s="13" t="s">
        <v>5</v>
      </c>
      <c r="C64" s="12"/>
      <c r="D64" s="11" t="s">
        <v>4</v>
      </c>
      <c r="E64" s="10">
        <f t="shared" ref="E64:F64" si="19">E28</f>
        <v>1042865.7646728752</v>
      </c>
      <c r="F64" s="10">
        <f t="shared" si="19"/>
        <v>1498849.1545885</v>
      </c>
      <c r="G64" s="10">
        <f t="shared" ref="G64:I64" si="20">G28</f>
        <v>1455189.4680895</v>
      </c>
      <c r="H64" s="10">
        <f t="shared" si="20"/>
        <v>1411529.7815905004</v>
      </c>
      <c r="I64" s="53">
        <f t="shared" si="20"/>
        <v>1367870.0950914999</v>
      </c>
    </row>
    <row r="65" spans="2:10" ht="15.5" x14ac:dyDescent="0.35">
      <c r="B65" s="7" t="s">
        <v>3</v>
      </c>
      <c r="C65" s="2"/>
      <c r="D65" s="8" t="s">
        <v>2</v>
      </c>
      <c r="E65" s="1">
        <f t="shared" ref="E65:F65" si="21">E32</f>
        <v>470691.10416666669</v>
      </c>
      <c r="F65" s="1">
        <f t="shared" si="21"/>
        <v>687640.75</v>
      </c>
      <c r="G65" s="1">
        <f t="shared" ref="G65:I65" si="22">G32</f>
        <v>687640.75</v>
      </c>
      <c r="H65" s="1">
        <f t="shared" si="22"/>
        <v>687640.75</v>
      </c>
      <c r="I65" s="54">
        <f t="shared" si="22"/>
        <v>687640.75</v>
      </c>
    </row>
    <row r="66" spans="2:10" ht="15.5" x14ac:dyDescent="0.35">
      <c r="B66" s="7" t="str">
        <f>B48</f>
        <v>Grossed-Up Taxes/PILs</v>
      </c>
      <c r="C66" s="2"/>
      <c r="D66" s="8" t="s">
        <v>1</v>
      </c>
      <c r="E66" s="38">
        <f t="shared" ref="E66:F66" si="23">E48</f>
        <v>-217497.06495032844</v>
      </c>
      <c r="F66" s="38">
        <f t="shared" si="23"/>
        <v>-42332.353355657302</v>
      </c>
      <c r="G66" s="38">
        <f t="shared" ref="G66:I66" si="24">G48</f>
        <v>-51614.661471575644</v>
      </c>
      <c r="H66" s="38">
        <f t="shared" si="24"/>
        <v>-60896.969587493892</v>
      </c>
      <c r="I66" s="64">
        <f t="shared" si="24"/>
        <v>-70179.277703412386</v>
      </c>
    </row>
    <row r="67" spans="2:10" ht="15.5" x14ac:dyDescent="0.35">
      <c r="B67" s="7"/>
      <c r="C67" s="2"/>
      <c r="D67" s="8"/>
      <c r="E67" s="1"/>
      <c r="F67" s="1"/>
      <c r="G67" s="1"/>
      <c r="H67" s="1"/>
      <c r="I67" s="54"/>
    </row>
    <row r="68" spans="2:10" ht="15.5" x14ac:dyDescent="0.35">
      <c r="B68" s="7"/>
      <c r="C68" s="2"/>
      <c r="E68" s="1"/>
      <c r="F68" s="1"/>
      <c r="G68" s="1"/>
      <c r="H68" s="1"/>
      <c r="I68" s="54"/>
    </row>
    <row r="69" spans="2:10" ht="16" thickBot="1" x14ac:dyDescent="0.4">
      <c r="B69" s="6" t="s">
        <v>0</v>
      </c>
      <c r="C69" s="5"/>
      <c r="D69" s="4"/>
      <c r="E69" s="3">
        <f>SUM(E64:E66)</f>
        <v>1296059.8038892136</v>
      </c>
      <c r="F69" s="3">
        <f>SUM(F64:F66)</f>
        <v>2144157.5512328427</v>
      </c>
      <c r="G69" s="3">
        <f t="shared" ref="G69:I69" si="25">SUM(G64:G66)</f>
        <v>2091215.5566179242</v>
      </c>
      <c r="H69" s="3">
        <f t="shared" si="25"/>
        <v>2038273.5620030065</v>
      </c>
      <c r="I69" s="65">
        <f t="shared" si="25"/>
        <v>1985331.5673880875</v>
      </c>
    </row>
    <row r="70" spans="2:10" x14ac:dyDescent="0.35">
      <c r="B70" s="2"/>
      <c r="C70" s="2"/>
      <c r="E70" s="66"/>
      <c r="F70" s="66"/>
      <c r="G70" s="66"/>
      <c r="H70" s="66"/>
      <c r="I70" s="66"/>
    </row>
    <row r="71" spans="2:10" x14ac:dyDescent="0.35">
      <c r="E71" s="52"/>
      <c r="F71" s="115"/>
      <c r="G71" s="115"/>
      <c r="H71" s="115"/>
      <c r="I71" s="115"/>
    </row>
    <row r="72" spans="2:10" x14ac:dyDescent="0.35">
      <c r="D72" s="110"/>
      <c r="E72" s="67"/>
      <c r="F72" s="67"/>
      <c r="G72" s="67"/>
      <c r="H72" s="67"/>
      <c r="I72" s="67"/>
    </row>
    <row r="73" spans="2:10" x14ac:dyDescent="0.35">
      <c r="E73" s="35"/>
      <c r="F73" s="35"/>
      <c r="G73" s="35"/>
      <c r="H73" s="35"/>
      <c r="I73" s="35"/>
    </row>
    <row r="74" spans="2:10" x14ac:dyDescent="0.35">
      <c r="E74" s="121"/>
      <c r="F74" s="121"/>
      <c r="G74" s="121"/>
      <c r="H74" s="121"/>
      <c r="I74" s="121"/>
      <c r="J74" s="121"/>
    </row>
    <row r="75" spans="2:10" x14ac:dyDescent="0.35">
      <c r="E75" s="67"/>
      <c r="F75" s="67"/>
      <c r="G75" s="67"/>
      <c r="H75" s="67"/>
      <c r="I75" s="67"/>
    </row>
    <row r="76" spans="2:10" x14ac:dyDescent="0.35">
      <c r="E76" s="67"/>
      <c r="F76" s="67"/>
      <c r="G76" s="67"/>
      <c r="H76" s="67"/>
      <c r="I76" s="67"/>
    </row>
    <row r="77" spans="2:10" x14ac:dyDescent="0.35">
      <c r="E77" s="67"/>
      <c r="F77" s="67"/>
      <c r="G77" s="67"/>
      <c r="H77" s="67"/>
      <c r="I77" s="67"/>
    </row>
    <row r="78" spans="2:10" x14ac:dyDescent="0.35">
      <c r="D78" s="112"/>
      <c r="E78" s="67"/>
      <c r="F78" s="67"/>
      <c r="G78" s="67"/>
      <c r="H78" s="67"/>
      <c r="I78" s="67"/>
    </row>
    <row r="80" spans="2:10" x14ac:dyDescent="0.35">
      <c r="E80" s="35"/>
      <c r="F80" s="35"/>
      <c r="G80" s="35"/>
      <c r="H80" s="35"/>
      <c r="I80" s="35"/>
    </row>
    <row r="81" spans="5:5" x14ac:dyDescent="0.35">
      <c r="E81" s="99"/>
    </row>
  </sheetData>
  <mergeCells count="1">
    <mergeCell ref="B9:D9"/>
  </mergeCells>
  <phoneticPr fontId="17" type="noConversion"/>
  <pageMargins left="0.7" right="0.7" top="0.75" bottom="0.75" header="0.3" footer="0.3"/>
  <pageSetup scale="42" orientation="landscape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2556-EF2B-480D-B8E4-31AC65C5F00E}">
  <dimension ref="A1:P55"/>
  <sheetViews>
    <sheetView topLeftCell="A30" workbookViewId="0">
      <selection activeCell="C48" sqref="C48"/>
    </sheetView>
  </sheetViews>
  <sheetFormatPr defaultRowHeight="14.5" x14ac:dyDescent="0.35"/>
  <cols>
    <col min="1" max="1" width="33.1796875" bestFit="1" customWidth="1"/>
    <col min="2" max="2" width="16.7265625" customWidth="1"/>
    <col min="3" max="7" width="14.26953125" customWidth="1"/>
    <col min="8" max="8" width="7.54296875" customWidth="1"/>
    <col min="9" max="9" width="14.26953125" bestFit="1" customWidth="1"/>
    <col min="10" max="10" width="12.81640625" customWidth="1"/>
    <col min="12" max="12" width="2.1796875" customWidth="1"/>
    <col min="13" max="13" width="11.54296875" customWidth="1"/>
    <col min="14" max="14" width="10.7265625" customWidth="1"/>
  </cols>
  <sheetData>
    <row r="1" spans="1:16" ht="21.5" thickBot="1" x14ac:dyDescent="0.55000000000000004">
      <c r="A1" s="141" t="s">
        <v>100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3"/>
    </row>
    <row r="2" spans="1:16" x14ac:dyDescent="0.35">
      <c r="I2" s="144" t="s">
        <v>73</v>
      </c>
      <c r="J2" s="145"/>
      <c r="K2" s="146"/>
      <c r="M2" s="147" t="s">
        <v>86</v>
      </c>
      <c r="N2" s="147"/>
    </row>
    <row r="3" spans="1:16" ht="39.5" x14ac:dyDescent="0.35">
      <c r="A3" s="96" t="s">
        <v>64</v>
      </c>
      <c r="B3" s="96" t="s">
        <v>71</v>
      </c>
      <c r="C3" s="100" t="s">
        <v>72</v>
      </c>
      <c r="D3" s="100" t="s">
        <v>79</v>
      </c>
      <c r="E3" s="100" t="s">
        <v>80</v>
      </c>
      <c r="F3" s="100" t="s">
        <v>81</v>
      </c>
      <c r="G3" s="100" t="s">
        <v>82</v>
      </c>
      <c r="H3" s="100"/>
      <c r="I3" s="101" t="s">
        <v>74</v>
      </c>
      <c r="J3" s="96" t="s">
        <v>75</v>
      </c>
      <c r="K3" s="96" t="s">
        <v>76</v>
      </c>
      <c r="M3" s="96" t="s">
        <v>83</v>
      </c>
      <c r="N3" s="96" t="s">
        <v>84</v>
      </c>
    </row>
    <row r="4" spans="1:16" x14ac:dyDescent="0.35">
      <c r="A4" s="97" t="s">
        <v>65</v>
      </c>
      <c r="B4" s="103">
        <v>0.60166397288115503</v>
      </c>
      <c r="C4" s="105">
        <f>B4*$C$10</f>
        <v>779792.49069955491</v>
      </c>
      <c r="D4" s="104">
        <v>5.7154423290128875E-5</v>
      </c>
      <c r="E4" s="104">
        <v>1</v>
      </c>
      <c r="F4" s="105">
        <f>D4*C4</f>
        <v>44.568590091906245</v>
      </c>
      <c r="G4" s="105">
        <f>E4*C4</f>
        <v>779792.49069955491</v>
      </c>
      <c r="H4" s="99"/>
      <c r="I4" s="70">
        <v>30340</v>
      </c>
      <c r="J4" s="80">
        <v>282922375</v>
      </c>
      <c r="K4" s="70"/>
      <c r="M4" s="102">
        <f>ROUND(G4/I4/12,2)</f>
        <v>2.14</v>
      </c>
      <c r="N4" s="70">
        <v>0</v>
      </c>
      <c r="P4" s="110"/>
    </row>
    <row r="5" spans="1:16" x14ac:dyDescent="0.35">
      <c r="A5" s="97" t="s">
        <v>66</v>
      </c>
      <c r="B5" s="103">
        <v>0.15811550177192174</v>
      </c>
      <c r="C5" s="105">
        <f t="shared" ref="C5:C9" si="0">B5*$C$10</f>
        <v>204927.14621836151</v>
      </c>
      <c r="D5" s="104">
        <v>0.75184403964386815</v>
      </c>
      <c r="E5" s="104">
        <v>0.24815596035613188</v>
      </c>
      <c r="F5" s="105">
        <f t="shared" ref="F5:F9" si="1">D5*C5</f>
        <v>154073.25344550255</v>
      </c>
      <c r="G5" s="105">
        <f t="shared" ref="G5:G9" si="2">E5*C5</f>
        <v>50853.892772858962</v>
      </c>
      <c r="H5" s="99"/>
      <c r="I5" s="70">
        <v>3400</v>
      </c>
      <c r="J5" s="80">
        <v>86539469</v>
      </c>
      <c r="K5" s="70" t="s">
        <v>77</v>
      </c>
      <c r="M5" s="102">
        <f t="shared" ref="M5:M9" si="3">ROUND(G5/I5/12,2)</f>
        <v>1.25</v>
      </c>
      <c r="N5" s="70">
        <f>ROUND(F5/J5,4)</f>
        <v>1.8E-3</v>
      </c>
    </row>
    <row r="6" spans="1:16" x14ac:dyDescent="0.35">
      <c r="A6" s="97" t="s">
        <v>67</v>
      </c>
      <c r="B6" s="103">
        <v>0.2261946434264489</v>
      </c>
      <c r="C6" s="105">
        <f t="shared" si="0"/>
        <v>293161.78520007397</v>
      </c>
      <c r="D6" s="104">
        <v>0.90306969560507966</v>
      </c>
      <c r="E6" s="104">
        <v>9.6930304394920327E-2</v>
      </c>
      <c r="F6" s="105">
        <f t="shared" si="1"/>
        <v>264745.52412367257</v>
      </c>
      <c r="G6" s="105">
        <f t="shared" si="2"/>
        <v>28416.261076401417</v>
      </c>
      <c r="H6" s="99"/>
      <c r="I6" s="70">
        <v>344</v>
      </c>
      <c r="J6" s="80">
        <v>575372</v>
      </c>
      <c r="K6" s="70" t="s">
        <v>78</v>
      </c>
      <c r="M6" s="102">
        <f t="shared" si="3"/>
        <v>6.88</v>
      </c>
      <c r="N6" s="70">
        <f>ROUND(F6/J6,4)</f>
        <v>0.46010000000000001</v>
      </c>
    </row>
    <row r="7" spans="1:16" x14ac:dyDescent="0.35">
      <c r="A7" s="97" t="s">
        <v>68</v>
      </c>
      <c r="B7" s="103">
        <v>1.0344225392520407E-2</v>
      </c>
      <c r="C7" s="105">
        <f t="shared" si="0"/>
        <v>13406.734733615822</v>
      </c>
      <c r="D7" s="104">
        <v>0.32803123224656472</v>
      </c>
      <c r="E7" s="104">
        <v>0.67196876775343528</v>
      </c>
      <c r="F7" s="105">
        <f t="shared" si="1"/>
        <v>4397.8277150708172</v>
      </c>
      <c r="G7" s="105">
        <f t="shared" si="2"/>
        <v>9008.9070185450037</v>
      </c>
      <c r="H7" s="99"/>
      <c r="I7" s="70">
        <v>8037</v>
      </c>
      <c r="J7" s="80">
        <v>7200.0649104265394</v>
      </c>
      <c r="K7" s="70" t="s">
        <v>78</v>
      </c>
      <c r="M7" s="102">
        <f t="shared" si="3"/>
        <v>0.09</v>
      </c>
      <c r="N7" s="70">
        <f>ROUND(F7/J7,4)</f>
        <v>0.61080000000000001</v>
      </c>
    </row>
    <row r="8" spans="1:16" x14ac:dyDescent="0.35">
      <c r="A8" s="98" t="s">
        <v>69</v>
      </c>
      <c r="B8" s="103">
        <v>1.7036362348982724E-3</v>
      </c>
      <c r="C8" s="105">
        <f t="shared" si="0"/>
        <v>2208.0144445008132</v>
      </c>
      <c r="D8" s="104">
        <v>0.58158856051732877</v>
      </c>
      <c r="E8" s="104">
        <v>0.41841143948267123</v>
      </c>
      <c r="F8" s="105">
        <f t="shared" si="1"/>
        <v>1284.1559423786973</v>
      </c>
      <c r="G8" s="105">
        <f t="shared" si="2"/>
        <v>923.85850212211596</v>
      </c>
      <c r="H8" s="99"/>
      <c r="I8" s="70">
        <v>317</v>
      </c>
      <c r="J8" s="80">
        <v>566.24754295926414</v>
      </c>
      <c r="K8" s="70" t="s">
        <v>78</v>
      </c>
      <c r="M8" s="102">
        <f t="shared" si="3"/>
        <v>0.24</v>
      </c>
      <c r="N8" s="70">
        <f>ROUND(F8/J8,4)</f>
        <v>2.2677999999999998</v>
      </c>
    </row>
    <row r="9" spans="1:16" x14ac:dyDescent="0.35">
      <c r="A9" s="97" t="s">
        <v>70</v>
      </c>
      <c r="B9" s="103">
        <v>1.9780202930556831E-3</v>
      </c>
      <c r="C9" s="105">
        <f t="shared" si="0"/>
        <v>2563.6325931066335</v>
      </c>
      <c r="D9" s="104">
        <v>0.91066866289967341</v>
      </c>
      <c r="E9" s="104">
        <v>8.9331337100326633E-2</v>
      </c>
      <c r="F9" s="105">
        <f t="shared" si="1"/>
        <v>2334.6198657304403</v>
      </c>
      <c r="G9" s="105">
        <f t="shared" si="2"/>
        <v>229.01272737619317</v>
      </c>
      <c r="H9" s="99"/>
      <c r="I9" s="70">
        <v>25</v>
      </c>
      <c r="J9" s="80">
        <v>878528.2585897129</v>
      </c>
      <c r="K9" s="70" t="s">
        <v>77</v>
      </c>
      <c r="M9" s="102">
        <f t="shared" si="3"/>
        <v>0.76</v>
      </c>
      <c r="N9" s="70">
        <f>ROUND(F9/J9,4)</f>
        <v>2.7000000000000001E-3</v>
      </c>
    </row>
    <row r="10" spans="1:16" x14ac:dyDescent="0.35">
      <c r="A10" s="97" t="s">
        <v>62</v>
      </c>
      <c r="B10" s="103">
        <v>0.99999999999999989</v>
      </c>
      <c r="C10" s="105">
        <f>'2023 Rev Req Calc'!E69</f>
        <v>1296059.8038892136</v>
      </c>
      <c r="D10" s="104"/>
      <c r="E10" s="104"/>
      <c r="F10" s="105">
        <f>SUM(F4:F9)</f>
        <v>426879.94968244695</v>
      </c>
      <c r="G10" s="105">
        <f>SUM(G4:G9)</f>
        <v>869224.42279685859</v>
      </c>
      <c r="H10" s="99"/>
      <c r="I10" s="70"/>
      <c r="J10" s="70"/>
      <c r="K10" s="70"/>
    </row>
    <row r="11" spans="1:16" ht="15" thickBot="1" x14ac:dyDescent="0.4"/>
    <row r="12" spans="1:16" ht="21.5" thickBot="1" x14ac:dyDescent="0.55000000000000004">
      <c r="A12" s="141" t="s">
        <v>101</v>
      </c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3"/>
    </row>
    <row r="13" spans="1:16" x14ac:dyDescent="0.35">
      <c r="I13" s="148" t="s">
        <v>73</v>
      </c>
      <c r="J13" s="149"/>
      <c r="K13" s="150"/>
      <c r="M13" s="140" t="s">
        <v>86</v>
      </c>
      <c r="N13" s="140"/>
    </row>
    <row r="14" spans="1:16" ht="39.5" x14ac:dyDescent="0.35">
      <c r="A14" s="96" t="s">
        <v>64</v>
      </c>
      <c r="B14" s="96" t="s">
        <v>71</v>
      </c>
      <c r="C14" s="100" t="s">
        <v>72</v>
      </c>
      <c r="D14" s="100" t="s">
        <v>79</v>
      </c>
      <c r="E14" s="100" t="s">
        <v>80</v>
      </c>
      <c r="F14" s="100" t="s">
        <v>81</v>
      </c>
      <c r="G14" s="100" t="s">
        <v>82</v>
      </c>
      <c r="H14" s="100"/>
      <c r="I14" s="101" t="s">
        <v>74</v>
      </c>
      <c r="J14" s="96" t="s">
        <v>75</v>
      </c>
      <c r="K14" s="96" t="s">
        <v>76</v>
      </c>
      <c r="M14" s="96" t="s">
        <v>83</v>
      </c>
      <c r="N14" s="96" t="s">
        <v>84</v>
      </c>
    </row>
    <row r="15" spans="1:16" x14ac:dyDescent="0.35">
      <c r="A15" s="97" t="s">
        <v>65</v>
      </c>
      <c r="B15" s="103">
        <f>B4</f>
        <v>0.60166397288115503</v>
      </c>
      <c r="C15" s="105">
        <f>B15*$C$21</f>
        <v>1290062.3507578808</v>
      </c>
      <c r="D15" s="104">
        <f>D4</f>
        <v>5.7154423290128875E-5</v>
      </c>
      <c r="E15" s="104">
        <f>E4</f>
        <v>1</v>
      </c>
      <c r="F15" s="105">
        <f>D15*C15</f>
        <v>73.732769665874628</v>
      </c>
      <c r="G15" s="105">
        <f>E15*C15</f>
        <v>1290062.3507578808</v>
      </c>
      <c r="H15" s="99"/>
      <c r="I15" s="70">
        <v>30340</v>
      </c>
      <c r="J15" s="80">
        <v>282922375</v>
      </c>
      <c r="K15" s="70"/>
      <c r="M15" s="102">
        <f>ROUND(G15/I15/12,2)</f>
        <v>3.54</v>
      </c>
      <c r="N15" s="70">
        <v>0</v>
      </c>
      <c r="P15" s="110"/>
    </row>
    <row r="16" spans="1:16" x14ac:dyDescent="0.35">
      <c r="A16" s="97" t="s">
        <v>66</v>
      </c>
      <c r="B16" s="103">
        <f t="shared" ref="B16:B20" si="4">B5</f>
        <v>0.15811550177192174</v>
      </c>
      <c r="C16" s="105">
        <f t="shared" ref="C16:C20" si="5">B16*$C$21</f>
        <v>339024.54709123593</v>
      </c>
      <c r="D16" s="104">
        <f t="shared" ref="D16:E20" si="6">D5</f>
        <v>0.75184403964386815</v>
      </c>
      <c r="E16" s="104">
        <f t="shared" si="6"/>
        <v>0.24815596035613188</v>
      </c>
      <c r="F16" s="105">
        <f t="shared" ref="F16:F20" si="7">D16*C16</f>
        <v>254893.58502350762</v>
      </c>
      <c r="G16" s="105">
        <f t="shared" ref="G16:G20" si="8">E16*C16</f>
        <v>84130.962067728309</v>
      </c>
      <c r="H16" s="99"/>
      <c r="I16" s="70">
        <v>3400</v>
      </c>
      <c r="J16" s="80">
        <v>86539469</v>
      </c>
      <c r="K16" s="70" t="s">
        <v>77</v>
      </c>
      <c r="M16" s="102">
        <f t="shared" ref="M16:M20" si="9">ROUND(G16/I16/12,2)</f>
        <v>2.06</v>
      </c>
      <c r="N16" s="70">
        <f>ROUND(F16/J16,4)</f>
        <v>2.8999999999999998E-3</v>
      </c>
    </row>
    <row r="17" spans="1:14" x14ac:dyDescent="0.35">
      <c r="A17" s="97" t="s">
        <v>67</v>
      </c>
      <c r="B17" s="103">
        <f t="shared" si="4"/>
        <v>0.2261946434264489</v>
      </c>
      <c r="C17" s="105">
        <f t="shared" si="5"/>
        <v>484996.95275124069</v>
      </c>
      <c r="D17" s="104">
        <f t="shared" si="6"/>
        <v>0.90306969560507966</v>
      </c>
      <c r="E17" s="104">
        <f t="shared" si="6"/>
        <v>9.6930304394920327E-2</v>
      </c>
      <c r="F17" s="105">
        <f t="shared" si="7"/>
        <v>437986.05049045413</v>
      </c>
      <c r="G17" s="105">
        <f t="shared" si="8"/>
        <v>47010.902260786555</v>
      </c>
      <c r="H17" s="99"/>
      <c r="I17" s="70">
        <v>344</v>
      </c>
      <c r="J17" s="80">
        <v>575372</v>
      </c>
      <c r="K17" s="70" t="s">
        <v>78</v>
      </c>
      <c r="M17" s="102">
        <f t="shared" si="9"/>
        <v>11.39</v>
      </c>
      <c r="N17" s="70">
        <f>ROUND(F17/J17,4)</f>
        <v>0.76119999999999999</v>
      </c>
    </row>
    <row r="18" spans="1:14" x14ac:dyDescent="0.35">
      <c r="A18" s="97" t="s">
        <v>68</v>
      </c>
      <c r="B18" s="103">
        <f t="shared" si="4"/>
        <v>1.0344225392520407E-2</v>
      </c>
      <c r="C18" s="105">
        <f t="shared" si="5"/>
        <v>22179.648987027147</v>
      </c>
      <c r="D18" s="104">
        <f t="shared" si="6"/>
        <v>0.32803123224656472</v>
      </c>
      <c r="E18" s="104">
        <f t="shared" si="6"/>
        <v>0.67196876775343528</v>
      </c>
      <c r="F18" s="105">
        <f t="shared" si="7"/>
        <v>7275.6175880107858</v>
      </c>
      <c r="G18" s="105">
        <f t="shared" si="8"/>
        <v>14904.031399016361</v>
      </c>
      <c r="H18" s="99"/>
      <c r="I18" s="70">
        <v>8037</v>
      </c>
      <c r="J18" s="80">
        <v>7200.0649104265394</v>
      </c>
      <c r="K18" s="70" t="s">
        <v>78</v>
      </c>
      <c r="M18" s="102">
        <f t="shared" si="9"/>
        <v>0.15</v>
      </c>
      <c r="N18" s="70">
        <f>ROUND(F18/J18,4)</f>
        <v>1.0105</v>
      </c>
    </row>
    <row r="19" spans="1:14" x14ac:dyDescent="0.35">
      <c r="A19" s="98" t="s">
        <v>69</v>
      </c>
      <c r="B19" s="103">
        <f t="shared" si="4"/>
        <v>1.7036362348982724E-3</v>
      </c>
      <c r="C19" s="105">
        <f t="shared" si="5"/>
        <v>3652.8644976110199</v>
      </c>
      <c r="D19" s="104">
        <f t="shared" si="6"/>
        <v>0.58158856051732877</v>
      </c>
      <c r="E19" s="104">
        <f t="shared" si="6"/>
        <v>0.41841143948267123</v>
      </c>
      <c r="F19" s="105">
        <f t="shared" si="7"/>
        <v>2124.4642049304484</v>
      </c>
      <c r="G19" s="105">
        <f t="shared" si="8"/>
        <v>1528.4002926805715</v>
      </c>
      <c r="H19" s="99"/>
      <c r="I19" s="70">
        <v>317</v>
      </c>
      <c r="J19" s="80">
        <v>566.24754295926414</v>
      </c>
      <c r="K19" s="70" t="s">
        <v>78</v>
      </c>
      <c r="M19" s="102">
        <f t="shared" si="9"/>
        <v>0.4</v>
      </c>
      <c r="N19" s="70">
        <f>ROUND(F19/J19,4)</f>
        <v>3.7517999999999998</v>
      </c>
    </row>
    <row r="20" spans="1:14" x14ac:dyDescent="0.35">
      <c r="A20" s="97" t="s">
        <v>70</v>
      </c>
      <c r="B20" s="103">
        <f t="shared" si="4"/>
        <v>1.9780202930556831E-3</v>
      </c>
      <c r="C20" s="105">
        <f t="shared" si="5"/>
        <v>4241.187147847143</v>
      </c>
      <c r="D20" s="104">
        <f t="shared" si="6"/>
        <v>0.91066866289967341</v>
      </c>
      <c r="E20" s="104">
        <f t="shared" si="6"/>
        <v>8.9331337100326633E-2</v>
      </c>
      <c r="F20" s="105">
        <f t="shared" si="7"/>
        <v>3862.316229037237</v>
      </c>
      <c r="G20" s="105">
        <f t="shared" si="8"/>
        <v>378.87091880990596</v>
      </c>
      <c r="H20" s="99"/>
      <c r="I20" s="70">
        <v>25</v>
      </c>
      <c r="J20" s="80">
        <v>878528.2585897129</v>
      </c>
      <c r="K20" s="70" t="s">
        <v>77</v>
      </c>
      <c r="M20" s="102">
        <f t="shared" si="9"/>
        <v>1.26</v>
      </c>
      <c r="N20" s="70">
        <f>ROUND(F20/J20,4)</f>
        <v>4.4000000000000003E-3</v>
      </c>
    </row>
    <row r="21" spans="1:14" x14ac:dyDescent="0.35">
      <c r="A21" s="97" t="s">
        <v>62</v>
      </c>
      <c r="B21" s="103">
        <v>0.99999999999999989</v>
      </c>
      <c r="C21" s="105">
        <f>'2023 Rev Req Calc'!F69</f>
        <v>2144157.5512328427</v>
      </c>
      <c r="D21" s="104"/>
      <c r="E21" s="104"/>
      <c r="F21" s="105">
        <f>SUM(F15:F20)</f>
        <v>706215.766305606</v>
      </c>
      <c r="G21" s="105">
        <f>SUM(G15:G20)</f>
        <v>1438015.5176969026</v>
      </c>
      <c r="H21" s="99"/>
      <c r="I21" s="70"/>
      <c r="J21" s="70"/>
      <c r="K21" s="70"/>
    </row>
    <row r="22" spans="1:14" ht="15" thickBot="1" x14ac:dyDescent="0.4"/>
    <row r="23" spans="1:14" ht="21.5" thickBot="1" x14ac:dyDescent="0.55000000000000004">
      <c r="A23" s="141" t="s">
        <v>102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3"/>
    </row>
    <row r="24" spans="1:14" x14ac:dyDescent="0.35">
      <c r="I24" s="140" t="s">
        <v>73</v>
      </c>
      <c r="J24" s="140"/>
      <c r="K24" s="70"/>
    </row>
    <row r="25" spans="1:14" ht="39.5" x14ac:dyDescent="0.35">
      <c r="A25" s="96" t="s">
        <v>64</v>
      </c>
      <c r="B25" s="96" t="s">
        <v>71</v>
      </c>
      <c r="C25" s="100" t="s">
        <v>72</v>
      </c>
      <c r="D25" s="100" t="s">
        <v>79</v>
      </c>
      <c r="E25" s="100" t="s">
        <v>80</v>
      </c>
      <c r="F25" s="100" t="s">
        <v>81</v>
      </c>
      <c r="G25" s="100" t="s">
        <v>82</v>
      </c>
      <c r="H25" s="100"/>
      <c r="I25" s="101" t="s">
        <v>74</v>
      </c>
      <c r="J25" s="96" t="s">
        <v>75</v>
      </c>
      <c r="K25" s="96" t="s">
        <v>76</v>
      </c>
      <c r="M25" s="96" t="s">
        <v>83</v>
      </c>
      <c r="N25" s="96" t="s">
        <v>84</v>
      </c>
    </row>
    <row r="26" spans="1:14" x14ac:dyDescent="0.35">
      <c r="A26" s="97" t="s">
        <v>65</v>
      </c>
      <c r="B26" s="103">
        <f>B15</f>
        <v>0.60166397288115503</v>
      </c>
      <c r="C26" s="105">
        <f>B26*$C$32</f>
        <v>1258209.0599456164</v>
      </c>
      <c r="D26" s="104">
        <f>D15</f>
        <v>5.7154423290128875E-5</v>
      </c>
      <c r="E26" s="104">
        <f>E15</f>
        <v>1</v>
      </c>
      <c r="F26" s="105">
        <f>D26*C26</f>
        <v>71.912213199606896</v>
      </c>
      <c r="G26" s="105">
        <f>E26*C26</f>
        <v>1258209.0599456164</v>
      </c>
      <c r="H26" s="99"/>
      <c r="I26" s="70">
        <v>30340</v>
      </c>
      <c r="J26" s="80">
        <v>282922375</v>
      </c>
      <c r="K26" s="70"/>
      <c r="M26" s="102">
        <f>G26/I26/12</f>
        <v>3.4558587671545169</v>
      </c>
      <c r="N26" s="70">
        <v>0</v>
      </c>
    </row>
    <row r="27" spans="1:14" x14ac:dyDescent="0.35">
      <c r="A27" s="97" t="s">
        <v>66</v>
      </c>
      <c r="B27" s="103">
        <f t="shared" ref="B27:B31" si="10">B16</f>
        <v>0.15811550177192174</v>
      </c>
      <c r="C27" s="105">
        <f t="shared" ref="C27:C30" si="11">B27*$C$32</f>
        <v>330653.5970478917</v>
      </c>
      <c r="D27" s="104">
        <f t="shared" ref="D27:E31" si="12">D16</f>
        <v>0.75184403964386815</v>
      </c>
      <c r="E27" s="104">
        <f t="shared" si="12"/>
        <v>0.24815596035613188</v>
      </c>
      <c r="F27" s="105">
        <f t="shared" ref="F27:F31" si="13">D27*C27</f>
        <v>248599.93612726268</v>
      </c>
      <c r="G27" s="105">
        <f t="shared" ref="G27:G31" si="14">E27*C27</f>
        <v>82053.660920629016</v>
      </c>
      <c r="H27" s="99"/>
      <c r="I27" s="70">
        <v>3400</v>
      </c>
      <c r="J27" s="80">
        <v>86539469</v>
      </c>
      <c r="K27" s="70" t="s">
        <v>77</v>
      </c>
      <c r="M27" s="102">
        <f>G27/I27/12</f>
        <v>2.0111191402114956</v>
      </c>
      <c r="N27" s="70">
        <f>ROUND(F27/J27,4)</f>
        <v>2.8999999999999998E-3</v>
      </c>
    </row>
    <row r="28" spans="1:14" x14ac:dyDescent="0.35">
      <c r="A28" s="97" t="s">
        <v>67</v>
      </c>
      <c r="B28" s="103">
        <f t="shared" si="10"/>
        <v>0.2261946434264489</v>
      </c>
      <c r="C28" s="105">
        <f t="shared" si="11"/>
        <v>473021.75715703424</v>
      </c>
      <c r="D28" s="104">
        <f t="shared" si="12"/>
        <v>0.90306969560507966</v>
      </c>
      <c r="E28" s="104">
        <f t="shared" si="12"/>
        <v>9.6930304394920327E-2</v>
      </c>
      <c r="F28" s="105">
        <f t="shared" si="13"/>
        <v>427171.61425038282</v>
      </c>
      <c r="G28" s="105">
        <f t="shared" si="14"/>
        <v>45850.14290665141</v>
      </c>
      <c r="H28" s="99"/>
      <c r="I28" s="70">
        <v>344</v>
      </c>
      <c r="J28" s="80">
        <v>575372</v>
      </c>
      <c r="K28" s="70" t="s">
        <v>78</v>
      </c>
      <c r="M28" s="102">
        <f t="shared" ref="M28:M31" si="15">G28/I28/12</f>
        <v>11.107108262270208</v>
      </c>
      <c r="N28" s="70">
        <f>ROUND(F28/J28,4)</f>
        <v>0.74239999999999995</v>
      </c>
    </row>
    <row r="29" spans="1:14" x14ac:dyDescent="0.35">
      <c r="A29" s="97" t="s">
        <v>68</v>
      </c>
      <c r="B29" s="103">
        <f t="shared" si="10"/>
        <v>1.0344225392520407E-2</v>
      </c>
      <c r="C29" s="105">
        <f t="shared" si="11"/>
        <v>21632.00506200083</v>
      </c>
      <c r="D29" s="104">
        <f t="shared" si="12"/>
        <v>0.32803123224656472</v>
      </c>
      <c r="E29" s="104">
        <f t="shared" si="12"/>
        <v>0.67196876775343528</v>
      </c>
      <c r="F29" s="105">
        <f t="shared" si="13"/>
        <v>7095.9732764520577</v>
      </c>
      <c r="G29" s="105">
        <f t="shared" si="14"/>
        <v>14536.031785548772</v>
      </c>
      <c r="H29" s="99"/>
      <c r="I29" s="70">
        <v>8037</v>
      </c>
      <c r="J29" s="80">
        <v>7200.0649104265394</v>
      </c>
      <c r="K29" s="70" t="s">
        <v>78</v>
      </c>
      <c r="M29" s="102">
        <f t="shared" si="15"/>
        <v>0.15071991814471375</v>
      </c>
      <c r="N29" s="70">
        <f>ROUND(F29/J29,4)</f>
        <v>0.98550000000000004</v>
      </c>
    </row>
    <row r="30" spans="1:14" x14ac:dyDescent="0.35">
      <c r="A30" s="98" t="s">
        <v>69</v>
      </c>
      <c r="B30" s="103">
        <f t="shared" si="10"/>
        <v>1.7036362348982724E-3</v>
      </c>
      <c r="C30" s="105">
        <f t="shared" si="11"/>
        <v>3562.6705972372556</v>
      </c>
      <c r="D30" s="104">
        <f t="shared" si="12"/>
        <v>0.58158856051732877</v>
      </c>
      <c r="E30" s="104">
        <f t="shared" si="12"/>
        <v>0.41841143948267123</v>
      </c>
      <c r="F30" s="105">
        <f t="shared" si="13"/>
        <v>2072.0084642446272</v>
      </c>
      <c r="G30" s="105">
        <f t="shared" si="14"/>
        <v>1490.6621329926281</v>
      </c>
      <c r="H30" s="99"/>
      <c r="I30" s="70">
        <v>317</v>
      </c>
      <c r="J30" s="80">
        <v>566.24754295926414</v>
      </c>
      <c r="K30" s="70" t="s">
        <v>78</v>
      </c>
      <c r="M30" s="102">
        <f t="shared" si="15"/>
        <v>0.39186701708533861</v>
      </c>
      <c r="N30" s="70">
        <f>ROUND(F30/J30,4)</f>
        <v>3.6591999999999998</v>
      </c>
    </row>
    <row r="31" spans="1:14" x14ac:dyDescent="0.35">
      <c r="A31" s="97" t="s">
        <v>70</v>
      </c>
      <c r="B31" s="103">
        <f t="shared" si="10"/>
        <v>1.9780202930556831E-3</v>
      </c>
      <c r="C31" s="105">
        <f>B31*$C$32</f>
        <v>4136.4668081439895</v>
      </c>
      <c r="D31" s="104">
        <f t="shared" si="12"/>
        <v>0.91066866289967341</v>
      </c>
      <c r="E31" s="104">
        <f t="shared" si="12"/>
        <v>8.9331337100326633E-2</v>
      </c>
      <c r="F31" s="105">
        <f t="shared" si="13"/>
        <v>3766.9506973013667</v>
      </c>
      <c r="G31" s="105">
        <f t="shared" si="14"/>
        <v>369.51611084262288</v>
      </c>
      <c r="H31" s="99"/>
      <c r="I31" s="70">
        <v>25</v>
      </c>
      <c r="J31" s="80">
        <v>878528.2585897129</v>
      </c>
      <c r="K31" s="70" t="s">
        <v>77</v>
      </c>
      <c r="M31" s="102">
        <f t="shared" si="15"/>
        <v>1.2317203694754095</v>
      </c>
      <c r="N31" s="70">
        <f>ROUND(F31/J31,4)</f>
        <v>4.3E-3</v>
      </c>
    </row>
    <row r="32" spans="1:14" x14ac:dyDescent="0.35">
      <c r="A32" s="97" t="s">
        <v>62</v>
      </c>
      <c r="B32" s="103">
        <v>0.99999999999999989</v>
      </c>
      <c r="C32" s="105">
        <f>'2023 Rev Req Calc'!G69</f>
        <v>2091215.5566179242</v>
      </c>
      <c r="D32" s="104"/>
      <c r="E32" s="104"/>
      <c r="F32" s="105">
        <f>SUM(F26:F31)</f>
        <v>688778.3950288432</v>
      </c>
      <c r="G32" s="105">
        <f>SUM(G26:G31)</f>
        <v>1402509.0738022807</v>
      </c>
      <c r="H32" s="99"/>
      <c r="I32" s="70"/>
      <c r="J32" s="70"/>
      <c r="K32" s="70"/>
    </row>
    <row r="34" spans="1:14" ht="15" thickBot="1" x14ac:dyDescent="0.4"/>
    <row r="35" spans="1:14" ht="21.5" thickBot="1" x14ac:dyDescent="0.55000000000000004">
      <c r="A35" s="141" t="s">
        <v>103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  <c r="M35" s="142"/>
      <c r="N35" s="143"/>
    </row>
    <row r="36" spans="1:14" x14ac:dyDescent="0.35">
      <c r="I36" s="140" t="s">
        <v>73</v>
      </c>
      <c r="J36" s="140"/>
      <c r="K36" s="70"/>
    </row>
    <row r="37" spans="1:14" ht="39.5" x14ac:dyDescent="0.35">
      <c r="A37" s="96" t="s">
        <v>64</v>
      </c>
      <c r="B37" s="96" t="s">
        <v>71</v>
      </c>
      <c r="C37" s="100" t="s">
        <v>72</v>
      </c>
      <c r="D37" s="100" t="s">
        <v>79</v>
      </c>
      <c r="E37" s="100" t="s">
        <v>80</v>
      </c>
      <c r="F37" s="100" t="s">
        <v>81</v>
      </c>
      <c r="G37" s="100" t="s">
        <v>82</v>
      </c>
      <c r="H37" s="100"/>
      <c r="I37" s="101" t="s">
        <v>74</v>
      </c>
      <c r="J37" s="96" t="s">
        <v>75</v>
      </c>
      <c r="K37" s="96" t="s">
        <v>76</v>
      </c>
      <c r="M37" s="96" t="s">
        <v>83</v>
      </c>
      <c r="N37" s="96" t="s">
        <v>84</v>
      </c>
    </row>
    <row r="38" spans="1:14" x14ac:dyDescent="0.35">
      <c r="A38" s="97" t="s">
        <v>65</v>
      </c>
      <c r="B38" s="103">
        <f>B26</f>
        <v>0.60166397288115503</v>
      </c>
      <c r="C38" s="105">
        <f>B38*$C$44</f>
        <v>1226355.7691333522</v>
      </c>
      <c r="D38" s="104">
        <f>D26</f>
        <v>5.7154423290128875E-5</v>
      </c>
      <c r="E38" s="104">
        <f>E26</f>
        <v>1</v>
      </c>
      <c r="F38" s="105">
        <f>D38*C38</f>
        <v>70.091656733339178</v>
      </c>
      <c r="G38" s="105">
        <f>E38*C38</f>
        <v>1226355.7691333522</v>
      </c>
      <c r="H38" s="99"/>
      <c r="I38" s="70">
        <v>30340</v>
      </c>
      <c r="J38" s="80">
        <v>282922375</v>
      </c>
      <c r="K38" s="70"/>
      <c r="M38" s="102">
        <f>G38/I38/12</f>
        <v>3.3683689549916287</v>
      </c>
      <c r="N38" s="70">
        <v>0</v>
      </c>
    </row>
    <row r="39" spans="1:14" x14ac:dyDescent="0.35">
      <c r="A39" s="97" t="s">
        <v>66</v>
      </c>
      <c r="B39" s="103">
        <f t="shared" ref="B39:B43" si="16">B27</f>
        <v>0.15811550177192174</v>
      </c>
      <c r="C39" s="105">
        <f t="shared" ref="C39:C43" si="17">B39*$C$44</f>
        <v>322282.64700454759</v>
      </c>
      <c r="D39" s="104">
        <f t="shared" ref="D39:E39" si="18">D27</f>
        <v>0.75184403964386815</v>
      </c>
      <c r="E39" s="104">
        <f t="shared" si="18"/>
        <v>0.24815596035613188</v>
      </c>
      <c r="F39" s="105">
        <f t="shared" ref="F39:F43" si="19">D39*C39</f>
        <v>242306.28723101784</v>
      </c>
      <c r="G39" s="105">
        <f t="shared" ref="G39:G43" si="20">E39*C39</f>
        <v>79976.359773529752</v>
      </c>
      <c r="H39" s="99"/>
      <c r="I39" s="70">
        <v>3400</v>
      </c>
      <c r="J39" s="80">
        <v>86539469</v>
      </c>
      <c r="K39" s="70" t="s">
        <v>77</v>
      </c>
      <c r="M39" s="102">
        <f>G39/I39/12</f>
        <v>1.9602048964100429</v>
      </c>
      <c r="N39" s="70">
        <f>ROUND(F39/J39,4)</f>
        <v>2.8E-3</v>
      </c>
    </row>
    <row r="40" spans="1:14" x14ac:dyDescent="0.35">
      <c r="A40" s="97" t="s">
        <v>67</v>
      </c>
      <c r="B40" s="103">
        <f t="shared" si="16"/>
        <v>0.2261946434264489</v>
      </c>
      <c r="C40" s="105">
        <f t="shared" si="17"/>
        <v>461046.56156282796</v>
      </c>
      <c r="D40" s="104">
        <f t="shared" ref="D40:E40" si="21">D28</f>
        <v>0.90306969560507966</v>
      </c>
      <c r="E40" s="104">
        <f t="shared" si="21"/>
        <v>9.6930304394920327E-2</v>
      </c>
      <c r="F40" s="105">
        <f t="shared" si="19"/>
        <v>416357.17801031168</v>
      </c>
      <c r="G40" s="105">
        <f t="shared" si="20"/>
        <v>44689.383552516287</v>
      </c>
      <c r="H40" s="99"/>
      <c r="I40" s="70">
        <v>344</v>
      </c>
      <c r="J40" s="80">
        <v>575372</v>
      </c>
      <c r="K40" s="70" t="s">
        <v>78</v>
      </c>
      <c r="M40" s="102">
        <f t="shared" ref="M40:M43" si="22">G40/I40/12</f>
        <v>10.825916558264604</v>
      </c>
      <c r="N40" s="70">
        <f>ROUND(F40/J40,4)</f>
        <v>0.72360000000000002</v>
      </c>
    </row>
    <row r="41" spans="1:14" x14ac:dyDescent="0.35">
      <c r="A41" s="97" t="s">
        <v>68</v>
      </c>
      <c r="B41" s="103">
        <f t="shared" si="16"/>
        <v>1.0344225392520407E-2</v>
      </c>
      <c r="C41" s="105">
        <f t="shared" si="17"/>
        <v>21084.361136974519</v>
      </c>
      <c r="D41" s="104">
        <f t="shared" ref="D41:E41" si="23">D29</f>
        <v>0.32803123224656472</v>
      </c>
      <c r="E41" s="104">
        <f t="shared" si="23"/>
        <v>0.67196876775343528</v>
      </c>
      <c r="F41" s="105">
        <f t="shared" si="19"/>
        <v>6916.3289648933323</v>
      </c>
      <c r="G41" s="105">
        <f t="shared" si="20"/>
        <v>14168.032172081188</v>
      </c>
      <c r="H41" s="99"/>
      <c r="I41" s="70">
        <v>8037</v>
      </c>
      <c r="J41" s="80">
        <v>7200.0649104265394</v>
      </c>
      <c r="K41" s="70" t="s">
        <v>78</v>
      </c>
      <c r="M41" s="102">
        <f t="shared" si="22"/>
        <v>0.14690423636598635</v>
      </c>
      <c r="N41" s="70">
        <f>ROUND(F41/J41,4)</f>
        <v>0.96060000000000001</v>
      </c>
    </row>
    <row r="42" spans="1:14" x14ac:dyDescent="0.35">
      <c r="A42" s="98" t="s">
        <v>69</v>
      </c>
      <c r="B42" s="103">
        <f t="shared" si="16"/>
        <v>1.7036362348982724E-3</v>
      </c>
      <c r="C42" s="105">
        <f t="shared" si="17"/>
        <v>3472.4766968634922</v>
      </c>
      <c r="D42" s="104">
        <f t="shared" ref="D42:E42" si="24">D30</f>
        <v>0.58158856051732877</v>
      </c>
      <c r="E42" s="104">
        <f t="shared" si="24"/>
        <v>0.41841143948267123</v>
      </c>
      <c r="F42" s="105">
        <f t="shared" si="19"/>
        <v>2019.552723558807</v>
      </c>
      <c r="G42" s="105">
        <f t="shared" si="20"/>
        <v>1452.9239733046852</v>
      </c>
      <c r="H42" s="99"/>
      <c r="I42" s="70">
        <v>317</v>
      </c>
      <c r="J42" s="80">
        <v>566.24754295926414</v>
      </c>
      <c r="K42" s="70" t="s">
        <v>78</v>
      </c>
      <c r="M42" s="102">
        <f t="shared" si="22"/>
        <v>0.38194636522205183</v>
      </c>
      <c r="N42" s="70">
        <f>ROUND(F42/J42,4)</f>
        <v>3.5666000000000002</v>
      </c>
    </row>
    <row r="43" spans="1:14" x14ac:dyDescent="0.35">
      <c r="A43" s="97" t="s">
        <v>70</v>
      </c>
      <c r="B43" s="103">
        <f t="shared" si="16"/>
        <v>1.9780202930556831E-3</v>
      </c>
      <c r="C43" s="105">
        <f t="shared" si="17"/>
        <v>4031.7464684408378</v>
      </c>
      <c r="D43" s="104">
        <f t="shared" ref="D43:E43" si="25">D31</f>
        <v>0.91066866289967341</v>
      </c>
      <c r="E43" s="104">
        <f t="shared" si="25"/>
        <v>8.9331337100326633E-2</v>
      </c>
      <c r="F43" s="105">
        <f t="shared" si="19"/>
        <v>3671.5851655654983</v>
      </c>
      <c r="G43" s="105">
        <f t="shared" si="20"/>
        <v>360.16130287533991</v>
      </c>
      <c r="H43" s="99"/>
      <c r="I43" s="70">
        <v>25</v>
      </c>
      <c r="J43" s="80">
        <v>878528.2585897129</v>
      </c>
      <c r="K43" s="70" t="s">
        <v>77</v>
      </c>
      <c r="M43" s="102">
        <f t="shared" si="22"/>
        <v>1.2005376762511331</v>
      </c>
      <c r="N43" s="70">
        <f>ROUND(F43/J43,4)</f>
        <v>4.1999999999999997E-3</v>
      </c>
    </row>
    <row r="44" spans="1:14" x14ac:dyDescent="0.35">
      <c r="A44" s="97" t="s">
        <v>62</v>
      </c>
      <c r="B44" s="103">
        <v>0.99999999999999989</v>
      </c>
      <c r="C44" s="105">
        <f>'2023 Rev Req Calc'!H69</f>
        <v>2038273.5620030065</v>
      </c>
      <c r="D44" s="104"/>
      <c r="E44" s="104"/>
      <c r="F44" s="105">
        <f>SUM(F38:F43)</f>
        <v>671341.02375208051</v>
      </c>
      <c r="G44" s="105">
        <f>SUM(G38:G43)</f>
        <v>1367002.6299076595</v>
      </c>
      <c r="H44" s="99"/>
      <c r="I44" s="70"/>
      <c r="J44" s="70"/>
      <c r="K44" s="70"/>
    </row>
    <row r="45" spans="1:14" ht="15" thickBot="1" x14ac:dyDescent="0.4"/>
    <row r="46" spans="1:14" ht="21.5" thickBot="1" x14ac:dyDescent="0.55000000000000004">
      <c r="A46" s="141" t="s">
        <v>104</v>
      </c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3"/>
    </row>
    <row r="47" spans="1:14" x14ac:dyDescent="0.35">
      <c r="I47" s="140" t="s">
        <v>73</v>
      </c>
      <c r="J47" s="140"/>
      <c r="K47" s="70"/>
    </row>
    <row r="48" spans="1:14" ht="39.5" x14ac:dyDescent="0.35">
      <c r="A48" s="96" t="s">
        <v>64</v>
      </c>
      <c r="B48" s="96" t="s">
        <v>71</v>
      </c>
      <c r="C48" s="100" t="s">
        <v>72</v>
      </c>
      <c r="D48" s="100" t="s">
        <v>79</v>
      </c>
      <c r="E48" s="100" t="s">
        <v>80</v>
      </c>
      <c r="F48" s="100" t="s">
        <v>81</v>
      </c>
      <c r="G48" s="100" t="s">
        <v>82</v>
      </c>
      <c r="H48" s="100"/>
      <c r="I48" s="101" t="s">
        <v>74</v>
      </c>
      <c r="J48" s="96" t="s">
        <v>75</v>
      </c>
      <c r="K48" s="96" t="s">
        <v>76</v>
      </c>
      <c r="M48" s="96" t="s">
        <v>83</v>
      </c>
      <c r="N48" s="96" t="s">
        <v>84</v>
      </c>
    </row>
    <row r="49" spans="1:14" x14ac:dyDescent="0.35">
      <c r="A49" s="97" t="s">
        <v>65</v>
      </c>
      <c r="B49" s="103">
        <f>B38</f>
        <v>0.60166397288115503</v>
      </c>
      <c r="C49" s="105">
        <f>B49*$C$55</f>
        <v>1194502.4783210873</v>
      </c>
      <c r="D49" s="104">
        <f>D38</f>
        <v>5.7154423290128875E-5</v>
      </c>
      <c r="E49" s="104">
        <f>E38</f>
        <v>1</v>
      </c>
      <c r="F49" s="105">
        <f>D49*C49</f>
        <v>68.271100267071418</v>
      </c>
      <c r="G49" s="105">
        <f>E49*C49</f>
        <v>1194502.4783210873</v>
      </c>
      <c r="H49" s="99"/>
      <c r="I49" s="70">
        <v>30340</v>
      </c>
      <c r="J49" s="80">
        <v>282922375</v>
      </c>
      <c r="K49" s="70"/>
      <c r="M49" s="102">
        <f>G49/I49/12</f>
        <v>3.2808791428287392</v>
      </c>
      <c r="N49" s="70">
        <v>0</v>
      </c>
    </row>
    <row r="50" spans="1:14" x14ac:dyDescent="0.35">
      <c r="A50" s="97" t="s">
        <v>66</v>
      </c>
      <c r="B50" s="103">
        <f t="shared" ref="B50:B54" si="26">B39</f>
        <v>0.15811550177192174</v>
      </c>
      <c r="C50" s="105">
        <f t="shared" ref="C50:C54" si="27">B50*$C$55</f>
        <v>313911.6969612033</v>
      </c>
      <c r="D50" s="104">
        <f t="shared" ref="D50:E50" si="28">D39</f>
        <v>0.75184403964386815</v>
      </c>
      <c r="E50" s="104">
        <f t="shared" si="28"/>
        <v>0.24815596035613188</v>
      </c>
      <c r="F50" s="105">
        <f t="shared" ref="F50:F54" si="29">D50*C50</f>
        <v>236012.63833477287</v>
      </c>
      <c r="G50" s="105">
        <f t="shared" ref="G50:G54" si="30">E50*C50</f>
        <v>77899.058626430444</v>
      </c>
      <c r="H50" s="99"/>
      <c r="I50" s="70">
        <v>3400</v>
      </c>
      <c r="J50" s="80">
        <v>86539469</v>
      </c>
      <c r="K50" s="70" t="s">
        <v>77</v>
      </c>
      <c r="M50" s="102">
        <f>G50/I50/12</f>
        <v>1.9092906526085891</v>
      </c>
      <c r="N50" s="70">
        <f>ROUND(F50/J50,4)</f>
        <v>2.7000000000000001E-3</v>
      </c>
    </row>
    <row r="51" spans="1:14" x14ac:dyDescent="0.35">
      <c r="A51" s="97" t="s">
        <v>67</v>
      </c>
      <c r="B51" s="103">
        <f t="shared" si="26"/>
        <v>0.2261946434264489</v>
      </c>
      <c r="C51" s="105">
        <f t="shared" si="27"/>
        <v>449071.36596862139</v>
      </c>
      <c r="D51" s="104">
        <f t="shared" ref="D51:E51" si="31">D40</f>
        <v>0.90306969560507966</v>
      </c>
      <c r="E51" s="104">
        <f t="shared" si="31"/>
        <v>9.6930304394920327E-2</v>
      </c>
      <c r="F51" s="105">
        <f t="shared" si="29"/>
        <v>405542.74177024025</v>
      </c>
      <c r="G51" s="105">
        <f t="shared" si="30"/>
        <v>43528.624198381134</v>
      </c>
      <c r="H51" s="99"/>
      <c r="I51" s="70">
        <v>344</v>
      </c>
      <c r="J51" s="80">
        <v>575372</v>
      </c>
      <c r="K51" s="70" t="s">
        <v>78</v>
      </c>
      <c r="M51" s="102">
        <f t="shared" ref="M51:M54" si="32">G51/I51/12</f>
        <v>10.544724854258996</v>
      </c>
      <c r="N51" s="70">
        <f>ROUND(F51/J51,4)</f>
        <v>0.70479999999999998</v>
      </c>
    </row>
    <row r="52" spans="1:14" x14ac:dyDescent="0.35">
      <c r="A52" s="97" t="s">
        <v>68</v>
      </c>
      <c r="B52" s="103">
        <f t="shared" si="26"/>
        <v>1.0344225392520407E-2</v>
      </c>
      <c r="C52" s="105">
        <f t="shared" si="27"/>
        <v>20536.717211948195</v>
      </c>
      <c r="D52" s="104">
        <f t="shared" ref="D52:E52" si="33">D41</f>
        <v>0.32803123224656472</v>
      </c>
      <c r="E52" s="104">
        <f t="shared" si="33"/>
        <v>0.67196876775343528</v>
      </c>
      <c r="F52" s="105">
        <f t="shared" si="29"/>
        <v>6736.6846533346015</v>
      </c>
      <c r="G52" s="105">
        <f t="shared" si="30"/>
        <v>13800.032558613593</v>
      </c>
      <c r="H52" s="99"/>
      <c r="I52" s="70">
        <v>8037</v>
      </c>
      <c r="J52" s="80">
        <v>7200.0649104265394</v>
      </c>
      <c r="K52" s="70" t="s">
        <v>78</v>
      </c>
      <c r="M52" s="102">
        <f t="shared" si="32"/>
        <v>0.14308855458725886</v>
      </c>
      <c r="N52" s="70">
        <f>ROUND(F52/J52,4)</f>
        <v>0.93559999999999999</v>
      </c>
    </row>
    <row r="53" spans="1:14" x14ac:dyDescent="0.35">
      <c r="A53" s="98" t="s">
        <v>69</v>
      </c>
      <c r="B53" s="103">
        <f t="shared" si="26"/>
        <v>1.7036362348982724E-3</v>
      </c>
      <c r="C53" s="105">
        <f t="shared" si="27"/>
        <v>3382.2827964897274</v>
      </c>
      <c r="D53" s="104">
        <f t="shared" ref="D53:E53" si="34">D42</f>
        <v>0.58158856051732877</v>
      </c>
      <c r="E53" s="104">
        <f t="shared" si="34"/>
        <v>0.41841143948267123</v>
      </c>
      <c r="F53" s="105">
        <f t="shared" si="29"/>
        <v>1967.0969828729858</v>
      </c>
      <c r="G53" s="105">
        <f t="shared" si="30"/>
        <v>1415.1858136167416</v>
      </c>
      <c r="H53" s="99"/>
      <c r="I53" s="70">
        <v>317</v>
      </c>
      <c r="J53" s="80">
        <v>566.24754295926414</v>
      </c>
      <c r="K53" s="70" t="s">
        <v>78</v>
      </c>
      <c r="M53" s="102">
        <f t="shared" si="32"/>
        <v>0.37202571335876483</v>
      </c>
      <c r="N53" s="70">
        <f>ROUND(F53/J53,4)</f>
        <v>3.4739</v>
      </c>
    </row>
    <row r="54" spans="1:14" x14ac:dyDescent="0.35">
      <c r="A54" s="97" t="s">
        <v>70</v>
      </c>
      <c r="B54" s="103">
        <f t="shared" si="26"/>
        <v>1.9780202930556831E-3</v>
      </c>
      <c r="C54" s="105">
        <f t="shared" si="27"/>
        <v>3927.0261287376834</v>
      </c>
      <c r="D54" s="104">
        <f t="shared" ref="D54:E54" si="35">D43</f>
        <v>0.91066866289967341</v>
      </c>
      <c r="E54" s="104">
        <f t="shared" si="35"/>
        <v>8.9331337100326633E-2</v>
      </c>
      <c r="F54" s="105">
        <f t="shared" si="29"/>
        <v>3576.2196338296267</v>
      </c>
      <c r="G54" s="105">
        <f t="shared" si="30"/>
        <v>350.80649490805666</v>
      </c>
      <c r="H54" s="99"/>
      <c r="I54" s="70">
        <v>25</v>
      </c>
      <c r="J54" s="80">
        <v>878528.2585897129</v>
      </c>
      <c r="K54" s="70" t="s">
        <v>77</v>
      </c>
      <c r="M54" s="102">
        <f t="shared" si="32"/>
        <v>1.1693549830268555</v>
      </c>
      <c r="N54" s="70">
        <f>ROUND(F54/J54,4)</f>
        <v>4.1000000000000003E-3</v>
      </c>
    </row>
    <row r="55" spans="1:14" x14ac:dyDescent="0.35">
      <c r="A55" s="97" t="s">
        <v>62</v>
      </c>
      <c r="B55" s="103">
        <v>0.99999999999999989</v>
      </c>
      <c r="C55" s="105">
        <f>'2023 Rev Req Calc'!I69</f>
        <v>1985331.5673880875</v>
      </c>
      <c r="D55" s="104"/>
      <c r="E55" s="104"/>
      <c r="F55" s="105">
        <f>SUM(F49:F54)</f>
        <v>653903.65247531736</v>
      </c>
      <c r="G55" s="105">
        <f>SUM(G49:G54)</f>
        <v>1331496.1860130371</v>
      </c>
      <c r="H55" s="99"/>
      <c r="I55" s="70"/>
      <c r="J55" s="70"/>
      <c r="K55" s="70"/>
    </row>
  </sheetData>
  <mergeCells count="12">
    <mergeCell ref="I47:J47"/>
    <mergeCell ref="A1:N1"/>
    <mergeCell ref="I2:K2"/>
    <mergeCell ref="M2:N2"/>
    <mergeCell ref="A12:N12"/>
    <mergeCell ref="I13:K13"/>
    <mergeCell ref="M13:N13"/>
    <mergeCell ref="A23:N23"/>
    <mergeCell ref="I24:J24"/>
    <mergeCell ref="A35:N35"/>
    <mergeCell ref="I36:J36"/>
    <mergeCell ref="A46:N46"/>
  </mergeCells>
  <pageMargins left="0.7" right="0.7" top="0.75" bottom="0.75" header="0.3" footer="0.3"/>
  <pageSetup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Depreciation</vt:lpstr>
      <vt:lpstr>CCA Calc</vt:lpstr>
      <vt:lpstr>2023 Rev Req Calc</vt:lpstr>
      <vt:lpstr>Rate Design and RR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Tyler Kasubeck</cp:lastModifiedBy>
  <cp:lastPrinted>1900-01-01T05:00:00Z</cp:lastPrinted>
  <dcterms:created xsi:type="dcterms:W3CDTF">2022-07-20T16:42:01Z</dcterms:created>
  <dcterms:modified xsi:type="dcterms:W3CDTF">2023-03-04T15:02:04Z</dcterms:modified>
</cp:coreProperties>
</file>