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3 Electricity Rates\IRM\IRM Applications\Price Cap IR\Wasaga\Final Decision and Model\Final\"/>
    </mc:Choice>
  </mc:AlternateContent>
  <xr:revisionPtr revIDLastSave="0" documentId="8_{D9449CF8-F9D2-415F-96E9-53943F94C15B}" xr6:coauthVersionLast="47" xr6:coauthVersionMax="47" xr10:uidLastSave="{00000000-0000-0000-0000-000000000000}"/>
  <bookViews>
    <workbookView xWindow="-110" yWindow="-110" windowWidth="19420" windowHeight="11620" activeTab="4" xr2:uid="{BED4AE7F-BD62-4161-8BB4-E08E249A674D}"/>
  </bookViews>
  <sheets>
    <sheet name="LV Variances" sheetId="1" r:id="rId1"/>
    <sheet name="Low Voltage Rate Calculation" sheetId="2" r:id="rId2"/>
    <sheet name="2021-2022 Rate Change" sheetId="3" r:id="rId3"/>
    <sheet name="Revenue Increase" sheetId="6" r:id="rId4"/>
    <sheet name="Hydro One Rate Analysis" sheetId="4" r:id="rId5"/>
  </sheets>
  <externalReferences>
    <externalReference r:id="rId6"/>
  </externalReferences>
  <definedNames>
    <definedName name="_VAR17">'[1]2017 Summ'!$D$33:$I$48</definedName>
    <definedName name="_xlnm.Print_Area" localSheetId="1">'Low Voltage Rate Calculation'!$A$1:$K$17</definedName>
    <definedName name="_xlnm.Print_Area" localSheetId="0">'LV Variances'!$A$1:$D$30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AC15" i="4"/>
  <c r="AA17" i="4"/>
  <c r="W8" i="4"/>
  <c r="AC8" i="4"/>
  <c r="U8" i="4"/>
  <c r="U10" i="4"/>
  <c r="U18" i="4"/>
  <c r="T22" i="4"/>
  <c r="AC18" i="4" s="1"/>
  <c r="T21" i="4"/>
  <c r="S21" i="4"/>
  <c r="R21" i="4"/>
  <c r="Q21" i="4"/>
  <c r="P21" i="4"/>
  <c r="O21" i="4"/>
  <c r="N21" i="4"/>
  <c r="M21" i="4"/>
  <c r="U21" i="4" s="1"/>
  <c r="AC10" i="4" s="1"/>
  <c r="T20" i="4"/>
  <c r="S20" i="4"/>
  <c r="R20" i="4"/>
  <c r="Q20" i="4"/>
  <c r="P20" i="4"/>
  <c r="O20" i="4"/>
  <c r="N20" i="4"/>
  <c r="M20" i="4"/>
  <c r="U20" i="4" s="1"/>
  <c r="AB18" i="4"/>
  <c r="AA18" i="4"/>
  <c r="AA16" i="4"/>
  <c r="AB15" i="4"/>
  <c r="AA15" i="4"/>
  <c r="AA14" i="4"/>
  <c r="Z13" i="4"/>
  <c r="Y13" i="4"/>
  <c r="Z12" i="4"/>
  <c r="Y12" i="4"/>
  <c r="W11" i="4"/>
  <c r="V11" i="4"/>
  <c r="AB10" i="4"/>
  <c r="AA10" i="4"/>
  <c r="AA19" i="4" s="1"/>
  <c r="Z10" i="4"/>
  <c r="Y10" i="4"/>
  <c r="Y19" i="4" s="1"/>
  <c r="X10" i="4"/>
  <c r="W10" i="4"/>
  <c r="V10" i="4"/>
  <c r="W9" i="4"/>
  <c r="V9" i="4"/>
  <c r="AB8" i="4"/>
  <c r="AA8" i="4"/>
  <c r="Z8" i="4"/>
  <c r="Y8" i="4"/>
  <c r="X8" i="4"/>
  <c r="V8" i="4"/>
  <c r="AC7" i="4"/>
  <c r="AC6" i="4"/>
  <c r="W5" i="4"/>
  <c r="V5" i="4"/>
  <c r="V19" i="4" s="1"/>
  <c r="V4" i="4"/>
  <c r="AC3" i="4"/>
  <c r="AB3" i="4"/>
  <c r="AB19" i="4" s="1"/>
  <c r="AA3" i="4"/>
  <c r="Z3" i="4"/>
  <c r="Z19" i="4" s="1"/>
  <c r="Y3" i="4"/>
  <c r="X3" i="4"/>
  <c r="X19" i="4" s="1"/>
  <c r="W3" i="4"/>
  <c r="W19" i="4" s="1"/>
  <c r="V3" i="4"/>
  <c r="C12" i="6"/>
  <c r="C11" i="6"/>
  <c r="C5" i="6"/>
  <c r="AC19" i="4" l="1"/>
  <c r="C4" i="6"/>
  <c r="C6" i="6"/>
  <c r="C7" i="6"/>
  <c r="C8" i="6"/>
  <c r="C3" i="6"/>
  <c r="C9" i="6" l="1"/>
  <c r="H5" i="2" l="1"/>
  <c r="G5" i="2"/>
  <c r="G9" i="2" l="1"/>
  <c r="G8" i="2"/>
  <c r="G7" i="2" l="1"/>
  <c r="G6" i="2"/>
  <c r="C29" i="1" l="1"/>
  <c r="C30" i="1" s="1"/>
  <c r="C10" i="1" s="1"/>
  <c r="C11" i="1" l="1"/>
  <c r="B30" i="1"/>
  <c r="B10" i="1" s="1"/>
  <c r="D10" i="1" s="1"/>
  <c r="D5" i="1"/>
  <c r="D6" i="1"/>
  <c r="D7" i="1"/>
  <c r="D8" i="1"/>
  <c r="D9" i="1"/>
  <c r="D4" i="1"/>
  <c r="G10" i="2" l="1"/>
  <c r="D11" i="1" l="1"/>
  <c r="I10" i="2"/>
  <c r="I5" i="2" s="1"/>
  <c r="J5" i="2" s="1"/>
  <c r="H7" i="2"/>
  <c r="H9" i="2"/>
  <c r="H6" i="2"/>
  <c r="H8" i="2"/>
  <c r="I8" i="2" l="1"/>
  <c r="J8" i="2" s="1"/>
  <c r="I9" i="2"/>
  <c r="K9" i="2" s="1"/>
  <c r="I6" i="2"/>
  <c r="J6" i="2" s="1"/>
  <c r="I7" i="2"/>
  <c r="K7" i="2" s="1"/>
  <c r="H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Spencer Silvestro</author>
  </authors>
  <commentList>
    <comment ref="U8" authorId="0" shapeId="0" xr:uid="{8188B62F-7F22-4BB2-B726-CBC9F3E73515}">
      <text>
        <r>
          <rPr>
            <b/>
            <sz val="9"/>
            <color indexed="81"/>
            <rFont val="Tahoma"/>
            <family val="2"/>
          </rPr>
          <t>Spencer Silvestro:</t>
        </r>
        <r>
          <rPr>
            <sz val="9"/>
            <color indexed="81"/>
            <rFont val="Tahoma"/>
            <family val="2"/>
          </rPr>
          <t xml:space="preserve">
Adjusted for 1.63% average YOY increase.</t>
        </r>
      </text>
    </comment>
    <comment ref="U10" authorId="0" shapeId="0" xr:uid="{6314F723-F10F-426D-9D31-9837E49CAAAC}">
      <text>
        <r>
          <rPr>
            <b/>
            <sz val="9"/>
            <color indexed="81"/>
            <rFont val="Tahoma"/>
            <family val="2"/>
          </rPr>
          <t>Spencer Silvestro:</t>
        </r>
        <r>
          <rPr>
            <sz val="9"/>
            <color indexed="81"/>
            <rFont val="Tahoma"/>
            <family val="2"/>
          </rPr>
          <t xml:space="preserve">
Adjusted for 3.10% average YOY increase.</t>
        </r>
      </text>
    </comment>
    <comment ref="U18" authorId="0" shapeId="0" xr:uid="{D003E9D1-9A5E-4AF2-BAA9-3A2503C59203}">
      <text>
        <r>
          <rPr>
            <b/>
            <sz val="9"/>
            <color indexed="81"/>
            <rFont val="Tahoma"/>
            <family val="2"/>
          </rPr>
          <t>Spencer Silvestro:</t>
        </r>
        <r>
          <rPr>
            <sz val="9"/>
            <color indexed="81"/>
            <rFont val="Tahoma"/>
            <family val="2"/>
          </rPr>
          <t xml:space="preserve">
Adjusted for 6.05% 2022/2021 increase (adjusted for half year).</t>
        </r>
      </text>
    </comment>
    <comment ref="U20" authorId="0" shapeId="0" xr:uid="{DFD679D3-2B31-45FB-92C6-8EC3269A0AA4}">
      <text>
        <r>
          <rPr>
            <b/>
            <sz val="9"/>
            <color indexed="81"/>
            <rFont val="Tahoma"/>
            <family val="2"/>
          </rPr>
          <t>Spencer Silvestro:</t>
        </r>
        <r>
          <rPr>
            <sz val="9"/>
            <color indexed="81"/>
            <rFont val="Tahoma"/>
            <family val="2"/>
          </rPr>
          <t xml:space="preserve">
Average % YOY Change</t>
        </r>
      </text>
    </comment>
    <comment ref="U21" authorId="0" shapeId="0" xr:uid="{286F3BCD-14D9-402D-ABC5-D4DFABFF5178}">
      <text>
        <r>
          <rPr>
            <b/>
            <sz val="9"/>
            <color indexed="81"/>
            <rFont val="Tahoma"/>
            <family val="2"/>
          </rPr>
          <t>Spencer Silvestro:</t>
        </r>
        <r>
          <rPr>
            <sz val="9"/>
            <color indexed="81"/>
            <rFont val="Tahoma"/>
            <family val="2"/>
          </rPr>
          <t xml:space="preserve">
Average % YOY Change</t>
        </r>
      </text>
    </comment>
    <comment ref="T22" authorId="0" shapeId="0" xr:uid="{DC42F4FF-8937-40B7-A857-77C1285D105F}">
      <text>
        <r>
          <rPr>
            <b/>
            <sz val="9"/>
            <color indexed="81"/>
            <rFont val="Tahoma"/>
            <family val="2"/>
          </rPr>
          <t>Spencer Silvestro:</t>
        </r>
        <r>
          <rPr>
            <sz val="9"/>
            <color indexed="81"/>
            <rFont val="Tahoma"/>
            <family val="2"/>
          </rPr>
          <t xml:space="preserve">
2022/2021 % Change (adjusted for half year)</t>
        </r>
      </text>
    </comment>
  </commentList>
</comments>
</file>

<file path=xl/sharedStrings.xml><?xml version="1.0" encoding="utf-8"?>
<sst xmlns="http://schemas.openxmlformats.org/spreadsheetml/2006/main" count="129" uniqueCount="91">
  <si>
    <t>Year</t>
  </si>
  <si>
    <t>Low Voltage Payments to Hydro One</t>
  </si>
  <si>
    <t>Rate Class</t>
  </si>
  <si>
    <t>Unit</t>
  </si>
  <si>
    <t>Allocation %</t>
  </si>
  <si>
    <t>Calculated LV Rate/kWh</t>
  </si>
  <si>
    <t>Calculated LV Rate/kW</t>
  </si>
  <si>
    <t>Residential Service Classification</t>
  </si>
  <si>
    <t>$/kWh</t>
  </si>
  <si>
    <t>General Service Less Than 50 kW Service Classification</t>
  </si>
  <si>
    <t>$/kW</t>
  </si>
  <si>
    <t>Unmetered Scattered Load Service Classification</t>
  </si>
  <si>
    <t>Street Lighting Service Classification</t>
  </si>
  <si>
    <t>Low Voltage Charges, Revenues &amp; Variances</t>
  </si>
  <si>
    <t>General Service 50 To 4,999 kW Service Classification</t>
  </si>
  <si>
    <t>LV Revenues</t>
  </si>
  <si>
    <t>Variance Cost vs Revenues</t>
  </si>
  <si>
    <t>Month</t>
  </si>
  <si>
    <t>Wasaga Distribution Inc. - 2023 Low Voltage Rate Calculation</t>
  </si>
  <si>
    <t>Total</t>
  </si>
  <si>
    <t>January Actual</t>
  </si>
  <si>
    <t>February Actual</t>
  </si>
  <si>
    <t>March Actual</t>
  </si>
  <si>
    <t>April Actual</t>
  </si>
  <si>
    <t>May Actual</t>
  </si>
  <si>
    <t>June Actual</t>
  </si>
  <si>
    <t>July Actual</t>
  </si>
  <si>
    <t>August Actual</t>
  </si>
  <si>
    <t>September Actual</t>
  </si>
  <si>
    <t xml:space="preserve">2022 Projected </t>
  </si>
  <si>
    <t>2022 Low Voltage Rate per kWh</t>
  </si>
  <si>
    <t>2022 Low Voltage Rate per kW</t>
  </si>
  <si>
    <t>Basis for Allocation</t>
  </si>
  <si>
    <t>2016 Actual</t>
  </si>
  <si>
    <t>2017 Actual</t>
  </si>
  <si>
    <t>2018 Actual</t>
  </si>
  <si>
    <t>2019 Actual</t>
  </si>
  <si>
    <t>2020 Actual</t>
  </si>
  <si>
    <t>2021 Actual</t>
  </si>
  <si>
    <t xml:space="preserve">2023 Projected </t>
  </si>
  <si>
    <r>
      <t xml:space="preserve">Loss Adjusted Billed kWh </t>
    </r>
    <r>
      <rPr>
        <b/>
        <vertAlign val="subscript"/>
        <sz val="11"/>
        <rFont val="Arial"/>
        <family val="2"/>
      </rPr>
      <t>1</t>
    </r>
  </si>
  <si>
    <r>
      <t xml:space="preserve">Billed RTSR kW </t>
    </r>
    <r>
      <rPr>
        <b/>
        <vertAlign val="subscript"/>
        <sz val="11"/>
        <rFont val="Arial"/>
        <family val="2"/>
      </rPr>
      <t>1</t>
    </r>
  </si>
  <si>
    <r>
      <t xml:space="preserve">Allocated $ Amount </t>
    </r>
    <r>
      <rPr>
        <b/>
        <vertAlign val="subscript"/>
        <sz val="11"/>
        <rFont val="Arial"/>
        <family val="2"/>
      </rPr>
      <t>2</t>
    </r>
  </si>
  <si>
    <r>
      <t xml:space="preserve">Billed kWh and kW based on </t>
    </r>
    <r>
      <rPr>
        <i/>
        <sz val="10"/>
        <rFont val="Arial"/>
        <family val="2"/>
      </rPr>
      <t>Tab 15. RTSR Rates to Forecast</t>
    </r>
    <r>
      <rPr>
        <sz val="10"/>
        <rFont val="Arial"/>
        <family val="2"/>
      </rPr>
      <t xml:space="preserve"> in Rate Generator Model </t>
    </r>
    <r>
      <rPr>
        <vertAlign val="subscript"/>
        <sz val="10"/>
        <rFont val="Arial"/>
        <family val="2"/>
      </rPr>
      <t>1</t>
    </r>
  </si>
  <si>
    <r>
      <t xml:space="preserve">Allocated Amount based on 2023 projected payments to Hydro One </t>
    </r>
    <r>
      <rPr>
        <vertAlign val="subscript"/>
        <sz val="10"/>
        <rFont val="Arial"/>
        <family val="2"/>
      </rPr>
      <t>2</t>
    </r>
  </si>
  <si>
    <t>Earning Shared Mechanism Fixed Rider</t>
  </si>
  <si>
    <t>Deferred Tax Asset Fixed Rider</t>
  </si>
  <si>
    <t>Monthly Service Charges</t>
  </si>
  <si>
    <t>LVDS- Low</t>
  </si>
  <si>
    <t>Volumetric Rate Rider #29A</t>
  </si>
  <si>
    <t>Common ST Lines</t>
  </si>
  <si>
    <t>Earning Shared Mechanism Vol Rider</t>
  </si>
  <si>
    <t>Deferred Tax Asset Vol Rider</t>
  </si>
  <si>
    <t>Charge Description</t>
  </si>
  <si>
    <t>Variance</t>
  </si>
  <si>
    <t>Total $ Amount 2022</t>
  </si>
  <si>
    <t>Total $ Amount 2021</t>
  </si>
  <si>
    <t xml:space="preserve">Fixed </t>
  </si>
  <si>
    <t>Variable</t>
  </si>
  <si>
    <t>Volumetric Rate Rider #14A</t>
  </si>
  <si>
    <t>Volumetric Rate Rider #23A</t>
  </si>
  <si>
    <t>2019 Total</t>
  </si>
  <si>
    <t>$</t>
  </si>
  <si>
    <t>Actual kW Hours Charged to WDI (2016-2022) and Estimate for 2023</t>
  </si>
  <si>
    <t>October Actual</t>
  </si>
  <si>
    <t>November Actual</t>
  </si>
  <si>
    <t>Jan-June 2019</t>
  </si>
  <si>
    <t>July-Dec 2019</t>
  </si>
  <si>
    <t>Percent Increase/ (Decrease)</t>
  </si>
  <si>
    <t>Anticipated Customer Growth 2023</t>
  </si>
  <si>
    <t>Average Increases Year Over Year (excl. 2019)</t>
  </si>
  <si>
    <t>Adjusted Customer Growth</t>
  </si>
  <si>
    <t>Increase for 2023 (rounded)</t>
  </si>
  <si>
    <t>2022 Calculation</t>
  </si>
  <si>
    <r>
      <t>December Actual/</t>
    </r>
    <r>
      <rPr>
        <b/>
        <sz val="10"/>
        <color theme="5" tint="-0.249977111117893"/>
        <rFont val="Arial"/>
        <family val="2"/>
      </rPr>
      <t>Projected</t>
    </r>
  </si>
  <si>
    <r>
      <t>2022 Actual/</t>
    </r>
    <r>
      <rPr>
        <b/>
        <sz val="10"/>
        <color theme="5" tint="-0.249977111117893"/>
        <rFont val="Arial"/>
        <family val="2"/>
      </rPr>
      <t>Projected</t>
    </r>
  </si>
  <si>
    <t>Actual Rates Charged ($) to WDI (2016-2022) and 2023 Hydro One Approved Rates</t>
  </si>
  <si>
    <t>Actual Dollars Charged to WDI (2016-2022) and Estimate for 2023</t>
  </si>
  <si>
    <t>LVDS- Low % Change YOY</t>
  </si>
  <si>
    <t>Common ST Lines % Change YOY</t>
  </si>
  <si>
    <t>Deferred Tax Asset Vol Rider % Change YOY</t>
  </si>
  <si>
    <t>Monthly Service Charges (4x per month)</t>
  </si>
  <si>
    <t>Volumetric Rate Rider #19 (5x per month)</t>
  </si>
  <si>
    <t>Volumetric Rate Rider #16 (5x per month 2016 and first half 2017. 4x per month second half 2017)</t>
  </si>
  <si>
    <t>Group 1 Rate Rider (effective until Dec 31/25) (1x per month)</t>
  </si>
  <si>
    <t>Group 2 Rate Rider (effective until Dec 31/25) (1x per month)</t>
  </si>
  <si>
    <t>Volumetric Rate Rider #14B (only 5 months in 2017)</t>
  </si>
  <si>
    <t>Service Charge Rate Rider 22 (4x per month)</t>
  </si>
  <si>
    <t>Earning Shared Mechanism Fixed Rider (4x per month)</t>
  </si>
  <si>
    <t>Deferred Tax Asset Fixed Rider (4x per month - half year 2021 &amp; 2023)</t>
  </si>
  <si>
    <t>Deferred Tax Asset Vol Rider (half year 2021 and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</si>
</sst>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_-* #,##0_-;\-* #,##0_-;_-* &quot;-&quot;??_-;_-@_-"/>
    <numFmt numFmtId="168" formatCode="_-* #,##0.0000_-;\-* #,##0.0000_-;_-* &quot;-&quot;??_-;_-@_-"/>
    <numFmt numFmtId="169" formatCode="0.0000"/>
    <numFmt numFmtId="170" formatCode="0.0%"/>
    <numFmt numFmtId="171" formatCode="&quot;$&quot;#,##0;[Red]\(&quot;$&quot;#,##0\)"/>
    <numFmt numFmtId="172" formatCode="#,##0.00;[Red]\(#,##0.00\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vertAlign val="subscript"/>
      <sz val="11"/>
      <name val="Arial"/>
      <family val="2"/>
    </font>
    <font>
      <vertAlign val="sub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5">
    <xf numFmtId="0" fontId="0" fillId="0" borderId="0" xfId="0"/>
    <xf numFmtId="0" fontId="0" fillId="2" borderId="1" xfId="0" applyFill="1" applyBorder="1"/>
    <xf numFmtId="166" fontId="0" fillId="2" borderId="1" xfId="2" applyNumberFormat="1" applyFont="1" applyFill="1" applyBorder="1"/>
    <xf numFmtId="167" fontId="0" fillId="0" borderId="0" xfId="1" applyNumberFormat="1" applyFont="1"/>
    <xf numFmtId="10" fontId="0" fillId="0" borderId="0" xfId="3" applyNumberFormat="1" applyFont="1"/>
    <xf numFmtId="169" fontId="0" fillId="0" borderId="0" xfId="0" applyNumberFormat="1"/>
    <xf numFmtId="167" fontId="0" fillId="0" borderId="0" xfId="0" applyNumberFormat="1"/>
    <xf numFmtId="10" fontId="0" fillId="0" borderId="0" xfId="3" applyNumberFormat="1" applyFont="1" applyBorder="1"/>
    <xf numFmtId="166" fontId="0" fillId="0" borderId="0" xfId="2" applyNumberFormat="1" applyFont="1" applyBorder="1"/>
    <xf numFmtId="0" fontId="0" fillId="0" borderId="1" xfId="0" applyBorder="1"/>
    <xf numFmtId="167" fontId="0" fillId="2" borderId="1" xfId="1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68" fontId="0" fillId="2" borderId="1" xfId="1" applyNumberFormat="1" applyFont="1" applyFill="1" applyBorder="1"/>
    <xf numFmtId="170" fontId="0" fillId="2" borderId="1" xfId="3" applyNumberFormat="1" applyFont="1" applyFill="1" applyBorder="1"/>
    <xf numFmtId="168" fontId="0" fillId="2" borderId="1" xfId="0" applyNumberFormat="1" applyFill="1" applyBorder="1"/>
    <xf numFmtId="164" fontId="0" fillId="0" borderId="1" xfId="0" applyNumberFormat="1" applyBorder="1" applyAlignment="1">
      <alignment horizontal="center" wrapText="1"/>
    </xf>
    <xf numFmtId="164" fontId="3" fillId="2" borderId="1" xfId="2" applyFont="1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wrapText="1"/>
    </xf>
    <xf numFmtId="164" fontId="0" fillId="2" borderId="11" xfId="0" applyNumberFormat="1" applyFill="1" applyBorder="1"/>
    <xf numFmtId="164" fontId="0" fillId="0" borderId="12" xfId="0" applyNumberFormat="1" applyBorder="1" applyAlignment="1">
      <alignment horizontal="center" wrapText="1"/>
    </xf>
    <xf numFmtId="0" fontId="0" fillId="0" borderId="8" xfId="0" applyBorder="1"/>
    <xf numFmtId="164" fontId="0" fillId="0" borderId="9" xfId="0" applyNumberFormat="1" applyBorder="1"/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3" fillId="2" borderId="8" xfId="4" applyFill="1" applyBorder="1"/>
    <xf numFmtId="168" fontId="0" fillId="2" borderId="9" xfId="0" applyNumberFormat="1" applyFill="1" applyBorder="1"/>
    <xf numFmtId="0" fontId="0" fillId="0" borderId="11" xfId="0" applyBorder="1"/>
    <xf numFmtId="167" fontId="0" fillId="0" borderId="11" xfId="1" applyNumberFormat="1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0" fontId="0" fillId="0" borderId="8" xfId="0" applyBorder="1" applyAlignment="1">
      <alignment horizontal="left"/>
    </xf>
    <xf numFmtId="0" fontId="0" fillId="2" borderId="8" xfId="0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2" borderId="10" xfId="0" applyFill="1" applyBorder="1"/>
    <xf numFmtId="0" fontId="4" fillId="0" borderId="11" xfId="0" applyFont="1" applyBorder="1"/>
    <xf numFmtId="167" fontId="4" fillId="0" borderId="11" xfId="0" applyNumberFormat="1" applyFont="1" applyBorder="1"/>
    <xf numFmtId="10" fontId="4" fillId="0" borderId="11" xfId="3" applyNumberFormat="1" applyFont="1" applyBorder="1"/>
    <xf numFmtId="0" fontId="4" fillId="0" borderId="12" xfId="0" applyFont="1" applyBorder="1"/>
    <xf numFmtId="0" fontId="4" fillId="0" borderId="10" xfId="0" applyFont="1" applyBorder="1" applyAlignment="1">
      <alignment vertical="center"/>
    </xf>
    <xf numFmtId="166" fontId="4" fillId="4" borderId="11" xfId="2" applyNumberFormat="1" applyFont="1" applyFill="1" applyBorder="1"/>
    <xf numFmtId="165" fontId="0" fillId="0" borderId="0" xfId="0" applyNumberFormat="1"/>
    <xf numFmtId="164" fontId="0" fillId="2" borderId="0" xfId="0" applyNumberFormat="1" applyFill="1"/>
    <xf numFmtId="0" fontId="0" fillId="0" borderId="16" xfId="0" applyBorder="1"/>
    <xf numFmtId="0" fontId="0" fillId="0" borderId="17" xfId="0" applyBorder="1"/>
    <xf numFmtId="0" fontId="0" fillId="2" borderId="16" xfId="0" applyFill="1" applyBorder="1"/>
    <xf numFmtId="0" fontId="4" fillId="2" borderId="18" xfId="0" applyFont="1" applyFill="1" applyBorder="1" applyAlignment="1">
      <alignment vertical="center"/>
    </xf>
    <xf numFmtId="164" fontId="0" fillId="2" borderId="19" xfId="0" applyNumberFormat="1" applyFill="1" applyBorder="1"/>
    <xf numFmtId="164" fontId="0" fillId="2" borderId="20" xfId="0" applyNumberFormat="1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4" fillId="2" borderId="2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vertical="center"/>
    </xf>
    <xf numFmtId="164" fontId="0" fillId="2" borderId="18" xfId="0" applyNumberFormat="1" applyFill="1" applyBorder="1"/>
    <xf numFmtId="164" fontId="0" fillId="2" borderId="27" xfId="0" applyNumberFormat="1" applyFill="1" applyBorder="1"/>
    <xf numFmtId="0" fontId="0" fillId="2" borderId="27" xfId="0" applyFill="1" applyBorder="1"/>
    <xf numFmtId="0" fontId="0" fillId="2" borderId="28" xfId="0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3" fillId="5" borderId="8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vertical="center" wrapText="1"/>
    </xf>
    <xf numFmtId="168" fontId="3" fillId="0" borderId="1" xfId="1" applyNumberFormat="1" applyFont="1" applyBorder="1" applyAlignment="1">
      <alignment horizontal="center"/>
    </xf>
    <xf numFmtId="168" fontId="3" fillId="0" borderId="1" xfId="1" applyNumberFormat="1" applyFont="1" applyBorder="1"/>
    <xf numFmtId="0" fontId="4" fillId="0" borderId="0" xfId="0" applyFont="1" applyAlignment="1">
      <alignment vertical="center"/>
    </xf>
    <xf numFmtId="0" fontId="13" fillId="5" borderId="13" xfId="0" applyFont="1" applyFill="1" applyBorder="1" applyAlignment="1">
      <alignment vertical="center" wrapText="1"/>
    </xf>
    <xf numFmtId="0" fontId="4" fillId="5" borderId="13" xfId="0" applyFont="1" applyFill="1" applyBorder="1"/>
    <xf numFmtId="0" fontId="4" fillId="6" borderId="10" xfId="0" applyFont="1" applyFill="1" applyBorder="1"/>
    <xf numFmtId="168" fontId="3" fillId="0" borderId="14" xfId="1" applyNumberFormat="1" applyFont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168" fontId="3" fillId="0" borderId="44" xfId="1" applyNumberFormat="1" applyFont="1" applyBorder="1" applyAlignment="1">
      <alignment horizontal="center"/>
    </xf>
    <xf numFmtId="168" fontId="3" fillId="0" borderId="39" xfId="1" applyNumberFormat="1" applyFont="1" applyBorder="1" applyAlignment="1">
      <alignment horizontal="center"/>
    </xf>
    <xf numFmtId="168" fontId="3" fillId="0" borderId="39" xfId="1" applyNumberFormat="1" applyFont="1" applyBorder="1"/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165" fontId="3" fillId="0" borderId="0" xfId="1" applyFont="1" applyAlignment="1">
      <alignment horizontal="center"/>
    </xf>
    <xf numFmtId="165" fontId="3" fillId="0" borderId="0" xfId="1" applyFont="1"/>
    <xf numFmtId="165" fontId="3" fillId="0" borderId="0" xfId="1" applyFont="1" applyAlignment="1">
      <alignment vertical="center"/>
    </xf>
    <xf numFmtId="168" fontId="3" fillId="0" borderId="8" xfId="1" applyNumberFormat="1" applyFont="1" applyBorder="1"/>
    <xf numFmtId="168" fontId="3" fillId="0" borderId="53" xfId="1" applyNumberFormat="1" applyFont="1" applyFill="1" applyBorder="1" applyAlignment="1">
      <alignment horizontal="center"/>
    </xf>
    <xf numFmtId="168" fontId="3" fillId="0" borderId="54" xfId="1" applyNumberFormat="1" applyFont="1" applyFill="1" applyBorder="1" applyAlignment="1">
      <alignment horizontal="center"/>
    </xf>
    <xf numFmtId="168" fontId="3" fillId="0" borderId="54" xfId="1" applyNumberFormat="1" applyFont="1" applyFill="1" applyBorder="1"/>
    <xf numFmtId="0" fontId="14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171" fontId="15" fillId="0" borderId="29" xfId="2" applyNumberFormat="1" applyFont="1" applyFill="1" applyBorder="1"/>
    <xf numFmtId="171" fontId="15" fillId="0" borderId="31" xfId="0" applyNumberFormat="1" applyFont="1" applyBorder="1"/>
    <xf numFmtId="171" fontId="15" fillId="0" borderId="1" xfId="2" applyNumberFormat="1" applyFont="1" applyFill="1" applyBorder="1"/>
    <xf numFmtId="171" fontId="15" fillId="0" borderId="1" xfId="2" applyNumberFormat="1" applyFont="1" applyBorder="1"/>
    <xf numFmtId="171" fontId="15" fillId="0" borderId="11" xfId="2" applyNumberFormat="1" applyFont="1" applyBorder="1"/>
    <xf numFmtId="171" fontId="15" fillId="0" borderId="49" xfId="2" applyNumberFormat="1" applyFont="1" applyFill="1" applyBorder="1"/>
    <xf numFmtId="171" fontId="15" fillId="0" borderId="50" xfId="0" applyNumberFormat="1" applyFont="1" applyBorder="1"/>
    <xf numFmtId="0" fontId="14" fillId="0" borderId="32" xfId="0" applyFont="1" applyBorder="1"/>
    <xf numFmtId="171" fontId="14" fillId="0" borderId="33" xfId="0" applyNumberFormat="1" applyFont="1" applyBorder="1"/>
    <xf numFmtId="171" fontId="14" fillId="0" borderId="34" xfId="0" applyNumberFormat="1" applyFont="1" applyBorder="1"/>
    <xf numFmtId="0" fontId="15" fillId="0" borderId="3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10" fontId="0" fillId="0" borderId="0" xfId="0" applyNumberFormat="1"/>
    <xf numFmtId="166" fontId="0" fillId="0" borderId="0" xfId="2" applyNumberFormat="1" applyFont="1" applyFill="1" applyBorder="1" applyAlignment="1">
      <alignment horizontal="center" wrapText="1"/>
    </xf>
    <xf numFmtId="166" fontId="3" fillId="0" borderId="0" xfId="2" applyNumberFormat="1" applyFont="1" applyFill="1" applyBorder="1"/>
    <xf numFmtId="0" fontId="0" fillId="0" borderId="59" xfId="0" applyBorder="1" applyAlignment="1">
      <alignment horizontal="left"/>
    </xf>
    <xf numFmtId="166" fontId="0" fillId="0" borderId="58" xfId="2" applyNumberFormat="1" applyFont="1" applyFill="1" applyBorder="1" applyAlignment="1">
      <alignment horizontal="center" wrapText="1"/>
    </xf>
    <xf numFmtId="0" fontId="0" fillId="0" borderId="40" xfId="0" applyBorder="1"/>
    <xf numFmtId="0" fontId="0" fillId="0" borderId="60" xfId="0" applyBorder="1" applyAlignment="1">
      <alignment horizontal="left"/>
    </xf>
    <xf numFmtId="170" fontId="0" fillId="0" borderId="61" xfId="5" applyNumberFormat="1" applyFont="1" applyFill="1" applyBorder="1"/>
    <xf numFmtId="0" fontId="0" fillId="0" borderId="51" xfId="0" applyBorder="1" applyAlignment="1">
      <alignment horizontal="left"/>
    </xf>
    <xf numFmtId="166" fontId="0" fillId="0" borderId="2" xfId="2" applyNumberFormat="1" applyFont="1" applyFill="1" applyBorder="1"/>
    <xf numFmtId="170" fontId="0" fillId="0" borderId="38" xfId="5" applyNumberFormat="1" applyFont="1" applyFill="1" applyBorder="1"/>
    <xf numFmtId="0" fontId="0" fillId="0" borderId="54" xfId="0" applyBorder="1" applyAlignment="1">
      <alignment horizontal="left"/>
    </xf>
    <xf numFmtId="166" fontId="0" fillId="0" borderId="57" xfId="0" applyNumberFormat="1" applyBorder="1"/>
    <xf numFmtId="170" fontId="0" fillId="0" borderId="39" xfId="5" applyNumberFormat="1" applyFont="1" applyFill="1" applyBorder="1"/>
    <xf numFmtId="0" fontId="0" fillId="0" borderId="57" xfId="0" applyBorder="1"/>
    <xf numFmtId="170" fontId="0" fillId="0" borderId="39" xfId="0" applyNumberFormat="1" applyBorder="1"/>
    <xf numFmtId="0" fontId="4" fillId="3" borderId="54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0" fillId="0" borderId="54" xfId="0" applyBorder="1"/>
    <xf numFmtId="9" fontId="0" fillId="0" borderId="39" xfId="0" applyNumberFormat="1" applyBorder="1"/>
    <xf numFmtId="164" fontId="0" fillId="0" borderId="11" xfId="0" applyNumberFormat="1" applyBorder="1"/>
    <xf numFmtId="164" fontId="16" fillId="2" borderId="1" xfId="0" applyNumberFormat="1" applyFont="1" applyFill="1" applyBorder="1"/>
    <xf numFmtId="164" fontId="16" fillId="0" borderId="9" xfId="0" applyNumberFormat="1" applyFont="1" applyBorder="1"/>
    <xf numFmtId="0" fontId="4" fillId="5" borderId="15" xfId="0" applyFont="1" applyFill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167" fontId="3" fillId="0" borderId="13" xfId="1" applyNumberFormat="1" applyFont="1" applyBorder="1" applyAlignment="1">
      <alignment horizontal="center"/>
    </xf>
    <xf numFmtId="167" fontId="3" fillId="0" borderId="14" xfId="1" applyNumberFormat="1" applyFont="1" applyBorder="1" applyAlignment="1">
      <alignment horizontal="center"/>
    </xf>
    <xf numFmtId="167" fontId="3" fillId="0" borderId="15" xfId="1" applyNumberFormat="1" applyFont="1" applyBorder="1" applyAlignment="1">
      <alignment horizontal="center"/>
    </xf>
    <xf numFmtId="165" fontId="3" fillId="0" borderId="13" xfId="1" applyFont="1" applyBorder="1" applyAlignment="1">
      <alignment horizontal="right"/>
    </xf>
    <xf numFmtId="165" fontId="3" fillId="0" borderId="14" xfId="1" applyFont="1" applyBorder="1" applyAlignment="1">
      <alignment horizontal="right"/>
    </xf>
    <xf numFmtId="165" fontId="3" fillId="0" borderId="15" xfId="1" applyFont="1" applyBorder="1" applyAlignment="1">
      <alignment horizontal="right"/>
    </xf>
    <xf numFmtId="167" fontId="3" fillId="0" borderId="8" xfId="1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center"/>
    </xf>
    <xf numFmtId="167" fontId="3" fillId="0" borderId="9" xfId="1" applyNumberFormat="1" applyFont="1" applyBorder="1" applyAlignment="1">
      <alignment horizontal="center"/>
    </xf>
    <xf numFmtId="165" fontId="3" fillId="0" borderId="8" xfId="1" applyFont="1" applyBorder="1" applyAlignment="1">
      <alignment horizontal="right"/>
    </xf>
    <xf numFmtId="165" fontId="3" fillId="0" borderId="1" xfId="1" applyFont="1" applyBorder="1" applyAlignment="1">
      <alignment horizontal="right"/>
    </xf>
    <xf numFmtId="165" fontId="3" fillId="0" borderId="9" xfId="1" applyFont="1" applyBorder="1" applyAlignment="1">
      <alignment horizontal="right"/>
    </xf>
    <xf numFmtId="167" fontId="3" fillId="9" borderId="9" xfId="1" applyNumberFormat="1" applyFont="1" applyFill="1" applyBorder="1" applyAlignment="1">
      <alignment horizontal="center"/>
    </xf>
    <xf numFmtId="167" fontId="3" fillId="3" borderId="9" xfId="1" applyNumberFormat="1" applyFont="1" applyFill="1" applyBorder="1" applyAlignment="1">
      <alignment horizontal="center"/>
    </xf>
    <xf numFmtId="167" fontId="3" fillId="0" borderId="8" xfId="1" applyNumberFormat="1" applyFont="1" applyBorder="1"/>
    <xf numFmtId="167" fontId="3" fillId="0" borderId="1" xfId="1" applyNumberFormat="1" applyFont="1" applyBorder="1"/>
    <xf numFmtId="167" fontId="3" fillId="0" borderId="9" xfId="1" applyNumberFormat="1" applyFont="1" applyBorder="1"/>
    <xf numFmtId="0" fontId="13" fillId="6" borderId="35" xfId="0" applyFont="1" applyFill="1" applyBorder="1" applyAlignment="1">
      <alignment vertical="center" wrapText="1"/>
    </xf>
    <xf numFmtId="0" fontId="13" fillId="6" borderId="37" xfId="0" applyFont="1" applyFill="1" applyBorder="1" applyAlignment="1">
      <alignment horizontal="center" vertical="center" wrapText="1"/>
    </xf>
    <xf numFmtId="168" fontId="3" fillId="0" borderId="35" xfId="1" applyNumberFormat="1" applyFont="1" applyBorder="1"/>
    <xf numFmtId="168" fontId="3" fillId="0" borderId="36" xfId="1" applyNumberFormat="1" applyFont="1" applyBorder="1"/>
    <xf numFmtId="168" fontId="3" fillId="0" borderId="59" xfId="1" applyNumberFormat="1" applyFont="1" applyFill="1" applyBorder="1"/>
    <xf numFmtId="167" fontId="3" fillId="0" borderId="35" xfId="1" applyNumberFormat="1" applyFont="1" applyBorder="1"/>
    <xf numFmtId="167" fontId="3" fillId="0" borderId="36" xfId="1" applyNumberFormat="1" applyFont="1" applyBorder="1"/>
    <xf numFmtId="167" fontId="3" fillId="0" borderId="36" xfId="1" applyNumberFormat="1" applyFont="1" applyFill="1" applyBorder="1"/>
    <xf numFmtId="167" fontId="3" fillId="7" borderId="37" xfId="1" applyNumberFormat="1" applyFont="1" applyFill="1" applyBorder="1" applyAlignment="1">
      <alignment horizontal="center"/>
    </xf>
    <xf numFmtId="165" fontId="3" fillId="0" borderId="35" xfId="1" applyFont="1" applyBorder="1" applyAlignment="1">
      <alignment horizontal="right"/>
    </xf>
    <xf numFmtId="165" fontId="3" fillId="0" borderId="36" xfId="1" applyFont="1" applyBorder="1" applyAlignment="1">
      <alignment horizontal="right"/>
    </xf>
    <xf numFmtId="165" fontId="3" fillId="0" borderId="37" xfId="1" applyFont="1" applyBorder="1" applyAlignment="1">
      <alignment horizontal="right"/>
    </xf>
    <xf numFmtId="0" fontId="4" fillId="0" borderId="32" xfId="0" applyFont="1" applyBorder="1" applyAlignment="1">
      <alignment vertical="center"/>
    </xf>
    <xf numFmtId="165" fontId="4" fillId="0" borderId="32" xfId="1" applyFont="1" applyFill="1" applyBorder="1" applyAlignment="1">
      <alignment horizontal="right" vertical="center"/>
    </xf>
    <xf numFmtId="165" fontId="4" fillId="0" borderId="33" xfId="1" applyFont="1" applyFill="1" applyBorder="1" applyAlignment="1">
      <alignment vertical="center"/>
    </xf>
    <xf numFmtId="165" fontId="4" fillId="0" borderId="42" xfId="1" applyFont="1" applyFill="1" applyBorder="1" applyAlignment="1">
      <alignment vertical="center"/>
    </xf>
    <xf numFmtId="10" fontId="0" fillId="0" borderId="33" xfId="5" applyNumberFormat="1" applyFont="1" applyBorder="1" applyAlignment="1">
      <alignment horizontal="center"/>
    </xf>
    <xf numFmtId="10" fontId="0" fillId="0" borderId="42" xfId="5" applyNumberFormat="1" applyFont="1" applyFill="1" applyBorder="1" applyAlignment="1">
      <alignment horizontal="center"/>
    </xf>
    <xf numFmtId="165" fontId="4" fillId="0" borderId="32" xfId="1" applyFont="1" applyBorder="1" applyAlignment="1">
      <alignment horizontal="right" vertical="center"/>
    </xf>
    <xf numFmtId="165" fontId="4" fillId="0" borderId="33" xfId="1" applyFont="1" applyBorder="1" applyAlignment="1">
      <alignment horizontal="right" vertical="center"/>
    </xf>
    <xf numFmtId="165" fontId="4" fillId="8" borderId="34" xfId="1" applyFont="1" applyFill="1" applyBorder="1" applyAlignment="1">
      <alignment horizontal="right" vertical="center"/>
    </xf>
    <xf numFmtId="0" fontId="13" fillId="0" borderId="30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/>
    </xf>
    <xf numFmtId="165" fontId="4" fillId="0" borderId="30" xfId="1" applyFont="1" applyFill="1" applyBorder="1" applyAlignment="1">
      <alignment horizontal="right" vertical="center"/>
    </xf>
    <xf numFmtId="165" fontId="4" fillId="0" borderId="29" xfId="1" applyFont="1" applyFill="1" applyBorder="1" applyAlignment="1">
      <alignment vertical="center"/>
    </xf>
    <xf numFmtId="165" fontId="4" fillId="0" borderId="51" xfId="1" applyFont="1" applyFill="1" applyBorder="1" applyAlignment="1">
      <alignment vertical="center"/>
    </xf>
    <xf numFmtId="0" fontId="4" fillId="0" borderId="30" xfId="0" applyFont="1" applyBorder="1" applyAlignment="1">
      <alignment vertical="center"/>
    </xf>
    <xf numFmtId="170" fontId="0" fillId="0" borderId="29" xfId="5" applyNumberFormat="1" applyFont="1" applyBorder="1" applyAlignment="1">
      <alignment horizontal="center"/>
    </xf>
    <xf numFmtId="10" fontId="0" fillId="9" borderId="31" xfId="5" applyNumberFormat="1" applyFont="1" applyFill="1" applyBorder="1" applyAlignment="1">
      <alignment horizontal="center"/>
    </xf>
    <xf numFmtId="172" fontId="4" fillId="0" borderId="38" xfId="1" applyNumberFormat="1" applyFont="1" applyBorder="1" applyAlignment="1">
      <alignment horizontal="right" vertical="center"/>
    </xf>
    <xf numFmtId="172" fontId="4" fillId="0" borderId="29" xfId="1" applyNumberFormat="1" applyFont="1" applyBorder="1" applyAlignment="1">
      <alignment horizontal="right" vertical="center"/>
    </xf>
    <xf numFmtId="172" fontId="4" fillId="0" borderId="31" xfId="1" applyNumberFormat="1" applyFont="1" applyFill="1" applyBorder="1" applyAlignment="1">
      <alignment horizontal="right" vertical="center"/>
    </xf>
    <xf numFmtId="0" fontId="1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165" fontId="4" fillId="0" borderId="8" xfId="1" applyFont="1" applyFill="1" applyBorder="1" applyAlignment="1">
      <alignment horizontal="right" vertical="center"/>
    </xf>
    <xf numFmtId="165" fontId="4" fillId="0" borderId="1" xfId="1" applyFont="1" applyFill="1" applyBorder="1" applyAlignment="1">
      <alignment vertical="center"/>
    </xf>
    <xf numFmtId="165" fontId="4" fillId="0" borderId="54" xfId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170" fontId="0" fillId="0" borderId="1" xfId="5" applyNumberFormat="1" applyFont="1" applyBorder="1" applyAlignment="1">
      <alignment horizontal="center"/>
    </xf>
    <xf numFmtId="10" fontId="0" fillId="3" borderId="9" xfId="5" applyNumberFormat="1" applyFont="1" applyFill="1" applyBorder="1" applyAlignment="1">
      <alignment horizontal="center"/>
    </xf>
    <xf numFmtId="172" fontId="4" fillId="0" borderId="39" xfId="1" applyNumberFormat="1" applyFont="1" applyBorder="1" applyAlignment="1">
      <alignment horizontal="right" vertical="center"/>
    </xf>
    <xf numFmtId="172" fontId="4" fillId="0" borderId="1" xfId="1" applyNumberFormat="1" applyFont="1" applyBorder="1" applyAlignment="1">
      <alignment horizontal="right" vertical="center"/>
    </xf>
    <xf numFmtId="172" fontId="4" fillId="0" borderId="9" xfId="1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165" fontId="4" fillId="0" borderId="10" xfId="1" applyFont="1" applyFill="1" applyBorder="1" applyAlignment="1">
      <alignment horizontal="right" vertical="center"/>
    </xf>
    <xf numFmtId="165" fontId="4" fillId="0" borderId="11" xfId="1" applyFont="1" applyFill="1" applyBorder="1" applyAlignment="1">
      <alignment vertical="center"/>
    </xf>
    <xf numFmtId="165" fontId="4" fillId="0" borderId="52" xfId="1" applyFont="1" applyFill="1" applyBorder="1" applyAlignment="1">
      <alignment vertical="center"/>
    </xf>
    <xf numFmtId="170" fontId="4" fillId="0" borderId="11" xfId="5" applyNumberFormat="1" applyFont="1" applyBorder="1" applyAlignment="1">
      <alignment horizontal="center" vertical="center"/>
    </xf>
    <xf numFmtId="170" fontId="3" fillId="0" borderId="11" xfId="5" applyNumberFormat="1" applyFont="1" applyBorder="1" applyAlignment="1">
      <alignment horizontal="center" vertical="center"/>
    </xf>
    <xf numFmtId="10" fontId="3" fillId="7" borderId="11" xfId="5" applyNumberFormat="1" applyFont="1" applyFill="1" applyBorder="1" applyAlignment="1">
      <alignment horizontal="center" vertical="center"/>
    </xf>
    <xf numFmtId="10" fontId="4" fillId="0" borderId="12" xfId="5" applyNumberFormat="1" applyFont="1" applyBorder="1" applyAlignment="1">
      <alignment horizontal="center" vertical="center"/>
    </xf>
    <xf numFmtId="172" fontId="4" fillId="0" borderId="41" xfId="1" applyNumberFormat="1" applyFont="1" applyBorder="1" applyAlignment="1">
      <alignment horizontal="right" vertical="center"/>
    </xf>
    <xf numFmtId="172" fontId="4" fillId="0" borderId="11" xfId="1" applyNumberFormat="1" applyFont="1" applyBorder="1" applyAlignment="1">
      <alignment horizontal="right" vertical="center"/>
    </xf>
    <xf numFmtId="172" fontId="4" fillId="0" borderId="12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</cellXfs>
  <cellStyles count="9">
    <cellStyle name="Comma" xfId="1" builtinId="3"/>
    <cellStyle name="Comma 2" xfId="7" xr:uid="{E74DF72A-261A-4739-909D-A961A247ABE6}"/>
    <cellStyle name="Currency" xfId="2" builtinId="4"/>
    <cellStyle name="Normal" xfId="0" builtinId="0"/>
    <cellStyle name="Normal 2" xfId="4" xr:uid="{C4525906-C258-49A0-94F9-9901F5D722DF}"/>
    <cellStyle name="Normal 3" xfId="6" xr:uid="{BFA56A78-EC4C-4F41-9296-1891ACCEE009}"/>
    <cellStyle name="Percent" xfId="5" builtinId="5"/>
    <cellStyle name="Percent 2" xfId="3" xr:uid="{0B607C1C-7D31-4666-A857-CB46476B56E1}"/>
    <cellStyle name="Percent 3" xfId="8" xr:uid="{198887E6-E5A2-4EFC-AB36-8DE00243AE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ory\Budgets\2019\2019_Revenue_%2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Notes"/>
      <sheetName val="Summ Data"/>
      <sheetName val="2017 Summ"/>
      <sheetName val="2017 Summ per OB"/>
      <sheetName val="Graph"/>
      <sheetName val="Distrates by year"/>
      <sheetName val="Summ 2017F "/>
      <sheetName val="Summ 2018"/>
      <sheetName val="Summ 2017 OB"/>
      <sheetName val="Summ 2019"/>
      <sheetName val="Summ 2020"/>
      <sheetName val="Summ 2021"/>
      <sheetName val="Summ 2022"/>
      <sheetName val="Summ 2023"/>
      <sheetName val="COP"/>
      <sheetName val="Cust info"/>
      <sheetName val="Res Total"/>
      <sheetName val="Res NE"/>
      <sheetName val="Res E"/>
      <sheetName val="GS&lt;50"/>
      <sheetName val="GS&gt;50"/>
      <sheetName val="GS&gt;1000"/>
      <sheetName val="GS&gt;5000"/>
      <sheetName val="Street"/>
      <sheetName val="Sentinel"/>
      <sheetName val="MicroFit"/>
      <sheetName val="Transformer"/>
      <sheetName val="Retail"/>
      <sheetName val="RES NE Graph"/>
      <sheetName val="Res by month"/>
      <sheetName val="Res Annual"/>
      <sheetName val="Summ 2016 OB"/>
      <sheetName val="2016 Summ"/>
      <sheetName val="Summ 2016 (2)"/>
      <sheetName val="Summ 2016 (3)"/>
      <sheetName val="Summ 2015 OB"/>
      <sheetName val="2015 Summ OB"/>
      <sheetName val="Summ2015F "/>
      <sheetName val="YTD 2014"/>
      <sheetName val="2014B"/>
      <sheetName val="Summ 2016F"/>
      <sheetName val="Rates Breakdown"/>
      <sheetName val="Summ 2018 (2)"/>
      <sheetName val="Summ 2018 (3)"/>
    </sheetNames>
    <sheetDataSet>
      <sheetData sheetId="0" refreshError="1"/>
      <sheetData sheetId="1" refreshError="1"/>
      <sheetData sheetId="2">
        <row r="33">
          <cell r="D33">
            <v>1000</v>
          </cell>
          <cell r="E33">
            <v>1000</v>
          </cell>
          <cell r="F33">
            <v>1000</v>
          </cell>
          <cell r="G33">
            <v>1000</v>
          </cell>
          <cell r="H33">
            <v>1000</v>
          </cell>
          <cell r="I33">
            <v>1000</v>
          </cell>
        </row>
        <row r="34">
          <cell r="D34">
            <v>36</v>
          </cell>
          <cell r="E34">
            <v>36</v>
          </cell>
          <cell r="F34">
            <v>36</v>
          </cell>
          <cell r="G34">
            <v>36</v>
          </cell>
          <cell r="H34">
            <v>36</v>
          </cell>
          <cell r="I34">
            <v>36</v>
          </cell>
        </row>
        <row r="35">
          <cell r="D35">
            <v>5</v>
          </cell>
          <cell r="E35">
            <v>5</v>
          </cell>
          <cell r="F35">
            <v>5</v>
          </cell>
          <cell r="G35">
            <v>5</v>
          </cell>
          <cell r="H35">
            <v>5</v>
          </cell>
          <cell r="I35">
            <v>5</v>
          </cell>
        </row>
        <row r="36">
          <cell r="D36">
            <v>-1</v>
          </cell>
          <cell r="E36">
            <v>1</v>
          </cell>
          <cell r="F36">
            <v>0</v>
          </cell>
          <cell r="G36">
            <v>1</v>
          </cell>
          <cell r="H36">
            <v>0</v>
          </cell>
          <cell r="I36">
            <v>1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D38">
            <v>60</v>
          </cell>
          <cell r="E38">
            <v>60</v>
          </cell>
          <cell r="F38">
            <v>60</v>
          </cell>
          <cell r="G38">
            <v>60</v>
          </cell>
          <cell r="H38">
            <v>60</v>
          </cell>
          <cell r="I38">
            <v>60</v>
          </cell>
        </row>
        <row r="41">
          <cell r="D41">
            <v>0.99</v>
          </cell>
          <cell r="E41">
            <v>0.99</v>
          </cell>
          <cell r="F41">
            <v>0.99</v>
          </cell>
          <cell r="G41">
            <v>0.99</v>
          </cell>
          <cell r="H41">
            <v>0.99</v>
          </cell>
          <cell r="I41">
            <v>0.99</v>
          </cell>
        </row>
        <row r="42">
          <cell r="D42">
            <v>0.99</v>
          </cell>
          <cell r="E42">
            <v>0.99</v>
          </cell>
          <cell r="F42">
            <v>0.99</v>
          </cell>
          <cell r="G42">
            <v>0.99</v>
          </cell>
          <cell r="H42">
            <v>0.99</v>
          </cell>
          <cell r="I42">
            <v>0.99</v>
          </cell>
        </row>
        <row r="43">
          <cell r="D43">
            <v>0.99</v>
          </cell>
          <cell r="E43">
            <v>0.99</v>
          </cell>
          <cell r="F43">
            <v>0.99</v>
          </cell>
          <cell r="G43">
            <v>0.99</v>
          </cell>
          <cell r="H43">
            <v>0.99</v>
          </cell>
          <cell r="I43">
            <v>0.99</v>
          </cell>
        </row>
        <row r="44">
          <cell r="D44">
            <v>0.99</v>
          </cell>
          <cell r="E44">
            <v>0.99</v>
          </cell>
          <cell r="F44">
            <v>0.99</v>
          </cell>
          <cell r="G44">
            <v>0.99</v>
          </cell>
          <cell r="H44">
            <v>0.99</v>
          </cell>
          <cell r="I44">
            <v>0.99</v>
          </cell>
        </row>
        <row r="45">
          <cell r="D45">
            <v>0.99</v>
          </cell>
          <cell r="E45">
            <v>0.99</v>
          </cell>
          <cell r="F45">
            <v>0.99</v>
          </cell>
          <cell r="G45">
            <v>0.99</v>
          </cell>
          <cell r="H45">
            <v>0.99</v>
          </cell>
          <cell r="I45">
            <v>0.99</v>
          </cell>
        </row>
        <row r="48">
          <cell r="D48">
            <v>1.6000000000000014E-2</v>
          </cell>
          <cell r="E48">
            <v>1.6000000000000014E-2</v>
          </cell>
          <cell r="F48">
            <v>1.6000000000000014E-2</v>
          </cell>
          <cell r="G48">
            <v>1.6000000000000014E-2</v>
          </cell>
          <cell r="H48">
            <v>1.6000000000000014E-2</v>
          </cell>
          <cell r="I48">
            <v>1.6000000000000014E-2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0C9AF-A460-413B-BFB0-ECC96678B591}">
  <dimension ref="A1:D32"/>
  <sheetViews>
    <sheetView zoomScale="120" zoomScaleNormal="120" workbookViewId="0">
      <selection activeCell="H14" sqref="H14"/>
    </sheetView>
  </sheetViews>
  <sheetFormatPr defaultRowHeight="12.5" x14ac:dyDescent="0.25"/>
  <cols>
    <col min="1" max="1" width="24.26953125" bestFit="1" customWidth="1"/>
    <col min="2" max="4" width="17.453125" customWidth="1"/>
  </cols>
  <sheetData>
    <row r="1" spans="1:4" x14ac:dyDescent="0.25">
      <c r="A1" s="214" t="s">
        <v>13</v>
      </c>
      <c r="B1" s="215"/>
      <c r="C1" s="215"/>
      <c r="D1" s="216"/>
    </row>
    <row r="2" spans="1:4" x14ac:dyDescent="0.25">
      <c r="A2" s="217"/>
      <c r="B2" s="218"/>
      <c r="C2" s="218"/>
      <c r="D2" s="219"/>
    </row>
    <row r="3" spans="1:4" s="12" customFormat="1" ht="48.75" customHeight="1" x14ac:dyDescent="0.25">
      <c r="A3" s="21" t="s">
        <v>0</v>
      </c>
      <c r="B3" s="11" t="s">
        <v>1</v>
      </c>
      <c r="C3" s="11" t="s">
        <v>15</v>
      </c>
      <c r="D3" s="22" t="s">
        <v>16</v>
      </c>
    </row>
    <row r="4" spans="1:4" x14ac:dyDescent="0.25">
      <c r="A4" s="37" t="s">
        <v>33</v>
      </c>
      <c r="B4" s="17">
        <v>475394.87</v>
      </c>
      <c r="C4" s="17">
        <v>272994.7</v>
      </c>
      <c r="D4" s="23">
        <f>B4-C4</f>
        <v>202400.16999999998</v>
      </c>
    </row>
    <row r="5" spans="1:4" x14ac:dyDescent="0.25">
      <c r="A5" s="37" t="s">
        <v>34</v>
      </c>
      <c r="B5" s="17">
        <v>448790.58</v>
      </c>
      <c r="C5" s="17">
        <v>289080.63</v>
      </c>
      <c r="D5" s="23">
        <f t="shared" ref="D5:D11" si="0">B5-C5</f>
        <v>159709.95000000001</v>
      </c>
    </row>
    <row r="6" spans="1:4" x14ac:dyDescent="0.25">
      <c r="A6" s="37" t="s">
        <v>35</v>
      </c>
      <c r="B6" s="18">
        <v>420244.98</v>
      </c>
      <c r="C6" s="18">
        <v>311282.07</v>
      </c>
      <c r="D6" s="23">
        <f t="shared" si="0"/>
        <v>108962.90999999997</v>
      </c>
    </row>
    <row r="7" spans="1:4" x14ac:dyDescent="0.25">
      <c r="A7" s="37" t="s">
        <v>36</v>
      </c>
      <c r="B7" s="18">
        <v>553135.34</v>
      </c>
      <c r="C7" s="18">
        <v>307150.96000000002</v>
      </c>
      <c r="D7" s="23">
        <f t="shared" si="0"/>
        <v>245984.37999999995</v>
      </c>
    </row>
    <row r="8" spans="1:4" x14ac:dyDescent="0.25">
      <c r="A8" s="37" t="s">
        <v>37</v>
      </c>
      <c r="B8" s="18">
        <v>785462.85</v>
      </c>
      <c r="C8" s="18">
        <v>322872.53000000003</v>
      </c>
      <c r="D8" s="23">
        <f t="shared" si="0"/>
        <v>462590.31999999995</v>
      </c>
    </row>
    <row r="9" spans="1:4" x14ac:dyDescent="0.25">
      <c r="A9" s="37" t="s">
        <v>38</v>
      </c>
      <c r="B9" s="18">
        <v>844403.87</v>
      </c>
      <c r="C9" s="18">
        <v>330343.88</v>
      </c>
      <c r="D9" s="23">
        <f t="shared" si="0"/>
        <v>514059.99</v>
      </c>
    </row>
    <row r="10" spans="1:4" ht="13" x14ac:dyDescent="0.3">
      <c r="A10" s="38" t="s">
        <v>75</v>
      </c>
      <c r="B10" s="19">
        <f>B30</f>
        <v>622962.19999999995</v>
      </c>
      <c r="C10" s="134">
        <f>C30</f>
        <v>333505.25222222222</v>
      </c>
      <c r="D10" s="23">
        <f t="shared" si="0"/>
        <v>289456.94777777774</v>
      </c>
    </row>
    <row r="11" spans="1:4" ht="14.25" customHeight="1" thickBot="1" x14ac:dyDescent="0.3">
      <c r="A11" s="40" t="s">
        <v>39</v>
      </c>
      <c r="B11" s="133">
        <f>'Hydro One Rate Analysis'!AC19</f>
        <v>567686.6193790246</v>
      </c>
      <c r="C11" s="24">
        <f>C10*1.05</f>
        <v>350180.51483333332</v>
      </c>
      <c r="D11" s="25">
        <f t="shared" si="0"/>
        <v>217506.10454569128</v>
      </c>
    </row>
    <row r="12" spans="1:4" x14ac:dyDescent="0.25">
      <c r="A12" s="58"/>
      <c r="C12" s="50"/>
      <c r="D12" s="50"/>
    </row>
    <row r="13" spans="1:4" x14ac:dyDescent="0.25">
      <c r="A13" s="55"/>
      <c r="B13" s="57"/>
      <c r="C13" s="59"/>
      <c r="D13" s="49"/>
    </row>
    <row r="14" spans="1:4" ht="13" thickBot="1" x14ac:dyDescent="0.3">
      <c r="A14" s="56"/>
      <c r="C14" s="60"/>
      <c r="D14" s="51"/>
    </row>
    <row r="15" spans="1:4" ht="13" x14ac:dyDescent="0.25">
      <c r="A15" s="220" t="s">
        <v>73</v>
      </c>
      <c r="B15" s="221"/>
      <c r="C15" s="222"/>
      <c r="D15" s="62"/>
    </row>
    <row r="16" spans="1:4" ht="13" x14ac:dyDescent="0.25">
      <c r="A16" s="223"/>
      <c r="B16" s="224"/>
      <c r="C16" s="225"/>
      <c r="D16" s="52"/>
    </row>
    <row r="17" spans="1:4" ht="39" x14ac:dyDescent="0.25">
      <c r="A17" s="21" t="s">
        <v>17</v>
      </c>
      <c r="B17" s="11" t="s">
        <v>1</v>
      </c>
      <c r="C17" s="22" t="s">
        <v>15</v>
      </c>
      <c r="D17" s="61"/>
    </row>
    <row r="18" spans="1:4" x14ac:dyDescent="0.25">
      <c r="A18" s="37" t="s">
        <v>20</v>
      </c>
      <c r="B18" s="20">
        <v>53340.88</v>
      </c>
      <c r="C18" s="27">
        <v>33847.379999999997</v>
      </c>
      <c r="D18" s="53"/>
    </row>
    <row r="19" spans="1:4" x14ac:dyDescent="0.25">
      <c r="A19" s="37" t="s">
        <v>21</v>
      </c>
      <c r="B19" s="20">
        <v>49594.78</v>
      </c>
      <c r="C19" s="27">
        <v>29632.59</v>
      </c>
      <c r="D19" s="53"/>
    </row>
    <row r="20" spans="1:4" x14ac:dyDescent="0.25">
      <c r="A20" s="37" t="s">
        <v>22</v>
      </c>
      <c r="B20" s="20">
        <v>46122.44</v>
      </c>
      <c r="C20" s="27">
        <v>28916.09</v>
      </c>
      <c r="D20" s="54"/>
    </row>
    <row r="21" spans="1:4" x14ac:dyDescent="0.25">
      <c r="A21" s="37" t="s">
        <v>23</v>
      </c>
      <c r="B21" s="20">
        <v>38456.620000000003</v>
      </c>
      <c r="C21" s="27">
        <v>24693.200000000001</v>
      </c>
      <c r="D21" s="63"/>
    </row>
    <row r="22" spans="1:4" x14ac:dyDescent="0.25">
      <c r="A22" s="37" t="s">
        <v>24</v>
      </c>
      <c r="B22" s="20">
        <v>54283</v>
      </c>
      <c r="C22" s="27">
        <v>25981.73</v>
      </c>
      <c r="D22" s="53"/>
    </row>
    <row r="23" spans="1:4" x14ac:dyDescent="0.25">
      <c r="A23" s="37" t="s">
        <v>25</v>
      </c>
      <c r="B23" s="20">
        <v>61834.27</v>
      </c>
      <c r="C23" s="27">
        <v>25013.29</v>
      </c>
      <c r="D23" s="48"/>
    </row>
    <row r="24" spans="1:4" x14ac:dyDescent="0.25">
      <c r="A24" s="37" t="s">
        <v>26</v>
      </c>
      <c r="B24" s="20">
        <v>63421.47</v>
      </c>
      <c r="C24" s="27">
        <v>30459.07</v>
      </c>
      <c r="D24" s="53"/>
    </row>
    <row r="25" spans="1:4" x14ac:dyDescent="0.25">
      <c r="A25" s="37" t="s">
        <v>27</v>
      </c>
      <c r="B25" s="20">
        <v>66110.009999999995</v>
      </c>
      <c r="C25" s="27">
        <v>31727.88</v>
      </c>
      <c r="D25" s="64"/>
    </row>
    <row r="26" spans="1:4" x14ac:dyDescent="0.25">
      <c r="A26" s="37" t="s">
        <v>28</v>
      </c>
      <c r="B26" s="20">
        <v>57431.54</v>
      </c>
      <c r="C26" s="27">
        <v>25331.31</v>
      </c>
      <c r="D26" s="64"/>
    </row>
    <row r="27" spans="1:4" x14ac:dyDescent="0.25">
      <c r="A27" s="37" t="s">
        <v>64</v>
      </c>
      <c r="B27" s="20">
        <v>37207.43</v>
      </c>
      <c r="C27" s="27">
        <v>24172.51</v>
      </c>
      <c r="D27" s="53"/>
    </row>
    <row r="28" spans="1:4" x14ac:dyDescent="0.25">
      <c r="A28" s="37" t="s">
        <v>65</v>
      </c>
      <c r="B28" s="20">
        <v>45481.87</v>
      </c>
      <c r="C28" s="27">
        <v>25329.919999999998</v>
      </c>
      <c r="D28" s="48"/>
    </row>
    <row r="29" spans="1:4" ht="13" x14ac:dyDescent="0.3">
      <c r="A29" s="37" t="s">
        <v>74</v>
      </c>
      <c r="B29" s="20">
        <v>49677.89</v>
      </c>
      <c r="C29" s="135">
        <f t="shared" ref="C29" si="1">AVERAGE($C$18:$C$26)</f>
        <v>28400.282222222224</v>
      </c>
      <c r="D29" s="64"/>
    </row>
    <row r="30" spans="1:4" ht="13.5" thickBot="1" x14ac:dyDescent="0.35">
      <c r="A30" s="39" t="s">
        <v>19</v>
      </c>
      <c r="B30" s="35">
        <f>SUM(B18:B29)</f>
        <v>622962.19999999995</v>
      </c>
      <c r="C30" s="36">
        <f>SUM(C18:C29)</f>
        <v>333505.25222222222</v>
      </c>
      <c r="D30" s="65"/>
    </row>
    <row r="31" spans="1:4" x14ac:dyDescent="0.25">
      <c r="D31" s="66"/>
    </row>
    <row r="32" spans="1:4" x14ac:dyDescent="0.25">
      <c r="D32" s="55"/>
    </row>
  </sheetData>
  <mergeCells count="2">
    <mergeCell ref="A1:D2"/>
    <mergeCell ref="A15:C16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A7DCD-FE05-4A0F-BB09-05217DCADFAE}">
  <sheetPr>
    <pageSetUpPr fitToPage="1"/>
  </sheetPr>
  <dimension ref="A1:L25"/>
  <sheetViews>
    <sheetView zoomScale="110" zoomScaleNormal="110" workbookViewId="0">
      <selection activeCell="J15" sqref="J15"/>
    </sheetView>
  </sheetViews>
  <sheetFormatPr defaultRowHeight="12.5" x14ac:dyDescent="0.25"/>
  <cols>
    <col min="1" max="1" width="49.7265625" customWidth="1"/>
    <col min="2" max="2" width="9.26953125" customWidth="1"/>
    <col min="3" max="3" width="12.54296875" customWidth="1"/>
    <col min="4" max="4" width="12.81640625" customWidth="1"/>
    <col min="5" max="5" width="13.54296875" customWidth="1"/>
    <col min="6" max="6" width="11.81640625" customWidth="1"/>
    <col min="7" max="7" width="12" customWidth="1"/>
    <col min="8" max="8" width="12.54296875" customWidth="1"/>
    <col min="9" max="9" width="11.81640625" customWidth="1"/>
    <col min="10" max="10" width="12.54296875" bestFit="1" customWidth="1"/>
    <col min="11" max="11" width="13.81640625" bestFit="1" customWidth="1"/>
  </cols>
  <sheetData>
    <row r="1" spans="1:11" ht="15.75" customHeight="1" x14ac:dyDescent="0.25">
      <c r="A1" s="226" t="s">
        <v>18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</row>
    <row r="2" spans="1:11" ht="26.25" customHeight="1" x14ac:dyDescent="0.25">
      <c r="A2" s="229"/>
      <c r="B2" s="230"/>
      <c r="C2" s="230"/>
      <c r="D2" s="230"/>
      <c r="E2" s="230"/>
      <c r="F2" s="230"/>
      <c r="G2" s="230"/>
      <c r="H2" s="230"/>
      <c r="I2" s="230"/>
      <c r="J2" s="230"/>
      <c r="K2" s="231"/>
    </row>
    <row r="3" spans="1:11" ht="56" x14ac:dyDescent="0.25">
      <c r="A3" s="28" t="s">
        <v>2</v>
      </c>
      <c r="B3" s="13" t="s">
        <v>3</v>
      </c>
      <c r="C3" s="13" t="s">
        <v>30</v>
      </c>
      <c r="D3" s="13" t="s">
        <v>31</v>
      </c>
      <c r="E3" s="13" t="s">
        <v>40</v>
      </c>
      <c r="F3" s="13" t="s">
        <v>41</v>
      </c>
      <c r="G3" s="13" t="s">
        <v>32</v>
      </c>
      <c r="H3" s="13" t="s">
        <v>4</v>
      </c>
      <c r="I3" s="13" t="s">
        <v>42</v>
      </c>
      <c r="J3" s="13" t="s">
        <v>5</v>
      </c>
      <c r="K3" s="29" t="s">
        <v>6</v>
      </c>
    </row>
    <row r="4" spans="1:11" x14ac:dyDescent="0.25">
      <c r="A4" s="26"/>
      <c r="B4" s="9"/>
      <c r="C4" s="9"/>
      <c r="D4" s="9"/>
      <c r="E4" s="9"/>
      <c r="F4" s="9"/>
      <c r="G4" s="9"/>
      <c r="H4" s="9"/>
      <c r="I4" s="9"/>
      <c r="J4" s="9"/>
      <c r="K4" s="30"/>
    </row>
    <row r="5" spans="1:11" x14ac:dyDescent="0.25">
      <c r="A5" s="31" t="s">
        <v>7</v>
      </c>
      <c r="B5" s="1" t="s">
        <v>8</v>
      </c>
      <c r="C5" s="14">
        <v>2.3999999999999998E-3</v>
      </c>
      <c r="D5" s="14"/>
      <c r="E5" s="10">
        <v>113254637.3178</v>
      </c>
      <c r="F5" s="10">
        <v>0</v>
      </c>
      <c r="G5" s="10">
        <f>+E5*C5</f>
        <v>271811.12956271996</v>
      </c>
      <c r="H5" s="15">
        <f>+G5/$G$10</f>
        <v>0.78480771853720288</v>
      </c>
      <c r="I5" s="2">
        <f>+H5*$I$10</f>
        <v>445524.84059894976</v>
      </c>
      <c r="J5" s="16">
        <f>+I5/E5</f>
        <v>3.9338330963771279E-3</v>
      </c>
      <c r="K5" s="32"/>
    </row>
    <row r="6" spans="1:11" x14ac:dyDescent="0.25">
      <c r="A6" s="31" t="s">
        <v>9</v>
      </c>
      <c r="B6" s="1" t="s">
        <v>8</v>
      </c>
      <c r="C6" s="14">
        <v>2.0999999999999999E-3</v>
      </c>
      <c r="D6" s="14"/>
      <c r="E6" s="10">
        <v>18908459.198200002</v>
      </c>
      <c r="F6" s="10">
        <v>0</v>
      </c>
      <c r="G6" s="10">
        <f>+E6*C6</f>
        <v>39707.764316220004</v>
      </c>
      <c r="H6" s="15">
        <f>+G6/$G$10</f>
        <v>0.11464931539543445</v>
      </c>
      <c r="I6" s="2">
        <f>+H6*$I$10</f>
        <v>65084.882270953742</v>
      </c>
      <c r="J6" s="16">
        <f>+I6/E6</f>
        <v>3.4421039593299872E-3</v>
      </c>
      <c r="K6" s="32"/>
    </row>
    <row r="7" spans="1:11" x14ac:dyDescent="0.25">
      <c r="A7" s="31" t="s">
        <v>14</v>
      </c>
      <c r="B7" s="1" t="s">
        <v>10</v>
      </c>
      <c r="C7" s="14"/>
      <c r="D7" s="14">
        <v>0.8246</v>
      </c>
      <c r="E7" s="10"/>
      <c r="F7" s="10">
        <v>39988</v>
      </c>
      <c r="G7" s="10">
        <f>+F7*D7</f>
        <v>32974.104800000001</v>
      </c>
      <c r="H7" s="15">
        <f>+G7/$G$10</f>
        <v>9.5207035858048808E-2</v>
      </c>
      <c r="I7" s="2">
        <f>+H7*$I$10</f>
        <v>54047.760327353302</v>
      </c>
      <c r="J7" s="16"/>
      <c r="K7" s="32">
        <f>+I7/F7</f>
        <v>1.3515994880302415</v>
      </c>
    </row>
    <row r="8" spans="1:11" x14ac:dyDescent="0.25">
      <c r="A8" s="31" t="s">
        <v>11</v>
      </c>
      <c r="B8" s="1" t="s">
        <v>8</v>
      </c>
      <c r="C8" s="14">
        <v>2.0999999999999999E-3</v>
      </c>
      <c r="D8" s="14"/>
      <c r="E8" s="10">
        <v>167825.27300000002</v>
      </c>
      <c r="F8" s="10"/>
      <c r="G8" s="10">
        <f>E8*C8</f>
        <v>352.43307329999999</v>
      </c>
      <c r="H8" s="15">
        <f>+G8/$G$10</f>
        <v>1.0175896647006302E-3</v>
      </c>
      <c r="I8" s="2">
        <f>+H8*$I$10</f>
        <v>577.6720366689359</v>
      </c>
      <c r="J8" s="16">
        <f>+I8/E8</f>
        <v>3.4421039593299863E-3</v>
      </c>
      <c r="K8" s="32"/>
    </row>
    <row r="9" spans="1:11" x14ac:dyDescent="0.25">
      <c r="A9" s="31" t="s">
        <v>12</v>
      </c>
      <c r="B9" s="1" t="s">
        <v>10</v>
      </c>
      <c r="C9" s="14"/>
      <c r="D9" s="14">
        <v>0.63970000000000005</v>
      </c>
      <c r="E9" s="10"/>
      <c r="F9" s="10">
        <v>2338</v>
      </c>
      <c r="G9" s="10">
        <f>+F9*D9</f>
        <v>1495.6186</v>
      </c>
      <c r="H9" s="15">
        <f>+G9/$G$10</f>
        <v>4.3183405446132013E-3</v>
      </c>
      <c r="I9" s="2">
        <f>+H9*$I$10</f>
        <v>2451.4641450988443</v>
      </c>
      <c r="J9" s="16"/>
      <c r="K9" s="32">
        <f>+I9/F9</f>
        <v>1.0485304298968539</v>
      </c>
    </row>
    <row r="10" spans="1:11" ht="13.5" thickBot="1" x14ac:dyDescent="0.35">
      <c r="A10" s="45" t="s">
        <v>19</v>
      </c>
      <c r="B10" s="33"/>
      <c r="C10" s="33"/>
      <c r="D10" s="33"/>
      <c r="E10" s="34"/>
      <c r="F10" s="41"/>
      <c r="G10" s="42">
        <f>SUM(G5:G9)</f>
        <v>346341.05035223998</v>
      </c>
      <c r="H10" s="43">
        <f>SUM(H5:H9)</f>
        <v>1</v>
      </c>
      <c r="I10" s="46">
        <f>'LV Variances'!B11</f>
        <v>567686.6193790246</v>
      </c>
      <c r="J10" s="41"/>
      <c r="K10" s="44"/>
    </row>
    <row r="11" spans="1:11" x14ac:dyDescent="0.25">
      <c r="E11" s="3"/>
      <c r="G11" s="6"/>
      <c r="H11" s="7"/>
      <c r="I11" s="8"/>
    </row>
    <row r="12" spans="1:11" x14ac:dyDescent="0.25">
      <c r="H12" s="4"/>
    </row>
    <row r="13" spans="1:11" x14ac:dyDescent="0.25">
      <c r="H13" s="4"/>
    </row>
    <row r="14" spans="1:11" x14ac:dyDescent="0.25">
      <c r="H14" s="4"/>
    </row>
    <row r="15" spans="1:11" x14ac:dyDescent="0.25">
      <c r="H15" s="4"/>
    </row>
    <row r="16" spans="1:11" ht="15.5" x14ac:dyDescent="0.4">
      <c r="A16" t="s">
        <v>43</v>
      </c>
    </row>
    <row r="17" spans="1:12" ht="15.5" x14ac:dyDescent="0.4">
      <c r="A17" t="s">
        <v>44</v>
      </c>
    </row>
    <row r="23" spans="1:12" x14ac:dyDescent="0.25">
      <c r="L23" s="5"/>
    </row>
    <row r="25" spans="1:12" x14ac:dyDescent="0.25">
      <c r="L25" s="5"/>
    </row>
  </sheetData>
  <mergeCells count="1">
    <mergeCell ref="A1:K2"/>
  </mergeCells>
  <pageMargins left="0.7" right="0.7" top="0.75" bottom="0.75" header="0.3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63C40-0FD1-4003-8C67-199D4690F7A2}">
  <dimension ref="A1:D12"/>
  <sheetViews>
    <sheetView zoomScale="130" zoomScaleNormal="130" workbookViewId="0">
      <selection activeCell="E15" sqref="E15"/>
    </sheetView>
  </sheetViews>
  <sheetFormatPr defaultRowHeight="12.5" x14ac:dyDescent="0.25"/>
  <cols>
    <col min="1" max="1" width="36.1796875" bestFit="1" customWidth="1"/>
    <col min="2" max="4" width="13.7265625" customWidth="1"/>
  </cols>
  <sheetData>
    <row r="1" spans="1:4" s="67" customFormat="1" ht="26.5" thickBot="1" x14ac:dyDescent="0.3">
      <c r="A1" s="96" t="s">
        <v>53</v>
      </c>
      <c r="B1" s="97" t="s">
        <v>56</v>
      </c>
      <c r="C1" s="97" t="s">
        <v>55</v>
      </c>
      <c r="D1" s="98" t="s">
        <v>54</v>
      </c>
    </row>
    <row r="2" spans="1:4" ht="16.5" customHeight="1" x14ac:dyDescent="0.3">
      <c r="A2" s="109" t="s">
        <v>45</v>
      </c>
      <c r="B2" s="99">
        <v>-753.59999999999991</v>
      </c>
      <c r="C2" s="99">
        <v>0</v>
      </c>
      <c r="D2" s="100">
        <v>753.59999999999991</v>
      </c>
    </row>
    <row r="3" spans="1:4" ht="16.5" customHeight="1" x14ac:dyDescent="0.3">
      <c r="A3" s="110" t="s">
        <v>46</v>
      </c>
      <c r="B3" s="101">
        <v>868.31999999999994</v>
      </c>
      <c r="C3" s="99">
        <v>1736.6399999999999</v>
      </c>
      <c r="D3" s="100">
        <v>868.31999999999994</v>
      </c>
    </row>
    <row r="4" spans="1:4" ht="16.5" customHeight="1" x14ac:dyDescent="0.3">
      <c r="A4" s="110" t="s">
        <v>47</v>
      </c>
      <c r="B4" s="101">
        <v>27971.52</v>
      </c>
      <c r="C4" s="99">
        <v>29422.560000000001</v>
      </c>
      <c r="D4" s="100">
        <v>1451.0400000000009</v>
      </c>
    </row>
    <row r="5" spans="1:4" ht="16.5" customHeight="1" x14ac:dyDescent="0.3">
      <c r="A5" s="110" t="s">
        <v>48</v>
      </c>
      <c r="B5" s="102">
        <v>15690.880000000001</v>
      </c>
      <c r="C5" s="99">
        <v>15963.483328</v>
      </c>
      <c r="D5" s="100">
        <v>272.60332799999924</v>
      </c>
    </row>
    <row r="6" spans="1:4" ht="16.5" customHeight="1" x14ac:dyDescent="0.3">
      <c r="A6" s="110" t="s">
        <v>49</v>
      </c>
      <c r="B6" s="102">
        <v>304496.99999999994</v>
      </c>
      <c r="C6" s="99">
        <v>0</v>
      </c>
      <c r="D6" s="100">
        <v>-304496.99999999994</v>
      </c>
    </row>
    <row r="7" spans="1:4" ht="16.5" customHeight="1" x14ac:dyDescent="0.3">
      <c r="A7" s="110" t="s">
        <v>50</v>
      </c>
      <c r="B7" s="102">
        <v>494436.81</v>
      </c>
      <c r="C7" s="99">
        <v>557272.95388799987</v>
      </c>
      <c r="D7" s="100">
        <v>62836.143887999875</v>
      </c>
    </row>
    <row r="8" spans="1:4" ht="16.5" customHeight="1" x14ac:dyDescent="0.3">
      <c r="A8" s="110" t="s">
        <v>51</v>
      </c>
      <c r="B8" s="102">
        <v>-7061.07</v>
      </c>
      <c r="C8" s="99">
        <v>0</v>
      </c>
      <c r="D8" s="100">
        <v>7061.07</v>
      </c>
    </row>
    <row r="9" spans="1:4" ht="16.5" customHeight="1" thickBot="1" x14ac:dyDescent="0.35">
      <c r="A9" s="111" t="s">
        <v>52</v>
      </c>
      <c r="B9" s="103">
        <v>8754.01</v>
      </c>
      <c r="C9" s="104">
        <v>18566.596439999998</v>
      </c>
      <c r="D9" s="105">
        <v>9812.5864399999973</v>
      </c>
    </row>
    <row r="10" spans="1:4" s="68" customFormat="1" ht="16.5" customHeight="1" thickBot="1" x14ac:dyDescent="0.35">
      <c r="A10" s="106" t="s">
        <v>19</v>
      </c>
      <c r="B10" s="107">
        <v>844403.87</v>
      </c>
      <c r="C10" s="107">
        <v>622962.23365599988</v>
      </c>
      <c r="D10" s="108">
        <v>-221441.63634400012</v>
      </c>
    </row>
    <row r="11" spans="1:4" ht="16.5" customHeight="1" x14ac:dyDescent="0.25"/>
    <row r="12" spans="1:4" ht="16.5" customHeigh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FCDF2-346A-4089-848B-4E20BF575647}">
  <dimension ref="A1:D12"/>
  <sheetViews>
    <sheetView zoomScale="120" zoomScaleNormal="120" workbookViewId="0">
      <selection activeCell="B18" sqref="B18"/>
    </sheetView>
  </sheetViews>
  <sheetFormatPr defaultRowHeight="12.5" x14ac:dyDescent="0.25"/>
  <cols>
    <col min="1" max="1" width="24" customWidth="1"/>
    <col min="2" max="2" width="16" customWidth="1"/>
    <col min="3" max="3" width="13.54296875" customWidth="1"/>
  </cols>
  <sheetData>
    <row r="1" spans="1:4" ht="39" x14ac:dyDescent="0.25">
      <c r="A1" s="128" t="s">
        <v>0</v>
      </c>
      <c r="B1" s="129" t="s">
        <v>15</v>
      </c>
      <c r="C1" s="130" t="s">
        <v>68</v>
      </c>
    </row>
    <row r="2" spans="1:4" x14ac:dyDescent="0.25">
      <c r="A2" s="115" t="s">
        <v>33</v>
      </c>
      <c r="B2" s="116">
        <v>272994.7</v>
      </c>
      <c r="C2" s="117"/>
    </row>
    <row r="3" spans="1:4" x14ac:dyDescent="0.25">
      <c r="A3" s="118" t="s">
        <v>34</v>
      </c>
      <c r="B3" s="113">
        <v>289080.63</v>
      </c>
      <c r="C3" s="119">
        <f>+(B3-B2)/B2</f>
        <v>5.8923964457918018E-2</v>
      </c>
    </row>
    <row r="4" spans="1:4" x14ac:dyDescent="0.25">
      <c r="A4" s="118" t="s">
        <v>35</v>
      </c>
      <c r="B4" s="114">
        <v>311282.07</v>
      </c>
      <c r="C4" s="119">
        <f t="shared" ref="C4:C8" si="0">+(B4-B3)/B3</f>
        <v>7.6800164715290692E-2</v>
      </c>
    </row>
    <row r="5" spans="1:4" x14ac:dyDescent="0.25">
      <c r="A5" s="118" t="s">
        <v>36</v>
      </c>
      <c r="B5" s="114">
        <v>307150.96000000002</v>
      </c>
      <c r="C5" s="119">
        <f t="shared" si="0"/>
        <v>-1.3271275149256061E-2</v>
      </c>
    </row>
    <row r="6" spans="1:4" x14ac:dyDescent="0.25">
      <c r="A6" s="118" t="s">
        <v>37</v>
      </c>
      <c r="B6" s="114">
        <v>322872.53000000003</v>
      </c>
      <c r="C6" s="119">
        <f t="shared" si="0"/>
        <v>5.1185156640890871E-2</v>
      </c>
    </row>
    <row r="7" spans="1:4" x14ac:dyDescent="0.25">
      <c r="A7" s="118" t="s">
        <v>38</v>
      </c>
      <c r="B7" s="114">
        <v>330343.88</v>
      </c>
      <c r="C7" s="119">
        <f t="shared" si="0"/>
        <v>2.3140246709746338E-2</v>
      </c>
    </row>
    <row r="8" spans="1:4" x14ac:dyDescent="0.25">
      <c r="A8" s="120" t="s">
        <v>29</v>
      </c>
      <c r="B8" s="121">
        <v>333505.25222222222</v>
      </c>
      <c r="C8" s="122">
        <f t="shared" si="0"/>
        <v>9.5699433639340106E-3</v>
      </c>
      <c r="D8" s="112"/>
    </row>
    <row r="9" spans="1:4" x14ac:dyDescent="0.25">
      <c r="A9" s="123" t="s">
        <v>70</v>
      </c>
      <c r="B9" s="124"/>
      <c r="C9" s="125">
        <f>+AVERAGE(C2:C4,C6:C8)</f>
        <v>4.3923895177555988E-2</v>
      </c>
    </row>
    <row r="10" spans="1:4" x14ac:dyDescent="0.25">
      <c r="A10" s="123" t="s">
        <v>69</v>
      </c>
      <c r="B10" s="126"/>
      <c r="C10" s="127">
        <v>1.6E-2</v>
      </c>
    </row>
    <row r="11" spans="1:4" x14ac:dyDescent="0.25">
      <c r="A11" s="123" t="s">
        <v>71</v>
      </c>
      <c r="B11" s="126"/>
      <c r="C11" s="127">
        <f>-1.6%/2</f>
        <v>-8.0000000000000002E-3</v>
      </c>
    </row>
    <row r="12" spans="1:4" x14ac:dyDescent="0.25">
      <c r="A12" s="131" t="s">
        <v>72</v>
      </c>
      <c r="B12" s="126"/>
      <c r="C12" s="132">
        <f>+C10+C9+C11</f>
        <v>5.1923895177555988E-2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6625C-3BBC-4AE1-890D-6BFEC22145CD}">
  <dimension ref="A1:AD28"/>
  <sheetViews>
    <sheetView tabSelected="1" workbookViewId="0">
      <selection activeCell="E6" sqref="E6"/>
    </sheetView>
  </sheetViews>
  <sheetFormatPr defaultRowHeight="12.5" x14ac:dyDescent="0.25"/>
  <cols>
    <col min="1" max="1" width="38.26953125" customWidth="1"/>
    <col min="2" max="2" width="6.54296875" style="80" customWidth="1"/>
    <col min="3" max="3" width="11" customWidth="1"/>
    <col min="4" max="5" width="11.26953125" customWidth="1"/>
    <col min="6" max="6" width="14.1796875" bestFit="1" customWidth="1"/>
    <col min="7" max="7" width="13.54296875" bestFit="1" customWidth="1"/>
    <col min="8" max="8" width="10.7265625" bestFit="1" customWidth="1"/>
    <col min="9" max="14" width="11.26953125" customWidth="1"/>
    <col min="15" max="15" width="14" hidden="1" customWidth="1"/>
    <col min="16" max="16" width="13.453125" hidden="1" customWidth="1"/>
    <col min="17" max="17" width="11.26953125" customWidth="1"/>
    <col min="18" max="18" width="11.1796875" customWidth="1"/>
    <col min="19" max="21" width="11.26953125" customWidth="1"/>
    <col min="22" max="29" width="11.26953125" bestFit="1" customWidth="1"/>
  </cols>
  <sheetData>
    <row r="1" spans="1:30" s="67" customFormat="1" ht="25.5" customHeight="1" thickBot="1" x14ac:dyDescent="0.3">
      <c r="C1" s="232" t="s">
        <v>76</v>
      </c>
      <c r="D1" s="233"/>
      <c r="E1" s="233"/>
      <c r="F1" s="233"/>
      <c r="G1" s="233"/>
      <c r="H1" s="233"/>
      <c r="I1" s="233"/>
      <c r="J1" s="233"/>
      <c r="K1" s="234"/>
      <c r="L1" s="232" t="s">
        <v>63</v>
      </c>
      <c r="M1" s="233"/>
      <c r="N1" s="233"/>
      <c r="O1" s="233"/>
      <c r="P1" s="233"/>
      <c r="Q1" s="233"/>
      <c r="R1" s="233"/>
      <c r="S1" s="233"/>
      <c r="T1" s="233"/>
      <c r="U1" s="234"/>
      <c r="V1" s="232" t="s">
        <v>77</v>
      </c>
      <c r="W1" s="233"/>
      <c r="X1" s="233"/>
      <c r="Y1" s="233"/>
      <c r="Z1" s="233"/>
      <c r="AA1" s="233"/>
      <c r="AB1" s="233"/>
      <c r="AC1" s="234"/>
    </row>
    <row r="2" spans="1:30" s="67" customFormat="1" ht="18.75" customHeight="1" thickBot="1" x14ac:dyDescent="0.3">
      <c r="A2" s="85" t="s">
        <v>53</v>
      </c>
      <c r="B2" s="84"/>
      <c r="C2" s="137">
        <v>2016</v>
      </c>
      <c r="D2" s="138">
        <v>2017</v>
      </c>
      <c r="E2" s="138">
        <v>2018</v>
      </c>
      <c r="F2" s="138" t="s">
        <v>66</v>
      </c>
      <c r="G2" s="138" t="s">
        <v>67</v>
      </c>
      <c r="H2" s="138">
        <v>2020</v>
      </c>
      <c r="I2" s="138">
        <v>2021</v>
      </c>
      <c r="J2" s="138">
        <v>2022</v>
      </c>
      <c r="K2" s="139">
        <v>2023</v>
      </c>
      <c r="L2" s="137">
        <v>2016</v>
      </c>
      <c r="M2" s="138">
        <v>2017</v>
      </c>
      <c r="N2" s="138">
        <v>2018</v>
      </c>
      <c r="O2" s="138" t="s">
        <v>66</v>
      </c>
      <c r="P2" s="138" t="s">
        <v>67</v>
      </c>
      <c r="Q2" s="138" t="s">
        <v>61</v>
      </c>
      <c r="R2" s="138">
        <v>2020</v>
      </c>
      <c r="S2" s="138">
        <v>2021</v>
      </c>
      <c r="T2" s="138">
        <v>2022</v>
      </c>
      <c r="U2" s="139">
        <v>2023</v>
      </c>
      <c r="V2" s="85">
        <v>2016</v>
      </c>
      <c r="W2" s="140">
        <v>2017</v>
      </c>
      <c r="X2" s="140">
        <v>2018</v>
      </c>
      <c r="Y2" s="140">
        <v>2019</v>
      </c>
      <c r="Z2" s="140">
        <v>2020</v>
      </c>
      <c r="AA2" s="140">
        <v>2021</v>
      </c>
      <c r="AB2" s="140">
        <v>2022</v>
      </c>
      <c r="AC2" s="141">
        <v>2023</v>
      </c>
    </row>
    <row r="3" spans="1:30" s="69" customFormat="1" ht="15.5" x14ac:dyDescent="0.3">
      <c r="A3" s="75" t="s">
        <v>81</v>
      </c>
      <c r="B3" s="86" t="s">
        <v>62</v>
      </c>
      <c r="C3" s="81">
        <v>481.41</v>
      </c>
      <c r="D3" s="78">
        <v>492.55</v>
      </c>
      <c r="E3" s="78">
        <v>492.55</v>
      </c>
      <c r="F3" s="78">
        <v>492.55</v>
      </c>
      <c r="G3" s="78">
        <v>546.47</v>
      </c>
      <c r="H3" s="78">
        <v>559.4</v>
      </c>
      <c r="I3" s="78">
        <v>582.74</v>
      </c>
      <c r="J3" s="78">
        <v>612.97</v>
      </c>
      <c r="K3" s="93">
        <v>824.28</v>
      </c>
      <c r="L3" s="142"/>
      <c r="M3" s="143"/>
      <c r="N3" s="143"/>
      <c r="O3" s="143"/>
      <c r="P3" s="143"/>
      <c r="Q3" s="143"/>
      <c r="R3" s="143"/>
      <c r="S3" s="143"/>
      <c r="T3" s="143"/>
      <c r="U3" s="144"/>
      <c r="V3" s="145">
        <f>+C3*4*12</f>
        <v>23107.68</v>
      </c>
      <c r="W3" s="146">
        <f>+D3*4*12</f>
        <v>23642.400000000001</v>
      </c>
      <c r="X3" s="146">
        <f>+E3*4*12</f>
        <v>23642.400000000001</v>
      </c>
      <c r="Y3" s="146">
        <f>+(F3*4*6)+(G3*4*6)</f>
        <v>24936.480000000003</v>
      </c>
      <c r="Z3" s="146">
        <f>+(H3*4*12)</f>
        <v>26851.199999999997</v>
      </c>
      <c r="AA3" s="146">
        <f>+(I3*4*12)</f>
        <v>27971.52</v>
      </c>
      <c r="AB3" s="146">
        <f>+(J3*4*12)</f>
        <v>29422.560000000001</v>
      </c>
      <c r="AC3" s="147">
        <f>+(K3*4*12)</f>
        <v>39565.440000000002</v>
      </c>
      <c r="AD3" s="89"/>
    </row>
    <row r="4" spans="1:30" s="69" customFormat="1" ht="31" x14ac:dyDescent="0.3">
      <c r="A4" s="70" t="s">
        <v>82</v>
      </c>
      <c r="B4" s="87" t="s">
        <v>62</v>
      </c>
      <c r="C4" s="82">
        <v>47.56</v>
      </c>
      <c r="D4" s="72"/>
      <c r="E4" s="72"/>
      <c r="F4" s="72"/>
      <c r="G4" s="72"/>
      <c r="H4" s="72"/>
      <c r="I4" s="72"/>
      <c r="J4" s="72"/>
      <c r="K4" s="94"/>
      <c r="L4" s="148"/>
      <c r="M4" s="149"/>
      <c r="N4" s="149"/>
      <c r="O4" s="149"/>
      <c r="P4" s="149"/>
      <c r="Q4" s="149"/>
      <c r="R4" s="149"/>
      <c r="S4" s="149"/>
      <c r="T4" s="149"/>
      <c r="U4" s="150"/>
      <c r="V4" s="151">
        <f>+C4*5*12</f>
        <v>2853.6000000000004</v>
      </c>
      <c r="W4" s="152"/>
      <c r="X4" s="152"/>
      <c r="Y4" s="152"/>
      <c r="Z4" s="152"/>
      <c r="AA4" s="152"/>
      <c r="AB4" s="152"/>
      <c r="AC4" s="153"/>
      <c r="AD4" s="89"/>
    </row>
    <row r="5" spans="1:30" s="69" customFormat="1" ht="46.5" x14ac:dyDescent="0.3">
      <c r="A5" s="70" t="s">
        <v>83</v>
      </c>
      <c r="B5" s="87" t="s">
        <v>62</v>
      </c>
      <c r="C5" s="82">
        <v>11.62</v>
      </c>
      <c r="D5" s="72">
        <v>11.86</v>
      </c>
      <c r="E5" s="72"/>
      <c r="F5" s="72"/>
      <c r="G5" s="72"/>
      <c r="H5" s="72"/>
      <c r="I5" s="72"/>
      <c r="J5" s="72"/>
      <c r="K5" s="94"/>
      <c r="L5" s="148"/>
      <c r="M5" s="149"/>
      <c r="N5" s="149"/>
      <c r="O5" s="149"/>
      <c r="P5" s="149"/>
      <c r="Q5" s="149"/>
      <c r="R5" s="149"/>
      <c r="S5" s="149"/>
      <c r="T5" s="149"/>
      <c r="U5" s="150"/>
      <c r="V5" s="151">
        <f>+C5*5*12</f>
        <v>697.19999999999993</v>
      </c>
      <c r="W5" s="152">
        <f>(D5*5*6)+(D5*4*6)</f>
        <v>640.43999999999994</v>
      </c>
      <c r="X5" s="152"/>
      <c r="Y5" s="152"/>
      <c r="Z5" s="152"/>
      <c r="AA5" s="152"/>
      <c r="AB5" s="152"/>
      <c r="AC5" s="153"/>
      <c r="AD5" s="89"/>
    </row>
    <row r="6" spans="1:30" s="69" customFormat="1" ht="31" x14ac:dyDescent="0.3">
      <c r="A6" s="71" t="s">
        <v>84</v>
      </c>
      <c r="B6" s="88" t="s">
        <v>10</v>
      </c>
      <c r="C6" s="82"/>
      <c r="D6" s="72"/>
      <c r="E6" s="72"/>
      <c r="F6" s="72"/>
      <c r="G6" s="72"/>
      <c r="H6" s="72"/>
      <c r="I6" s="72"/>
      <c r="J6" s="72"/>
      <c r="K6" s="94">
        <v>-0.13400000000000001</v>
      </c>
      <c r="L6" s="148"/>
      <c r="M6" s="149"/>
      <c r="N6" s="149"/>
      <c r="O6" s="149"/>
      <c r="P6" s="149"/>
      <c r="Q6" s="149"/>
      <c r="R6" s="149"/>
      <c r="S6" s="149"/>
      <c r="T6" s="149"/>
      <c r="U6" s="150">
        <v>343825.85999999993</v>
      </c>
      <c r="V6" s="151"/>
      <c r="W6" s="152"/>
      <c r="X6" s="152"/>
      <c r="Y6" s="152"/>
      <c r="Z6" s="152"/>
      <c r="AA6" s="152"/>
      <c r="AB6" s="152"/>
      <c r="AC6" s="153">
        <f>+U6*K6</f>
        <v>-46072.665239999995</v>
      </c>
      <c r="AD6" s="89"/>
    </row>
    <row r="7" spans="1:30" s="69" customFormat="1" ht="31" x14ac:dyDescent="0.3">
      <c r="A7" s="71" t="s">
        <v>85</v>
      </c>
      <c r="B7" s="88" t="s">
        <v>10</v>
      </c>
      <c r="C7" s="82"/>
      <c r="D7" s="72"/>
      <c r="E7" s="72"/>
      <c r="F7" s="72"/>
      <c r="G7" s="72"/>
      <c r="H7" s="72"/>
      <c r="I7" s="72"/>
      <c r="J7" s="72"/>
      <c r="K7" s="94">
        <v>-7.1999999999999998E-3</v>
      </c>
      <c r="L7" s="148"/>
      <c r="M7" s="149"/>
      <c r="N7" s="149"/>
      <c r="O7" s="149"/>
      <c r="P7" s="149"/>
      <c r="Q7" s="149"/>
      <c r="R7" s="149"/>
      <c r="S7" s="149"/>
      <c r="T7" s="149"/>
      <c r="U7" s="150">
        <v>343825.85999999993</v>
      </c>
      <c r="V7" s="151"/>
      <c r="W7" s="152"/>
      <c r="X7" s="152"/>
      <c r="Y7" s="152"/>
      <c r="Z7" s="152"/>
      <c r="AA7" s="152"/>
      <c r="AB7" s="152"/>
      <c r="AC7" s="153">
        <f>+U7*K7</f>
        <v>-2475.5461919999993</v>
      </c>
      <c r="AD7" s="89"/>
    </row>
    <row r="8" spans="1:30" s="69" customFormat="1" ht="15.5" x14ac:dyDescent="0.3">
      <c r="A8" s="71" t="s">
        <v>48</v>
      </c>
      <c r="B8" s="88" t="s">
        <v>10</v>
      </c>
      <c r="C8" s="82">
        <v>1.5966</v>
      </c>
      <c r="D8" s="72">
        <v>1.5464</v>
      </c>
      <c r="E8" s="72">
        <v>1.5464</v>
      </c>
      <c r="F8" s="72">
        <v>1.5464</v>
      </c>
      <c r="G8" s="72">
        <v>1.5386</v>
      </c>
      <c r="H8" s="72">
        <v>1.5363</v>
      </c>
      <c r="I8" s="72">
        <v>1.6671</v>
      </c>
      <c r="J8" s="72">
        <v>1.6888000000000001</v>
      </c>
      <c r="K8" s="94">
        <v>1.9296</v>
      </c>
      <c r="L8" s="148">
        <v>8632.9100000000017</v>
      </c>
      <c r="M8" s="149">
        <v>8284.74</v>
      </c>
      <c r="N8" s="149">
        <v>9114.0999999999985</v>
      </c>
      <c r="O8" s="149">
        <v>4588.16</v>
      </c>
      <c r="P8" s="149">
        <v>4305.6499999999996</v>
      </c>
      <c r="Q8" s="149">
        <v>8893.81</v>
      </c>
      <c r="R8" s="149">
        <v>8936.409999999998</v>
      </c>
      <c r="S8" s="149">
        <v>9412.08</v>
      </c>
      <c r="T8" s="149">
        <v>9452.56</v>
      </c>
      <c r="U8" s="154">
        <f>T8*(1+U20)</f>
        <v>9606.8339191351861</v>
      </c>
      <c r="V8" s="151">
        <f>+C8*L8</f>
        <v>13783.304106000003</v>
      </c>
      <c r="W8" s="152">
        <f>+D8*M8</f>
        <v>12811.521935999999</v>
      </c>
      <c r="X8" s="152">
        <f>+E8*N8</f>
        <v>14094.044239999997</v>
      </c>
      <c r="Y8" s="152">
        <f>+(F8*O8)+(G8*P8)</f>
        <v>13719.803713999998</v>
      </c>
      <c r="Z8" s="152">
        <f>+(H8*R8)</f>
        <v>13729.006682999998</v>
      </c>
      <c r="AA8" s="152">
        <f>+(I8*S8)</f>
        <v>15690.878568</v>
      </c>
      <c r="AB8" s="152">
        <f>+(J8*T8)</f>
        <v>15963.483328</v>
      </c>
      <c r="AC8" s="153">
        <f>+(K8*U8)</f>
        <v>18537.346730363253</v>
      </c>
      <c r="AD8" s="89"/>
    </row>
    <row r="9" spans="1:30" s="69" customFormat="1" ht="31" x14ac:dyDescent="0.3">
      <c r="A9" s="71" t="s">
        <v>86</v>
      </c>
      <c r="B9" s="88" t="s">
        <v>10</v>
      </c>
      <c r="C9" s="82">
        <v>-0.44650000000000001</v>
      </c>
      <c r="D9" s="72">
        <v>-0.44180000000000003</v>
      </c>
      <c r="E9" s="72"/>
      <c r="F9" s="72"/>
      <c r="G9" s="72"/>
      <c r="H9" s="72"/>
      <c r="I9" s="72"/>
      <c r="J9" s="72"/>
      <c r="K9" s="94"/>
      <c r="L9" s="148">
        <v>1137.2800000000002</v>
      </c>
      <c r="M9" s="149">
        <v>381.62</v>
      </c>
      <c r="N9" s="149"/>
      <c r="O9" s="149"/>
      <c r="P9" s="149"/>
      <c r="Q9" s="149"/>
      <c r="R9" s="149"/>
      <c r="S9" s="149"/>
      <c r="T9" s="149"/>
      <c r="U9" s="150"/>
      <c r="V9" s="151">
        <f t="shared" ref="V9:W11" si="0">+C9*L9</f>
        <v>-507.79552000000012</v>
      </c>
      <c r="W9" s="152">
        <f t="shared" si="0"/>
        <v>-168.599716</v>
      </c>
      <c r="X9" s="152"/>
      <c r="Y9" s="152"/>
      <c r="Z9" s="152"/>
      <c r="AA9" s="152"/>
      <c r="AB9" s="152"/>
      <c r="AC9" s="153"/>
      <c r="AD9" s="89"/>
    </row>
    <row r="10" spans="1:30" s="69" customFormat="1" ht="15.5" x14ac:dyDescent="0.3">
      <c r="A10" s="71" t="s">
        <v>50</v>
      </c>
      <c r="B10" s="88" t="s">
        <v>10</v>
      </c>
      <c r="C10" s="82">
        <v>1.1739999999999999</v>
      </c>
      <c r="D10" s="72">
        <v>1.2052</v>
      </c>
      <c r="E10" s="72">
        <v>1.2052</v>
      </c>
      <c r="F10" s="72">
        <v>1.2052</v>
      </c>
      <c r="G10" s="72">
        <v>1.4434</v>
      </c>
      <c r="H10" s="72">
        <v>1.4854000000000001</v>
      </c>
      <c r="I10" s="72">
        <v>1.5335000000000001</v>
      </c>
      <c r="J10" s="72">
        <v>1.6208</v>
      </c>
      <c r="K10" s="94">
        <v>1.5442</v>
      </c>
      <c r="L10" s="148">
        <v>292421.84000000003</v>
      </c>
      <c r="M10" s="149">
        <v>275525.57999999996</v>
      </c>
      <c r="N10" s="149">
        <v>317381.8</v>
      </c>
      <c r="O10" s="149">
        <v>135898.37</v>
      </c>
      <c r="P10" s="149">
        <v>149780.13999999998</v>
      </c>
      <c r="Q10" s="149">
        <v>285678.51</v>
      </c>
      <c r="R10" s="149">
        <v>312541.60000000003</v>
      </c>
      <c r="S10" s="149">
        <v>322423.76</v>
      </c>
      <c r="T10" s="149">
        <v>343825.85999999993</v>
      </c>
      <c r="U10" s="155">
        <f>T10*(1+U21)</f>
        <v>354500.14486347826</v>
      </c>
      <c r="V10" s="151">
        <f t="shared" si="0"/>
        <v>343303.24015999999</v>
      </c>
      <c r="W10" s="152">
        <f t="shared" si="0"/>
        <v>332063.42901599995</v>
      </c>
      <c r="X10" s="152">
        <f>+E10*N10</f>
        <v>382508.54535999999</v>
      </c>
      <c r="Y10" s="152">
        <f>+F10*O10+(G10*P10)</f>
        <v>379977.36959999998</v>
      </c>
      <c r="Z10" s="152">
        <f>+H10*R10</f>
        <v>464249.29264000006</v>
      </c>
      <c r="AA10" s="152">
        <f>+I10*S10</f>
        <v>494436.83596000005</v>
      </c>
      <c r="AB10" s="152">
        <f>+J10*T10</f>
        <v>557272.95388799987</v>
      </c>
      <c r="AC10" s="153">
        <f>+K10*U10</f>
        <v>547419.1236981831</v>
      </c>
      <c r="AD10" s="89"/>
    </row>
    <row r="11" spans="1:30" s="69" customFormat="1" ht="15.5" x14ac:dyDescent="0.3">
      <c r="A11" s="71" t="s">
        <v>59</v>
      </c>
      <c r="B11" s="88" t="s">
        <v>10</v>
      </c>
      <c r="C11" s="82">
        <v>0.31509999999999999</v>
      </c>
      <c r="D11" s="72">
        <v>0.31259999999999999</v>
      </c>
      <c r="E11" s="72"/>
      <c r="F11" s="72"/>
      <c r="G11" s="72"/>
      <c r="H11" s="72"/>
      <c r="I11" s="72"/>
      <c r="J11" s="72"/>
      <c r="K11" s="94"/>
      <c r="L11" s="148">
        <v>292421.84000000003</v>
      </c>
      <c r="M11" s="149">
        <v>275525.57999999996</v>
      </c>
      <c r="N11" s="149"/>
      <c r="O11" s="149"/>
      <c r="P11" s="149"/>
      <c r="Q11" s="149"/>
      <c r="R11" s="149"/>
      <c r="S11" s="149"/>
      <c r="T11" s="149"/>
      <c r="U11" s="150"/>
      <c r="V11" s="151">
        <f t="shared" si="0"/>
        <v>92142.121784000003</v>
      </c>
      <c r="W11" s="152">
        <f t="shared" si="0"/>
        <v>86129.29630799999</v>
      </c>
      <c r="X11" s="152"/>
      <c r="Y11" s="152"/>
      <c r="Z11" s="152"/>
      <c r="AA11" s="152"/>
      <c r="AB11" s="152"/>
      <c r="AC11" s="153"/>
      <c r="AD11" s="89"/>
    </row>
    <row r="12" spans="1:30" s="69" customFormat="1" ht="31" x14ac:dyDescent="0.3">
      <c r="A12" s="70" t="s">
        <v>87</v>
      </c>
      <c r="B12" s="87" t="s">
        <v>62</v>
      </c>
      <c r="C12" s="82"/>
      <c r="D12" s="72"/>
      <c r="E12" s="72"/>
      <c r="F12" s="72"/>
      <c r="G12" s="72">
        <v>13.07</v>
      </c>
      <c r="H12" s="72">
        <v>13.07</v>
      </c>
      <c r="I12" s="72"/>
      <c r="J12" s="72"/>
      <c r="K12" s="94"/>
      <c r="L12" s="148"/>
      <c r="M12" s="149"/>
      <c r="N12" s="149"/>
      <c r="O12" s="149"/>
      <c r="P12" s="149"/>
      <c r="Q12" s="149"/>
      <c r="R12" s="149"/>
      <c r="S12" s="149"/>
      <c r="T12" s="149"/>
      <c r="U12" s="150"/>
      <c r="V12" s="151"/>
      <c r="W12" s="152"/>
      <c r="X12" s="152"/>
      <c r="Y12" s="152">
        <f>+(G12*4*6)</f>
        <v>313.68</v>
      </c>
      <c r="Z12" s="152">
        <f>+(H12*4*12)</f>
        <v>627.36</v>
      </c>
      <c r="AA12" s="152"/>
      <c r="AB12" s="152"/>
      <c r="AC12" s="153"/>
      <c r="AD12" s="89"/>
    </row>
    <row r="13" spans="1:30" s="69" customFormat="1" ht="15.5" x14ac:dyDescent="0.3">
      <c r="A13" s="71" t="s">
        <v>60</v>
      </c>
      <c r="B13" s="88" t="s">
        <v>10</v>
      </c>
      <c r="C13" s="82"/>
      <c r="D13" s="72"/>
      <c r="E13" s="72"/>
      <c r="F13" s="72"/>
      <c r="G13" s="72">
        <v>0.89590000000000003</v>
      </c>
      <c r="H13" s="72">
        <v>0.89590000000000003</v>
      </c>
      <c r="I13" s="72"/>
      <c r="J13" s="72"/>
      <c r="K13" s="94"/>
      <c r="L13" s="148"/>
      <c r="M13" s="149"/>
      <c r="N13" s="149"/>
      <c r="O13" s="149"/>
      <c r="P13" s="149">
        <v>149780.13999999998</v>
      </c>
      <c r="Q13" s="149">
        <v>149780.13999999998</v>
      </c>
      <c r="R13" s="149">
        <v>312541.60000000003</v>
      </c>
      <c r="S13" s="149"/>
      <c r="T13" s="149"/>
      <c r="U13" s="150"/>
      <c r="V13" s="151"/>
      <c r="W13" s="152"/>
      <c r="X13" s="152"/>
      <c r="Y13" s="152">
        <f>+G13*P13</f>
        <v>134188.02742599999</v>
      </c>
      <c r="Z13" s="152">
        <f>+H13*R13</f>
        <v>280006.01944000006</v>
      </c>
      <c r="AA13" s="152"/>
      <c r="AB13" s="152"/>
      <c r="AC13" s="153"/>
      <c r="AD13" s="89"/>
    </row>
    <row r="14" spans="1:30" ht="31" x14ac:dyDescent="0.25">
      <c r="A14" s="70" t="s">
        <v>88</v>
      </c>
      <c r="B14" s="87" t="s">
        <v>62</v>
      </c>
      <c r="C14" s="83"/>
      <c r="D14" s="73"/>
      <c r="E14" s="73"/>
      <c r="F14" s="73"/>
      <c r="G14" s="73"/>
      <c r="H14" s="73"/>
      <c r="I14" s="73">
        <v>-15.7</v>
      </c>
      <c r="J14" s="73"/>
      <c r="K14" s="95"/>
      <c r="L14" s="156"/>
      <c r="M14" s="157"/>
      <c r="N14" s="157"/>
      <c r="O14" s="157"/>
      <c r="P14" s="157"/>
      <c r="Q14" s="157"/>
      <c r="R14" s="157"/>
      <c r="S14" s="157"/>
      <c r="T14" s="157"/>
      <c r="U14" s="158"/>
      <c r="V14" s="151"/>
      <c r="W14" s="152"/>
      <c r="X14" s="152"/>
      <c r="Y14" s="152"/>
      <c r="Z14" s="152"/>
      <c r="AA14" s="152">
        <f>+I14*4*12</f>
        <v>-753.59999999999991</v>
      </c>
      <c r="AB14" s="152"/>
      <c r="AC14" s="153"/>
      <c r="AD14" s="90"/>
    </row>
    <row r="15" spans="1:30" ht="31" x14ac:dyDescent="0.25">
      <c r="A15" s="70" t="s">
        <v>89</v>
      </c>
      <c r="B15" s="87" t="s">
        <v>62</v>
      </c>
      <c r="C15" s="83"/>
      <c r="D15" s="73"/>
      <c r="E15" s="73"/>
      <c r="F15" s="73"/>
      <c r="G15" s="73"/>
      <c r="H15" s="73"/>
      <c r="I15" s="73">
        <v>36.18</v>
      </c>
      <c r="J15" s="73">
        <v>36.18</v>
      </c>
      <c r="K15" s="95">
        <v>36.18</v>
      </c>
      <c r="L15" s="156"/>
      <c r="M15" s="157"/>
      <c r="N15" s="157"/>
      <c r="O15" s="157"/>
      <c r="P15" s="157"/>
      <c r="Q15" s="157"/>
      <c r="R15" s="157"/>
      <c r="S15" s="157"/>
      <c r="T15" s="157"/>
      <c r="U15" s="158"/>
      <c r="V15" s="151"/>
      <c r="W15" s="152"/>
      <c r="X15" s="152"/>
      <c r="Y15" s="152"/>
      <c r="Z15" s="152"/>
      <c r="AA15" s="152">
        <f>+I15*4*6</f>
        <v>868.31999999999994</v>
      </c>
      <c r="AB15" s="152">
        <f>+J15*4*12</f>
        <v>1736.6399999999999</v>
      </c>
      <c r="AC15" s="153">
        <f>+K15*4*6</f>
        <v>868.31999999999994</v>
      </c>
      <c r="AD15" s="90"/>
    </row>
    <row r="16" spans="1:30" ht="15.5" x14ac:dyDescent="0.25">
      <c r="A16" s="71" t="s">
        <v>49</v>
      </c>
      <c r="B16" s="88" t="s">
        <v>10</v>
      </c>
      <c r="C16" s="83"/>
      <c r="D16" s="73"/>
      <c r="E16" s="73"/>
      <c r="F16" s="73"/>
      <c r="G16" s="73"/>
      <c r="H16" s="73"/>
      <c r="I16" s="73">
        <v>0.94440000000000002</v>
      </c>
      <c r="J16" s="73"/>
      <c r="K16" s="95"/>
      <c r="L16" s="156"/>
      <c r="M16" s="157"/>
      <c r="N16" s="157"/>
      <c r="O16" s="157"/>
      <c r="P16" s="157"/>
      <c r="Q16" s="157"/>
      <c r="R16" s="157"/>
      <c r="S16" s="157">
        <v>322423.76</v>
      </c>
      <c r="T16" s="157"/>
      <c r="U16" s="158"/>
      <c r="V16" s="151"/>
      <c r="W16" s="152"/>
      <c r="X16" s="152"/>
      <c r="Y16" s="152"/>
      <c r="Z16" s="152"/>
      <c r="AA16" s="152">
        <f>+I16*S16</f>
        <v>304496.99894399999</v>
      </c>
      <c r="AB16" s="152"/>
      <c r="AC16" s="153"/>
      <c r="AD16" s="90"/>
    </row>
    <row r="17" spans="1:30" ht="15.5" x14ac:dyDescent="0.25">
      <c r="A17" s="71" t="s">
        <v>51</v>
      </c>
      <c r="B17" s="88" t="s">
        <v>10</v>
      </c>
      <c r="C17" s="92"/>
      <c r="D17" s="73"/>
      <c r="E17" s="73"/>
      <c r="F17" s="73"/>
      <c r="G17" s="73"/>
      <c r="H17" s="73"/>
      <c r="I17" s="73">
        <v>-2.1899999999999999E-2</v>
      </c>
      <c r="J17" s="73"/>
      <c r="K17" s="95"/>
      <c r="L17" s="156"/>
      <c r="M17" s="157"/>
      <c r="N17" s="157"/>
      <c r="O17" s="157"/>
      <c r="P17" s="157"/>
      <c r="Q17" s="157"/>
      <c r="R17" s="157"/>
      <c r="S17" s="157">
        <v>322423.76</v>
      </c>
      <c r="T17" s="157"/>
      <c r="U17" s="158"/>
      <c r="V17" s="151"/>
      <c r="W17" s="152"/>
      <c r="X17" s="152"/>
      <c r="Y17" s="152"/>
      <c r="Z17" s="152"/>
      <c r="AA17" s="152">
        <f>+I17*S17</f>
        <v>-7061.080344</v>
      </c>
      <c r="AB17" s="152"/>
      <c r="AC17" s="153"/>
      <c r="AD17" s="90"/>
    </row>
    <row r="18" spans="1:30" ht="31.5" thickBot="1" x14ac:dyDescent="0.3">
      <c r="A18" s="159" t="s">
        <v>90</v>
      </c>
      <c r="B18" s="160" t="s">
        <v>10</v>
      </c>
      <c r="C18" s="161"/>
      <c r="D18" s="162"/>
      <c r="E18" s="162"/>
      <c r="F18" s="162"/>
      <c r="G18" s="162"/>
      <c r="H18" s="162"/>
      <c r="I18" s="162">
        <v>5.3999999999999999E-2</v>
      </c>
      <c r="J18" s="162">
        <v>5.3999999999999999E-2</v>
      </c>
      <c r="K18" s="163">
        <v>5.3999999999999999E-2</v>
      </c>
      <c r="L18" s="164"/>
      <c r="M18" s="165"/>
      <c r="N18" s="165"/>
      <c r="O18" s="165"/>
      <c r="P18" s="165"/>
      <c r="Q18" s="165"/>
      <c r="R18" s="166"/>
      <c r="S18" s="166">
        <v>162111.1</v>
      </c>
      <c r="T18" s="165">
        <v>343825.85999999993</v>
      </c>
      <c r="U18" s="167">
        <f>(T18/2)*(1+T22)</f>
        <v>182307.41449033958</v>
      </c>
      <c r="V18" s="168"/>
      <c r="W18" s="169"/>
      <c r="X18" s="169"/>
      <c r="Y18" s="169"/>
      <c r="Z18" s="169"/>
      <c r="AA18" s="169">
        <f>+I18*S18</f>
        <v>8753.9994000000006</v>
      </c>
      <c r="AB18" s="169">
        <f>+J18*T18</f>
        <v>18566.596439999998</v>
      </c>
      <c r="AC18" s="170">
        <f>+K18*U18</f>
        <v>9844.6003824783365</v>
      </c>
      <c r="AD18" s="90"/>
    </row>
    <row r="19" spans="1:30" s="74" customFormat="1" ht="13.5" thickBot="1" x14ac:dyDescent="0.3">
      <c r="A19" s="171" t="s">
        <v>19</v>
      </c>
      <c r="B19" s="139"/>
      <c r="C19" s="172"/>
      <c r="D19" s="173"/>
      <c r="E19" s="173"/>
      <c r="F19" s="173"/>
      <c r="G19" s="173"/>
      <c r="H19" s="173"/>
      <c r="I19" s="173"/>
      <c r="J19" s="173"/>
      <c r="K19" s="174"/>
      <c r="L19" s="171"/>
      <c r="M19" s="175"/>
      <c r="N19" s="175"/>
      <c r="O19" s="175"/>
      <c r="P19" s="175"/>
      <c r="Q19" s="175"/>
      <c r="R19" s="175"/>
      <c r="S19" s="175"/>
      <c r="T19" s="175"/>
      <c r="U19" s="176"/>
      <c r="V19" s="177">
        <f>SUM(V3:V18)+15.52</f>
        <v>475394.87053000001</v>
      </c>
      <c r="W19" s="178">
        <f>SUM(W3:W18)-6327.91</f>
        <v>448790.57754399994</v>
      </c>
      <c r="X19" s="178">
        <f>SUM(X3:X18)-0.01</f>
        <v>420244.97959999996</v>
      </c>
      <c r="Y19" s="178">
        <f>SUM(Y3:Y18)-0.02</f>
        <v>553135.3407399999</v>
      </c>
      <c r="Z19" s="178">
        <f>SUM(Z3:Z18)-0.03</f>
        <v>785462.8487630001</v>
      </c>
      <c r="AA19" s="178">
        <f t="shared" ref="AA19:AC19" si="1">SUM(AA3:AA18)</f>
        <v>844403.87252799992</v>
      </c>
      <c r="AB19" s="178">
        <f>SUM(AB3:AB18)-0.03</f>
        <v>622962.20365599985</v>
      </c>
      <c r="AC19" s="179">
        <f t="shared" si="1"/>
        <v>567686.6193790246</v>
      </c>
      <c r="AD19" s="91"/>
    </row>
    <row r="20" spans="1:30" s="74" customFormat="1" ht="15.5" x14ac:dyDescent="0.25">
      <c r="A20" s="180" t="s">
        <v>78</v>
      </c>
      <c r="B20" s="181"/>
      <c r="C20" s="182"/>
      <c r="D20" s="183"/>
      <c r="E20" s="183"/>
      <c r="F20" s="183"/>
      <c r="G20" s="183"/>
      <c r="H20" s="183"/>
      <c r="I20" s="183"/>
      <c r="J20" s="183"/>
      <c r="K20" s="184"/>
      <c r="L20" s="185"/>
      <c r="M20" s="186">
        <f>(M8/L8)-1</f>
        <v>-4.0330549026921569E-2</v>
      </c>
      <c r="N20" s="186">
        <f t="shared" ref="N20:T21" si="2">(N8/M8)-1</f>
        <v>0.10010694360957606</v>
      </c>
      <c r="O20" s="186">
        <f t="shared" si="2"/>
        <v>-0.49658660756410389</v>
      </c>
      <c r="P20" s="186">
        <f t="shared" si="2"/>
        <v>-6.1573702747942605E-2</v>
      </c>
      <c r="Q20" s="186">
        <f>(Q8/N8)-1</f>
        <v>-2.4170241713388996E-2</v>
      </c>
      <c r="R20" s="186">
        <f>(R8/Q8)-1</f>
        <v>4.7898482202788362E-3</v>
      </c>
      <c r="S20" s="186">
        <f>(S8/R8)-1</f>
        <v>5.3228309802258567E-2</v>
      </c>
      <c r="T20" s="186">
        <f t="shared" si="2"/>
        <v>4.3008559213266739E-3</v>
      </c>
      <c r="U20" s="187">
        <f>AVERAGE(M20,N20,Q20,R20,S20,T20)</f>
        <v>1.6320861135521596E-2</v>
      </c>
      <c r="V20" s="188"/>
      <c r="W20" s="189"/>
      <c r="X20" s="189"/>
      <c r="Y20" s="189"/>
      <c r="Z20" s="189"/>
      <c r="AA20" s="189"/>
      <c r="AB20" s="189"/>
      <c r="AC20" s="190"/>
      <c r="AD20" s="91"/>
    </row>
    <row r="21" spans="1:30" s="74" customFormat="1" ht="15.5" x14ac:dyDescent="0.25">
      <c r="A21" s="191" t="s">
        <v>79</v>
      </c>
      <c r="B21" s="192"/>
      <c r="C21" s="193"/>
      <c r="D21" s="194"/>
      <c r="E21" s="194"/>
      <c r="F21" s="194"/>
      <c r="G21" s="194"/>
      <c r="H21" s="194"/>
      <c r="I21" s="194"/>
      <c r="J21" s="194"/>
      <c r="K21" s="195"/>
      <c r="L21" s="196"/>
      <c r="M21" s="197">
        <f>(M10/L10)-1</f>
        <v>-5.7780431174361158E-2</v>
      </c>
      <c r="N21" s="197">
        <f>(N10/M10)-1</f>
        <v>0.15191409813927281</v>
      </c>
      <c r="O21" s="197" t="e">
        <f t="shared" si="2"/>
        <v>#DIV/0!</v>
      </c>
      <c r="P21" s="197" t="e">
        <f t="shared" si="2"/>
        <v>#DIV/0!</v>
      </c>
      <c r="Q21" s="197">
        <f>(Q10/N10)-1</f>
        <v>-9.9890069310842544E-2</v>
      </c>
      <c r="R21" s="197">
        <f>(R10/Q10)-1</f>
        <v>9.4032589290668156E-2</v>
      </c>
      <c r="S21" s="197">
        <f>(S10/R10)-1</f>
        <v>3.1618702918267516E-2</v>
      </c>
      <c r="T21" s="197">
        <f>(T10/S10)-1</f>
        <v>6.6378792927667352E-2</v>
      </c>
      <c r="U21" s="198">
        <f>AVERAGE(M21,N21,Q21,R21,S21,T21)</f>
        <v>3.1045613798445355E-2</v>
      </c>
      <c r="V21" s="199"/>
      <c r="W21" s="200"/>
      <c r="X21" s="200"/>
      <c r="Y21" s="200"/>
      <c r="Z21" s="200"/>
      <c r="AA21" s="200"/>
      <c r="AB21" s="200"/>
      <c r="AC21" s="201"/>
      <c r="AD21" s="91"/>
    </row>
    <row r="22" spans="1:30" s="74" customFormat="1" ht="31.5" thickBot="1" x14ac:dyDescent="0.3">
      <c r="A22" s="202" t="s">
        <v>80</v>
      </c>
      <c r="B22" s="203"/>
      <c r="C22" s="204"/>
      <c r="D22" s="205"/>
      <c r="E22" s="205"/>
      <c r="F22" s="205"/>
      <c r="G22" s="205"/>
      <c r="H22" s="205"/>
      <c r="I22" s="205"/>
      <c r="J22" s="205"/>
      <c r="K22" s="206"/>
      <c r="L22" s="45"/>
      <c r="M22" s="207"/>
      <c r="N22" s="207"/>
      <c r="O22" s="207"/>
      <c r="P22" s="207"/>
      <c r="Q22" s="207"/>
      <c r="R22" s="207"/>
      <c r="S22" s="208"/>
      <c r="T22" s="209">
        <f>((T18/2)/S18)-1</f>
        <v>6.0463657331299103E-2</v>
      </c>
      <c r="U22" s="210"/>
      <c r="V22" s="211"/>
      <c r="W22" s="212"/>
      <c r="X22" s="212"/>
      <c r="Y22" s="212"/>
      <c r="Z22" s="212"/>
      <c r="AA22" s="212"/>
      <c r="AB22" s="212"/>
      <c r="AC22" s="213"/>
      <c r="AD22" s="91"/>
    </row>
    <row r="23" spans="1:30" ht="13" x14ac:dyDescent="0.3">
      <c r="A23" s="76" t="s">
        <v>57</v>
      </c>
      <c r="B23" s="136"/>
      <c r="V23" s="6"/>
      <c r="W23" s="6"/>
      <c r="X23" s="6"/>
      <c r="Y23" s="6"/>
      <c r="Z23" s="6"/>
      <c r="AA23" s="6"/>
      <c r="AB23" s="6"/>
      <c r="AC23" s="6"/>
    </row>
    <row r="24" spans="1:30" ht="13.5" thickBot="1" x14ac:dyDescent="0.35">
      <c r="A24" s="77" t="s">
        <v>58</v>
      </c>
      <c r="B24" s="79"/>
    </row>
    <row r="28" spans="1:30" x14ac:dyDescent="0.25">
      <c r="F28" s="47"/>
      <c r="G28" s="47"/>
    </row>
  </sheetData>
  <mergeCells count="3">
    <mergeCell ref="C1:K1"/>
    <mergeCell ref="L1:U1"/>
    <mergeCell ref="V1:AC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LV Variances</vt:lpstr>
      <vt:lpstr>Low Voltage Rate Calculation</vt:lpstr>
      <vt:lpstr>2021-2022 Rate Change</vt:lpstr>
      <vt:lpstr>Revenue Increase</vt:lpstr>
      <vt:lpstr>Hydro One Rate Analysis</vt:lpstr>
      <vt:lpstr>'Low Voltage Rate Calculation'!Print_Area</vt:lpstr>
      <vt:lpstr>'LV Variances'!Print_Area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Gapic</dc:creator>
  <cp:lastModifiedBy>Oluwole (Wolly) Bibiresanmi</cp:lastModifiedBy>
  <cp:lastPrinted>2022-11-22T19:38:48Z</cp:lastPrinted>
  <dcterms:created xsi:type="dcterms:W3CDTF">2021-08-11T02:08:08Z</dcterms:created>
  <dcterms:modified xsi:type="dcterms:W3CDTF">2023-03-20T13:26:31Z</dcterms:modified>
</cp:coreProperties>
</file>