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Undertakings/"/>
    </mc:Choice>
  </mc:AlternateContent>
  <xr:revisionPtr revIDLastSave="14" documentId="13_ncr:1_{E5D94A6F-737F-4D09-A050-EDA4A7C18EB2}" xr6:coauthVersionLast="47" xr6:coauthVersionMax="47" xr10:uidLastSave="{F25EF21D-6FF1-4A50-9187-4C58DFD25782}"/>
  <bookViews>
    <workbookView xWindow="-120" yWindow="-120" windowWidth="29040" windowHeight="15840" xr2:uid="{917BAAFA-1DF1-4B8E-885E-2C0B19077BC4}"/>
  </bookViews>
  <sheets>
    <sheet name="Gas Cost" sheetId="1" r:id="rId1"/>
  </sheets>
  <definedNames>
    <definedName name="_xlnm.Print_Area" localSheetId="0">'Gas Cost'!$B$3:$AQ$60</definedName>
    <definedName name="_xlnm.Print_Titles" localSheetId="0">'Gas Cost'!$2:$7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" l="1"/>
  <c r="M46" i="1"/>
  <c r="Y54" i="1"/>
  <c r="Y52" i="1"/>
  <c r="Y51" i="1"/>
  <c r="Y50" i="1"/>
  <c r="Y49" i="1"/>
  <c r="Y48" i="1"/>
  <c r="Y47" i="1"/>
  <c r="Y46" i="1"/>
  <c r="Y45" i="1"/>
  <c r="W54" i="1"/>
  <c r="W53" i="1"/>
  <c r="W52" i="1"/>
  <c r="W51" i="1"/>
  <c r="W50" i="1"/>
  <c r="W49" i="1"/>
  <c r="W48" i="1"/>
  <c r="W47" i="1"/>
  <c r="W46" i="1"/>
  <c r="W45" i="1"/>
  <c r="Y43" i="1"/>
  <c r="W41" i="1"/>
  <c r="W40" i="1"/>
  <c r="Y41" i="1"/>
  <c r="Y40" i="1"/>
  <c r="Y39" i="1"/>
  <c r="Y38" i="1"/>
  <c r="Y37" i="1"/>
  <c r="W39" i="1"/>
  <c r="W38" i="1"/>
  <c r="Y35" i="1"/>
  <c r="W35" i="1"/>
  <c r="Y33" i="1"/>
  <c r="Y32" i="1"/>
  <c r="Y31" i="1"/>
  <c r="Y30" i="1"/>
  <c r="W33" i="1"/>
  <c r="W32" i="1"/>
  <c r="W31" i="1"/>
  <c r="W28" i="1"/>
  <c r="Y28" i="1"/>
  <c r="Y27" i="1"/>
  <c r="Y26" i="1"/>
  <c r="Y25" i="1"/>
  <c r="W27" i="1"/>
  <c r="W26" i="1"/>
  <c r="Y23" i="1"/>
  <c r="Y22" i="1"/>
  <c r="Y21" i="1"/>
  <c r="Y20" i="1"/>
  <c r="Y19" i="1"/>
  <c r="W23" i="1"/>
  <c r="W22" i="1"/>
  <c r="W21" i="1"/>
  <c r="W20" i="1"/>
  <c r="W17" i="1"/>
  <c r="W16" i="1"/>
  <c r="W15" i="1"/>
  <c r="W14" i="1"/>
  <c r="W13" i="1"/>
  <c r="W12" i="1"/>
  <c r="Y17" i="1"/>
  <c r="Y16" i="1"/>
  <c r="Y15" i="1"/>
  <c r="Y14" i="1"/>
  <c r="Y13" i="1"/>
  <c r="Y12" i="1"/>
  <c r="Y11" i="1"/>
  <c r="Y9" i="1"/>
  <c r="V52" i="1"/>
  <c r="U52" i="1"/>
  <c r="V41" i="1"/>
  <c r="U40" i="1"/>
  <c r="U41" i="1" s="1"/>
  <c r="T47" i="1" l="1"/>
  <c r="S47" i="1"/>
  <c r="T53" i="1"/>
  <c r="S53" i="1"/>
  <c r="M50" i="1" l="1"/>
  <c r="F46" i="1" l="1"/>
  <c r="F45" i="1"/>
  <c r="F32" i="1"/>
  <c r="F31" i="1"/>
  <c r="F27" i="1"/>
  <c r="F26" i="1"/>
  <c r="F22" i="1"/>
  <c r="F21" i="1"/>
  <c r="F20" i="1"/>
  <c r="F16" i="1"/>
  <c r="F15" i="1"/>
  <c r="F14" i="1"/>
  <c r="F13" i="1"/>
  <c r="F12" i="1"/>
  <c r="AQ53" i="1"/>
  <c r="AP53" i="1"/>
  <c r="AO53" i="1"/>
  <c r="AN53" i="1"/>
  <c r="AM53" i="1"/>
  <c r="F53" i="1" s="1"/>
  <c r="F52" i="1"/>
  <c r="AQ50" i="1"/>
  <c r="AP50" i="1"/>
  <c r="AO50" i="1"/>
  <c r="AN50" i="1"/>
  <c r="AM50" i="1"/>
  <c r="F50" i="1"/>
  <c r="AL49" i="1"/>
  <c r="AK49" i="1"/>
  <c r="AJ49" i="1"/>
  <c r="AI49" i="1"/>
  <c r="AH49" i="1"/>
  <c r="AG49" i="1"/>
  <c r="AF49" i="1"/>
  <c r="AE49" i="1"/>
  <c r="AD49" i="1"/>
  <c r="AB49" i="1"/>
  <c r="AA49" i="1"/>
  <c r="U49" i="1"/>
  <c r="T49" i="1"/>
  <c r="S49" i="1"/>
  <c r="Q49" i="1"/>
  <c r="P49" i="1"/>
  <c r="O49" i="1"/>
  <c r="N49" i="1"/>
  <c r="M49" i="1"/>
  <c r="L49" i="1"/>
  <c r="K49" i="1"/>
  <c r="J49" i="1"/>
  <c r="I49" i="1"/>
  <c r="H49" i="1"/>
  <c r="F49" i="1" s="1"/>
  <c r="AL48" i="1"/>
  <c r="AK48" i="1"/>
  <c r="AJ48" i="1"/>
  <c r="AI48" i="1"/>
  <c r="AH48" i="1"/>
  <c r="AG48" i="1"/>
  <c r="AF48" i="1"/>
  <c r="AE48" i="1"/>
  <c r="AD48" i="1"/>
  <c r="AB48" i="1"/>
  <c r="AA48" i="1"/>
  <c r="U48" i="1"/>
  <c r="T48" i="1"/>
  <c r="S48" i="1"/>
  <c r="Q48" i="1"/>
  <c r="P48" i="1"/>
  <c r="O48" i="1"/>
  <c r="N48" i="1"/>
  <c r="L48" i="1"/>
  <c r="K48" i="1"/>
  <c r="J48" i="1"/>
  <c r="I48" i="1"/>
  <c r="H48" i="1"/>
  <c r="F48" i="1" s="1"/>
  <c r="AP47" i="1"/>
  <c r="AN47" i="1"/>
  <c r="AL47" i="1"/>
  <c r="AK47" i="1"/>
  <c r="AJ47" i="1"/>
  <c r="AH47" i="1"/>
  <c r="AH54" i="1" s="1"/>
  <c r="AF47" i="1"/>
  <c r="AE47" i="1"/>
  <c r="AD47" i="1"/>
  <c r="AB47" i="1"/>
  <c r="AA47" i="1"/>
  <c r="V47" i="1"/>
  <c r="U47" i="1"/>
  <c r="T54" i="1"/>
  <c r="S54" i="1"/>
  <c r="L47" i="1"/>
  <c r="K47" i="1"/>
  <c r="J47" i="1"/>
  <c r="I47" i="1"/>
  <c r="H47" i="1"/>
  <c r="AQ46" i="1"/>
  <c r="AO46" i="1"/>
  <c r="AM46" i="1"/>
  <c r="V46" i="1"/>
  <c r="AI47" i="1"/>
  <c r="AG47" i="1"/>
  <c r="Q38" i="1"/>
  <c r="Q47" i="1" s="1"/>
  <c r="P51" i="1"/>
  <c r="O51" i="1"/>
  <c r="N51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B33" i="1"/>
  <c r="AA33" i="1"/>
  <c r="V33" i="1"/>
  <c r="U33" i="1"/>
  <c r="T33" i="1"/>
  <c r="S33" i="1"/>
  <c r="Q33" i="1"/>
  <c r="P33" i="1"/>
  <c r="O33" i="1"/>
  <c r="N33" i="1"/>
  <c r="M33" i="1"/>
  <c r="L33" i="1"/>
  <c r="K33" i="1"/>
  <c r="J33" i="1"/>
  <c r="I33" i="1"/>
  <c r="H33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B28" i="1"/>
  <c r="AA28" i="1"/>
  <c r="V28" i="1"/>
  <c r="U28" i="1"/>
  <c r="T28" i="1"/>
  <c r="S28" i="1"/>
  <c r="Q28" i="1"/>
  <c r="P28" i="1"/>
  <c r="O28" i="1"/>
  <c r="N28" i="1"/>
  <c r="M28" i="1"/>
  <c r="L28" i="1"/>
  <c r="K28" i="1"/>
  <c r="J28" i="1"/>
  <c r="I28" i="1"/>
  <c r="H28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B23" i="1"/>
  <c r="AA23" i="1"/>
  <c r="V23" i="1"/>
  <c r="U23" i="1"/>
  <c r="T23" i="1"/>
  <c r="S23" i="1"/>
  <c r="Q23" i="1"/>
  <c r="P23" i="1"/>
  <c r="O23" i="1"/>
  <c r="N23" i="1"/>
  <c r="M23" i="1"/>
  <c r="L23" i="1"/>
  <c r="K23" i="1"/>
  <c r="J23" i="1"/>
  <c r="I23" i="1"/>
  <c r="H23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B17" i="1"/>
  <c r="AA17" i="1"/>
  <c r="V17" i="1"/>
  <c r="U17" i="1"/>
  <c r="T17" i="1"/>
  <c r="S17" i="1"/>
  <c r="Q17" i="1"/>
  <c r="P17" i="1"/>
  <c r="O17" i="1"/>
  <c r="N17" i="1"/>
  <c r="M17" i="1"/>
  <c r="L17" i="1"/>
  <c r="K17" i="1"/>
  <c r="J17" i="1"/>
  <c r="I17" i="1"/>
  <c r="H17" i="1"/>
  <c r="B13" i="1"/>
  <c r="W3" i="1"/>
  <c r="AJ54" i="1" l="1"/>
  <c r="F39" i="1"/>
  <c r="F40" i="1"/>
  <c r="AF54" i="1"/>
  <c r="H54" i="1"/>
  <c r="AK54" i="1"/>
  <c r="AD54" i="1"/>
  <c r="J54" i="1"/>
  <c r="AN54" i="1"/>
  <c r="L35" i="1"/>
  <c r="L41" i="1" s="1"/>
  <c r="U35" i="1"/>
  <c r="AH35" i="1"/>
  <c r="AH41" i="1" s="1"/>
  <c r="AP35" i="1"/>
  <c r="AP41" i="1" s="1"/>
  <c r="N35" i="1"/>
  <c r="AG54" i="1"/>
  <c r="AI35" i="1"/>
  <c r="AI41" i="1" s="1"/>
  <c r="AB54" i="1"/>
  <c r="M35" i="1"/>
  <c r="M41" i="1" s="1"/>
  <c r="AQ35" i="1"/>
  <c r="AQ41" i="1" s="1"/>
  <c r="O35" i="1"/>
  <c r="AB35" i="1"/>
  <c r="AB41" i="1" s="1"/>
  <c r="AK35" i="1"/>
  <c r="AK41" i="1" s="1"/>
  <c r="I35" i="1"/>
  <c r="I41" i="1" s="1"/>
  <c r="Q35" i="1"/>
  <c r="Q41" i="1" s="1"/>
  <c r="AE35" i="1"/>
  <c r="AE41" i="1" s="1"/>
  <c r="AM35" i="1"/>
  <c r="AM41" i="1" s="1"/>
  <c r="M54" i="1"/>
  <c r="AP54" i="1"/>
  <c r="H35" i="1"/>
  <c r="H41" i="1" s="1"/>
  <c r="P35" i="1"/>
  <c r="AD35" i="1"/>
  <c r="AD41" i="1" s="1"/>
  <c r="AL35" i="1"/>
  <c r="AL41" i="1" s="1"/>
  <c r="P38" i="1"/>
  <c r="P47" i="1" s="1"/>
  <c r="L54" i="1"/>
  <c r="AA54" i="1"/>
  <c r="K35" i="1"/>
  <c r="K41" i="1" s="1"/>
  <c r="T35" i="1"/>
  <c r="T41" i="1" s="1"/>
  <c r="AG35" i="1"/>
  <c r="AG41" i="1" s="1"/>
  <c r="AO35" i="1"/>
  <c r="AO41" i="1" s="1"/>
  <c r="V35" i="1"/>
  <c r="J35" i="1"/>
  <c r="J41" i="1" s="1"/>
  <c r="S35" i="1"/>
  <c r="S41" i="1" s="1"/>
  <c r="AF35" i="1"/>
  <c r="AF41" i="1" s="1"/>
  <c r="AN35" i="1"/>
  <c r="AN41" i="1" s="1"/>
  <c r="U54" i="1"/>
  <c r="AO54" i="1"/>
  <c r="AA35" i="1"/>
  <c r="AA41" i="1" s="1"/>
  <c r="AJ35" i="1"/>
  <c r="AJ41" i="1" s="1"/>
  <c r="O38" i="1"/>
  <c r="O47" i="1" s="1"/>
  <c r="I54" i="1"/>
  <c r="AL54" i="1"/>
  <c r="AI54" i="1"/>
  <c r="AE54" i="1"/>
  <c r="AM54" i="1"/>
  <c r="B14" i="1"/>
  <c r="B15" i="1" s="1"/>
  <c r="Q51" i="1"/>
  <c r="F51" i="1" s="1"/>
  <c r="K54" i="1"/>
  <c r="V54" i="1"/>
  <c r="AQ54" i="1"/>
  <c r="N38" i="1"/>
  <c r="F38" i="1" s="1"/>
  <c r="N41" i="1" l="1"/>
  <c r="Q54" i="1"/>
  <c r="P41" i="1"/>
  <c r="O54" i="1"/>
  <c r="P54" i="1"/>
  <c r="O41" i="1"/>
  <c r="B16" i="1"/>
  <c r="B17" i="1" s="1"/>
  <c r="F47" i="1"/>
  <c r="N54" i="1" l="1"/>
  <c r="B20" i="1"/>
  <c r="F17" i="1" l="1"/>
  <c r="B21" i="1"/>
  <c r="B22" i="1" l="1"/>
  <c r="B23" i="1" s="1"/>
  <c r="B26" i="1" s="1"/>
  <c r="F23" i="1" l="1"/>
  <c r="B27" i="1"/>
  <c r="B28" i="1" s="1"/>
  <c r="B31" i="1" s="1"/>
  <c r="B32" i="1" l="1"/>
  <c r="B33" i="1" l="1"/>
  <c r="B35" i="1" s="1"/>
  <c r="B38" i="1" s="1"/>
  <c r="B39" i="1" s="1"/>
  <c r="B40" i="1" s="1"/>
  <c r="B41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F28" i="1" l="1"/>
  <c r="F33" i="1" l="1"/>
  <c r="F35" i="1" s="1"/>
  <c r="F41" i="1" l="1"/>
  <c r="F54" i="1" l="1"/>
</calcChain>
</file>

<file path=xl/sharedStrings.xml><?xml version="1.0" encoding="utf-8"?>
<sst xmlns="http://schemas.openxmlformats.org/spreadsheetml/2006/main" count="147" uniqueCount="106">
  <si>
    <t>Mapping of Gas Cost Revenue Requirement to Rate Component by Rate Class</t>
  </si>
  <si>
    <t>EGD Rate Zone</t>
  </si>
  <si>
    <t>Union North Rate Zone</t>
  </si>
  <si>
    <t>Union South Rate Zone</t>
  </si>
  <si>
    <t>Line</t>
  </si>
  <si>
    <t>In-franchise</t>
  </si>
  <si>
    <t>Rate</t>
  </si>
  <si>
    <t>Rate 20 Unb</t>
  </si>
  <si>
    <t>No.</t>
  </si>
  <si>
    <t>Particulars ($000s)</t>
  </si>
  <si>
    <t>Total</t>
  </si>
  <si>
    <t>125 (3)</t>
  </si>
  <si>
    <t>01</t>
  </si>
  <si>
    <t>20 (4)</t>
  </si>
  <si>
    <t>Storage (4)</t>
  </si>
  <si>
    <t>M1</t>
  </si>
  <si>
    <t>M2</t>
  </si>
  <si>
    <t>M4 (F)</t>
  </si>
  <si>
    <t>M4 (I) (3)</t>
  </si>
  <si>
    <t>M5 (F)</t>
  </si>
  <si>
    <t>M5 (I) (3)</t>
  </si>
  <si>
    <t>M7 (F)</t>
  </si>
  <si>
    <t>M7 (I)</t>
  </si>
  <si>
    <t>M9</t>
  </si>
  <si>
    <t>T1 (F)</t>
  </si>
  <si>
    <t>T1 (I)</t>
  </si>
  <si>
    <t>T2 (F)</t>
  </si>
  <si>
    <t>T2 (I)</t>
  </si>
  <si>
    <t>T3</t>
  </si>
  <si>
    <t>(a)</t>
  </si>
  <si>
    <t>(b)</t>
  </si>
  <si>
    <t>(c)</t>
  </si>
  <si>
    <t xml:space="preserve">(d) </t>
  </si>
  <si>
    <t>(e)</t>
  </si>
  <si>
    <t xml:space="preserve">(f) 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</si>
  <si>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</si>
  <si>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</si>
  <si>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</si>
  <si>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</si>
  <si>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</si>
  <si>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</si>
  <si>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</si>
  <si>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</si>
  <si>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</si>
  <si>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</si>
  <si>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</si>
  <si>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</si>
  <si>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</si>
  <si>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</si>
  <si>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</si>
  <si>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</si>
  <si>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</si>
  <si>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</si>
  <si>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</si>
  <si>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</si>
  <si>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</si>
  <si>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</si>
  <si>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</si>
  <si>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</si>
  <si>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</si>
  <si>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Allocation of Gas Cost Revenue Requirement (1)</t>
  </si>
  <si>
    <t>Gas Supply Revenue Requirement</t>
  </si>
  <si>
    <t>Gas Supply Commodity</t>
  </si>
  <si>
    <t xml:space="preserve">Load Balancing - Transportation </t>
  </si>
  <si>
    <t>Load Balancing - Commodity</t>
  </si>
  <si>
    <t>Transportation Demand</t>
  </si>
  <si>
    <t>Transportation Commodity</t>
  </si>
  <si>
    <t>Total Gas Supply Revenue Requirement</t>
  </si>
  <si>
    <t>Storage Revenue Requirement</t>
  </si>
  <si>
    <t>Storage Demand - Deliverability</t>
  </si>
  <si>
    <t>Storage Demand - Space</t>
  </si>
  <si>
    <t>Storage Commodity</t>
  </si>
  <si>
    <t>Total Storage Revenue Requirement</t>
  </si>
  <si>
    <t>Transmission Revenue Requirement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</si>
  <si>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</si>
  <si>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</si>
  <si>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</si>
  <si>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</si>
  <si>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High Pressure &gt; 4"</t>
  </si>
  <si>
    <t>Distribution Commodity</t>
  </si>
  <si>
    <t>Total Distribution Revenue Requirement</t>
  </si>
  <si>
    <t>Total Gas Cost Revenue Requirement</t>
  </si>
  <si>
    <t>Gas Cost Revenue Requirement Adjustments</t>
  </si>
  <si>
    <t>Curtailment Credits - Recovered in Delivery Rates</t>
  </si>
  <si>
    <t>Curtailment Credits - Remitted to Customers</t>
  </si>
  <si>
    <t>Rate Design Adjustments</t>
  </si>
  <si>
    <t>Proposed Gas Cost Revenue Requirement by Rate Design Component (2)</t>
  </si>
  <si>
    <t>Monthly Customer Charge</t>
  </si>
  <si>
    <t>Delivery Demand Charge</t>
  </si>
  <si>
    <t>Delivery Commodity Charge</t>
  </si>
  <si>
    <t>Gas Supply Transportation Charge</t>
  </si>
  <si>
    <t>Gas Supply Commodity Charge</t>
  </si>
  <si>
    <t>Customer Supplied Fuel</t>
  </si>
  <si>
    <t>Gas Supply Demand Charge (Rate 20)</t>
  </si>
  <si>
    <t>Storage Charges</t>
  </si>
  <si>
    <t>Notes</t>
  </si>
  <si>
    <t>(1)</t>
  </si>
  <si>
    <t>Allocation of gas cost revenue requirement by rate class per the cost allocation study at Exhibit 7, Tab 2, Schedule 1, Attachment 10.</t>
  </si>
  <si>
    <t>(2)</t>
  </si>
  <si>
    <t>Proposed gas cost revenue requirement by rate class per Exhibit 8, Tab 2, Schedule 8, Attachment 1, page 3, column (e).</t>
  </si>
  <si>
    <t>(3)</t>
  </si>
  <si>
    <t>Distribution commodity costs of $0.029 million associated with company use gas included in Rate 125 delivery demand charge.</t>
  </si>
  <si>
    <t>$0.005 million adjustment related to common unit rate design for Rate M4 and Rate M5 interruptible delivery commodity charges.</t>
  </si>
  <si>
    <t>(4)</t>
  </si>
  <si>
    <t>$0.007 million costs shifted from Rate 20 unbundled storage allocation to Rate 20 gas supply demand charge related to rounding.</t>
  </si>
  <si>
    <t>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</si>
</sst>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#,##0;\ \(#,###\);\ \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5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right"/>
    </xf>
    <xf numFmtId="0" fontId="2" fillId="7" borderId="0" xfId="0" applyFont="1" applyFill="1" applyAlignment="1">
      <alignment horizontal="left" indent="1"/>
    </xf>
    <xf numFmtId="0" fontId="2" fillId="4" borderId="0" xfId="0" applyFont="1" applyFill="1" applyAlignment="1">
      <alignment horizontal="left" indent="1"/>
    </xf>
    <xf numFmtId="0" fontId="2" fillId="5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0" fontId="2" fillId="2" borderId="0" xfId="0" applyFont="1" applyFill="1" applyAlignment="1">
      <alignment horizontal="left" indent="1"/>
    </xf>
    <xf numFmtId="0" fontId="2" fillId="6" borderId="0" xfId="0" applyFont="1" applyFill="1" applyAlignment="1">
      <alignment horizontal="left" indent="1"/>
    </xf>
    <xf numFmtId="0" fontId="2" fillId="0" borderId="1" xfId="0" applyFont="1" applyBorder="1" applyAlignment="1">
      <alignment horizontal="center"/>
    </xf>
    <xf numFmtId="165" fontId="2" fillId="0" borderId="0" xfId="0" quotePrefix="1" applyNumberFormat="1" applyFont="1" applyAlignment="1">
      <alignment horizontal="center"/>
    </xf>
    <xf numFmtId="165" fontId="2" fillId="2" borderId="0" xfId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2" fillId="3" borderId="0" xfId="1" applyNumberFormat="1" applyFont="1" applyFill="1" applyAlignment="1">
      <alignment horizontal="center"/>
    </xf>
    <xf numFmtId="165" fontId="2" fillId="5" borderId="0" xfId="1" applyNumberFormat="1" applyFont="1" applyFill="1" applyAlignment="1">
      <alignment horizontal="center"/>
    </xf>
    <xf numFmtId="165" fontId="2" fillId="6" borderId="0" xfId="1" applyNumberFormat="1" applyFont="1" applyFill="1" applyAlignment="1">
      <alignment horizontal="center"/>
    </xf>
    <xf numFmtId="165" fontId="2" fillId="4" borderId="0" xfId="1" applyNumberFormat="1" applyFont="1" applyFill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5" borderId="1" xfId="1" applyNumberFormat="1" applyFont="1" applyFill="1" applyBorder="1" applyAlignment="1">
      <alignment horizontal="center"/>
    </xf>
    <xf numFmtId="165" fontId="2" fillId="7" borderId="0" xfId="1" applyNumberFormat="1" applyFont="1" applyFill="1" applyAlignment="1">
      <alignment horizontal="center"/>
    </xf>
    <xf numFmtId="165" fontId="2" fillId="6" borderId="1" xfId="1" applyNumberFormat="1" applyFont="1" applyFill="1" applyBorder="1" applyAlignment="1">
      <alignment horizontal="center"/>
    </xf>
    <xf numFmtId="165" fontId="2" fillId="0" borderId="0" xfId="2" applyNumberFormat="1" applyFont="1" applyFill="1" applyAlignment="1">
      <alignment horizontal="center"/>
    </xf>
    <xf numFmtId="165" fontId="2" fillId="5" borderId="0" xfId="2" applyNumberFormat="1" applyFont="1" applyFill="1" applyAlignment="1">
      <alignment horizontal="center"/>
    </xf>
    <xf numFmtId="165" fontId="2" fillId="0" borderId="2" xfId="1" applyNumberFormat="1" applyFont="1" applyFill="1" applyBorder="1" applyAlignment="1">
      <alignment horizontal="center"/>
    </xf>
    <xf numFmtId="165" fontId="2" fillId="5" borderId="0" xfId="1" quotePrefix="1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Comma 2" xfId="2" xr:uid="{C2DC174A-0949-4EA1-9C67-08803470CD0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9EE09-4BC0-4CDA-BF9E-66A830E959A6}">
  <dimension ref="B3:AQ61"/>
  <sheetViews>
    <sheetView showGridLines="0" tabSelected="1" view="pageLayout" topLeftCell="O34" zoomScaleNormal="60" zoomScaleSheetLayoutView="80" workbookViewId="0">
      <selection activeCell="W57" sqref="W57"/>
    </sheetView>
  </sheetViews>
  <sheetFormatPr defaultColWidth="8.85546875" defaultRowHeight="12.75" x14ac:dyDescent="0.2"/>
  <cols>
    <col min="1" max="1" width="9.28515625" style="1" customWidth="1"/>
    <col min="2" max="2" width="6.28515625" style="1" customWidth="1"/>
    <col min="3" max="3" width="1.7109375" style="1" customWidth="1"/>
    <col min="4" max="4" width="41.42578125" style="1" customWidth="1"/>
    <col min="5" max="5" width="1.7109375" style="1" customWidth="1"/>
    <col min="6" max="6" width="12.28515625" style="1" customWidth="1"/>
    <col min="7" max="7" width="1.7109375" style="1" customWidth="1"/>
    <col min="8" max="8" width="11.28515625" style="1" bestFit="1" customWidth="1"/>
    <col min="9" max="17" width="10.7109375" style="1" customWidth="1"/>
    <col min="18" max="18" width="1.7109375" style="1" customWidth="1"/>
    <col min="19" max="22" width="10.7109375" style="1" customWidth="1"/>
    <col min="23" max="23" width="6.28515625" style="1" customWidth="1"/>
    <col min="24" max="24" width="1.7109375" style="1" customWidth="1"/>
    <col min="25" max="25" width="41.42578125" style="1" customWidth="1"/>
    <col min="26" max="26" width="1.7109375" style="1" customWidth="1"/>
    <col min="27" max="28" width="10.7109375" style="1" customWidth="1"/>
    <col min="29" max="29" width="1.7109375" style="1" customWidth="1"/>
    <col min="30" max="43" width="10.7109375" style="1" customWidth="1"/>
    <col min="44" max="44" width="8.85546875" style="1" customWidth="1"/>
    <col min="45" max="16384" width="8.85546875" style="1"/>
  </cols>
  <sheetData>
    <row r="3" spans="2:43" x14ac:dyDescent="0.2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 t="str">
        <f>B3</f>
        <v>Mapping of Gas Cost Revenue Requirement to Rate Component by Rate Class</v>
      </c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</row>
    <row r="5" spans="2:43" x14ac:dyDescent="0.2">
      <c r="B5" s="3"/>
      <c r="D5" s="3"/>
      <c r="F5" s="4"/>
      <c r="H5" s="39" t="s">
        <v>1</v>
      </c>
      <c r="I5" s="39"/>
      <c r="J5" s="39"/>
      <c r="K5" s="39"/>
      <c r="L5" s="39"/>
      <c r="M5" s="39"/>
      <c r="N5" s="39"/>
      <c r="O5" s="39"/>
      <c r="P5" s="39"/>
      <c r="Q5" s="39"/>
      <c r="S5" s="39" t="s">
        <v>2</v>
      </c>
      <c r="T5" s="39"/>
      <c r="U5" s="39"/>
      <c r="V5" s="39"/>
      <c r="W5" s="3"/>
      <c r="Y5" s="3"/>
      <c r="AA5" s="39" t="s">
        <v>2</v>
      </c>
      <c r="AB5" s="39"/>
      <c r="AD5" s="39" t="s">
        <v>3</v>
      </c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</row>
    <row r="6" spans="2:43" x14ac:dyDescent="0.2">
      <c r="B6" s="4" t="s">
        <v>4</v>
      </c>
      <c r="F6" s="4" t="s">
        <v>5</v>
      </c>
      <c r="H6" s="4" t="s">
        <v>6</v>
      </c>
      <c r="I6" s="4" t="s">
        <v>6</v>
      </c>
      <c r="J6" s="4" t="s">
        <v>6</v>
      </c>
      <c r="K6" s="4" t="s">
        <v>6</v>
      </c>
      <c r="L6" s="4" t="s">
        <v>6</v>
      </c>
      <c r="M6" s="4" t="s">
        <v>6</v>
      </c>
      <c r="N6" s="4" t="s">
        <v>6</v>
      </c>
      <c r="O6" s="4" t="s">
        <v>6</v>
      </c>
      <c r="P6" s="4" t="s">
        <v>6</v>
      </c>
      <c r="Q6" s="4" t="s">
        <v>6</v>
      </c>
      <c r="S6" s="4" t="s">
        <v>6</v>
      </c>
      <c r="T6" s="4" t="s">
        <v>6</v>
      </c>
      <c r="U6" s="4" t="s">
        <v>6</v>
      </c>
      <c r="V6" s="4" t="s">
        <v>7</v>
      </c>
      <c r="W6" s="4" t="s">
        <v>4</v>
      </c>
      <c r="AA6" s="4" t="s">
        <v>6</v>
      </c>
      <c r="AB6" s="4" t="s">
        <v>6</v>
      </c>
      <c r="AD6" s="4" t="s">
        <v>6</v>
      </c>
      <c r="AE6" s="4" t="s">
        <v>6</v>
      </c>
      <c r="AF6" s="4" t="s">
        <v>6</v>
      </c>
      <c r="AG6" s="4" t="s">
        <v>6</v>
      </c>
      <c r="AH6" s="4" t="s">
        <v>6</v>
      </c>
      <c r="AI6" s="4" t="s">
        <v>6</v>
      </c>
      <c r="AJ6" s="4" t="s">
        <v>6</v>
      </c>
      <c r="AK6" s="4" t="s">
        <v>6</v>
      </c>
      <c r="AL6" s="4" t="s">
        <v>6</v>
      </c>
      <c r="AM6" s="4" t="s">
        <v>6</v>
      </c>
      <c r="AN6" s="4" t="s">
        <v>6</v>
      </c>
      <c r="AO6" s="4" t="s">
        <v>6</v>
      </c>
      <c r="AP6" s="4" t="s">
        <v>6</v>
      </c>
      <c r="AQ6" s="4" t="s">
        <v>6</v>
      </c>
    </row>
    <row r="7" spans="2:43" x14ac:dyDescent="0.2">
      <c r="B7" s="5" t="s">
        <v>8</v>
      </c>
      <c r="D7" s="6" t="s">
        <v>9</v>
      </c>
      <c r="F7" s="17" t="s">
        <v>10</v>
      </c>
      <c r="H7" s="17">
        <v>1</v>
      </c>
      <c r="I7" s="17">
        <v>6</v>
      </c>
      <c r="J7" s="17">
        <v>100</v>
      </c>
      <c r="K7" s="17">
        <v>110</v>
      </c>
      <c r="L7" s="17">
        <v>115</v>
      </c>
      <c r="M7" s="17" t="s">
        <v>11</v>
      </c>
      <c r="N7" s="17">
        <v>135</v>
      </c>
      <c r="O7" s="17">
        <v>145</v>
      </c>
      <c r="P7" s="17">
        <v>170</v>
      </c>
      <c r="Q7" s="17">
        <v>200</v>
      </c>
      <c r="S7" s="7" t="s">
        <v>12</v>
      </c>
      <c r="T7" s="17">
        <v>10</v>
      </c>
      <c r="U7" s="17" t="s">
        <v>13</v>
      </c>
      <c r="V7" s="17" t="s">
        <v>14</v>
      </c>
      <c r="W7" s="5" t="s">
        <v>8</v>
      </c>
      <c r="Y7" s="6" t="s">
        <v>9</v>
      </c>
      <c r="AA7" s="17">
        <v>25</v>
      </c>
      <c r="AB7" s="17">
        <v>100</v>
      </c>
      <c r="AD7" s="17" t="s">
        <v>15</v>
      </c>
      <c r="AE7" s="17" t="s">
        <v>16</v>
      </c>
      <c r="AF7" s="17" t="s">
        <v>17</v>
      </c>
      <c r="AG7" s="17" t="s">
        <v>18</v>
      </c>
      <c r="AH7" s="17" t="s">
        <v>19</v>
      </c>
      <c r="AI7" s="17" t="s">
        <v>20</v>
      </c>
      <c r="AJ7" s="17" t="s">
        <v>21</v>
      </c>
      <c r="AK7" s="17" t="s">
        <v>22</v>
      </c>
      <c r="AL7" s="17" t="s">
        <v>23</v>
      </c>
      <c r="AM7" s="17" t="s">
        <v>24</v>
      </c>
      <c r="AN7" s="17" t="s">
        <v>25</v>
      </c>
      <c r="AO7" s="17" t="s">
        <v>26</v>
      </c>
      <c r="AP7" s="17" t="s">
        <v>27</v>
      </c>
      <c r="AQ7" s="17" t="s">
        <v>28</v>
      </c>
    </row>
    <row r="8" spans="2:43" x14ac:dyDescent="0.2">
      <c r="F8" s="8" t="s">
        <v>29</v>
      </c>
      <c r="H8" s="8" t="s">
        <v>30</v>
      </c>
      <c r="I8" s="8" t="s">
        <v>31</v>
      </c>
      <c r="J8" s="8" t="s">
        <v>32</v>
      </c>
      <c r="K8" s="8" t="s">
        <v>33</v>
      </c>
      <c r="L8" s="8" t="s">
        <v>34</v>
      </c>
      <c r="M8" s="8" t="s">
        <v>35</v>
      </c>
      <c r="N8" s="8" t="s">
        <v>36</v>
      </c>
      <c r="O8" s="8" t="s">
        <v>37</v>
      </c>
      <c r="P8" s="8" t="s">
        <v>38</v>
      </c>
      <c r="Q8" s="8" t="s">
        <v>39</v>
      </c>
      <c r="S8" s="8" t="s">
        <v>40</v>
      </c>
      <c r="T8" s="8" t="s">
        <v>41</v>
      </c>
      <c r="U8" s="8" t="s">
        <v>42</v>
      </c>
      <c r="V8" s="8" t="s">
        <v>43</v>
      </c>
      <c r="AA8" s="8" t="s">
        <v>44</v>
      </c>
      <c r="AB8" s="8" t="s">
        <v>45</v>
      </c>
      <c r="AD8" s="8" t="s">
        <v>46</v>
      </c>
      <c r="AE8" s="8" t="s">
        <v>47</v>
      </c>
      <c r="AF8" s="8" t="s">
        <v>48</v>
      </c>
      <c r="AG8" s="8" t="s">
        <v>49</v>
      </c>
      <c r="AH8" s="8" t="s">
        <v>50</v>
      </c>
      <c r="AI8" s="8" t="s">
        <v>51</v>
      </c>
      <c r="AJ8" s="8" t="s">
        <v>52</v>
      </c>
      <c r="AK8" s="8" t="s">
        <v>53</v>
      </c>
      <c r="AL8" s="8" t="s">
        <v>54</v>
      </c>
      <c r="AM8" s="8" t="s">
        <v>55</v>
      </c>
      <c r="AN8" s="8" t="s">
        <v>56</v>
      </c>
      <c r="AO8" s="8" t="s">
        <v>57</v>
      </c>
      <c r="AP8" s="8" t="s">
        <v>58</v>
      </c>
      <c r="AQ8" s="8" t="s">
        <v>59</v>
      </c>
    </row>
    <row r="9" spans="2:43" x14ac:dyDescent="0.2">
      <c r="D9" s="2" t="s">
        <v>60</v>
      </c>
      <c r="F9" s="8"/>
      <c r="H9" s="8"/>
      <c r="I9" s="8"/>
      <c r="J9" s="8"/>
      <c r="K9" s="8"/>
      <c r="L9" s="8"/>
      <c r="M9" s="8"/>
      <c r="N9" s="8"/>
      <c r="O9" s="8"/>
      <c r="P9" s="8"/>
      <c r="Q9" s="8"/>
      <c r="S9" s="8"/>
      <c r="T9" s="8"/>
      <c r="U9" s="8"/>
      <c r="V9" s="8"/>
      <c r="Y9" s="2" t="str">
        <f>D9</f>
        <v>Allocation of Gas Cost Revenue Requirement (1)</v>
      </c>
      <c r="AA9" s="8"/>
      <c r="AB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2:43" x14ac:dyDescent="0.2">
      <c r="F10" s="8"/>
      <c r="H10" s="8"/>
      <c r="I10" s="8"/>
      <c r="J10" s="8"/>
      <c r="K10" s="8"/>
      <c r="L10" s="8"/>
      <c r="M10" s="8"/>
      <c r="N10" s="8"/>
      <c r="O10" s="8"/>
      <c r="P10" s="8"/>
      <c r="Q10" s="8"/>
      <c r="S10" s="8"/>
      <c r="T10" s="8"/>
      <c r="U10" s="8"/>
      <c r="V10" s="8"/>
      <c r="AA10" s="8"/>
      <c r="AB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2:43" x14ac:dyDescent="0.2">
      <c r="D11" s="2" t="s">
        <v>61</v>
      </c>
      <c r="Y11" s="2" t="str">
        <f t="shared" ref="Y11:Y17" si="0">D11</f>
        <v>Gas Supply Revenue Requirement</v>
      </c>
    </row>
    <row r="12" spans="2:43" x14ac:dyDescent="0.2">
      <c r="B12" s="9">
        <v>1</v>
      </c>
      <c r="D12" s="1" t="s">
        <v>62</v>
      </c>
      <c r="F12" s="20">
        <f>SUM(H12:V12, AA12:AQ12)</f>
        <v>2728040.5732561187</v>
      </c>
      <c r="G12" s="26"/>
      <c r="H12" s="19">
        <v>1019989.7454302686</v>
      </c>
      <c r="I12" s="19">
        <v>616434.06273054087</v>
      </c>
      <c r="J12" s="19">
        <v>3061.9026086228887</v>
      </c>
      <c r="K12" s="19">
        <v>21205.166030894859</v>
      </c>
      <c r="L12" s="19">
        <v>342.5997466617282</v>
      </c>
      <c r="M12" s="31">
        <v>0</v>
      </c>
      <c r="N12" s="19">
        <v>911.20796730958568</v>
      </c>
      <c r="O12" s="19">
        <v>119.02327979123238</v>
      </c>
      <c r="P12" s="19">
        <v>1112.2057559780535</v>
      </c>
      <c r="Q12" s="19">
        <v>29112.458732969579</v>
      </c>
      <c r="R12" s="26"/>
      <c r="S12" s="19">
        <v>193220.38768988085</v>
      </c>
      <c r="T12" s="19">
        <v>34151.345115240692</v>
      </c>
      <c r="U12" s="19">
        <v>3243.3385333600131</v>
      </c>
      <c r="V12" s="20">
        <v>0</v>
      </c>
      <c r="W12" s="9">
        <f t="shared" ref="W12:W16" si="1">B12</f>
        <v>1</v>
      </c>
      <c r="Y12" s="1" t="str">
        <f t="shared" si="0"/>
        <v>Gas Supply Commodity</v>
      </c>
      <c r="AA12" s="19">
        <v>1183.283319342823</v>
      </c>
      <c r="AB12" s="19">
        <v>0</v>
      </c>
      <c r="AC12" s="26"/>
      <c r="AD12" s="19">
        <v>637685.63760125893</v>
      </c>
      <c r="AE12" s="19">
        <v>142834.02358739416</v>
      </c>
      <c r="AF12" s="19">
        <v>12317.119625111889</v>
      </c>
      <c r="AG12" s="19">
        <v>0</v>
      </c>
      <c r="AH12" s="19">
        <v>63.02485779526161</v>
      </c>
      <c r="AI12" s="19">
        <v>385.9833639956247</v>
      </c>
      <c r="AJ12" s="19">
        <v>6939.5411928437325</v>
      </c>
      <c r="AK12" s="19">
        <v>451.09415098859853</v>
      </c>
      <c r="AL12" s="19">
        <v>3277.4219358687674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</row>
    <row r="13" spans="2:43" x14ac:dyDescent="0.2">
      <c r="B13" s="9">
        <f>MAX(B$12:B12)+1</f>
        <v>2</v>
      </c>
      <c r="D13" s="1" t="s">
        <v>63</v>
      </c>
      <c r="F13" s="20">
        <f>SUM(H13:V13, AA13:AQ13)</f>
        <v>175236.13783085361</v>
      </c>
      <c r="G13" s="26"/>
      <c r="H13" s="21">
        <v>55261.44133689953</v>
      </c>
      <c r="I13" s="21">
        <v>48028.839900511281</v>
      </c>
      <c r="J13" s="21">
        <v>128.77632282556704</v>
      </c>
      <c r="K13" s="21">
        <v>3509.2950074189293</v>
      </c>
      <c r="L13" s="21">
        <v>129.42678070845795</v>
      </c>
      <c r="M13" s="20">
        <v>0</v>
      </c>
      <c r="N13" s="21">
        <v>0</v>
      </c>
      <c r="O13" s="21">
        <v>0</v>
      </c>
      <c r="P13" s="21">
        <v>0</v>
      </c>
      <c r="Q13" s="21">
        <v>1041.0808784147146</v>
      </c>
      <c r="R13" s="26"/>
      <c r="S13" s="21">
        <v>9908.4860253864426</v>
      </c>
      <c r="T13" s="21">
        <v>2801.0437947301357</v>
      </c>
      <c r="U13" s="21">
        <v>396.12084894520325</v>
      </c>
      <c r="V13" s="24">
        <v>1798.5082446242629</v>
      </c>
      <c r="W13" s="9">
        <f t="shared" si="1"/>
        <v>2</v>
      </c>
      <c r="Y13" s="1" t="str">
        <f t="shared" si="0"/>
        <v xml:space="preserve">Load Balancing - Transportation </v>
      </c>
      <c r="AA13" s="21">
        <v>0</v>
      </c>
      <c r="AB13" s="21">
        <v>0</v>
      </c>
      <c r="AC13" s="26"/>
      <c r="AD13" s="21">
        <v>31354.020733836118</v>
      </c>
      <c r="AE13" s="21">
        <v>11179.939558464597</v>
      </c>
      <c r="AF13" s="21">
        <v>3500.5078027469058</v>
      </c>
      <c r="AG13" s="21">
        <v>0</v>
      </c>
      <c r="AH13" s="21">
        <v>33.878245939593775</v>
      </c>
      <c r="AI13" s="21">
        <v>0</v>
      </c>
      <c r="AJ13" s="21">
        <v>5813.1133956464337</v>
      </c>
      <c r="AK13" s="21">
        <v>0</v>
      </c>
      <c r="AL13" s="21">
        <v>351.65895375544835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</row>
    <row r="14" spans="2:43" x14ac:dyDescent="0.2">
      <c r="B14" s="9">
        <f>MAX(B$12:B13)+1</f>
        <v>3</v>
      </c>
      <c r="D14" s="1" t="s">
        <v>64</v>
      </c>
      <c r="F14" s="20">
        <f>SUM(H14:V14, AA14:AQ14)</f>
        <v>23590.657623593455</v>
      </c>
      <c r="G14" s="26"/>
      <c r="H14" s="32">
        <v>7058.9650746348625</v>
      </c>
      <c r="I14" s="32">
        <v>6135.0897702075772</v>
      </c>
      <c r="J14" s="32">
        <v>16.449581177655606</v>
      </c>
      <c r="K14" s="32">
        <v>448.26899723695414</v>
      </c>
      <c r="L14" s="32">
        <v>16.532669120473745</v>
      </c>
      <c r="M14" s="20">
        <v>0</v>
      </c>
      <c r="N14" s="32">
        <v>0</v>
      </c>
      <c r="O14" s="32">
        <v>0</v>
      </c>
      <c r="P14" s="32">
        <v>0</v>
      </c>
      <c r="Q14" s="32">
        <v>132.98519515256589</v>
      </c>
      <c r="R14" s="26"/>
      <c r="S14" s="23">
        <v>1265.6864371180864</v>
      </c>
      <c r="T14" s="23">
        <v>357.79867193438787</v>
      </c>
      <c r="U14" s="23">
        <v>50.599535053599894</v>
      </c>
      <c r="V14" s="24">
        <v>54.512124223278057</v>
      </c>
      <c r="W14" s="9">
        <f t="shared" si="1"/>
        <v>3</v>
      </c>
      <c r="Y14" s="1" t="str">
        <f t="shared" si="0"/>
        <v>Load Balancing - Commodity</v>
      </c>
      <c r="AA14" s="20">
        <v>0</v>
      </c>
      <c r="AB14" s="20">
        <v>0</v>
      </c>
      <c r="AC14" s="26"/>
      <c r="AD14" s="22">
        <v>4005.0880316388102</v>
      </c>
      <c r="AE14" s="22">
        <v>1428.0988872259861</v>
      </c>
      <c r="AF14" s="22">
        <v>447.14654061289815</v>
      </c>
      <c r="AG14" s="22">
        <v>0</v>
      </c>
      <c r="AH14" s="22">
        <v>4.3275265554429021</v>
      </c>
      <c r="AI14" s="22">
        <v>0</v>
      </c>
      <c r="AJ14" s="22">
        <v>742.55327841694191</v>
      </c>
      <c r="AK14" s="22">
        <v>0</v>
      </c>
      <c r="AL14" s="22">
        <v>44.920078316611281</v>
      </c>
      <c r="AM14" s="23">
        <v>156.30484664232657</v>
      </c>
      <c r="AN14" s="23">
        <v>0</v>
      </c>
      <c r="AO14" s="23">
        <v>975.0563032466282</v>
      </c>
      <c r="AP14" s="23">
        <v>0</v>
      </c>
      <c r="AQ14" s="23">
        <v>250.2740750783625</v>
      </c>
    </row>
    <row r="15" spans="2:43" x14ac:dyDescent="0.2">
      <c r="B15" s="9">
        <f>MAX(B$12:B14)+1</f>
        <v>4</v>
      </c>
      <c r="D15" s="1" t="s">
        <v>65</v>
      </c>
      <c r="F15" s="20">
        <f>SUM(H15:V15, AA15:AQ15)</f>
        <v>162050.40026244638</v>
      </c>
      <c r="G15" s="26"/>
      <c r="H15" s="21">
        <v>40424.90321575581</v>
      </c>
      <c r="I15" s="21">
        <v>41798.158078949709</v>
      </c>
      <c r="J15" s="21">
        <v>220.18361997490831</v>
      </c>
      <c r="K15" s="21">
        <v>8783.6318982213306</v>
      </c>
      <c r="L15" s="21">
        <v>3065.4311665968694</v>
      </c>
      <c r="M15" s="31">
        <v>0</v>
      </c>
      <c r="N15" s="21">
        <v>422.61231843132771</v>
      </c>
      <c r="O15" s="21">
        <v>126.13919193313612</v>
      </c>
      <c r="P15" s="21">
        <v>2594.8737248980988</v>
      </c>
      <c r="Q15" s="21">
        <v>1516.0207935659805</v>
      </c>
      <c r="R15" s="26"/>
      <c r="S15" s="21">
        <v>8177.3803873951783</v>
      </c>
      <c r="T15" s="21">
        <v>3258.8679196701123</v>
      </c>
      <c r="U15" s="21">
        <v>1630.4982290425596</v>
      </c>
      <c r="V15" s="24">
        <v>247.65091569573761</v>
      </c>
      <c r="W15" s="9">
        <f t="shared" si="1"/>
        <v>4</v>
      </c>
      <c r="Y15" s="1" t="str">
        <f t="shared" si="0"/>
        <v>Transportation Demand</v>
      </c>
      <c r="AA15" s="21">
        <v>45.778075728808922</v>
      </c>
      <c r="AB15" s="21">
        <v>0</v>
      </c>
      <c r="AC15" s="26"/>
      <c r="AD15" s="21">
        <v>26130.1132922504</v>
      </c>
      <c r="AE15" s="21">
        <v>10591.107661436998</v>
      </c>
      <c r="AF15" s="21">
        <v>4765.5328666283085</v>
      </c>
      <c r="AG15" s="21">
        <v>1.9105887622520268</v>
      </c>
      <c r="AH15" s="21">
        <v>35.36756002999681</v>
      </c>
      <c r="AI15" s="21">
        <v>442.20329878018322</v>
      </c>
      <c r="AJ15" s="21">
        <v>5729.4281341365904</v>
      </c>
      <c r="AK15" s="21">
        <v>610.0714249310314</v>
      </c>
      <c r="AL15" s="21">
        <v>723.05170122950381</v>
      </c>
      <c r="AM15" s="24">
        <v>49.130443540286912</v>
      </c>
      <c r="AN15" s="22">
        <v>4.683472050780459</v>
      </c>
      <c r="AO15" s="24">
        <v>619.36560897105062</v>
      </c>
      <c r="AP15" s="22">
        <v>5.2108590022186148</v>
      </c>
      <c r="AQ15" s="24">
        <v>31.093814837155374</v>
      </c>
    </row>
    <row r="16" spans="2:43" x14ac:dyDescent="0.2">
      <c r="B16" s="9">
        <f>MAX(B$12:B15)+1</f>
        <v>5</v>
      </c>
      <c r="D16" s="1" t="s">
        <v>66</v>
      </c>
      <c r="F16" s="20">
        <f>SUM(H16:V16, AA16:AQ16)</f>
        <v>23898.700496907859</v>
      </c>
      <c r="G16" s="26"/>
      <c r="H16" s="21">
        <v>6125.7510426480694</v>
      </c>
      <c r="I16" s="21">
        <v>5874.2384491795456</v>
      </c>
      <c r="J16" s="21">
        <v>33.597928529908032</v>
      </c>
      <c r="K16" s="21">
        <v>1308.5361750890627</v>
      </c>
      <c r="L16" s="21">
        <v>467.75567256279555</v>
      </c>
      <c r="M16" s="31">
        <v>0</v>
      </c>
      <c r="N16" s="21">
        <v>64.486624718644208</v>
      </c>
      <c r="O16" s="21">
        <v>19.247642289979677</v>
      </c>
      <c r="P16" s="21">
        <v>395.95307754136155</v>
      </c>
      <c r="Q16" s="21">
        <v>231.32468760967902</v>
      </c>
      <c r="R16" s="26"/>
      <c r="S16" s="21">
        <v>1211.4304519863383</v>
      </c>
      <c r="T16" s="21">
        <v>396.98125616745489</v>
      </c>
      <c r="U16" s="21">
        <v>165.75927617033878</v>
      </c>
      <c r="V16" s="22">
        <v>19.662249806094451</v>
      </c>
      <c r="W16" s="9">
        <f t="shared" si="1"/>
        <v>5</v>
      </c>
      <c r="Y16" s="1" t="str">
        <f t="shared" si="0"/>
        <v>Transportation Commodity</v>
      </c>
      <c r="AA16" s="21">
        <v>6.9852994366634213</v>
      </c>
      <c r="AB16" s="21">
        <v>0</v>
      </c>
      <c r="AC16" s="26"/>
      <c r="AD16" s="21">
        <v>3987.2070364338383</v>
      </c>
      <c r="AE16" s="21">
        <v>1616.102407173033</v>
      </c>
      <c r="AF16" s="21">
        <v>727.17503998776874</v>
      </c>
      <c r="AG16" s="21">
        <v>0.29153769336476626</v>
      </c>
      <c r="AH16" s="21">
        <v>5.3967536472534992</v>
      </c>
      <c r="AI16" s="21">
        <v>67.476022193654771</v>
      </c>
      <c r="AJ16" s="21">
        <v>874.25630021843619</v>
      </c>
      <c r="AK16" s="21">
        <v>93.091103395010762</v>
      </c>
      <c r="AL16" s="21">
        <v>110.33082017684001</v>
      </c>
      <c r="AM16" s="23">
        <v>6.624526924130822</v>
      </c>
      <c r="AN16" s="23">
        <v>0.63149820077175245</v>
      </c>
      <c r="AO16" s="23">
        <v>83.512459014235219</v>
      </c>
      <c r="AP16" s="23">
        <v>0.70260867337256483</v>
      </c>
      <c r="AQ16" s="23">
        <v>4.1925494402217112</v>
      </c>
    </row>
    <row r="17" spans="2:43" x14ac:dyDescent="0.2">
      <c r="B17" s="9">
        <f>MAX(B$12:B16)+1</f>
        <v>6</v>
      </c>
      <c r="D17" s="1" t="s">
        <v>67</v>
      </c>
      <c r="F17" s="33">
        <f>SUM(F12:F16)</f>
        <v>3112816.4694699193</v>
      </c>
      <c r="G17" s="26"/>
      <c r="H17" s="25">
        <f>SUM(H12:H16)</f>
        <v>1128860.8061002067</v>
      </c>
      <c r="I17" s="25">
        <f t="shared" ref="I17:Q17" si="2">SUM(I12:I16)</f>
        <v>718270.38892938895</v>
      </c>
      <c r="J17" s="25">
        <f t="shared" si="2"/>
        <v>3460.9100611309277</v>
      </c>
      <c r="K17" s="25">
        <f t="shared" si="2"/>
        <v>35254.89810886114</v>
      </c>
      <c r="L17" s="25">
        <f t="shared" si="2"/>
        <v>4021.7460356503248</v>
      </c>
      <c r="M17" s="25">
        <f t="shared" si="2"/>
        <v>0</v>
      </c>
      <c r="N17" s="25">
        <f t="shared" si="2"/>
        <v>1398.3069104595575</v>
      </c>
      <c r="O17" s="25">
        <f t="shared" si="2"/>
        <v>264.41011401434821</v>
      </c>
      <c r="P17" s="25">
        <f t="shared" si="2"/>
        <v>4103.0325584175134</v>
      </c>
      <c r="Q17" s="25">
        <f t="shared" si="2"/>
        <v>32033.870287712522</v>
      </c>
      <c r="R17" s="26"/>
      <c r="S17" s="25">
        <f t="shared" ref="S17:AB17" si="3">SUM(S12:S16)</f>
        <v>213783.37099176692</v>
      </c>
      <c r="T17" s="25">
        <f t="shared" si="3"/>
        <v>40966.036757742782</v>
      </c>
      <c r="U17" s="25">
        <f t="shared" si="3"/>
        <v>5486.3164225717146</v>
      </c>
      <c r="V17" s="25">
        <f t="shared" si="3"/>
        <v>2120.3335343493727</v>
      </c>
      <c r="W17" s="9">
        <f>B17</f>
        <v>6</v>
      </c>
      <c r="Y17" s="1" t="str">
        <f t="shared" si="0"/>
        <v>Total Gas Supply Revenue Requirement</v>
      </c>
      <c r="AA17" s="25">
        <f t="shared" si="3"/>
        <v>1236.0466945082953</v>
      </c>
      <c r="AB17" s="25">
        <f t="shared" si="3"/>
        <v>0</v>
      </c>
      <c r="AC17" s="26"/>
      <c r="AD17" s="25">
        <f t="shared" ref="AD17:AQ17" si="4">SUM(AD12:AD16)</f>
        <v>703162.06669541809</v>
      </c>
      <c r="AE17" s="25">
        <f t="shared" si="4"/>
        <v>167649.27210169478</v>
      </c>
      <c r="AF17" s="25">
        <f t="shared" si="4"/>
        <v>21757.481875087768</v>
      </c>
      <c r="AG17" s="25">
        <f t="shared" si="4"/>
        <v>2.202126455616793</v>
      </c>
      <c r="AH17" s="25">
        <f t="shared" si="4"/>
        <v>141.99494396754858</v>
      </c>
      <c r="AI17" s="25">
        <f t="shared" si="4"/>
        <v>895.6626849694627</v>
      </c>
      <c r="AJ17" s="25">
        <f t="shared" si="4"/>
        <v>20098.892301262134</v>
      </c>
      <c r="AK17" s="25">
        <f t="shared" si="4"/>
        <v>1154.2566793146407</v>
      </c>
      <c r="AL17" s="25">
        <f t="shared" si="4"/>
        <v>4507.3834893471703</v>
      </c>
      <c r="AM17" s="25">
        <f t="shared" si="4"/>
        <v>212.0598171067443</v>
      </c>
      <c r="AN17" s="25">
        <f t="shared" si="4"/>
        <v>5.3149702515522117</v>
      </c>
      <c r="AO17" s="25">
        <f t="shared" si="4"/>
        <v>1677.9343712319139</v>
      </c>
      <c r="AP17" s="25">
        <f t="shared" si="4"/>
        <v>5.9134676755911793</v>
      </c>
      <c r="AQ17" s="25">
        <f t="shared" si="4"/>
        <v>285.56043935573962</v>
      </c>
    </row>
    <row r="18" spans="2:43" x14ac:dyDescent="0.2">
      <c r="F18" s="20"/>
      <c r="G18" s="26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6"/>
      <c r="S18" s="20"/>
      <c r="T18" s="20"/>
      <c r="U18" s="20"/>
      <c r="V18" s="20"/>
      <c r="AA18" s="20"/>
      <c r="AB18" s="20"/>
      <c r="AC18" s="26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</row>
    <row r="19" spans="2:43" x14ac:dyDescent="0.2">
      <c r="B19" s="9"/>
      <c r="D19" s="2" t="s">
        <v>68</v>
      </c>
      <c r="F19" s="20"/>
      <c r="G19" s="26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6"/>
      <c r="S19" s="20"/>
      <c r="T19" s="20"/>
      <c r="U19" s="20"/>
      <c r="V19" s="20"/>
      <c r="W19" s="9"/>
      <c r="Y19" s="2" t="str">
        <f t="shared" ref="Y19:Y23" si="5">D19</f>
        <v>Storage Revenue Requirement</v>
      </c>
      <c r="AA19" s="20"/>
      <c r="AB19" s="20"/>
      <c r="AC19" s="26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</row>
    <row r="20" spans="2:43" x14ac:dyDescent="0.2">
      <c r="B20" s="9">
        <f>MAX(B$12:B19)+1</f>
        <v>7</v>
      </c>
      <c r="D20" s="1" t="s">
        <v>69</v>
      </c>
      <c r="F20" s="20">
        <f>SUM(H20:V20, AA20:AQ20)</f>
        <v>9952.0457581929568</v>
      </c>
      <c r="G20" s="26"/>
      <c r="H20" s="22">
        <v>2977.9222160382965</v>
      </c>
      <c r="I20" s="22">
        <v>2588.1726189211199</v>
      </c>
      <c r="J20" s="22">
        <v>6.9394837225483652</v>
      </c>
      <c r="K20" s="22">
        <v>189.1084870826034</v>
      </c>
      <c r="L20" s="22">
        <v>6.974535522378364</v>
      </c>
      <c r="M20" s="20">
        <v>0</v>
      </c>
      <c r="N20" s="22">
        <v>0</v>
      </c>
      <c r="O20" s="22">
        <v>0</v>
      </c>
      <c r="P20" s="22">
        <v>0</v>
      </c>
      <c r="Q20" s="22">
        <v>56.101647034923054</v>
      </c>
      <c r="R20" s="26"/>
      <c r="S20" s="23">
        <v>533.94735910735074</v>
      </c>
      <c r="T20" s="23">
        <v>150.94232692141864</v>
      </c>
      <c r="U20" s="23">
        <v>21.346114899869782</v>
      </c>
      <c r="V20" s="24">
        <v>22.996694848548469</v>
      </c>
      <c r="W20" s="9">
        <f t="shared" ref="W20:W23" si="6">B20</f>
        <v>7</v>
      </c>
      <c r="Y20" s="1" t="str">
        <f t="shared" si="5"/>
        <v>Storage Demand - Deliverability</v>
      </c>
      <c r="AA20" s="22">
        <v>0</v>
      </c>
      <c r="AB20" s="20">
        <v>0</v>
      </c>
      <c r="AC20" s="26"/>
      <c r="AD20" s="22">
        <v>1689.6018751336917</v>
      </c>
      <c r="AE20" s="22">
        <v>602.46330134872017</v>
      </c>
      <c r="AF20" s="22">
        <v>188.63496320453143</v>
      </c>
      <c r="AG20" s="22">
        <v>0</v>
      </c>
      <c r="AH20" s="22">
        <v>1.8256270336648051</v>
      </c>
      <c r="AI20" s="22">
        <v>0</v>
      </c>
      <c r="AJ20" s="22">
        <v>313.25638829630606</v>
      </c>
      <c r="AK20" s="22">
        <v>0</v>
      </c>
      <c r="AL20" s="22">
        <v>18.950157388636224</v>
      </c>
      <c r="AM20" s="23">
        <v>65.939365100870702</v>
      </c>
      <c r="AN20" s="23">
        <v>0</v>
      </c>
      <c r="AO20" s="23">
        <v>411.34101056258652</v>
      </c>
      <c r="AP20" s="23">
        <v>0</v>
      </c>
      <c r="AQ20" s="23">
        <v>105.5815860248953</v>
      </c>
    </row>
    <row r="21" spans="2:43" x14ac:dyDescent="0.2">
      <c r="B21" s="9">
        <f>MAX(B$12:B20)+1</f>
        <v>8</v>
      </c>
      <c r="D21" s="1" t="s">
        <v>70</v>
      </c>
      <c r="F21" s="20">
        <f>SUM(H21:V21, AA21:AQ21)</f>
        <v>3293.8470156641856</v>
      </c>
      <c r="G21" s="26"/>
      <c r="H21" s="22">
        <v>987.43887371504866</v>
      </c>
      <c r="I21" s="22">
        <v>798.94273304949138</v>
      </c>
      <c r="J21" s="22">
        <v>3.1603928169519389</v>
      </c>
      <c r="K21" s="22">
        <v>67.448335816341938</v>
      </c>
      <c r="L21" s="22">
        <v>8.686906403422709</v>
      </c>
      <c r="M21" s="20">
        <v>0</v>
      </c>
      <c r="N21" s="22">
        <v>0</v>
      </c>
      <c r="O21" s="22">
        <v>1.6489551716562807</v>
      </c>
      <c r="P21" s="22">
        <v>7.441765319050913</v>
      </c>
      <c r="Q21" s="22">
        <v>28.630975988867505</v>
      </c>
      <c r="R21" s="26"/>
      <c r="S21" s="23">
        <v>196.3156457112471</v>
      </c>
      <c r="T21" s="23">
        <v>48.768273014375893</v>
      </c>
      <c r="U21" s="23">
        <v>6.6708202511885251</v>
      </c>
      <c r="V21" s="24">
        <v>14.863657158250305</v>
      </c>
      <c r="W21" s="9">
        <f t="shared" si="6"/>
        <v>8</v>
      </c>
      <c r="Y21" s="1" t="str">
        <f t="shared" si="5"/>
        <v>Storage Demand - Space</v>
      </c>
      <c r="AA21" s="22">
        <v>0</v>
      </c>
      <c r="AB21" s="20">
        <v>0</v>
      </c>
      <c r="AC21" s="26"/>
      <c r="AD21" s="22">
        <v>621.30528699397155</v>
      </c>
      <c r="AE21" s="22">
        <v>186.99902705645965</v>
      </c>
      <c r="AF21" s="22">
        <v>38.440929157571126</v>
      </c>
      <c r="AG21" s="22">
        <v>8.2803448159702642E-2</v>
      </c>
      <c r="AH21" s="22">
        <v>0.15250987430359098</v>
      </c>
      <c r="AI21" s="22">
        <v>0</v>
      </c>
      <c r="AJ21" s="22">
        <v>52.816558790277753</v>
      </c>
      <c r="AK21" s="22">
        <v>5.4875769765207032</v>
      </c>
      <c r="AL21" s="22">
        <v>5.3501973048715703</v>
      </c>
      <c r="AM21" s="23">
        <v>22.457266566423407</v>
      </c>
      <c r="AN21" s="23">
        <v>0</v>
      </c>
      <c r="AO21" s="23">
        <v>142.24077563371861</v>
      </c>
      <c r="AP21" s="23">
        <v>0</v>
      </c>
      <c r="AQ21" s="23">
        <v>48.496749446014789</v>
      </c>
    </row>
    <row r="22" spans="2:43" x14ac:dyDescent="0.2">
      <c r="B22" s="9">
        <f>MAX(B$12:B21)+1</f>
        <v>9</v>
      </c>
      <c r="D22" s="1" t="s">
        <v>71</v>
      </c>
      <c r="F22" s="20">
        <f>SUM(H22:V22, AA22:AQ22)</f>
        <v>21450.679716287697</v>
      </c>
      <c r="G22" s="26"/>
      <c r="H22" s="22">
        <v>5055.9225144881275</v>
      </c>
      <c r="I22" s="22">
        <v>4848.3352039458587</v>
      </c>
      <c r="J22" s="22">
        <v>27.730236196653102</v>
      </c>
      <c r="K22" s="22">
        <v>1080.0075717401396</v>
      </c>
      <c r="L22" s="22">
        <v>386.06473226300892</v>
      </c>
      <c r="M22" s="20">
        <v>0</v>
      </c>
      <c r="N22" s="22">
        <v>53.224392491373251</v>
      </c>
      <c r="O22" s="22">
        <v>15.886148053880826</v>
      </c>
      <c r="P22" s="22">
        <v>326.80206320576144</v>
      </c>
      <c r="Q22" s="22">
        <v>190.92511074970591</v>
      </c>
      <c r="R22" s="26"/>
      <c r="S22" s="23">
        <v>999.86082592846537</v>
      </c>
      <c r="T22" s="23">
        <v>327.65067612332683</v>
      </c>
      <c r="U22" s="23">
        <v>136.81033566989166</v>
      </c>
      <c r="V22" s="22">
        <v>23.121667829314955</v>
      </c>
      <c r="W22" s="9">
        <f t="shared" si="6"/>
        <v>9</v>
      </c>
      <c r="Y22" s="1" t="str">
        <f t="shared" si="5"/>
        <v>Storage Commodity</v>
      </c>
      <c r="AA22" s="22">
        <v>5.7653555370413434</v>
      </c>
      <c r="AB22" s="20">
        <v>0</v>
      </c>
      <c r="AC22" s="26"/>
      <c r="AD22" s="22">
        <v>3290.8633872128262</v>
      </c>
      <c r="AE22" s="22">
        <v>1333.8590630370188</v>
      </c>
      <c r="AF22" s="22">
        <v>600.17794243539015</v>
      </c>
      <c r="AG22" s="22">
        <v>0</v>
      </c>
      <c r="AH22" s="22">
        <v>4.4542404809353382</v>
      </c>
      <c r="AI22" s="22">
        <v>55.691708236566576</v>
      </c>
      <c r="AJ22" s="22">
        <v>721.57227431115268</v>
      </c>
      <c r="AK22" s="22">
        <v>76.833257224556945</v>
      </c>
      <c r="AL22" s="22">
        <v>91.06215285120166</v>
      </c>
      <c r="AM22" s="23">
        <v>132.33592338791621</v>
      </c>
      <c r="AN22" s="23">
        <v>0</v>
      </c>
      <c r="AO22" s="23">
        <v>1380.960876907481</v>
      </c>
      <c r="AP22" s="23">
        <v>0</v>
      </c>
      <c r="AQ22" s="23">
        <v>284.76205598010353</v>
      </c>
    </row>
    <row r="23" spans="2:43" x14ac:dyDescent="0.2">
      <c r="B23" s="9">
        <f>MAX(B$12:B22)+1</f>
        <v>10</v>
      </c>
      <c r="D23" s="1" t="s">
        <v>72</v>
      </c>
      <c r="F23" s="33">
        <f>SUM(F20:F22)</f>
        <v>34696.572490144841</v>
      </c>
      <c r="G23" s="26"/>
      <c r="H23" s="25">
        <f>SUM(H20:H22)</f>
        <v>9021.2836042414729</v>
      </c>
      <c r="I23" s="25">
        <f t="shared" ref="I23:P23" si="7">SUM(I20:I22)</f>
        <v>8235.45055591647</v>
      </c>
      <c r="J23" s="25">
        <f t="shared" si="7"/>
        <v>37.83011273615341</v>
      </c>
      <c r="K23" s="25">
        <f t="shared" si="7"/>
        <v>1336.5643946390851</v>
      </c>
      <c r="L23" s="25">
        <f t="shared" si="7"/>
        <v>401.72617418880998</v>
      </c>
      <c r="M23" s="25">
        <f t="shared" si="7"/>
        <v>0</v>
      </c>
      <c r="N23" s="25">
        <f t="shared" si="7"/>
        <v>53.224392491373251</v>
      </c>
      <c r="O23" s="25">
        <f t="shared" si="7"/>
        <v>17.535103225537107</v>
      </c>
      <c r="P23" s="25">
        <f t="shared" si="7"/>
        <v>334.24382852481233</v>
      </c>
      <c r="Q23" s="25">
        <f>SUM(Q20:Q22)</f>
        <v>275.65773377349649</v>
      </c>
      <c r="R23" s="26"/>
      <c r="S23" s="25">
        <f t="shared" ref="S23:AB23" si="8">SUM(S20:S22)</f>
        <v>1730.1238307470633</v>
      </c>
      <c r="T23" s="25">
        <f t="shared" si="8"/>
        <v>527.36127605912134</v>
      </c>
      <c r="U23" s="25">
        <f t="shared" si="8"/>
        <v>164.82727082094996</v>
      </c>
      <c r="V23" s="25">
        <f t="shared" si="8"/>
        <v>60.982019836113736</v>
      </c>
      <c r="W23" s="9">
        <f t="shared" si="6"/>
        <v>10</v>
      </c>
      <c r="Y23" s="1" t="str">
        <f t="shared" si="5"/>
        <v>Total Storage Revenue Requirement</v>
      </c>
      <c r="AA23" s="25">
        <f t="shared" si="8"/>
        <v>5.7653555370413434</v>
      </c>
      <c r="AB23" s="25">
        <f t="shared" si="8"/>
        <v>0</v>
      </c>
      <c r="AC23" s="26"/>
      <c r="AD23" s="25">
        <f t="shared" ref="AD23:AQ23" si="9">SUM(AD20:AD22)</f>
        <v>5601.7705493404901</v>
      </c>
      <c r="AE23" s="25">
        <f t="shared" si="9"/>
        <v>2123.3213914421985</v>
      </c>
      <c r="AF23" s="25">
        <f t="shared" si="9"/>
        <v>827.25383479749269</v>
      </c>
      <c r="AG23" s="25">
        <f t="shared" si="9"/>
        <v>8.2803448159702642E-2</v>
      </c>
      <c r="AH23" s="25">
        <f t="shared" si="9"/>
        <v>6.4323773889037348</v>
      </c>
      <c r="AI23" s="25">
        <f t="shared" si="9"/>
        <v>55.691708236566576</v>
      </c>
      <c r="AJ23" s="25">
        <f t="shared" si="9"/>
        <v>1087.6452213977363</v>
      </c>
      <c r="AK23" s="25">
        <f t="shared" si="9"/>
        <v>82.320834201077645</v>
      </c>
      <c r="AL23" s="25">
        <f t="shared" si="9"/>
        <v>115.36250754470946</v>
      </c>
      <c r="AM23" s="25">
        <f t="shared" si="9"/>
        <v>220.73255505521033</v>
      </c>
      <c r="AN23" s="25">
        <f t="shared" si="9"/>
        <v>0</v>
      </c>
      <c r="AO23" s="25">
        <f t="shared" si="9"/>
        <v>1934.542663103786</v>
      </c>
      <c r="AP23" s="25">
        <f t="shared" si="9"/>
        <v>0</v>
      </c>
      <c r="AQ23" s="25">
        <f t="shared" si="9"/>
        <v>438.8403914510136</v>
      </c>
    </row>
    <row r="24" spans="2:43" x14ac:dyDescent="0.2">
      <c r="F24" s="26"/>
      <c r="G24" s="26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6"/>
      <c r="S24" s="20"/>
      <c r="T24" s="20"/>
      <c r="U24" s="20"/>
      <c r="V24" s="20"/>
      <c r="AA24" s="20"/>
      <c r="AB24" s="20"/>
      <c r="AC24" s="26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</row>
    <row r="25" spans="2:43" x14ac:dyDescent="0.2">
      <c r="B25" s="9"/>
      <c r="D25" s="2" t="s">
        <v>73</v>
      </c>
      <c r="F25" s="26"/>
      <c r="G25" s="26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6"/>
      <c r="S25" s="20"/>
      <c r="T25" s="20"/>
      <c r="U25" s="20"/>
      <c r="V25" s="20"/>
      <c r="W25" s="9"/>
      <c r="Y25" s="2" t="str">
        <f t="shared" ref="Y25:Y28" si="10">D25</f>
        <v>Transmission Revenue Requirement</v>
      </c>
      <c r="AA25" s="20"/>
      <c r="AB25" s="20"/>
      <c r="AC25" s="26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</row>
    <row r="26" spans="2:43" x14ac:dyDescent="0.2">
      <c r="B26" s="9">
        <f>MAX(B$12:B25)+1</f>
        <v>11</v>
      </c>
      <c r="D26" s="1" t="s">
        <v>74</v>
      </c>
      <c r="F26" s="20">
        <f>SUM(H26:V26, AA26:AQ26)</f>
        <v>1285.4070408906441</v>
      </c>
      <c r="G26" s="26"/>
      <c r="H26" s="22">
        <v>246.16994857626977</v>
      </c>
      <c r="I26" s="22">
        <v>219.68024325885989</v>
      </c>
      <c r="J26" s="22">
        <v>0.77484430414843264</v>
      </c>
      <c r="K26" s="22">
        <v>25.206819738393069</v>
      </c>
      <c r="L26" s="22">
        <v>5.2974531525813759</v>
      </c>
      <c r="M26" s="20">
        <v>0</v>
      </c>
      <c r="N26" s="22">
        <v>8.7833030478296936E-2</v>
      </c>
      <c r="O26" s="22">
        <v>0</v>
      </c>
      <c r="P26" s="22">
        <v>0</v>
      </c>
      <c r="Q26" s="22">
        <v>5.8446100577983264</v>
      </c>
      <c r="R26" s="26"/>
      <c r="S26" s="21">
        <v>45.316059728178885</v>
      </c>
      <c r="T26" s="21">
        <v>13.37812706636957</v>
      </c>
      <c r="U26" s="23">
        <v>3.0332730976338036</v>
      </c>
      <c r="V26" s="20">
        <v>0</v>
      </c>
      <c r="W26" s="9">
        <f t="shared" ref="W26:W27" si="11">B26</f>
        <v>11</v>
      </c>
      <c r="Y26" s="1" t="str">
        <f t="shared" si="10"/>
        <v>Transmission Demand - Panhandle St. Clair</v>
      </c>
      <c r="AA26" s="22">
        <v>0</v>
      </c>
      <c r="AB26" s="20">
        <v>0</v>
      </c>
      <c r="AC26" s="26"/>
      <c r="AD26" s="22">
        <v>144.9977610881628</v>
      </c>
      <c r="AE26" s="22">
        <v>53.725903102876046</v>
      </c>
      <c r="AF26" s="22">
        <v>19.124670198019324</v>
      </c>
      <c r="AG26" s="22">
        <v>0</v>
      </c>
      <c r="AH26" s="22">
        <v>0.1680051155660709</v>
      </c>
      <c r="AI26" s="22">
        <v>0</v>
      </c>
      <c r="AJ26" s="22">
        <v>28.288758531518827</v>
      </c>
      <c r="AK26" s="22">
        <v>0</v>
      </c>
      <c r="AL26" s="22">
        <v>2.3094055937940192</v>
      </c>
      <c r="AM26" s="24">
        <v>31.713051242895048</v>
      </c>
      <c r="AN26" s="20">
        <v>0</v>
      </c>
      <c r="AO26" s="24">
        <v>400.56323771079087</v>
      </c>
      <c r="AP26" s="20">
        <v>0</v>
      </c>
      <c r="AQ26" s="24">
        <v>39.727036296309656</v>
      </c>
    </row>
    <row r="27" spans="2:43" x14ac:dyDescent="0.2">
      <c r="B27" s="9">
        <f>MAX(B$12:B26)+1</f>
        <v>12</v>
      </c>
      <c r="D27" s="1" t="s">
        <v>75</v>
      </c>
      <c r="F27" s="20">
        <f>SUM(H27:V27, AA27:AQ27)</f>
        <v>13548.687997335755</v>
      </c>
      <c r="G27" s="26"/>
      <c r="H27" s="22">
        <v>2637.6966151312204</v>
      </c>
      <c r="I27" s="22">
        <v>2529.3974185370312</v>
      </c>
      <c r="J27" s="22">
        <v>14.466984006005161</v>
      </c>
      <c r="K27" s="22">
        <v>563.44461532624314</v>
      </c>
      <c r="L27" s="22">
        <v>201.41163844849319</v>
      </c>
      <c r="M27" s="20">
        <v>0</v>
      </c>
      <c r="N27" s="22">
        <v>27.76739546830736</v>
      </c>
      <c r="O27" s="22">
        <v>8.2878720607602538</v>
      </c>
      <c r="P27" s="22">
        <v>170.49404801311661</v>
      </c>
      <c r="Q27" s="22">
        <v>99.606454989162032</v>
      </c>
      <c r="R27" s="26"/>
      <c r="S27" s="21">
        <v>521.63171183821589</v>
      </c>
      <c r="T27" s="21">
        <v>170.93677303783849</v>
      </c>
      <c r="U27" s="23">
        <v>71.374543078410667</v>
      </c>
      <c r="V27" s="22">
        <v>13.48588314535748</v>
      </c>
      <c r="W27" s="9">
        <f t="shared" si="11"/>
        <v>12</v>
      </c>
      <c r="Y27" s="1" t="str">
        <f t="shared" si="10"/>
        <v>Transmission Commodity</v>
      </c>
      <c r="AA27" s="22">
        <v>3.0078108874304226</v>
      </c>
      <c r="AB27" s="20">
        <v>0</v>
      </c>
      <c r="AC27" s="26"/>
      <c r="AD27" s="22">
        <v>1716.8576441661201</v>
      </c>
      <c r="AE27" s="22">
        <v>695.88003486067021</v>
      </c>
      <c r="AF27" s="22">
        <v>313.11542506867789</v>
      </c>
      <c r="AG27" s="22">
        <v>0.12553366625865775</v>
      </c>
      <c r="AH27" s="22">
        <v>2.3237964992295943</v>
      </c>
      <c r="AI27" s="22">
        <v>29.054604750274617</v>
      </c>
      <c r="AJ27" s="22">
        <v>376.44737237745363</v>
      </c>
      <c r="AK27" s="22">
        <v>40.084242179340094</v>
      </c>
      <c r="AL27" s="22">
        <v>47.507518490222388</v>
      </c>
      <c r="AM27" s="23">
        <v>228.12282385375616</v>
      </c>
      <c r="AN27" s="23">
        <v>21.74633063892632</v>
      </c>
      <c r="AO27" s="23">
        <v>2875.8427877924319</v>
      </c>
      <c r="AP27" s="23">
        <v>24.195097471797311</v>
      </c>
      <c r="AQ27" s="23">
        <v>144.3750215530068</v>
      </c>
    </row>
    <row r="28" spans="2:43" x14ac:dyDescent="0.2">
      <c r="B28" s="9">
        <f>MAX(B$12:B27)+1</f>
        <v>13</v>
      </c>
      <c r="D28" s="1" t="s">
        <v>76</v>
      </c>
      <c r="F28" s="33">
        <f>SUM(F26:F27)</f>
        <v>14834.0950382264</v>
      </c>
      <c r="G28" s="26"/>
      <c r="H28" s="25">
        <f>SUM(H26:H27)</f>
        <v>2883.8665637074901</v>
      </c>
      <c r="I28" s="25">
        <f t="shared" ref="I28:Q28" si="12">SUM(I26:I27)</f>
        <v>2749.0776617958909</v>
      </c>
      <c r="J28" s="25">
        <f t="shared" si="12"/>
        <v>15.241828310153593</v>
      </c>
      <c r="K28" s="25">
        <f t="shared" si="12"/>
        <v>588.65143506463619</v>
      </c>
      <c r="L28" s="25">
        <f t="shared" si="12"/>
        <v>206.70909160107456</v>
      </c>
      <c r="M28" s="25">
        <f t="shared" si="12"/>
        <v>0</v>
      </c>
      <c r="N28" s="25">
        <f t="shared" si="12"/>
        <v>27.855228498785657</v>
      </c>
      <c r="O28" s="25">
        <f t="shared" si="12"/>
        <v>8.2878720607602538</v>
      </c>
      <c r="P28" s="25">
        <f t="shared" si="12"/>
        <v>170.49404801311661</v>
      </c>
      <c r="Q28" s="25">
        <f t="shared" si="12"/>
        <v>105.45106504696035</v>
      </c>
      <c r="R28" s="26"/>
      <c r="S28" s="25">
        <f t="shared" ref="S28:AB28" si="13">SUM(S26:S27)</f>
        <v>566.94777156639475</v>
      </c>
      <c r="T28" s="25">
        <f t="shared" si="13"/>
        <v>184.31490010420805</v>
      </c>
      <c r="U28" s="25">
        <f t="shared" si="13"/>
        <v>74.407816176044477</v>
      </c>
      <c r="V28" s="25">
        <f t="shared" si="13"/>
        <v>13.48588314535748</v>
      </c>
      <c r="W28" s="9">
        <f>B28</f>
        <v>13</v>
      </c>
      <c r="Y28" s="1" t="str">
        <f t="shared" si="10"/>
        <v>Total Transmission Revenue Requirement</v>
      </c>
      <c r="AA28" s="25">
        <f t="shared" si="13"/>
        <v>3.0078108874304226</v>
      </c>
      <c r="AB28" s="25">
        <f t="shared" si="13"/>
        <v>0</v>
      </c>
      <c r="AC28" s="26"/>
      <c r="AD28" s="25">
        <f t="shared" ref="AD28:AQ28" si="14">SUM(AD26:AD27)</f>
        <v>1861.8554052542829</v>
      </c>
      <c r="AE28" s="25">
        <f t="shared" si="14"/>
        <v>749.60593796354624</v>
      </c>
      <c r="AF28" s="25">
        <f t="shared" si="14"/>
        <v>332.24009526669721</v>
      </c>
      <c r="AG28" s="25">
        <f t="shared" si="14"/>
        <v>0.12553366625865775</v>
      </c>
      <c r="AH28" s="25">
        <f t="shared" si="14"/>
        <v>2.4918016147956652</v>
      </c>
      <c r="AI28" s="25">
        <f t="shared" si="14"/>
        <v>29.054604750274617</v>
      </c>
      <c r="AJ28" s="25">
        <f t="shared" si="14"/>
        <v>404.73613090897248</v>
      </c>
      <c r="AK28" s="25">
        <f t="shared" si="14"/>
        <v>40.084242179340094</v>
      </c>
      <c r="AL28" s="25">
        <f t="shared" si="14"/>
        <v>49.816924084016406</v>
      </c>
      <c r="AM28" s="25">
        <f t="shared" si="14"/>
        <v>259.83587509665119</v>
      </c>
      <c r="AN28" s="25">
        <f t="shared" si="14"/>
        <v>21.74633063892632</v>
      </c>
      <c r="AO28" s="25">
        <f t="shared" si="14"/>
        <v>3276.4060255032227</v>
      </c>
      <c r="AP28" s="25">
        <f t="shared" si="14"/>
        <v>24.195097471797311</v>
      </c>
      <c r="AQ28" s="25">
        <f t="shared" si="14"/>
        <v>184.10205784931645</v>
      </c>
    </row>
    <row r="29" spans="2:43" x14ac:dyDescent="0.2">
      <c r="F29" s="26"/>
      <c r="G29" s="26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6"/>
      <c r="S29" s="20"/>
      <c r="T29" s="20"/>
      <c r="U29" s="20"/>
      <c r="V29" s="20"/>
      <c r="AA29" s="20"/>
      <c r="AB29" s="20"/>
      <c r="AC29" s="26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</row>
    <row r="30" spans="2:43" x14ac:dyDescent="0.2">
      <c r="D30" s="2" t="s">
        <v>77</v>
      </c>
      <c r="F30" s="26"/>
      <c r="G30" s="26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6"/>
      <c r="S30" s="20"/>
      <c r="T30" s="20"/>
      <c r="U30" s="20"/>
      <c r="V30" s="20"/>
      <c r="Y30" s="2" t="str">
        <f t="shared" ref="Y30:Y33" si="15">D30</f>
        <v>Distribution Revenue Requirement</v>
      </c>
      <c r="AA30" s="20"/>
      <c r="AB30" s="20"/>
      <c r="AC30" s="26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2:43" x14ac:dyDescent="0.2">
      <c r="B31" s="9">
        <f>MAX(B$12:B30)+1</f>
        <v>14</v>
      </c>
      <c r="D31" s="1" t="s">
        <v>78</v>
      </c>
      <c r="F31" s="20">
        <f>SUM(H31:V31, AA31:AQ31)</f>
        <v>10926.58765013757</v>
      </c>
      <c r="G31" s="26"/>
      <c r="H31" s="22">
        <v>2563.2101296785609</v>
      </c>
      <c r="I31" s="22">
        <v>2287.3897811978513</v>
      </c>
      <c r="J31" s="22">
        <v>8.0679578510845609</v>
      </c>
      <c r="K31" s="22">
        <v>262.46248197274434</v>
      </c>
      <c r="L31" s="22">
        <v>55.158989392189135</v>
      </c>
      <c r="M31" s="24">
        <v>450.08385127998349</v>
      </c>
      <c r="N31" s="22">
        <v>0.9145491346299891</v>
      </c>
      <c r="O31" s="22">
        <v>0</v>
      </c>
      <c r="P31" s="22">
        <v>0</v>
      </c>
      <c r="Q31" s="22">
        <v>60.856184074508931</v>
      </c>
      <c r="R31" s="26"/>
      <c r="S31" s="22">
        <v>471.84712839308708</v>
      </c>
      <c r="T31" s="22">
        <v>140.77215363042743</v>
      </c>
      <c r="U31" s="22">
        <v>369.84800323489389</v>
      </c>
      <c r="V31" s="20">
        <v>0</v>
      </c>
      <c r="W31" s="9">
        <f t="shared" ref="W31:W33" si="16">B31</f>
        <v>14</v>
      </c>
      <c r="Y31" s="1" t="str">
        <f t="shared" si="15"/>
        <v>Distribution Demand - High Pressure &gt; 4"</v>
      </c>
      <c r="AA31" s="22">
        <v>0</v>
      </c>
      <c r="AB31" s="22">
        <v>165.15843158166865</v>
      </c>
      <c r="AC31" s="26"/>
      <c r="AD31" s="22">
        <v>1509.7688899534423</v>
      </c>
      <c r="AE31" s="22">
        <v>559.41344528799925</v>
      </c>
      <c r="AF31" s="22">
        <v>199.13295128766296</v>
      </c>
      <c r="AG31" s="22">
        <v>0</v>
      </c>
      <c r="AH31" s="22">
        <v>1.7493297477914904</v>
      </c>
      <c r="AI31" s="22">
        <v>0</v>
      </c>
      <c r="AJ31" s="22">
        <v>294.55273823382385</v>
      </c>
      <c r="AK31" s="22">
        <v>0</v>
      </c>
      <c r="AL31" s="22">
        <v>24.046362465380906</v>
      </c>
      <c r="AM31" s="24">
        <v>100.92703479037773</v>
      </c>
      <c r="AN31" s="20">
        <v>0</v>
      </c>
      <c r="AO31" s="24">
        <v>1274.7956517504981</v>
      </c>
      <c r="AP31" s="20">
        <v>0</v>
      </c>
      <c r="AQ31" s="24">
        <v>126.4316051989647</v>
      </c>
    </row>
    <row r="32" spans="2:43" x14ac:dyDescent="0.2">
      <c r="B32" s="9">
        <f>MAX(B$12:B31)+1</f>
        <v>15</v>
      </c>
      <c r="D32" s="1" t="s">
        <v>79</v>
      </c>
      <c r="F32" s="20">
        <f>SUM(H32:V32, AA32:AQ32)</f>
        <v>29306.334396746555</v>
      </c>
      <c r="G32" s="26"/>
      <c r="H32" s="34">
        <v>5346.4519355872599</v>
      </c>
      <c r="I32" s="34">
        <v>5126.9359965926078</v>
      </c>
      <c r="J32" s="34">
        <v>29.323703945826374</v>
      </c>
      <c r="K32" s="34">
        <v>1142.0682488373852</v>
      </c>
      <c r="L32" s="34">
        <v>408.24924218177284</v>
      </c>
      <c r="M32" s="23">
        <v>336.75731946411122</v>
      </c>
      <c r="N32" s="34">
        <v>56.28283571208334</v>
      </c>
      <c r="O32" s="34">
        <v>16.799016750812658</v>
      </c>
      <c r="P32" s="34">
        <v>345.58115128812392</v>
      </c>
      <c r="Q32" s="34">
        <v>201.89627609894694</v>
      </c>
      <c r="R32" s="26"/>
      <c r="S32" s="22">
        <v>1057.3160155806563</v>
      </c>
      <c r="T32" s="22">
        <v>350.62760221461508</v>
      </c>
      <c r="U32" s="22">
        <v>993.27491341193422</v>
      </c>
      <c r="V32" s="20">
        <v>0</v>
      </c>
      <c r="W32" s="9">
        <f t="shared" si="16"/>
        <v>15</v>
      </c>
      <c r="Y32" s="1" t="str">
        <f t="shared" si="15"/>
        <v>Distribution Commodity</v>
      </c>
      <c r="AA32" s="22">
        <v>135.59106526573521</v>
      </c>
      <c r="AB32" s="22">
        <v>1150.7243150119407</v>
      </c>
      <c r="AC32" s="26"/>
      <c r="AD32" s="22">
        <v>3479.9668855483956</v>
      </c>
      <c r="AE32" s="22">
        <v>1410.5068558585053</v>
      </c>
      <c r="AF32" s="22">
        <v>634.66607979757362</v>
      </c>
      <c r="AG32" s="22">
        <v>0.25444916943815277</v>
      </c>
      <c r="AH32" s="22">
        <v>4.7101953348030854</v>
      </c>
      <c r="AI32" s="22">
        <v>58.891931283424242</v>
      </c>
      <c r="AJ32" s="22">
        <v>763.03611687125328</v>
      </c>
      <c r="AK32" s="22">
        <v>81.248341055182308</v>
      </c>
      <c r="AL32" s="22">
        <v>96.294874372563555</v>
      </c>
      <c r="AM32" s="23">
        <v>420.95091563779329</v>
      </c>
      <c r="AN32" s="23">
        <v>40.128110110046343</v>
      </c>
      <c r="AO32" s="23">
        <v>5306.7406158694876</v>
      </c>
      <c r="AP32" s="23">
        <v>44.646775200486104</v>
      </c>
      <c r="AQ32" s="23">
        <v>266.41261269378981</v>
      </c>
    </row>
    <row r="33" spans="2:43" x14ac:dyDescent="0.2">
      <c r="B33" s="9">
        <f>MAX(B$12:B32)+1</f>
        <v>16</v>
      </c>
      <c r="D33" s="1" t="s">
        <v>80</v>
      </c>
      <c r="F33" s="33">
        <f>SUM(F31:F32)</f>
        <v>40232.922046884123</v>
      </c>
      <c r="G33" s="26"/>
      <c r="H33" s="25">
        <f>SUM(H31:H32)</f>
        <v>7909.6620652658203</v>
      </c>
      <c r="I33" s="25">
        <f t="shared" ref="I33:Q33" si="17">SUM(I31:I32)</f>
        <v>7414.3257777904591</v>
      </c>
      <c r="J33" s="25">
        <f t="shared" si="17"/>
        <v>37.391661796910938</v>
      </c>
      <c r="K33" s="25">
        <f t="shared" si="17"/>
        <v>1404.5307308101296</v>
      </c>
      <c r="L33" s="25">
        <f t="shared" si="17"/>
        <v>463.40823157396198</v>
      </c>
      <c r="M33" s="25">
        <f t="shared" si="17"/>
        <v>786.84117074409471</v>
      </c>
      <c r="N33" s="25">
        <f t="shared" si="17"/>
        <v>57.197384846713327</v>
      </c>
      <c r="O33" s="25">
        <f t="shared" si="17"/>
        <v>16.799016750812658</v>
      </c>
      <c r="P33" s="25">
        <f t="shared" si="17"/>
        <v>345.58115128812392</v>
      </c>
      <c r="Q33" s="25">
        <f t="shared" si="17"/>
        <v>262.75246017345586</v>
      </c>
      <c r="R33" s="26"/>
      <c r="S33" s="25">
        <f t="shared" ref="S33:AB33" si="18">SUM(S31:S32)</f>
        <v>1529.1631439737434</v>
      </c>
      <c r="T33" s="25">
        <f t="shared" si="18"/>
        <v>491.39975584504248</v>
      </c>
      <c r="U33" s="25">
        <f t="shared" si="18"/>
        <v>1363.1229166468281</v>
      </c>
      <c r="V33" s="25">
        <f t="shared" si="18"/>
        <v>0</v>
      </c>
      <c r="W33" s="9">
        <f t="shared" si="16"/>
        <v>16</v>
      </c>
      <c r="Y33" s="1" t="str">
        <f t="shared" si="15"/>
        <v>Total Distribution Revenue Requirement</v>
      </c>
      <c r="AA33" s="25">
        <f t="shared" si="18"/>
        <v>135.59106526573521</v>
      </c>
      <c r="AB33" s="25">
        <f t="shared" si="18"/>
        <v>1315.8827465936092</v>
      </c>
      <c r="AC33" s="26"/>
      <c r="AD33" s="25">
        <f t="shared" ref="AD33:AQ33" si="19">SUM(AD31:AD32)</f>
        <v>4989.7357755018384</v>
      </c>
      <c r="AE33" s="25">
        <f t="shared" si="19"/>
        <v>1969.9203011465047</v>
      </c>
      <c r="AF33" s="25">
        <f t="shared" si="19"/>
        <v>833.79903108523661</v>
      </c>
      <c r="AG33" s="25">
        <f t="shared" si="19"/>
        <v>0.25444916943815277</v>
      </c>
      <c r="AH33" s="25">
        <f t="shared" si="19"/>
        <v>6.4595250825945758</v>
      </c>
      <c r="AI33" s="25">
        <f t="shared" si="19"/>
        <v>58.891931283424242</v>
      </c>
      <c r="AJ33" s="25">
        <f t="shared" si="19"/>
        <v>1057.5888551050771</v>
      </c>
      <c r="AK33" s="25">
        <f t="shared" si="19"/>
        <v>81.248341055182308</v>
      </c>
      <c r="AL33" s="25">
        <f t="shared" si="19"/>
        <v>120.34123683794446</v>
      </c>
      <c r="AM33" s="25">
        <f t="shared" si="19"/>
        <v>521.87795042817106</v>
      </c>
      <c r="AN33" s="25">
        <f t="shared" si="19"/>
        <v>40.128110110046343</v>
      </c>
      <c r="AO33" s="25">
        <f t="shared" si="19"/>
        <v>6581.5362676199857</v>
      </c>
      <c r="AP33" s="25">
        <f t="shared" si="19"/>
        <v>44.646775200486104</v>
      </c>
      <c r="AQ33" s="25">
        <f t="shared" si="19"/>
        <v>392.8442178927545</v>
      </c>
    </row>
    <row r="34" spans="2:43" x14ac:dyDescent="0.2"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</row>
    <row r="35" spans="2:43" ht="13.5" thickBot="1" x14ac:dyDescent="0.25">
      <c r="B35" s="9">
        <f>MAX(B$12:B34)+1</f>
        <v>17</v>
      </c>
      <c r="D35" s="1" t="s">
        <v>81</v>
      </c>
      <c r="F35" s="27">
        <f>F17+F23+F28+F33</f>
        <v>3202580.0590451746</v>
      </c>
      <c r="G35" s="26"/>
      <c r="H35" s="27">
        <f>H17+H23+H28+H33</f>
        <v>1148675.6183334216</v>
      </c>
      <c r="I35" s="27">
        <f t="shared" ref="I35:Q35" si="20">I17+I23+I28+I33</f>
        <v>736669.24292489188</v>
      </c>
      <c r="J35" s="27">
        <f t="shared" si="20"/>
        <v>3551.3736639741455</v>
      </c>
      <c r="K35" s="27">
        <f t="shared" si="20"/>
        <v>38584.644669374997</v>
      </c>
      <c r="L35" s="27">
        <f t="shared" si="20"/>
        <v>5093.589533014172</v>
      </c>
      <c r="M35" s="27">
        <f t="shared" si="20"/>
        <v>786.84117074409471</v>
      </c>
      <c r="N35" s="27">
        <f t="shared" si="20"/>
        <v>1536.5839162964296</v>
      </c>
      <c r="O35" s="27">
        <f t="shared" si="20"/>
        <v>307.03210605145824</v>
      </c>
      <c r="P35" s="27">
        <f t="shared" si="20"/>
        <v>4953.3515862435661</v>
      </c>
      <c r="Q35" s="27">
        <f t="shared" si="20"/>
        <v>32677.731546706433</v>
      </c>
      <c r="R35" s="26"/>
      <c r="S35" s="27">
        <f t="shared" ref="S35:AB35" si="21">S17+S23+S28+S33</f>
        <v>217609.60573805412</v>
      </c>
      <c r="T35" s="27">
        <f t="shared" si="21"/>
        <v>42169.112689751157</v>
      </c>
      <c r="U35" s="27">
        <f t="shared" si="21"/>
        <v>7088.6744262155371</v>
      </c>
      <c r="V35" s="27">
        <f t="shared" si="21"/>
        <v>2194.8014373308438</v>
      </c>
      <c r="W35" s="9">
        <f>B35</f>
        <v>17</v>
      </c>
      <c r="Y35" s="1" t="str">
        <f>D35</f>
        <v>Total Gas Cost Revenue Requirement</v>
      </c>
      <c r="AA35" s="27">
        <f t="shared" si="21"/>
        <v>1380.4109261985022</v>
      </c>
      <c r="AB35" s="27">
        <f t="shared" si="21"/>
        <v>1315.8827465936092</v>
      </c>
      <c r="AC35" s="26"/>
      <c r="AD35" s="27">
        <f t="shared" ref="AD35:AQ35" si="22">AD17+AD23+AD28+AD33</f>
        <v>715615.42842551472</v>
      </c>
      <c r="AE35" s="27">
        <f t="shared" si="22"/>
        <v>172492.11973224705</v>
      </c>
      <c r="AF35" s="27">
        <f t="shared" si="22"/>
        <v>23750.774836237193</v>
      </c>
      <c r="AG35" s="27">
        <f t="shared" si="22"/>
        <v>2.6649127394733059</v>
      </c>
      <c r="AH35" s="27">
        <f t="shared" si="22"/>
        <v>157.37864805384257</v>
      </c>
      <c r="AI35" s="27">
        <f t="shared" si="22"/>
        <v>1039.3009292397282</v>
      </c>
      <c r="AJ35" s="27">
        <f t="shared" si="22"/>
        <v>22648.862508673919</v>
      </c>
      <c r="AK35" s="27">
        <f t="shared" si="22"/>
        <v>1357.9100967502404</v>
      </c>
      <c r="AL35" s="27">
        <f t="shared" si="22"/>
        <v>4792.9041578138404</v>
      </c>
      <c r="AM35" s="27">
        <f t="shared" si="22"/>
        <v>1214.5061976867769</v>
      </c>
      <c r="AN35" s="27">
        <f t="shared" si="22"/>
        <v>67.189411000524871</v>
      </c>
      <c r="AO35" s="27">
        <f t="shared" si="22"/>
        <v>13470.419327458909</v>
      </c>
      <c r="AP35" s="27">
        <f t="shared" si="22"/>
        <v>74.755340347874593</v>
      </c>
      <c r="AQ35" s="27">
        <f t="shared" si="22"/>
        <v>1301.3471065488243</v>
      </c>
    </row>
    <row r="36" spans="2:43" ht="13.5" thickTop="1" x14ac:dyDescent="0.2">
      <c r="F36" s="35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</row>
    <row r="37" spans="2:43" x14ac:dyDescent="0.2">
      <c r="D37" s="2" t="s">
        <v>82</v>
      </c>
      <c r="F37" s="18"/>
      <c r="G37" s="26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6"/>
      <c r="S37" s="18"/>
      <c r="T37" s="18"/>
      <c r="U37" s="18"/>
      <c r="V37" s="18"/>
      <c r="Y37" s="2" t="str">
        <f t="shared" ref="Y37:Y41" si="23">D37</f>
        <v>Gas Cost Revenue Requirement Adjustments</v>
      </c>
      <c r="AA37" s="18"/>
      <c r="AB37" s="18"/>
      <c r="AC37" s="26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</row>
    <row r="38" spans="2:43" x14ac:dyDescent="0.2">
      <c r="B38" s="9">
        <f>MAX(B$12:B36)+1</f>
        <v>18</v>
      </c>
      <c r="D38" s="1" t="s">
        <v>83</v>
      </c>
      <c r="F38" s="20">
        <f>SUM(H38:V38, AA38:AQ38)</f>
        <v>4686.9008550273975</v>
      </c>
      <c r="G38" s="26"/>
      <c r="H38" s="20"/>
      <c r="I38" s="20"/>
      <c r="J38" s="20"/>
      <c r="K38" s="20"/>
      <c r="L38" s="20"/>
      <c r="M38" s="20"/>
      <c r="N38" s="34">
        <f>-N39</f>
        <v>443.52872445205486</v>
      </c>
      <c r="O38" s="34">
        <f t="shared" ref="O38:Q38" si="24">-O39</f>
        <v>86.102257534246576</v>
      </c>
      <c r="P38" s="34">
        <f t="shared" si="24"/>
        <v>3896.7572690410957</v>
      </c>
      <c r="Q38" s="34">
        <f t="shared" si="24"/>
        <v>260.51260400000001</v>
      </c>
      <c r="R38" s="26"/>
      <c r="S38" s="20"/>
      <c r="T38" s="20"/>
      <c r="U38" s="20"/>
      <c r="V38" s="20"/>
      <c r="W38" s="9">
        <f t="shared" ref="W38:W41" si="25">B38</f>
        <v>18</v>
      </c>
      <c r="Y38" s="1" t="str">
        <f t="shared" si="23"/>
        <v>Curtailment Credits - Recovered in Delivery Rates</v>
      </c>
      <c r="AA38" s="20"/>
      <c r="AB38" s="20"/>
      <c r="AC38" s="26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</row>
    <row r="39" spans="2:43" x14ac:dyDescent="0.2">
      <c r="B39" s="9">
        <f>MAX(B$12:B38)+1</f>
        <v>19</v>
      </c>
      <c r="D39" s="1" t="s">
        <v>84</v>
      </c>
      <c r="F39" s="20">
        <f>SUM(H39:V39, AA39:AQ39)</f>
        <v>-4686.9008550273975</v>
      </c>
      <c r="G39" s="26"/>
      <c r="H39" s="20"/>
      <c r="I39" s="20"/>
      <c r="J39" s="20"/>
      <c r="K39" s="20"/>
      <c r="L39" s="20"/>
      <c r="M39" s="20"/>
      <c r="N39" s="23">
        <v>-443.52872445205486</v>
      </c>
      <c r="O39" s="23">
        <v>-86.102257534246576</v>
      </c>
      <c r="P39" s="23">
        <v>-3896.7572690410957</v>
      </c>
      <c r="Q39" s="23">
        <v>-260.51260400000001</v>
      </c>
      <c r="R39" s="26"/>
      <c r="S39" s="20"/>
      <c r="T39" s="20"/>
      <c r="U39" s="20"/>
      <c r="V39" s="20"/>
      <c r="W39" s="9">
        <f t="shared" si="25"/>
        <v>19</v>
      </c>
      <c r="Y39" s="1" t="str">
        <f t="shared" si="23"/>
        <v>Curtailment Credits - Remitted to Customers</v>
      </c>
      <c r="AA39" s="20"/>
      <c r="AB39" s="20"/>
      <c r="AC39" s="26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</row>
    <row r="40" spans="2:43" x14ac:dyDescent="0.2">
      <c r="B40" s="9">
        <f>MAX(B$12:B39)+1</f>
        <v>20</v>
      </c>
      <c r="D40" s="1" t="s">
        <v>85</v>
      </c>
      <c r="F40" s="36">
        <f>SUM(H40:V40, AA40:AQ40)</f>
        <v>0</v>
      </c>
      <c r="G40" s="2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26"/>
      <c r="S40" s="37"/>
      <c r="T40" s="37"/>
      <c r="U40" s="30">
        <f>-V40</f>
        <v>7.25265783819974</v>
      </c>
      <c r="V40" s="30">
        <v>-7.25265783819974</v>
      </c>
      <c r="W40" s="9">
        <f t="shared" si="25"/>
        <v>20</v>
      </c>
      <c r="Y40" s="1" t="str">
        <f t="shared" si="23"/>
        <v>Rate Design Adjustments</v>
      </c>
      <c r="AA40" s="37"/>
      <c r="AB40" s="37"/>
      <c r="AC40" s="26"/>
      <c r="AD40" s="37"/>
      <c r="AE40" s="37"/>
      <c r="AF40" s="37"/>
      <c r="AG40" s="28">
        <v>5.3999820689750777</v>
      </c>
      <c r="AH40" s="37"/>
      <c r="AI40" s="28">
        <v>-5.3999820689750777</v>
      </c>
      <c r="AJ40" s="37"/>
      <c r="AK40" s="37"/>
      <c r="AL40" s="37"/>
      <c r="AM40" s="37"/>
      <c r="AN40" s="37"/>
      <c r="AO40" s="37"/>
      <c r="AP40" s="37"/>
      <c r="AQ40" s="37"/>
    </row>
    <row r="41" spans="2:43" ht="13.5" thickBot="1" x14ac:dyDescent="0.25">
      <c r="B41" s="9">
        <f>MAX(B$12:B40)+1</f>
        <v>21</v>
      </c>
      <c r="D41" s="1" t="s">
        <v>81</v>
      </c>
      <c r="F41" s="27">
        <f>SUM(F35,F38:F40)</f>
        <v>3202580.0590451746</v>
      </c>
      <c r="G41" s="26"/>
      <c r="H41" s="27">
        <f t="shared" ref="H41:Q41" si="26">SUM(H35,H38:H40)</f>
        <v>1148675.6183334216</v>
      </c>
      <c r="I41" s="27">
        <f t="shared" si="26"/>
        <v>736669.24292489188</v>
      </c>
      <c r="J41" s="27">
        <f t="shared" si="26"/>
        <v>3551.3736639741455</v>
      </c>
      <c r="K41" s="27">
        <f t="shared" si="26"/>
        <v>38584.644669374997</v>
      </c>
      <c r="L41" s="27">
        <f t="shared" si="26"/>
        <v>5093.589533014172</v>
      </c>
      <c r="M41" s="27">
        <f t="shared" si="26"/>
        <v>786.84117074409471</v>
      </c>
      <c r="N41" s="27">
        <f t="shared" si="26"/>
        <v>1536.5839162964296</v>
      </c>
      <c r="O41" s="27">
        <f t="shared" si="26"/>
        <v>307.03210605145824</v>
      </c>
      <c r="P41" s="27">
        <f t="shared" si="26"/>
        <v>4953.3515862435652</v>
      </c>
      <c r="Q41" s="27">
        <f t="shared" si="26"/>
        <v>32677.731546706436</v>
      </c>
      <c r="R41" s="26"/>
      <c r="S41" s="27">
        <f>SUM(S35,S38:S40)</f>
        <v>217609.60573805412</v>
      </c>
      <c r="T41" s="27">
        <f>SUM(T35,T38:T40)</f>
        <v>42169.112689751157</v>
      </c>
      <c r="U41" s="27">
        <f t="shared" ref="U41:V41" si="27">SUM(U35,U38:U40)</f>
        <v>7095.9270840537365</v>
      </c>
      <c r="V41" s="27">
        <f t="shared" si="27"/>
        <v>2187.5487794926439</v>
      </c>
      <c r="W41" s="9">
        <f t="shared" si="25"/>
        <v>21</v>
      </c>
      <c r="Y41" s="1" t="str">
        <f t="shared" si="23"/>
        <v>Total Gas Cost Revenue Requirement</v>
      </c>
      <c r="AA41" s="27">
        <f>SUM(AA35,AA38:AA40)</f>
        <v>1380.4109261985022</v>
      </c>
      <c r="AB41" s="27">
        <f>SUM(AB35,AB38:AB40)</f>
        <v>1315.8827465936092</v>
      </c>
      <c r="AC41" s="26"/>
      <c r="AD41" s="27">
        <f t="shared" ref="AD41:AQ41" si="28">SUM(AD35,AD38:AD40)</f>
        <v>715615.42842551472</v>
      </c>
      <c r="AE41" s="27">
        <f t="shared" si="28"/>
        <v>172492.11973224705</v>
      </c>
      <c r="AF41" s="27">
        <f t="shared" si="28"/>
        <v>23750.774836237193</v>
      </c>
      <c r="AG41" s="27">
        <f t="shared" si="28"/>
        <v>8.0648948084483827</v>
      </c>
      <c r="AH41" s="27">
        <f t="shared" si="28"/>
        <v>157.37864805384257</v>
      </c>
      <c r="AI41" s="27">
        <f t="shared" si="28"/>
        <v>1033.9009471707532</v>
      </c>
      <c r="AJ41" s="27">
        <f t="shared" si="28"/>
        <v>22648.862508673919</v>
      </c>
      <c r="AK41" s="27">
        <f t="shared" si="28"/>
        <v>1357.9100967502404</v>
      </c>
      <c r="AL41" s="27">
        <f t="shared" si="28"/>
        <v>4792.9041578138404</v>
      </c>
      <c r="AM41" s="27">
        <f t="shared" si="28"/>
        <v>1214.5061976867769</v>
      </c>
      <c r="AN41" s="27">
        <f t="shared" si="28"/>
        <v>67.189411000524871</v>
      </c>
      <c r="AO41" s="27">
        <f t="shared" si="28"/>
        <v>13470.419327458909</v>
      </c>
      <c r="AP41" s="27">
        <f t="shared" si="28"/>
        <v>74.755340347874593</v>
      </c>
      <c r="AQ41" s="27">
        <f t="shared" si="28"/>
        <v>1301.3471065488243</v>
      </c>
    </row>
    <row r="42" spans="2:43" ht="13.5" thickTop="1" x14ac:dyDescent="0.2"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spans="2:43" x14ac:dyDescent="0.2">
      <c r="D43" s="2" t="s">
        <v>86</v>
      </c>
      <c r="F43" s="18"/>
      <c r="G43" s="26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26"/>
      <c r="S43" s="18"/>
      <c r="T43" s="18"/>
      <c r="U43" s="18"/>
      <c r="V43" s="18"/>
      <c r="Y43" s="2" t="str">
        <f>D43</f>
        <v>Proposed Gas Cost Revenue Requirement by Rate Design Component (2)</v>
      </c>
      <c r="AA43" s="18"/>
      <c r="AB43" s="18"/>
      <c r="AC43" s="26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</row>
    <row r="44" spans="2:43" x14ac:dyDescent="0.2">
      <c r="F44" s="18"/>
      <c r="G44" s="26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26"/>
      <c r="S44" s="18"/>
      <c r="T44" s="18"/>
      <c r="U44" s="18"/>
      <c r="V44" s="18"/>
      <c r="AA44" s="18"/>
      <c r="AB44" s="18"/>
      <c r="AC44" s="26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</row>
    <row r="45" spans="2:43" x14ac:dyDescent="0.2">
      <c r="B45" s="9">
        <f>MAX(B$12:B42)+1</f>
        <v>22</v>
      </c>
      <c r="D45" s="11" t="s">
        <v>87</v>
      </c>
      <c r="F45" s="29">
        <f t="shared" ref="F45:F53" si="29">SUM(H45:V45, AA45:AQ45)</f>
        <v>0</v>
      </c>
      <c r="G45" s="26"/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6"/>
      <c r="S45" s="29">
        <v>0</v>
      </c>
      <c r="T45" s="29">
        <v>0</v>
      </c>
      <c r="U45" s="29">
        <v>0</v>
      </c>
      <c r="V45" s="29">
        <v>0</v>
      </c>
      <c r="W45" s="9">
        <f t="shared" ref="W45:W54" si="30">B45</f>
        <v>22</v>
      </c>
      <c r="Y45" s="11" t="str">
        <f t="shared" ref="Y45:Y54" si="31">D45</f>
        <v>Monthly Customer Charge</v>
      </c>
      <c r="AA45" s="29">
        <v>0</v>
      </c>
      <c r="AB45" s="29">
        <v>0</v>
      </c>
      <c r="AC45" s="26"/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29">
        <v>0</v>
      </c>
      <c r="AN45" s="29">
        <v>0</v>
      </c>
      <c r="AO45" s="29">
        <v>0</v>
      </c>
      <c r="AP45" s="29">
        <v>0</v>
      </c>
      <c r="AQ45" s="29">
        <v>0</v>
      </c>
    </row>
    <row r="46" spans="2:43" x14ac:dyDescent="0.2">
      <c r="B46" s="9">
        <f>MAX(B$12:B45)+1</f>
        <v>23</v>
      </c>
      <c r="D46" s="12" t="s">
        <v>88</v>
      </c>
      <c r="F46" s="24">
        <f t="shared" si="29"/>
        <v>5291.0623054111475</v>
      </c>
      <c r="G46" s="26"/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f>M31+28.699333242758</f>
        <v>478.78318452274152</v>
      </c>
      <c r="N46" s="24">
        <v>0</v>
      </c>
      <c r="O46" s="24">
        <v>0</v>
      </c>
      <c r="P46" s="24">
        <v>0</v>
      </c>
      <c r="Q46" s="24">
        <v>0</v>
      </c>
      <c r="R46" s="26"/>
      <c r="S46" s="24">
        <v>0</v>
      </c>
      <c r="T46" s="24">
        <v>0</v>
      </c>
      <c r="U46" s="24">
        <v>0</v>
      </c>
      <c r="V46" s="24">
        <f>SUM(V13:V15,V20:V21,V26:V26)</f>
        <v>2138.5316365500771</v>
      </c>
      <c r="W46" s="9">
        <f t="shared" si="30"/>
        <v>23</v>
      </c>
      <c r="Y46" s="12" t="str">
        <f t="shared" si="31"/>
        <v>Delivery Demand Charge</v>
      </c>
      <c r="AA46" s="24">
        <v>0</v>
      </c>
      <c r="AB46" s="24">
        <v>0</v>
      </c>
      <c r="AC46" s="26"/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4">
        <f>SUM(AM15,AM26,AM31:AM31)</f>
        <v>181.77052957355971</v>
      </c>
      <c r="AN46" s="24">
        <v>0</v>
      </c>
      <c r="AO46" s="24">
        <f>SUM(AO15,AO26,AO31:AO31)</f>
        <v>2294.7244984323397</v>
      </c>
      <c r="AP46" s="24">
        <v>0</v>
      </c>
      <c r="AQ46" s="24">
        <f>SUM(AQ15,AQ26,AQ31:AQ31)</f>
        <v>197.25245633242974</v>
      </c>
    </row>
    <row r="47" spans="2:43" x14ac:dyDescent="0.2">
      <c r="B47" s="9">
        <f>MAX(B$12:B46)+1</f>
        <v>24</v>
      </c>
      <c r="D47" s="13" t="s">
        <v>89</v>
      </c>
      <c r="F47" s="22">
        <f t="shared" si="29"/>
        <v>96946.353935792606</v>
      </c>
      <c r="G47" s="26"/>
      <c r="H47" s="22">
        <f>SUM(H14,H20:H22,H26:H27,H31:H32)</f>
        <v>26873.777307849647</v>
      </c>
      <c r="I47" s="22">
        <f>SUM(I14,I20:I22,I26:I27,I31:I32)</f>
        <v>24533.943765710395</v>
      </c>
      <c r="J47" s="22">
        <f>SUM(J14,J20:J22,J26:J27,J31:J32)</f>
        <v>106.91318402087353</v>
      </c>
      <c r="K47" s="22">
        <f>SUM(K14,K20:K22,K26:K27,K31:K32)</f>
        <v>3778.0155577508049</v>
      </c>
      <c r="L47" s="22">
        <f>SUM(L14,L20:L22,L26:L27,L31:L32)</f>
        <v>1088.3761664843203</v>
      </c>
      <c r="M47" s="22">
        <v>0</v>
      </c>
      <c r="N47" s="22">
        <f>SUM(N14,N20:N22,N26:N27,N31:N32,N38)</f>
        <v>581.80573028892707</v>
      </c>
      <c r="O47" s="22">
        <f>SUM(O14,O20:O22,O26:O27,O31:O32,O38)</f>
        <v>128.72424957135661</v>
      </c>
      <c r="P47" s="22">
        <f>SUM(P14,P20:P22,P26:P27,P31:P32,P38)</f>
        <v>4747.0762968671488</v>
      </c>
      <c r="Q47" s="22">
        <f>SUM(Q14,Q20:Q22,Q26:Q27,Q31:Q32,Q38)</f>
        <v>1037.3590581464787</v>
      </c>
      <c r="R47" s="26"/>
      <c r="S47" s="22">
        <f>SUM(S31:S32)</f>
        <v>1529.1631439737434</v>
      </c>
      <c r="T47" s="22">
        <f>SUM(T31:T32)</f>
        <v>491.39975584504248</v>
      </c>
      <c r="U47" s="22">
        <f>SUM(U31:U32)</f>
        <v>1363.1229166468281</v>
      </c>
      <c r="V47" s="22">
        <f>SUM(V16,V22,V27)</f>
        <v>56.269800780766886</v>
      </c>
      <c r="W47" s="9">
        <f t="shared" si="30"/>
        <v>24</v>
      </c>
      <c r="Y47" s="13" t="str">
        <f t="shared" si="31"/>
        <v>Delivery Commodity Charge</v>
      </c>
      <c r="AA47" s="22">
        <f>SUM(AA20:AA22,AA26:AA27,AA31:AA32)</f>
        <v>144.36423169020696</v>
      </c>
      <c r="AB47" s="22">
        <f>SUM(AB31:AB32)</f>
        <v>1315.8827465936092</v>
      </c>
      <c r="AC47" s="26"/>
      <c r="AD47" s="22">
        <f>SUM(AD14,AD20:AD22,AD26:AD27,AD31:AD32)</f>
        <v>16458.449761735421</v>
      </c>
      <c r="AE47" s="22">
        <f>SUM(AE14,AE20:AE22,AE26:AE27,AE31:AE32)</f>
        <v>6270.9465177782349</v>
      </c>
      <c r="AF47" s="22">
        <f>SUM(AF14,AF20:AF22,AF26:AF27,AF31:AF32)</f>
        <v>2440.4395017623247</v>
      </c>
      <c r="AG47" s="22">
        <f>SUM(AG14,AG20:AG22,AG26:AG27,AG31:AG32,AG40)</f>
        <v>5.8627683528315906</v>
      </c>
      <c r="AH47" s="22">
        <f>SUM(AH14,AH20:AH22,AH26:AH27,AH31:AH32)</f>
        <v>19.711230641736876</v>
      </c>
      <c r="AI47" s="22">
        <f>SUM(AI14,AI20:AI22,AI26:AI27,AI31:AI32,AI40)</f>
        <v>138.23826220129035</v>
      </c>
      <c r="AJ47" s="22">
        <f>SUM(AJ14,AJ20:AJ22,AJ26:AJ27,AJ31:AJ32)</f>
        <v>3292.5234858287276</v>
      </c>
      <c r="AK47" s="22">
        <f>SUM(AK14,AK20:AK22,AK26:AK27,AK31:AK32)</f>
        <v>203.65341743560003</v>
      </c>
      <c r="AL47" s="22">
        <f>SUM(AL14,AL20:AL22,AL26:AL27,AL31:AL32)</f>
        <v>330.44074678328161</v>
      </c>
      <c r="AM47" s="22">
        <v>0</v>
      </c>
      <c r="AN47" s="22">
        <f>SUM(AN15)</f>
        <v>4.683472050780459</v>
      </c>
      <c r="AO47" s="22">
        <v>0</v>
      </c>
      <c r="AP47" s="22">
        <f>SUM(AP15)</f>
        <v>5.2108590022186148</v>
      </c>
      <c r="AQ47" s="22">
        <v>0</v>
      </c>
    </row>
    <row r="48" spans="2:43" x14ac:dyDescent="0.2">
      <c r="B48" s="9">
        <f>MAX(B$12:B47)+1</f>
        <v>25</v>
      </c>
      <c r="D48" s="14" t="s">
        <v>90</v>
      </c>
      <c r="F48" s="21">
        <f t="shared" si="29"/>
        <v>359065.532011098</v>
      </c>
      <c r="G48" s="26"/>
      <c r="H48" s="21">
        <f>SUM(H13,H15:H16)</f>
        <v>101812.09559530341</v>
      </c>
      <c r="I48" s="21">
        <f>SUM(I13,I15:I16)</f>
        <v>95701.236428640521</v>
      </c>
      <c r="J48" s="21">
        <f>SUM(J13,J15:J16)</f>
        <v>382.55787133038336</v>
      </c>
      <c r="K48" s="21">
        <f>SUM(K13,K15:K16)</f>
        <v>13601.463080729322</v>
      </c>
      <c r="L48" s="21">
        <f>SUM(L13,L15:L16)</f>
        <v>3662.6136198681229</v>
      </c>
      <c r="M48" s="21">
        <v>0</v>
      </c>
      <c r="N48" s="21">
        <f>SUM(N13,N15:N16)</f>
        <v>487.09894314997189</v>
      </c>
      <c r="O48" s="21">
        <f>SUM(O13,O15:O16)</f>
        <v>145.38683422311578</v>
      </c>
      <c r="P48" s="21">
        <f>SUM(P13,P15:P16)</f>
        <v>2990.8268024394602</v>
      </c>
      <c r="Q48" s="21">
        <f>SUM(Q13,Q15:Q16)</f>
        <v>2788.426359590374</v>
      </c>
      <c r="R48" s="26"/>
      <c r="S48" s="21">
        <f>SUM(S13,S15:S16,S26:S27)</f>
        <v>19864.244636334359</v>
      </c>
      <c r="T48" s="21">
        <f>SUM(T13,T15:T16,T26:T27)</f>
        <v>6641.2078706719112</v>
      </c>
      <c r="U48" s="21">
        <f>SUM(U13,U15:U16)</f>
        <v>2192.3783541581015</v>
      </c>
      <c r="V48" s="21">
        <v>0</v>
      </c>
      <c r="W48" s="9">
        <f t="shared" si="30"/>
        <v>25</v>
      </c>
      <c r="Y48" s="14" t="str">
        <f t="shared" si="31"/>
        <v>Gas Supply Transportation Charge</v>
      </c>
      <c r="AA48" s="21">
        <f>SUM(AA13,AA15:AA16)</f>
        <v>52.76337516547234</v>
      </c>
      <c r="AB48" s="21">
        <f>SUM(AB13,AB15:AB16)</f>
        <v>0</v>
      </c>
      <c r="AC48" s="26"/>
      <c r="AD48" s="21">
        <f t="shared" ref="AD48:AL48" si="32">SUM(AD13,AD15:AD16)</f>
        <v>61471.341062520354</v>
      </c>
      <c r="AE48" s="21">
        <f t="shared" si="32"/>
        <v>23387.149627074625</v>
      </c>
      <c r="AF48" s="21">
        <f t="shared" si="32"/>
        <v>8993.215709362983</v>
      </c>
      <c r="AG48" s="21">
        <f t="shared" si="32"/>
        <v>2.202126455616793</v>
      </c>
      <c r="AH48" s="21">
        <f t="shared" si="32"/>
        <v>74.642559616844082</v>
      </c>
      <c r="AI48" s="21">
        <f t="shared" si="32"/>
        <v>509.679320973838</v>
      </c>
      <c r="AJ48" s="21">
        <f t="shared" si="32"/>
        <v>12416.79783000146</v>
      </c>
      <c r="AK48" s="21">
        <f t="shared" si="32"/>
        <v>703.16252832604221</v>
      </c>
      <c r="AL48" s="21">
        <f t="shared" si="32"/>
        <v>1185.0414751617923</v>
      </c>
      <c r="AM48" s="21">
        <v>0</v>
      </c>
      <c r="AN48" s="21">
        <v>0</v>
      </c>
      <c r="AO48" s="21">
        <v>0</v>
      </c>
      <c r="AP48" s="21">
        <v>0</v>
      </c>
      <c r="AQ48" s="21">
        <v>0</v>
      </c>
    </row>
    <row r="49" spans="2:43" x14ac:dyDescent="0.2">
      <c r="B49" s="9">
        <f>MAX(B$12:B48)+1</f>
        <v>26</v>
      </c>
      <c r="D49" s="15" t="s">
        <v>91</v>
      </c>
      <c r="F49" s="19">
        <f t="shared" si="29"/>
        <v>2728040.5732561187</v>
      </c>
      <c r="G49" s="26"/>
      <c r="H49" s="19">
        <f t="shared" ref="H49:Q49" si="33">SUM(H12)</f>
        <v>1019989.7454302686</v>
      </c>
      <c r="I49" s="19">
        <f t="shared" si="33"/>
        <v>616434.06273054087</v>
      </c>
      <c r="J49" s="19">
        <f t="shared" si="33"/>
        <v>3061.9026086228887</v>
      </c>
      <c r="K49" s="19">
        <f t="shared" si="33"/>
        <v>21205.166030894859</v>
      </c>
      <c r="L49" s="19">
        <f t="shared" si="33"/>
        <v>342.5997466617282</v>
      </c>
      <c r="M49" s="19">
        <f t="shared" si="33"/>
        <v>0</v>
      </c>
      <c r="N49" s="19">
        <f t="shared" si="33"/>
        <v>911.20796730958568</v>
      </c>
      <c r="O49" s="19">
        <f t="shared" si="33"/>
        <v>119.02327979123238</v>
      </c>
      <c r="P49" s="19">
        <f t="shared" si="33"/>
        <v>1112.2057559780535</v>
      </c>
      <c r="Q49" s="19">
        <f t="shared" si="33"/>
        <v>29112.458732969579</v>
      </c>
      <c r="R49" s="26"/>
      <c r="S49" s="19">
        <f>SUM(S12)</f>
        <v>193220.38768988085</v>
      </c>
      <c r="T49" s="19">
        <f>SUM(T12)</f>
        <v>34151.345115240692</v>
      </c>
      <c r="U49" s="19">
        <f>SUM(U12)</f>
        <v>3243.3385333600131</v>
      </c>
      <c r="V49" s="19">
        <v>0</v>
      </c>
      <c r="W49" s="9">
        <f t="shared" si="30"/>
        <v>26</v>
      </c>
      <c r="Y49" s="15" t="str">
        <f t="shared" si="31"/>
        <v>Gas Supply Commodity Charge</v>
      </c>
      <c r="AA49" s="19">
        <f>SUM(AA12)</f>
        <v>1183.283319342823</v>
      </c>
      <c r="AB49" s="19">
        <f>SUM(AB12)</f>
        <v>0</v>
      </c>
      <c r="AC49" s="26"/>
      <c r="AD49" s="19">
        <f t="shared" ref="AD49:AL49" si="34">SUM(AD12)</f>
        <v>637685.63760125893</v>
      </c>
      <c r="AE49" s="19">
        <f t="shared" si="34"/>
        <v>142834.02358739416</v>
      </c>
      <c r="AF49" s="19">
        <f t="shared" si="34"/>
        <v>12317.119625111889</v>
      </c>
      <c r="AG49" s="19">
        <f t="shared" si="34"/>
        <v>0</v>
      </c>
      <c r="AH49" s="19">
        <f t="shared" si="34"/>
        <v>63.02485779526161</v>
      </c>
      <c r="AI49" s="19">
        <f t="shared" si="34"/>
        <v>385.9833639956247</v>
      </c>
      <c r="AJ49" s="19">
        <f t="shared" si="34"/>
        <v>6939.5411928437325</v>
      </c>
      <c r="AK49" s="19">
        <f t="shared" si="34"/>
        <v>451.09415098859853</v>
      </c>
      <c r="AL49" s="19">
        <f t="shared" si="34"/>
        <v>3277.4219358687674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</row>
    <row r="50" spans="2:43" x14ac:dyDescent="0.2">
      <c r="B50" s="9">
        <f>MAX(B$12:B49)+1</f>
        <v>27</v>
      </c>
      <c r="D50" s="16" t="s">
        <v>92</v>
      </c>
      <c r="F50" s="23">
        <f t="shared" si="29"/>
        <v>9776.8827192956087</v>
      </c>
      <c r="G50" s="26"/>
      <c r="H50" s="23"/>
      <c r="I50" s="23"/>
      <c r="J50" s="23"/>
      <c r="K50" s="23"/>
      <c r="L50" s="23"/>
      <c r="M50" s="23">
        <f>M32-28.699333242758</f>
        <v>308.05798622135319</v>
      </c>
      <c r="N50" s="23"/>
      <c r="O50" s="23"/>
      <c r="P50" s="23"/>
      <c r="Q50" s="23"/>
      <c r="R50" s="26"/>
      <c r="S50" s="23"/>
      <c r="T50" s="23"/>
      <c r="U50" s="23"/>
      <c r="V50" s="23"/>
      <c r="W50" s="9">
        <f t="shared" si="30"/>
        <v>27</v>
      </c>
      <c r="Y50" s="16" t="str">
        <f t="shared" si="31"/>
        <v>Customer Supplied Fuel</v>
      </c>
      <c r="AA50" s="23"/>
      <c r="AB50" s="23"/>
      <c r="AC50" s="26"/>
      <c r="AD50" s="23"/>
      <c r="AE50" s="23"/>
      <c r="AF50" s="23"/>
      <c r="AG50" s="23"/>
      <c r="AH50" s="23"/>
      <c r="AI50" s="23"/>
      <c r="AJ50" s="23"/>
      <c r="AK50" s="23"/>
      <c r="AL50" s="23"/>
      <c r="AM50" s="23">
        <f>SUM(AM16,AM27,AM32)</f>
        <v>655.69826641568034</v>
      </c>
      <c r="AN50" s="23">
        <f>SUM(AN16,AN27,AN32)</f>
        <v>62.505938949744419</v>
      </c>
      <c r="AO50" s="23">
        <f>SUM(AO16,AO27,AO32)</f>
        <v>8266.0958626761549</v>
      </c>
      <c r="AP50" s="23">
        <f>SUM(AP16,AP27,AP32)</f>
        <v>69.544481345655981</v>
      </c>
      <c r="AQ50" s="23">
        <f>SUM(AQ16,AQ27,AQ32)</f>
        <v>414.98018368701833</v>
      </c>
    </row>
    <row r="51" spans="2:43" x14ac:dyDescent="0.2">
      <c r="B51" s="9">
        <f>MAX(B$12:B50)+1</f>
        <v>28</v>
      </c>
      <c r="D51" s="16" t="s">
        <v>84</v>
      </c>
      <c r="F51" s="23">
        <f t="shared" si="29"/>
        <v>-4686.9008550273975</v>
      </c>
      <c r="G51" s="26"/>
      <c r="H51" s="23"/>
      <c r="I51" s="23"/>
      <c r="J51" s="23"/>
      <c r="K51" s="23"/>
      <c r="L51" s="23"/>
      <c r="M51" s="23"/>
      <c r="N51" s="23">
        <f>N39</f>
        <v>-443.52872445205486</v>
      </c>
      <c r="O51" s="23">
        <f>O39</f>
        <v>-86.102257534246576</v>
      </c>
      <c r="P51" s="23">
        <f>P39</f>
        <v>-3896.7572690410957</v>
      </c>
      <c r="Q51" s="23">
        <f>Q39</f>
        <v>-260.51260400000001</v>
      </c>
      <c r="R51" s="26"/>
      <c r="S51" s="23"/>
      <c r="T51" s="23"/>
      <c r="U51" s="23"/>
      <c r="V51" s="23"/>
      <c r="W51" s="9">
        <f t="shared" si="30"/>
        <v>28</v>
      </c>
      <c r="Y51" s="16" t="str">
        <f t="shared" si="31"/>
        <v>Curtailment Credits - Remitted to Customers</v>
      </c>
      <c r="AA51" s="23"/>
      <c r="AB51" s="23"/>
      <c r="AC51" s="26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spans="2:43" x14ac:dyDescent="0.2">
      <c r="B52" s="9">
        <f>MAX(B$12:B51)+1</f>
        <v>29</v>
      </c>
      <c r="D52" s="16" t="s">
        <v>93</v>
      </c>
      <c r="F52" s="23">
        <f t="shared" si="29"/>
        <v>289.83462205059436</v>
      </c>
      <c r="G52" s="26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6"/>
      <c r="S52" s="23"/>
      <c r="T52" s="23"/>
      <c r="U52" s="23">
        <f>SUM(U14,U20:U21,U22,U26:U27,U40)</f>
        <v>297.08727988879411</v>
      </c>
      <c r="V52" s="23">
        <f>V40</f>
        <v>-7.25265783819974</v>
      </c>
      <c r="W52" s="9">
        <f t="shared" si="30"/>
        <v>29</v>
      </c>
      <c r="Y52" s="16" t="str">
        <f t="shared" si="31"/>
        <v>Gas Supply Demand Charge (Rate 20)</v>
      </c>
      <c r="AA52" s="23"/>
      <c r="AB52" s="23"/>
      <c r="AC52" s="26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spans="2:43" x14ac:dyDescent="0.2">
      <c r="B53" s="9">
        <f>MAX(B$12:B52)+1</f>
        <v>30</v>
      </c>
      <c r="D53" s="16" t="s">
        <v>94</v>
      </c>
      <c r="F53" s="30">
        <f t="shared" si="29"/>
        <v>7856.7210504359855</v>
      </c>
      <c r="G53" s="26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26"/>
      <c r="S53" s="30">
        <f>SUM(S14,S20:S22)</f>
        <v>2995.8102678651494</v>
      </c>
      <c r="T53" s="30">
        <f>SUM(T14,T20:T22)</f>
        <v>885.15994799350915</v>
      </c>
      <c r="U53" s="30"/>
      <c r="V53" s="30"/>
      <c r="W53" s="9">
        <f t="shared" si="30"/>
        <v>30</v>
      </c>
      <c r="Y53" s="16" t="s">
        <v>105</v>
      </c>
      <c r="AA53" s="30"/>
      <c r="AB53" s="30"/>
      <c r="AC53" s="26"/>
      <c r="AD53" s="30"/>
      <c r="AE53" s="30"/>
      <c r="AF53" s="30"/>
      <c r="AG53" s="30"/>
      <c r="AH53" s="30"/>
      <c r="AI53" s="30"/>
      <c r="AJ53" s="30"/>
      <c r="AK53" s="30"/>
      <c r="AL53" s="30"/>
      <c r="AM53" s="30">
        <f>SUM(AM14,AM20:AM21,AM22)</f>
        <v>377.03740169753689</v>
      </c>
      <c r="AN53" s="30">
        <f>SUM(AN14,AN20:AN21,AN22)</f>
        <v>0</v>
      </c>
      <c r="AO53" s="30">
        <f>SUM(AO14,AO20:AO21,AO22)</f>
        <v>2909.5989663504142</v>
      </c>
      <c r="AP53" s="30">
        <f>SUM(AP14,AP20:AP21,AP22)</f>
        <v>0</v>
      </c>
      <c r="AQ53" s="30">
        <f>SUM(AQ14,AQ20:AQ21,AQ22)</f>
        <v>689.11446652937616</v>
      </c>
    </row>
    <row r="54" spans="2:43" ht="13.5" thickBot="1" x14ac:dyDescent="0.25">
      <c r="B54" s="9">
        <f>MAX(B$12:B53)+1</f>
        <v>31</v>
      </c>
      <c r="D54" s="1" t="s">
        <v>81</v>
      </c>
      <c r="F54" s="27">
        <f>SUM(F45:F53)</f>
        <v>3202580.0590451751</v>
      </c>
      <c r="G54" s="26"/>
      <c r="H54" s="27">
        <f>SUM(H45:H53)</f>
        <v>1148675.6183334216</v>
      </c>
      <c r="I54" s="27">
        <f>SUM(I45:I53)</f>
        <v>736669.24292489176</v>
      </c>
      <c r="J54" s="27">
        <f t="shared" ref="J54:Q54" si="35">SUM(J45:J53)</f>
        <v>3551.3736639741455</v>
      </c>
      <c r="K54" s="27">
        <f t="shared" si="35"/>
        <v>38584.644669374989</v>
      </c>
      <c r="L54" s="27">
        <f t="shared" si="35"/>
        <v>5093.5895330141711</v>
      </c>
      <c r="M54" s="27">
        <f t="shared" si="35"/>
        <v>786.84117074409471</v>
      </c>
      <c r="N54" s="27">
        <f t="shared" si="35"/>
        <v>1536.5839162964298</v>
      </c>
      <c r="O54" s="27">
        <f t="shared" si="35"/>
        <v>307.03210605145819</v>
      </c>
      <c r="P54" s="27">
        <f t="shared" si="35"/>
        <v>4953.351586243567</v>
      </c>
      <c r="Q54" s="27">
        <f t="shared" si="35"/>
        <v>32677.731546706429</v>
      </c>
      <c r="R54" s="26"/>
      <c r="S54" s="27">
        <f t="shared" ref="S54:AQ54" si="36">SUM(S45:S53)</f>
        <v>217609.60573805412</v>
      </c>
      <c r="T54" s="27">
        <f t="shared" si="36"/>
        <v>42169.112689751157</v>
      </c>
      <c r="U54" s="27">
        <f t="shared" si="36"/>
        <v>7095.9270840537374</v>
      </c>
      <c r="V54" s="27">
        <f>SUM(V45:V53)</f>
        <v>2187.5487794926439</v>
      </c>
      <c r="W54" s="9">
        <f t="shared" si="30"/>
        <v>31</v>
      </c>
      <c r="Y54" s="1" t="str">
        <f t="shared" si="31"/>
        <v>Total Gas Cost Revenue Requirement</v>
      </c>
      <c r="AA54" s="27">
        <f t="shared" si="36"/>
        <v>1380.4109261985022</v>
      </c>
      <c r="AB54" s="27">
        <f t="shared" si="36"/>
        <v>1315.8827465936092</v>
      </c>
      <c r="AC54" s="26"/>
      <c r="AD54" s="27">
        <f t="shared" si="36"/>
        <v>715615.42842551472</v>
      </c>
      <c r="AE54" s="27">
        <f t="shared" si="36"/>
        <v>172492.11973224703</v>
      </c>
      <c r="AF54" s="27">
        <f t="shared" si="36"/>
        <v>23750.774836237197</v>
      </c>
      <c r="AG54" s="27">
        <f t="shared" si="36"/>
        <v>8.0648948084483827</v>
      </c>
      <c r="AH54" s="27">
        <f t="shared" si="36"/>
        <v>157.37864805384257</v>
      </c>
      <c r="AI54" s="27">
        <f t="shared" si="36"/>
        <v>1033.9009471707532</v>
      </c>
      <c r="AJ54" s="27">
        <f t="shared" si="36"/>
        <v>22648.862508673919</v>
      </c>
      <c r="AK54" s="27">
        <f t="shared" si="36"/>
        <v>1357.9100967502409</v>
      </c>
      <c r="AL54" s="27">
        <f t="shared" si="36"/>
        <v>4792.9041578138413</v>
      </c>
      <c r="AM54" s="27">
        <f t="shared" si="36"/>
        <v>1214.5061976867769</v>
      </c>
      <c r="AN54" s="27">
        <f t="shared" si="36"/>
        <v>67.189411000524871</v>
      </c>
      <c r="AO54" s="27">
        <f t="shared" si="36"/>
        <v>13470.419327458909</v>
      </c>
      <c r="AP54" s="27">
        <f t="shared" si="36"/>
        <v>74.755340347874593</v>
      </c>
      <c r="AQ54" s="27">
        <f t="shared" si="36"/>
        <v>1301.3471065488243</v>
      </c>
    </row>
    <row r="55" spans="2:43" ht="13.5" thickTop="1" x14ac:dyDescent="0.2"/>
    <row r="56" spans="2:43" x14ac:dyDescent="0.2">
      <c r="B56" s="2" t="s">
        <v>95</v>
      </c>
      <c r="W56" s="2" t="s">
        <v>95</v>
      </c>
    </row>
    <row r="57" spans="2:43" x14ac:dyDescent="0.2">
      <c r="B57" s="8" t="s">
        <v>96</v>
      </c>
      <c r="D57" s="1" t="s">
        <v>97</v>
      </c>
      <c r="V57" s="38"/>
      <c r="W57" s="8" t="s">
        <v>96</v>
      </c>
      <c r="Y57" s="1" t="s">
        <v>97</v>
      </c>
    </row>
    <row r="58" spans="2:43" x14ac:dyDescent="0.2">
      <c r="B58" s="8" t="s">
        <v>98</v>
      </c>
      <c r="D58" s="1" t="s">
        <v>99</v>
      </c>
      <c r="W58" s="8" t="s">
        <v>98</v>
      </c>
      <c r="Y58" s="1" t="s">
        <v>99</v>
      </c>
    </row>
    <row r="59" spans="2:43" x14ac:dyDescent="0.2">
      <c r="B59" s="8" t="s">
        <v>100</v>
      </c>
      <c r="D59" s="1" t="s">
        <v>101</v>
      </c>
      <c r="W59" s="8" t="s">
        <v>100</v>
      </c>
      <c r="Y59" s="1" t="s">
        <v>102</v>
      </c>
    </row>
    <row r="60" spans="2:43" x14ac:dyDescent="0.2">
      <c r="B60" s="8" t="s">
        <v>103</v>
      </c>
      <c r="D60" s="1" t="s">
        <v>104</v>
      </c>
    </row>
    <row r="61" spans="2:43" x14ac:dyDescent="0.2">
      <c r="B61" s="10"/>
    </row>
  </sheetData>
  <mergeCells count="6">
    <mergeCell ref="H5:Q5"/>
    <mergeCell ref="S5:V5"/>
    <mergeCell ref="AA5:AB5"/>
    <mergeCell ref="AD5:AQ5"/>
    <mergeCell ref="B3:V3"/>
    <mergeCell ref="W3:AQ3"/>
  </mergeCells>
  <pageMargins left="0.7" right="0.7" top="0.75" bottom="0.75" header="0.3" footer="0.3"/>
  <pageSetup scale="54" fitToWidth="2" orientation="landscape" r:id="rId1"/>
  <headerFooter>
    <oddHeader>&amp;R&amp;"Arial,Regular"&amp;10Filed: 2023-04-06
EB-2022-0200
Exhibit JT8.4
Attachment 3
Page &amp;P of &amp;N</oddHeader>
  </headerFooter>
  <colBreaks count="1" manualBreakCount="1">
    <brk id="22" min="2" max="5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C6U45NHNYSXQ-647284319-719</_dlc_DocId>
    <_dlc_DocIdUrl xmlns="bc9be6ef-036f-4d38-ab45-2a4da0c93cb0">
      <Url>https://enbridge.sharepoint.com/teams/EB-2022-02002024Rebasing/_layouts/15/DocIdRedir.aspx?ID=C6U45NHNYSXQ-647284319-719</Url>
      <Description>C6U45NHNYSXQ-647284319-719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A99DC5F2E29C4EA0320A2DE468F5FC" ma:contentTypeVersion="4" ma:contentTypeDescription="Create a new document." ma:contentTypeScope="" ma:versionID="ff3e3884dc2e643973374073d0034b45">
  <xsd:schema xmlns:xsd="http://www.w3.org/2001/XMLSchema" xmlns:xs="http://www.w3.org/2001/XMLSchema" xmlns:p="http://schemas.microsoft.com/office/2006/metadata/properties" xmlns:ns2="bc9be6ef-036f-4d38-ab45-2a4da0c93cb0" xmlns:ns3="fdff13a8-12b1-4cee-91e4-645a62808359" targetNamespace="http://schemas.microsoft.com/office/2006/metadata/properties" ma:root="true" ma:fieldsID="cdad84c82f7e98ec508be54dc62030bb" ns2:_="" ns3:_="">
    <xsd:import namespace="bc9be6ef-036f-4d38-ab45-2a4da0c93cb0"/>
    <xsd:import namespace="fdff13a8-12b1-4cee-91e4-645a6280835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f13a8-12b1-4cee-91e4-645a6280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220E30-ED3E-4FF4-A4D7-2F07AB685BF1}">
  <ds:schemaRefs>
    <ds:schemaRef ds:uri="http://schemas.microsoft.com/office/2006/metadata/properties"/>
    <ds:schemaRef ds:uri="http://schemas.microsoft.com/office/infopath/2007/PartnerControls"/>
    <ds:schemaRef ds:uri="bc9be6ef-036f-4d38-ab45-2a4da0c93cb0"/>
  </ds:schemaRefs>
</ds:datastoreItem>
</file>

<file path=customXml/itemProps2.xml><?xml version="1.0" encoding="utf-8"?>
<ds:datastoreItem xmlns:ds="http://schemas.openxmlformats.org/officeDocument/2006/customXml" ds:itemID="{162C8C42-5692-4409-81FE-DBC8D7B74B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be6ef-036f-4d38-ab45-2a4da0c93cb0"/>
    <ds:schemaRef ds:uri="fdff13a8-12b1-4cee-91e4-645a62808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6A4808-BAA9-41D4-B557-D0B8E56309E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684B445-22DD-4D53-B7BE-6AB2F72253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Gas Cost</vt:lpstr>
      <vt:lpstr>'Gas Cost'!Print_Area</vt:lpstr>
      <vt:lpstr>'Gas Cost'!Print_Titles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McIntyre</dc:creator>
  <cp:keywords/>
  <dc:description/>
  <cp:lastModifiedBy>Julie Rader</cp:lastModifiedBy>
  <cp:revision/>
  <cp:lastPrinted>2023-04-06T02:13:20Z</cp:lastPrinted>
  <dcterms:created xsi:type="dcterms:W3CDTF">2023-04-04T12:31:48Z</dcterms:created>
  <dcterms:modified xsi:type="dcterms:W3CDTF">2023-04-06T02:15:42Z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2023-04-04T12:31:49Z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da6e9d6c-b44b-457d-907c-8f70f86817ad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0x01010004A99DC5F2E29C4EA0320A2DE468F5FC</vt:lpwstr>
  </property>
  <property fmtid="{D5CDD505-2E9C-101B-9397-08002B2CF9AE}" pid="10" name="_dlc_DocIdItemGuid">
    <vt:lpwstr>cc97e215-22f7-4d68-a34b-e94d26276cb6</vt:lpwstr>
  </property>
</Properties>
</file>