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bridge.sharepoint.com/teams/EB-2022-02002024Rebasing/Undertakings/"/>
    </mc:Choice>
  </mc:AlternateContent>
  <xr:revisionPtr revIDLastSave="195" documentId="13_ncr:1_{A11EED71-C18D-4ADA-AA32-5FD4979BB111}" xr6:coauthVersionLast="47" xr6:coauthVersionMax="47" xr10:uidLastSave="{E74FAFDD-5DF0-434F-8993-D8D029A6F0F3}"/>
  <bookViews>
    <workbookView xWindow="-120" yWindow="-120" windowWidth="29040" windowHeight="15840" xr2:uid="{85958F7B-1E00-42BB-84F0-49786F847908}"/>
  </bookViews>
  <sheets>
    <sheet name="Attachment 1 p.1-2" sheetId="1" r:id="rId1"/>
    <sheet name="Attachment 1 p.3-4" sheetId="4" r:id="rId2"/>
    <sheet name="Attachment 1 p.5-6" sheetId="9" r:id="rId3"/>
    <sheet name="Attachment 1 p.7-8" sheetId="3" r:id="rId4"/>
    <sheet name="Attachment 2" sheetId="6" r:id="rId5"/>
  </sheets>
  <externalReferences>
    <externalReference r:id="rId6"/>
    <externalReference r:id="rId7"/>
    <externalReference r:id="rId8"/>
  </externalReferences>
  <definedNames>
    <definedName name="a" localSheetId="1">#REF!</definedName>
    <definedName name="a" localSheetId="2">#REF!</definedName>
    <definedName name="a" localSheetId="3">#REF!</definedName>
    <definedName name="a">#REF!</definedName>
    <definedName name="AppendixApage12to15" localSheetId="1">#REF!</definedName>
    <definedName name="AppendixApage12to15" localSheetId="2">#REF!</definedName>
    <definedName name="AppendixApage12to15" localSheetId="3">#REF!</definedName>
    <definedName name="AppendixApage12to15">#REF!</definedName>
    <definedName name="AppendixApage8to13" localSheetId="1">#REF!</definedName>
    <definedName name="AppendixApage8to13" localSheetId="2">#REF!</definedName>
    <definedName name="AppendixApage8to13" localSheetId="3">#REF!</definedName>
    <definedName name="AppendixApage8to13">#REF!</definedName>
    <definedName name="Filed_Day">[1]Inputs!$D$10</definedName>
    <definedName name="Filed_Month">[1]Inputs!$C$10</definedName>
    <definedName name="Filed_Year">[1]Inputs!$B$10</definedName>
    <definedName name="HeatValue" localSheetId="1">#REF!</definedName>
    <definedName name="HeatValue" localSheetId="2">#REF!</definedName>
    <definedName name="HeatValue" localSheetId="3">#REF!</definedName>
    <definedName name="HeatValue">#REF!</definedName>
    <definedName name="Last_Filing" localSheetId="4">[2]Inputs!$E$7</definedName>
    <definedName name="Last_Filing">[1]Inputs!$H$8</definedName>
    <definedName name="Last_Filing_Date" localSheetId="4">[2]Inputs!$E$8</definedName>
    <definedName name="Last_Filing_Date">[1]Inputs!$H$9</definedName>
    <definedName name="Last_QRAM">[3]Inputs!$E$7</definedName>
    <definedName name="Last_QRAM_Date">[3]Inputs!$E$8</definedName>
    <definedName name="M_3">[1]Inputs!$C$40</definedName>
    <definedName name="M1_Prospective_Commodity_currentQRAM" localSheetId="4">'Attachment 2'!#REF!</definedName>
    <definedName name="M1_Prospective_Commodity_currentQRAM">#REF!</definedName>
    <definedName name="M1_Prospective_Commodity_lastQRAM" localSheetId="4">'Attachment 2'!#REF!</definedName>
    <definedName name="M1_Prospective_Commodity_lastQRAM">#REF!</definedName>
    <definedName name="M1_Prospective_Delivery_currentQRAM" localSheetId="4">'Attachment 2'!#REF!</definedName>
    <definedName name="M1_Prospective_Delivery_currentQRAM">#REF!</definedName>
    <definedName name="M1_Prospective_Delivery_lastQRAM" localSheetId="4">'Attachment 2'!#REF!</definedName>
    <definedName name="M1_Prospective_Delivery_lastQRAM">#REF!</definedName>
    <definedName name="New_QRAM" localSheetId="4">[2]Inputs!$B$7</definedName>
    <definedName name="New_QRAM">[3]Inputs!$B$7</definedName>
    <definedName name="New_QRAM_Date" localSheetId="4">[2]Inputs!$B$8</definedName>
    <definedName name="New_QRAM_Date">[3]Inputs!$B$8</definedName>
    <definedName name="_xlnm.Print_Area" localSheetId="0">'Attachment 1 p.1-2'!$A$1:$S$164</definedName>
    <definedName name="_xlnm.Print_Area" localSheetId="1">'Attachment 1 p.3-4'!$A$1:$T$173</definedName>
    <definedName name="_xlnm.Print_Area" localSheetId="2">'Attachment 1 p.5-6'!$A$1:$T$163</definedName>
    <definedName name="_xlnm.Print_Area" localSheetId="3">'Attachment 1 p.7-8'!$A$1:$S$126</definedName>
    <definedName name="_xlnm.Print_Titles" localSheetId="0">'Attachment 1 p.1-2'!$1:$11</definedName>
    <definedName name="_xlnm.Print_Titles" localSheetId="1">'Attachment 1 p.3-4'!$1:$11</definedName>
    <definedName name="_xlnm.Print_Titles" localSheetId="2">'Attachment 1 p.5-6'!$1:$11</definedName>
    <definedName name="_xlnm.Print_Titles" localSheetId="3">'Attachment 1 p.7-8'!$1:$11</definedName>
    <definedName name="Prospective_Commodity_R01_currentQRAM">#REF!</definedName>
    <definedName name="Prospective_Commodity_R01_lastQRAM">#REF!</definedName>
    <definedName name="Prospective_Commodity_R10_currentQRAM">'[1]R10 Bill Calc'!$W$39</definedName>
    <definedName name="Prospective_Commodity_R10_lastQRAM">'[1]R10 Bill Calc'!$D$39</definedName>
    <definedName name="Prospective_Storage_R01_currentQRAM">#REF!</definedName>
    <definedName name="Prospective_Storage_R01_lastQRAM">#REF!</definedName>
    <definedName name="Prospective_Transport_R01_currentQRAM">#REF!</definedName>
    <definedName name="Prospective_Transport_R01_lastQRAM">#REF!</definedName>
    <definedName name="Prospective_Transport_R10_currentQRAM">'[1]R10 Bill Calc'!$W$42</definedName>
    <definedName name="Prospective_Transport_R10_lastQRAM">'[1]R10 Bill Calc'!$D$42</definedName>
    <definedName name="SupplementalT1" localSheetId="1">#REF!</definedName>
    <definedName name="SupplementalT1" localSheetId="2">#REF!</definedName>
    <definedName name="SupplementalT1" localSheetId="3">#REF!</definedName>
    <definedName name="SupplementalT1">#REF!</definedName>
    <definedName name="wrn.h3T1S1." localSheetId="4" hidden="1">{#N/A,#N/A,FALSE,"H3 Tab 1"}</definedName>
    <definedName name="wrn.h3T1S1." hidden="1">{#N/A,#N/A,FALSE,"H3 Tab 1"}</definedName>
    <definedName name="wrn.H3T1S2." localSheetId="4" hidden="1">{#N/A,#N/A,FALSE,"H3 Tab 1"}</definedName>
    <definedName name="wrn.H3T1S2." hidden="1">{#N/A,#N/A,FALSE,"H3 Tab 1"}</definedName>
    <definedName name="wrn.H3T2S3." localSheetId="4" hidden="1">{#N/A,#N/A,FALSE,"H3 Tab 2";#N/A,#N/A,FALSE,"H3 Tab 2"}</definedName>
    <definedName name="wrn.H3T2S3." hidden="1">{#N/A,#N/A,FALSE,"H3 Tab 2";#N/A,#N/A,FALSE,"H3 Tab 2"}</definedName>
    <definedName name="wrn.RevProof." localSheetId="4" hidden="1">{#N/A,#N/A,FALSE,"RevProof"}</definedName>
    <definedName name="wrn.RevProof." hidden="1">{#N/A,#N/A,FALSE,"RevProof"}</definedName>
  </definedNames>
  <calcPr calcId="191028" iterate="1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1" l="1"/>
  <c r="E82" i="4"/>
  <c r="M16" i="1" l="1"/>
  <c r="K16" i="1"/>
  <c r="A10" i="6"/>
  <c r="A11" i="6" l="1"/>
  <c r="A14" i="6" s="1"/>
  <c r="A15" i="6" l="1"/>
  <c r="A16" i="6" l="1"/>
  <c r="A17" i="6" l="1"/>
  <c r="A18" i="6" l="1"/>
  <c r="A22" i="6" l="1"/>
  <c r="A23" i="6" l="1"/>
  <c r="A24" i="6"/>
  <c r="A27" i="6" s="1"/>
  <c r="A28" i="6" l="1"/>
  <c r="A29" i="6" s="1"/>
  <c r="A30" i="6" l="1"/>
  <c r="A31" i="6" s="1"/>
  <c r="A35" i="6" s="1"/>
  <c r="A36" i="6"/>
  <c r="A37" i="6" l="1"/>
  <c r="A40" i="6" l="1"/>
  <c r="A41" i="6" l="1"/>
  <c r="A42" i="6" s="1"/>
  <c r="A43" i="6" s="1"/>
  <c r="A44" i="6" s="1"/>
  <c r="A45" i="6" s="1"/>
  <c r="A46" i="6" s="1"/>
  <c r="A50" i="6" s="1"/>
  <c r="A51" i="6" s="1"/>
  <c r="A52" i="6" s="1"/>
  <c r="A55" i="6" s="1"/>
  <c r="A56" i="6" s="1"/>
  <c r="A57" i="6" s="1"/>
  <c r="A58" i="6" s="1"/>
  <c r="A59" i="6" s="1"/>
  <c r="A60" i="6" s="1"/>
  <c r="A61" i="6" s="1"/>
  <c r="A65" i="6" s="1"/>
  <c r="A66" i="6" s="1"/>
  <c r="A67" i="6" s="1"/>
  <c r="A70" i="6" s="1"/>
  <c r="A71" i="6" s="1"/>
  <c r="A72" i="6" s="1"/>
  <c r="A73" i="6" s="1"/>
  <c r="A74" i="6" s="1"/>
  <c r="A75" i="6" s="1"/>
  <c r="A76" i="6" s="1"/>
  <c r="A86" i="6" s="1"/>
  <c r="A87" i="6" s="1"/>
  <c r="A88" i="6" s="1"/>
  <c r="A91" i="6" s="1"/>
  <c r="A92" i="6" s="1"/>
  <c r="A93" i="6" s="1"/>
  <c r="A94" i="6" s="1"/>
  <c r="A95" i="6" s="1"/>
  <c r="A96" i="6" s="1"/>
  <c r="A100" i="6" s="1"/>
  <c r="A101" i="6" s="1"/>
  <c r="A102" i="6" s="1"/>
  <c r="A105" i="6" s="1"/>
  <c r="A106" i="6" s="1"/>
  <c r="A107" i="6" s="1"/>
  <c r="A108" i="6" s="1"/>
  <c r="A109" i="6" s="1"/>
  <c r="A110" i="6" s="1"/>
  <c r="A114" i="6" s="1"/>
  <c r="A115" i="6" s="1"/>
  <c r="A116" i="6" s="1"/>
  <c r="A119" i="6" s="1"/>
  <c r="A120" i="6" l="1"/>
  <c r="A121" i="6" l="1"/>
  <c r="A122" i="6" s="1"/>
  <c r="A123" i="6" l="1"/>
  <c r="A124" i="6" s="1"/>
  <c r="A128" i="6" s="1"/>
  <c r="A129" i="6" s="1"/>
  <c r="A130" i="6" s="1"/>
  <c r="A133" i="6" s="1"/>
  <c r="A134" i="6" s="1"/>
  <c r="A135" i="6" s="1"/>
  <c r="A136" i="6" s="1"/>
  <c r="A137" i="6" s="1"/>
  <c r="A138" i="6" s="1"/>
  <c r="A142" i="6" s="1"/>
  <c r="A143" i="6" s="1"/>
  <c r="A144" i="6" s="1"/>
  <c r="A147" i="6" s="1"/>
  <c r="A148" i="6" s="1"/>
  <c r="A149" i="6" s="1"/>
  <c r="A150" i="6" s="1"/>
  <c r="A151" i="6" s="1"/>
  <c r="A152" i="6" s="1"/>
  <c r="A162" i="6" s="1"/>
  <c r="A163" i="6" s="1"/>
  <c r="A164" i="6" s="1"/>
  <c r="A167" i="6" s="1"/>
  <c r="A168" i="6" s="1"/>
  <c r="A169" i="6" s="1"/>
  <c r="A170" i="6" s="1"/>
  <c r="A174" i="6" s="1"/>
  <c r="A175" i="6" s="1"/>
  <c r="A176" i="6" s="1"/>
  <c r="A179" i="6" s="1"/>
  <c r="A180" i="6" s="1"/>
  <c r="A181" i="6" s="1"/>
  <c r="A182" i="6" s="1"/>
  <c r="A186" i="6" s="1"/>
  <c r="A187" i="6" s="1"/>
  <c r="A188" i="6" s="1"/>
  <c r="A191" i="6" s="1"/>
  <c r="A192" i="6" s="1"/>
  <c r="A193" i="6" s="1"/>
  <c r="A194" i="6" s="1"/>
  <c r="A195" i="6" s="1"/>
  <c r="A199" i="6" s="1"/>
  <c r="A200" i="6" s="1"/>
  <c r="A201" i="6" s="1"/>
  <c r="A204" i="6" s="1"/>
  <c r="A205" i="6" s="1"/>
  <c r="A206" i="6" s="1"/>
  <c r="A207" i="6" s="1"/>
  <c r="A208" i="6" s="1"/>
  <c r="A212" i="6" s="1"/>
  <c r="A213" i="6" s="1"/>
  <c r="A214" i="6" s="1"/>
  <c r="A217" i="6" s="1"/>
  <c r="A218" i="6" s="1"/>
  <c r="A219" i="6" s="1"/>
  <c r="A220" i="6" s="1"/>
  <c r="A221" i="6" s="1"/>
  <c r="I118" i="3" l="1"/>
  <c r="G95" i="3"/>
  <c r="I94" i="3"/>
  <c r="G117" i="3"/>
  <c r="I108" i="3"/>
  <c r="I86" i="3"/>
  <c r="I87" i="3"/>
  <c r="I111" i="3"/>
  <c r="G108" i="3"/>
  <c r="G109" i="3"/>
  <c r="G110" i="3"/>
  <c r="G111" i="3"/>
  <c r="I106" i="3"/>
  <c r="G83" i="3"/>
  <c r="I49" i="3"/>
  <c r="G49" i="3"/>
  <c r="I48" i="3"/>
  <c r="G48" i="3"/>
  <c r="I40" i="3"/>
  <c r="I41" i="3"/>
  <c r="I42" i="3"/>
  <c r="G40" i="3"/>
  <c r="G41" i="3"/>
  <c r="G42" i="3"/>
  <c r="I38" i="3"/>
  <c r="G38" i="3"/>
  <c r="I154" i="9"/>
  <c r="G121" i="9"/>
  <c r="I150" i="9"/>
  <c r="G64" i="9"/>
  <c r="I61" i="9"/>
  <c r="G61" i="9"/>
  <c r="I60" i="9"/>
  <c r="G60" i="9"/>
  <c r="E94" i="9"/>
  <c r="E91" i="9"/>
  <c r="E90" i="9"/>
  <c r="G147" i="9"/>
  <c r="E87" i="9"/>
  <c r="I114" i="9"/>
  <c r="G114" i="9"/>
  <c r="E84" i="9"/>
  <c r="I142" i="9"/>
  <c r="G142" i="9"/>
  <c r="G141" i="9"/>
  <c r="I140" i="9"/>
  <c r="I139" i="9"/>
  <c r="G139" i="9"/>
  <c r="G108" i="9"/>
  <c r="G106" i="9"/>
  <c r="K106" i="9" s="1"/>
  <c r="I64" i="9"/>
  <c r="I57" i="9"/>
  <c r="G57" i="9"/>
  <c r="I54" i="9"/>
  <c r="G54" i="9"/>
  <c r="I52" i="9"/>
  <c r="G52" i="9"/>
  <c r="I51" i="9"/>
  <c r="G51" i="9"/>
  <c r="G50" i="9"/>
  <c r="I49" i="9"/>
  <c r="G49" i="9"/>
  <c r="I48" i="9"/>
  <c r="G48" i="9"/>
  <c r="M16" i="9"/>
  <c r="K16" i="9"/>
  <c r="A16" i="9"/>
  <c r="A18" i="9" s="1"/>
  <c r="I166" i="4"/>
  <c r="G134" i="4"/>
  <c r="I130" i="4"/>
  <c r="G130" i="4"/>
  <c r="I127" i="4"/>
  <c r="G127" i="4"/>
  <c r="I126" i="4"/>
  <c r="G126" i="4"/>
  <c r="I114" i="4"/>
  <c r="I115" i="4"/>
  <c r="I116" i="4"/>
  <c r="I117" i="4"/>
  <c r="I118" i="4"/>
  <c r="G114" i="4"/>
  <c r="G115" i="4"/>
  <c r="G116" i="4"/>
  <c r="G117" i="4"/>
  <c r="G118" i="4"/>
  <c r="G112" i="4"/>
  <c r="I70" i="4"/>
  <c r="G70" i="4"/>
  <c r="I66" i="4"/>
  <c r="G66" i="4"/>
  <c r="I63" i="4"/>
  <c r="G63" i="4"/>
  <c r="I62" i="4"/>
  <c r="G62" i="4"/>
  <c r="I50" i="4"/>
  <c r="I51" i="4"/>
  <c r="I52" i="4"/>
  <c r="I53" i="4"/>
  <c r="I54" i="4"/>
  <c r="I48" i="4"/>
  <c r="G48" i="4"/>
  <c r="G50" i="4"/>
  <c r="G51" i="4"/>
  <c r="G52" i="4"/>
  <c r="G53" i="4"/>
  <c r="G54" i="4"/>
  <c r="I154" i="1"/>
  <c r="G154" i="1"/>
  <c r="I153" i="1"/>
  <c r="G153" i="1"/>
  <c r="I150" i="1"/>
  <c r="G150" i="1"/>
  <c r="I149" i="1"/>
  <c r="G118" i="1"/>
  <c r="I105" i="1"/>
  <c r="G105" i="1"/>
  <c r="I107" i="1"/>
  <c r="I108" i="1"/>
  <c r="I109" i="1"/>
  <c r="I110" i="1"/>
  <c r="I142" i="1"/>
  <c r="I143" i="1"/>
  <c r="G107" i="1"/>
  <c r="G108" i="1"/>
  <c r="G140" i="1"/>
  <c r="G141" i="1"/>
  <c r="G111" i="1"/>
  <c r="G112" i="1"/>
  <c r="I61" i="1"/>
  <c r="I60" i="1"/>
  <c r="G61" i="1"/>
  <c r="G60" i="1"/>
  <c r="I57" i="1"/>
  <c r="G57" i="1"/>
  <c r="I56" i="1"/>
  <c r="G56" i="1"/>
  <c r="G151" i="9" l="1"/>
  <c r="K91" i="9"/>
  <c r="G144" i="9"/>
  <c r="K84" i="9"/>
  <c r="G85" i="3"/>
  <c r="I150" i="4"/>
  <c r="I88" i="3"/>
  <c r="G166" i="4"/>
  <c r="G86" i="3"/>
  <c r="I95" i="3"/>
  <c r="I109" i="3"/>
  <c r="M90" i="9"/>
  <c r="G138" i="9"/>
  <c r="I117" i="3"/>
  <c r="I83" i="3"/>
  <c r="G118" i="3"/>
  <c r="I134" i="4"/>
  <c r="G146" i="4"/>
  <c r="G144" i="4"/>
  <c r="G147" i="4"/>
  <c r="G158" i="4"/>
  <c r="G148" i="4"/>
  <c r="G159" i="4"/>
  <c r="I146" i="4"/>
  <c r="G149" i="4"/>
  <c r="I158" i="4"/>
  <c r="I147" i="4"/>
  <c r="G150" i="4"/>
  <c r="I159" i="4"/>
  <c r="I148" i="4"/>
  <c r="G162" i="4"/>
  <c r="I149" i="4"/>
  <c r="I162" i="4"/>
  <c r="I109" i="9"/>
  <c r="G117" i="9"/>
  <c r="G46" i="9"/>
  <c r="K46" i="9" s="1"/>
  <c r="G111" i="9"/>
  <c r="O16" i="9"/>
  <c r="I112" i="9"/>
  <c r="G106" i="3"/>
  <c r="I110" i="3"/>
  <c r="G87" i="3"/>
  <c r="G88" i="3"/>
  <c r="I85" i="3"/>
  <c r="G94" i="3"/>
  <c r="M76" i="9"/>
  <c r="I136" i="9"/>
  <c r="M136" i="9" s="1"/>
  <c r="I106" i="9"/>
  <c r="M106" i="9" s="1"/>
  <c r="O106" i="9" s="1"/>
  <c r="I50" i="9"/>
  <c r="I141" i="9"/>
  <c r="I111" i="9"/>
  <c r="M94" i="9"/>
  <c r="K94" i="9"/>
  <c r="I138" i="9"/>
  <c r="I108" i="9"/>
  <c r="G140" i="9"/>
  <c r="G110" i="9"/>
  <c r="G154" i="9"/>
  <c r="G124" i="9"/>
  <c r="M87" i="9"/>
  <c r="I147" i="9"/>
  <c r="I117" i="9"/>
  <c r="K90" i="9"/>
  <c r="K92" i="9" s="1"/>
  <c r="G150" i="9"/>
  <c r="G120" i="9"/>
  <c r="M84" i="9"/>
  <c r="I144" i="9"/>
  <c r="I46" i="9"/>
  <c r="M46" i="9" s="1"/>
  <c r="K76" i="9"/>
  <c r="G136" i="9"/>
  <c r="K136" i="9" s="1"/>
  <c r="M91" i="9"/>
  <c r="O91" i="9" s="1"/>
  <c r="I151" i="9"/>
  <c r="I121" i="9"/>
  <c r="K87" i="9"/>
  <c r="G109" i="9"/>
  <c r="I110" i="9"/>
  <c r="I120" i="9"/>
  <c r="A19" i="9"/>
  <c r="I124" i="9"/>
  <c r="G112" i="9"/>
  <c r="G119" i="1"/>
  <c r="I119" i="1"/>
  <c r="I118" i="1"/>
  <c r="G109" i="1"/>
  <c r="G142" i="1"/>
  <c r="G143" i="1"/>
  <c r="I111" i="1"/>
  <c r="G149" i="1"/>
  <c r="I112" i="1"/>
  <c r="G136" i="1"/>
  <c r="I138" i="1"/>
  <c r="I136" i="1"/>
  <c r="I139" i="1"/>
  <c r="G122" i="1"/>
  <c r="G138" i="1"/>
  <c r="I140" i="1"/>
  <c r="G123" i="1"/>
  <c r="G139" i="1"/>
  <c r="I141" i="1"/>
  <c r="I122" i="1"/>
  <c r="G110" i="1"/>
  <c r="I123" i="1"/>
  <c r="O84" i="9" l="1"/>
  <c r="O46" i="9"/>
  <c r="O136" i="9"/>
  <c r="M92" i="9"/>
  <c r="O90" i="9"/>
  <c r="O92" i="9" s="1"/>
  <c r="Q92" i="9" s="1"/>
  <c r="S92" i="9" s="1"/>
  <c r="O87" i="9"/>
  <c r="Q87" i="9" s="1"/>
  <c r="S87" i="9" s="1"/>
  <c r="O94" i="9"/>
  <c r="Q94" i="9" s="1"/>
  <c r="S94" i="9" s="1"/>
  <c r="O76" i="9"/>
  <c r="A20" i="9"/>
  <c r="A21" i="9" s="1"/>
  <c r="A22" i="9" l="1"/>
  <c r="A23" i="9" l="1"/>
  <c r="A24" i="9" l="1"/>
  <c r="A25" i="9" l="1"/>
  <c r="A27" i="9" l="1"/>
  <c r="A30" i="9" l="1"/>
  <c r="A31" i="9" l="1"/>
  <c r="A32" i="9" l="1"/>
  <c r="A34" i="9" s="1"/>
  <c r="A36" i="9" s="1"/>
  <c r="A38" i="9" s="1"/>
  <c r="A39" i="9" s="1"/>
  <c r="A43" i="9" s="1"/>
  <c r="A46" i="9" s="1"/>
  <c r="A48" i="9" s="1"/>
  <c r="A49" i="9" s="1"/>
  <c r="A50" i="9" s="1"/>
  <c r="A51" i="9" s="1"/>
  <c r="A52" i="9" s="1"/>
  <c r="A53" i="9" s="1"/>
  <c r="A54" i="9" s="1"/>
  <c r="A55" i="9" s="1"/>
  <c r="A57" i="9" s="1"/>
  <c r="A60" i="9" s="1"/>
  <c r="A61" i="9" s="1"/>
  <c r="A62" i="9" s="1"/>
  <c r="A64" i="9" s="1"/>
  <c r="A66" i="9" s="1"/>
  <c r="A68" i="9" s="1"/>
  <c r="A69" i="9" s="1"/>
  <c r="A73" i="9" s="1"/>
  <c r="A76" i="9" s="1"/>
  <c r="A78" i="9" s="1"/>
  <c r="A79" i="9" s="1"/>
  <c r="A80" i="9" s="1"/>
  <c r="A81" i="9" s="1"/>
  <c r="A82" i="9" s="1"/>
  <c r="A83" i="9" s="1"/>
  <c r="A84" i="9" s="1"/>
  <c r="A85" i="9" s="1"/>
  <c r="A87" i="9" s="1"/>
  <c r="A90" i="9" s="1"/>
  <c r="A91" i="9" s="1"/>
  <c r="A92" i="9" s="1"/>
  <c r="A94" i="9" s="1"/>
  <c r="A96" i="9" s="1"/>
  <c r="A98" i="9" s="1"/>
  <c r="A99" i="9" s="1"/>
  <c r="A103" i="9" s="1"/>
  <c r="A106" i="9" s="1"/>
  <c r="A108" i="9" s="1"/>
  <c r="A109" i="9" s="1"/>
  <c r="A110" i="9" s="1"/>
  <c r="A111" i="9" s="1"/>
  <c r="A112" i="9" s="1"/>
  <c r="A113" i="9" s="1"/>
  <c r="A114" i="9" s="1"/>
  <c r="A115" i="9" s="1"/>
  <c r="A117" i="9" s="1"/>
  <c r="A120" i="9" s="1"/>
  <c r="A121" i="9" s="1"/>
  <c r="A122" i="9" s="1"/>
  <c r="A124" i="9" s="1"/>
  <c r="A126" i="9" s="1"/>
  <c r="A128" i="9" s="1"/>
  <c r="A129" i="9" s="1"/>
  <c r="A133" i="9" s="1"/>
  <c r="A136" i="9" s="1"/>
  <c r="A138" i="9" s="1"/>
  <c r="A139" i="9" s="1"/>
  <c r="A140" i="9" s="1"/>
  <c r="A141" i="9" s="1"/>
  <c r="A142" i="9" s="1"/>
  <c r="A143" i="9" s="1"/>
  <c r="A144" i="9" s="1"/>
  <c r="A145" i="9" s="1"/>
  <c r="A147" i="9" s="1"/>
  <c r="A150" i="9" s="1"/>
  <c r="A151" i="9" s="1"/>
  <c r="A152" i="9" s="1"/>
  <c r="A154" i="9" s="1"/>
  <c r="A156" i="9" s="1"/>
  <c r="A158" i="9" s="1"/>
  <c r="A159" i="9" s="1"/>
  <c r="I50" i="1" l="1"/>
  <c r="I49" i="1"/>
  <c r="I48" i="1"/>
  <c r="I47" i="1"/>
  <c r="I45" i="1"/>
  <c r="G50" i="1"/>
  <c r="G49" i="1"/>
  <c r="G48" i="1"/>
  <c r="G47" i="1"/>
  <c r="G45" i="1"/>
  <c r="A16" i="3" l="1"/>
  <c r="A16" i="4"/>
  <c r="E133" i="1"/>
  <c r="E154" i="1" s="1"/>
  <c r="E67" i="6"/>
  <c r="F67" i="6"/>
  <c r="G67" i="6"/>
  <c r="H67" i="6"/>
  <c r="I67" i="6"/>
  <c r="J67" i="6"/>
  <c r="K67" i="6"/>
  <c r="L67" i="6"/>
  <c r="M67" i="6"/>
  <c r="N67" i="6"/>
  <c r="O67" i="6"/>
  <c r="D67" i="6"/>
  <c r="A16" i="1"/>
  <c r="A18" i="3" l="1"/>
  <c r="A18" i="4"/>
  <c r="A19" i="4" s="1"/>
  <c r="E150" i="1"/>
  <c r="E145" i="1"/>
  <c r="E148" i="1"/>
  <c r="E149" i="1"/>
  <c r="A19" i="3"/>
  <c r="E153" i="1"/>
  <c r="A18" i="1"/>
  <c r="A19" i="1" s="1"/>
  <c r="A20" i="1" s="1"/>
  <c r="A21" i="1" s="1"/>
  <c r="M106" i="3"/>
  <c r="K106" i="3"/>
  <c r="M83" i="3"/>
  <c r="K83" i="3"/>
  <c r="D187" i="6"/>
  <c r="P212" i="6"/>
  <c r="E213" i="6" s="1"/>
  <c r="E217" i="6" s="1"/>
  <c r="P199" i="6"/>
  <c r="I200" i="6" s="1"/>
  <c r="P214" i="6"/>
  <c r="P201" i="6"/>
  <c r="Q117" i="3"/>
  <c r="S117" i="3" s="1"/>
  <c r="Q94" i="3"/>
  <c r="S94" i="3" s="1"/>
  <c r="E35" i="3"/>
  <c r="E47" i="3" s="1"/>
  <c r="E175" i="6"/>
  <c r="F175" i="6"/>
  <c r="F179" i="6" s="1"/>
  <c r="G175" i="6"/>
  <c r="G179" i="6" s="1"/>
  <c r="H175" i="6"/>
  <c r="H179" i="6" s="1"/>
  <c r="H180" i="6" s="1"/>
  <c r="I175" i="6"/>
  <c r="J175" i="6"/>
  <c r="K175" i="6"/>
  <c r="L175" i="6"/>
  <c r="M175" i="6"/>
  <c r="N175" i="6"/>
  <c r="N179" i="6" s="1"/>
  <c r="O175" i="6"/>
  <c r="O179" i="6" s="1"/>
  <c r="D175" i="6"/>
  <c r="P176" i="6"/>
  <c r="Q48" i="3"/>
  <c r="S48" i="3" s="1"/>
  <c r="M38" i="3"/>
  <c r="K38" i="3"/>
  <c r="P142" i="6"/>
  <c r="P128" i="6"/>
  <c r="E103" i="9" s="1"/>
  <c r="P144" i="6"/>
  <c r="P130" i="6"/>
  <c r="K144" i="4"/>
  <c r="K112" i="4"/>
  <c r="P114" i="6"/>
  <c r="E102" i="6"/>
  <c r="F102" i="6"/>
  <c r="G102" i="6"/>
  <c r="H102" i="6"/>
  <c r="I102" i="6"/>
  <c r="J102" i="6"/>
  <c r="K102" i="6"/>
  <c r="L102" i="6"/>
  <c r="M102" i="6"/>
  <c r="N102" i="6"/>
  <c r="O102" i="6"/>
  <c r="D102" i="6"/>
  <c r="P100" i="6"/>
  <c r="K48" i="4"/>
  <c r="M48" i="4"/>
  <c r="F70" i="6"/>
  <c r="G70" i="6"/>
  <c r="H70" i="6"/>
  <c r="I70" i="6"/>
  <c r="I71" i="6" s="1"/>
  <c r="J70" i="6"/>
  <c r="J71" i="6" s="1"/>
  <c r="L70" i="6"/>
  <c r="M70" i="6"/>
  <c r="N70" i="6"/>
  <c r="O70" i="6"/>
  <c r="D23" i="6"/>
  <c r="D27" i="6" s="1"/>
  <c r="K70" i="6"/>
  <c r="E70" i="6"/>
  <c r="P35" i="6"/>
  <c r="E71" i="1" s="1"/>
  <c r="E88" i="1" s="1"/>
  <c r="M74" i="1"/>
  <c r="K74" i="1"/>
  <c r="K136" i="1"/>
  <c r="M136" i="1"/>
  <c r="E23" i="6"/>
  <c r="E27" i="6" s="1"/>
  <c r="F23" i="6"/>
  <c r="F27" i="6" s="1"/>
  <c r="F28" i="6" s="1"/>
  <c r="G23" i="6"/>
  <c r="G27" i="6" s="1"/>
  <c r="G28" i="6" s="1"/>
  <c r="H23" i="6"/>
  <c r="I23" i="6"/>
  <c r="J23" i="6"/>
  <c r="K23" i="6"/>
  <c r="K27" i="6" s="1"/>
  <c r="L23" i="6"/>
  <c r="L27" i="6" s="1"/>
  <c r="M23" i="6"/>
  <c r="M27" i="6" s="1"/>
  <c r="N23" i="6"/>
  <c r="N27" i="6" s="1"/>
  <c r="N28" i="6" s="1"/>
  <c r="O23" i="6"/>
  <c r="O27" i="6" s="1"/>
  <c r="O28" i="6" s="1"/>
  <c r="P24" i="6"/>
  <c r="M45" i="1"/>
  <c r="K45" i="1"/>
  <c r="E42" i="1"/>
  <c r="I213" i="6" l="1"/>
  <c r="G200" i="6"/>
  <c r="G204" i="6" s="1"/>
  <c r="H213" i="6"/>
  <c r="H217" i="6" s="1"/>
  <c r="H218" i="6" s="1"/>
  <c r="F200" i="6"/>
  <c r="F204" i="6" s="1"/>
  <c r="E80" i="3"/>
  <c r="E93" i="3" s="1"/>
  <c r="H200" i="6"/>
  <c r="H204" i="6" s="1"/>
  <c r="D200" i="6"/>
  <c r="D204" i="6" s="1"/>
  <c r="E200" i="6"/>
  <c r="E204" i="6" s="1"/>
  <c r="O200" i="6"/>
  <c r="O204" i="6" s="1"/>
  <c r="D213" i="6"/>
  <c r="D217" i="6" s="1"/>
  <c r="N200" i="6"/>
  <c r="N204" i="6" s="1"/>
  <c r="L213" i="6"/>
  <c r="L217" i="6" s="1"/>
  <c r="M200" i="6"/>
  <c r="M204" i="6" s="1"/>
  <c r="M205" i="6" s="1"/>
  <c r="K213" i="6"/>
  <c r="K217" i="6" s="1"/>
  <c r="L200" i="6"/>
  <c r="L204" i="6" s="1"/>
  <c r="J213" i="6"/>
  <c r="J217" i="6" s="1"/>
  <c r="J218" i="6" s="1"/>
  <c r="H101" i="6"/>
  <c r="E43" i="9"/>
  <c r="E121" i="9"/>
  <c r="E117" i="9"/>
  <c r="E124" i="9"/>
  <c r="E114" i="9"/>
  <c r="E120" i="9"/>
  <c r="K200" i="6"/>
  <c r="K204" i="6" s="1"/>
  <c r="O213" i="6"/>
  <c r="G213" i="6"/>
  <c r="G217" i="6" s="1"/>
  <c r="G218" i="6" s="1"/>
  <c r="G219" i="6" s="1"/>
  <c r="E103" i="3"/>
  <c r="E117" i="3" s="1"/>
  <c r="M117" i="3" s="1"/>
  <c r="I143" i="6"/>
  <c r="I147" i="6" s="1"/>
  <c r="I148" i="6" s="1"/>
  <c r="E133" i="9"/>
  <c r="D143" i="6"/>
  <c r="J200" i="6"/>
  <c r="J204" i="6" s="1"/>
  <c r="J205" i="6" s="1"/>
  <c r="N213" i="6"/>
  <c r="N217" i="6" s="1"/>
  <c r="F213" i="6"/>
  <c r="M213" i="6"/>
  <c r="M217" i="6" s="1"/>
  <c r="O106" i="3"/>
  <c r="O74" i="1"/>
  <c r="A20" i="3"/>
  <c r="A20" i="4"/>
  <c r="A22" i="1"/>
  <c r="F217" i="6"/>
  <c r="F218" i="6" s="1"/>
  <c r="F219" i="6" s="1"/>
  <c r="I217" i="6"/>
  <c r="I218" i="6" s="1"/>
  <c r="D218" i="6"/>
  <c r="D219" i="6" s="1"/>
  <c r="D220" i="6" s="1"/>
  <c r="E218" i="6"/>
  <c r="I204" i="6"/>
  <c r="M143" i="6"/>
  <c r="F143" i="6"/>
  <c r="E143" i="6"/>
  <c r="N143" i="6"/>
  <c r="O83" i="3"/>
  <c r="J179" i="6"/>
  <c r="I179" i="6"/>
  <c r="P175" i="6"/>
  <c r="K179" i="6"/>
  <c r="F180" i="6"/>
  <c r="F181" i="6" s="1"/>
  <c r="N180" i="6"/>
  <c r="D179" i="6"/>
  <c r="D180" i="6" s="1"/>
  <c r="L179" i="6"/>
  <c r="G180" i="6"/>
  <c r="O180" i="6"/>
  <c r="E179" i="6"/>
  <c r="M179" i="6"/>
  <c r="M180" i="6" s="1"/>
  <c r="H181" i="6"/>
  <c r="H182" i="6" s="1"/>
  <c r="I129" i="6"/>
  <c r="I133" i="6" s="1"/>
  <c r="I134" i="6" s="1"/>
  <c r="I135" i="6" s="1"/>
  <c r="I136" i="6" s="1"/>
  <c r="I137" i="6" s="1"/>
  <c r="K129" i="6"/>
  <c r="H143" i="6"/>
  <c r="L101" i="6"/>
  <c r="J129" i="6"/>
  <c r="O143" i="6"/>
  <c r="G143" i="6"/>
  <c r="D129" i="6"/>
  <c r="H129" i="6"/>
  <c r="O129" i="6"/>
  <c r="G129" i="6"/>
  <c r="L143" i="6"/>
  <c r="E109" i="4"/>
  <c r="E120" i="4" s="1"/>
  <c r="N129" i="6"/>
  <c r="N133" i="6" s="1"/>
  <c r="N134" i="6" s="1"/>
  <c r="F129" i="6"/>
  <c r="K143" i="6"/>
  <c r="M129" i="6"/>
  <c r="E129" i="6"/>
  <c r="J143" i="6"/>
  <c r="J147" i="6" s="1"/>
  <c r="E141" i="4"/>
  <c r="E155" i="4" s="1"/>
  <c r="L129" i="6"/>
  <c r="O38" i="3"/>
  <c r="E49" i="3"/>
  <c r="E48" i="3"/>
  <c r="E44" i="3"/>
  <c r="O48" i="4"/>
  <c r="N101" i="6"/>
  <c r="E45" i="4"/>
  <c r="M101" i="6"/>
  <c r="J101" i="6"/>
  <c r="G101" i="6"/>
  <c r="K101" i="6"/>
  <c r="F101" i="6"/>
  <c r="E101" i="6"/>
  <c r="I101" i="6"/>
  <c r="O101" i="6"/>
  <c r="D101" i="6"/>
  <c r="P102" i="6"/>
  <c r="E91" i="1"/>
  <c r="E92" i="1"/>
  <c r="K71" i="6"/>
  <c r="K72" i="6" s="1"/>
  <c r="L71" i="6"/>
  <c r="L72" i="6" s="1"/>
  <c r="E71" i="6"/>
  <c r="M71" i="6"/>
  <c r="E83" i="1"/>
  <c r="F71" i="6"/>
  <c r="N71" i="6"/>
  <c r="I72" i="6"/>
  <c r="I73" i="6" s="1"/>
  <c r="I74" i="6" s="1"/>
  <c r="E86" i="1"/>
  <c r="G71" i="6"/>
  <c r="O71" i="6"/>
  <c r="J72" i="6"/>
  <c r="J73" i="6" s="1"/>
  <c r="E87" i="1"/>
  <c r="H71" i="6"/>
  <c r="H72" i="6" s="1"/>
  <c r="O136" i="1"/>
  <c r="E52" i="1"/>
  <c r="E55" i="1"/>
  <c r="E56" i="1"/>
  <c r="M56" i="1" s="1"/>
  <c r="E57" i="1"/>
  <c r="K57" i="1" s="1"/>
  <c r="E60" i="1"/>
  <c r="M60" i="1" s="1"/>
  <c r="E61" i="1"/>
  <c r="M61" i="1" s="1"/>
  <c r="O45" i="1"/>
  <c r="H27" i="6"/>
  <c r="K28" i="6"/>
  <c r="K29" i="6" s="1"/>
  <c r="K30" i="6" s="1"/>
  <c r="F29" i="6"/>
  <c r="F30" i="6" s="1"/>
  <c r="N29" i="6"/>
  <c r="N30" i="6" s="1"/>
  <c r="I27" i="6"/>
  <c r="D28" i="6"/>
  <c r="D29" i="6" s="1"/>
  <c r="L28" i="6"/>
  <c r="L29" i="6" s="1"/>
  <c r="G29" i="6"/>
  <c r="G30" i="6" s="1"/>
  <c r="O29" i="6"/>
  <c r="O30" i="6" s="1"/>
  <c r="J27" i="6"/>
  <c r="E28" i="6"/>
  <c r="E29" i="6" s="1"/>
  <c r="E30" i="6" s="1"/>
  <c r="E31" i="6" s="1"/>
  <c r="M28" i="6"/>
  <c r="M29" i="6" s="1"/>
  <c r="M30" i="6" s="1"/>
  <c r="P23" i="6"/>
  <c r="P50" i="6"/>
  <c r="P11" i="6"/>
  <c r="P9" i="6"/>
  <c r="E90" i="3" l="1"/>
  <c r="L218" i="6"/>
  <c r="E94" i="3"/>
  <c r="M94" i="3" s="1"/>
  <c r="K117" i="3"/>
  <c r="O117" i="3" s="1"/>
  <c r="E95" i="3"/>
  <c r="M95" i="3" s="1"/>
  <c r="K218" i="6"/>
  <c r="K219" i="6" s="1"/>
  <c r="M218" i="6"/>
  <c r="M219" i="6" s="1"/>
  <c r="M220" i="6" s="1"/>
  <c r="M221" i="6" s="1"/>
  <c r="E116" i="3"/>
  <c r="E118" i="3"/>
  <c r="K118" i="3" s="1"/>
  <c r="D205" i="6"/>
  <c r="D206" i="6" s="1"/>
  <c r="D207" i="6" s="1"/>
  <c r="E113" i="3"/>
  <c r="O205" i="6"/>
  <c r="O206" i="6" s="1"/>
  <c r="O207" i="6" s="1"/>
  <c r="P213" i="6"/>
  <c r="K205" i="6"/>
  <c r="K206" i="6" s="1"/>
  <c r="E205" i="6"/>
  <c r="E206" i="6" s="1"/>
  <c r="E207" i="6" s="1"/>
  <c r="E208" i="6" s="1"/>
  <c r="L205" i="6"/>
  <c r="L206" i="6" s="1"/>
  <c r="L207" i="6" s="1"/>
  <c r="K120" i="9"/>
  <c r="M120" i="9"/>
  <c r="M114" i="9"/>
  <c r="K114" i="9"/>
  <c r="K124" i="9"/>
  <c r="M124" i="9"/>
  <c r="K117" i="9"/>
  <c r="M117" i="9"/>
  <c r="P200" i="6"/>
  <c r="M206" i="6"/>
  <c r="M207" i="6" s="1"/>
  <c r="M208" i="6" s="1"/>
  <c r="K121" i="9"/>
  <c r="M121" i="9"/>
  <c r="E151" i="9"/>
  <c r="E150" i="9"/>
  <c r="E154" i="9"/>
  <c r="E144" i="9"/>
  <c r="E147" i="9"/>
  <c r="G220" i="6"/>
  <c r="G221" i="6" s="1"/>
  <c r="O217" i="6"/>
  <c r="O218" i="6" s="1"/>
  <c r="O219" i="6" s="1"/>
  <c r="O220" i="6" s="1"/>
  <c r="E61" i="9"/>
  <c r="E57" i="9"/>
  <c r="E54" i="9"/>
  <c r="E64" i="9"/>
  <c r="E60" i="9"/>
  <c r="E166" i="4"/>
  <c r="E134" i="4"/>
  <c r="E56" i="4"/>
  <c r="E70" i="4"/>
  <c r="E102" i="4"/>
  <c r="E59" i="4"/>
  <c r="A21" i="3"/>
  <c r="A22" i="3" s="1"/>
  <c r="A23" i="1"/>
  <c r="E63" i="4"/>
  <c r="E62" i="4"/>
  <c r="A21" i="4"/>
  <c r="K94" i="3"/>
  <c r="H219" i="6"/>
  <c r="H220" i="6" s="1"/>
  <c r="I219" i="6"/>
  <c r="I220" i="6" s="1"/>
  <c r="I221" i="6" s="1"/>
  <c r="P204" i="6"/>
  <c r="E85" i="3" s="1"/>
  <c r="E219" i="6"/>
  <c r="E220" i="6" s="1"/>
  <c r="L219" i="6"/>
  <c r="L220" i="6" s="1"/>
  <c r="J219" i="6"/>
  <c r="J220" i="6" s="1"/>
  <c r="N218" i="6"/>
  <c r="N219" i="6" s="1"/>
  <c r="F220" i="6"/>
  <c r="F221" i="6" s="1"/>
  <c r="D221" i="6"/>
  <c r="H205" i="6"/>
  <c r="H206" i="6" s="1"/>
  <c r="H207" i="6" s="1"/>
  <c r="I205" i="6"/>
  <c r="I206" i="6" s="1"/>
  <c r="G205" i="6"/>
  <c r="G206" i="6" s="1"/>
  <c r="N205" i="6"/>
  <c r="N206" i="6" s="1"/>
  <c r="F205" i="6"/>
  <c r="F206" i="6" s="1"/>
  <c r="J206" i="6"/>
  <c r="J207" i="6" s="1"/>
  <c r="J208" i="6" s="1"/>
  <c r="E126" i="4"/>
  <c r="M126" i="4" s="1"/>
  <c r="E123" i="4"/>
  <c r="E66" i="4"/>
  <c r="M66" i="4" s="1"/>
  <c r="M48" i="3"/>
  <c r="K48" i="3"/>
  <c r="M49" i="3"/>
  <c r="K49" i="3"/>
  <c r="J180" i="6"/>
  <c r="N181" i="6"/>
  <c r="N182" i="6" s="1"/>
  <c r="K180" i="6"/>
  <c r="F182" i="6"/>
  <c r="O181" i="6"/>
  <c r="O182" i="6" s="1"/>
  <c r="M181" i="6"/>
  <c r="M182" i="6" s="1"/>
  <c r="G181" i="6"/>
  <c r="G182" i="6" s="1"/>
  <c r="D181" i="6"/>
  <c r="I180" i="6"/>
  <c r="I181" i="6" s="1"/>
  <c r="E180" i="6"/>
  <c r="E181" i="6" s="1"/>
  <c r="P179" i="6"/>
  <c r="E40" i="3" s="1"/>
  <c r="L180" i="6"/>
  <c r="L181" i="6" s="1"/>
  <c r="E158" i="4"/>
  <c r="E162" i="4"/>
  <c r="E159" i="4"/>
  <c r="E152" i="4"/>
  <c r="E127" i="4"/>
  <c r="E130" i="4"/>
  <c r="N147" i="6"/>
  <c r="N148" i="6" s="1"/>
  <c r="D147" i="6"/>
  <c r="P143" i="6"/>
  <c r="F147" i="6"/>
  <c r="F148" i="6" s="1"/>
  <c r="L147" i="6"/>
  <c r="O147" i="6"/>
  <c r="K147" i="6"/>
  <c r="K148" i="6" s="1"/>
  <c r="K149" i="6" s="1"/>
  <c r="K150" i="6" s="1"/>
  <c r="K151" i="6" s="1"/>
  <c r="G147" i="6"/>
  <c r="G148" i="6" s="1"/>
  <c r="M147" i="6"/>
  <c r="M148" i="6" s="1"/>
  <c r="M149" i="6" s="1"/>
  <c r="M150" i="6" s="1"/>
  <c r="M151" i="6" s="1"/>
  <c r="E147" i="6"/>
  <c r="I149" i="6"/>
  <c r="I150" i="6" s="1"/>
  <c r="I151" i="6" s="1"/>
  <c r="J148" i="6"/>
  <c r="J149" i="6" s="1"/>
  <c r="J150" i="6" s="1"/>
  <c r="J151" i="6" s="1"/>
  <c r="H147" i="6"/>
  <c r="H148" i="6" s="1"/>
  <c r="H149" i="6" s="1"/>
  <c r="H150" i="6" s="1"/>
  <c r="H151" i="6" s="1"/>
  <c r="L133" i="6"/>
  <c r="F133" i="6"/>
  <c r="P129" i="6"/>
  <c r="D133" i="6"/>
  <c r="J133" i="6"/>
  <c r="I138" i="6"/>
  <c r="H133" i="6"/>
  <c r="O133" i="6"/>
  <c r="M133" i="6"/>
  <c r="M134" i="6" s="1"/>
  <c r="M135" i="6" s="1"/>
  <c r="M136" i="6" s="1"/>
  <c r="M137" i="6" s="1"/>
  <c r="G133" i="6"/>
  <c r="G134" i="6" s="1"/>
  <c r="G135" i="6" s="1"/>
  <c r="G136" i="6" s="1"/>
  <c r="G137" i="6" s="1"/>
  <c r="E133" i="6"/>
  <c r="K133" i="6"/>
  <c r="N135" i="6"/>
  <c r="N136" i="6" s="1"/>
  <c r="N137" i="6" s="1"/>
  <c r="E10" i="6"/>
  <c r="E14" i="6" s="1"/>
  <c r="D10" i="6"/>
  <c r="E51" i="6"/>
  <c r="E55" i="6" s="1"/>
  <c r="M51" i="6"/>
  <c r="M55" i="6" s="1"/>
  <c r="F51" i="6"/>
  <c r="F55" i="6" s="1"/>
  <c r="N51" i="6"/>
  <c r="N55" i="6" s="1"/>
  <c r="J51" i="6"/>
  <c r="J55" i="6" s="1"/>
  <c r="J56" i="6" s="1"/>
  <c r="J57" i="6" s="1"/>
  <c r="G51" i="6"/>
  <c r="G55" i="6" s="1"/>
  <c r="O51" i="6"/>
  <c r="O55" i="6" s="1"/>
  <c r="H51" i="6"/>
  <c r="H55" i="6" s="1"/>
  <c r="D51" i="6"/>
  <c r="I51" i="6"/>
  <c r="I55" i="6" s="1"/>
  <c r="K51" i="6"/>
  <c r="K55" i="6" s="1"/>
  <c r="K56" i="6" s="1"/>
  <c r="L51" i="6"/>
  <c r="L55" i="6" s="1"/>
  <c r="L56" i="6" s="1"/>
  <c r="J76" i="6"/>
  <c r="M72" i="6"/>
  <c r="O72" i="6"/>
  <c r="O73" i="6" s="1"/>
  <c r="O76" i="6" s="1"/>
  <c r="E72" i="6"/>
  <c r="E73" i="6" s="1"/>
  <c r="G72" i="6"/>
  <c r="G73" i="6" s="1"/>
  <c r="H73" i="6"/>
  <c r="H76" i="6" s="1"/>
  <c r="L73" i="6"/>
  <c r="L74" i="6" s="1"/>
  <c r="N72" i="6"/>
  <c r="N73" i="6" s="1"/>
  <c r="J74" i="6"/>
  <c r="J75" i="6" s="1"/>
  <c r="F72" i="6"/>
  <c r="F73" i="6" s="1"/>
  <c r="F76" i="6" s="1"/>
  <c r="I76" i="6"/>
  <c r="I75" i="6"/>
  <c r="K73" i="6"/>
  <c r="K76" i="6" s="1"/>
  <c r="K56" i="1"/>
  <c r="O56" i="1" s="1"/>
  <c r="Q56" i="1" s="1"/>
  <c r="S56" i="1" s="1"/>
  <c r="M57" i="1"/>
  <c r="O57" i="1" s="1"/>
  <c r="Q57" i="1" s="1"/>
  <c r="S57" i="1" s="1"/>
  <c r="K60" i="1"/>
  <c r="O60" i="1" s="1"/>
  <c r="K61" i="1"/>
  <c r="O61" i="1" s="1"/>
  <c r="P27" i="6"/>
  <c r="E47" i="1" s="1"/>
  <c r="G31" i="6"/>
  <c r="L30" i="6"/>
  <c r="L31" i="6" s="1"/>
  <c r="D30" i="6"/>
  <c r="M31" i="6"/>
  <c r="J28" i="6"/>
  <c r="J29" i="6" s="1"/>
  <c r="J30" i="6" s="1"/>
  <c r="N31" i="6"/>
  <c r="O31" i="6"/>
  <c r="F31" i="6"/>
  <c r="K31" i="6"/>
  <c r="H28" i="6"/>
  <c r="H29" i="6" s="1"/>
  <c r="H30" i="6" s="1"/>
  <c r="I28" i="6"/>
  <c r="I29" i="6" s="1"/>
  <c r="I30" i="6" s="1"/>
  <c r="E102" i="1"/>
  <c r="E13" i="1"/>
  <c r="L10" i="6"/>
  <c r="J10" i="6"/>
  <c r="I10" i="6"/>
  <c r="H10" i="6"/>
  <c r="K10" i="6"/>
  <c r="O10" i="6"/>
  <c r="G10" i="6"/>
  <c r="N10" i="6"/>
  <c r="F10" i="6"/>
  <c r="M10" i="6"/>
  <c r="G115" i="6"/>
  <c r="P116" i="6"/>
  <c r="P86" i="6"/>
  <c r="E13" i="9" s="1"/>
  <c r="P88" i="6"/>
  <c r="K95" i="3" l="1"/>
  <c r="K220" i="6"/>
  <c r="K221" i="6" s="1"/>
  <c r="O208" i="6"/>
  <c r="O124" i="9"/>
  <c r="Q124" i="9" s="1"/>
  <c r="S124" i="9" s="1"/>
  <c r="M118" i="3"/>
  <c r="O118" i="3" s="1"/>
  <c r="O117" i="9"/>
  <c r="Q117" i="9" s="1"/>
  <c r="S117" i="9" s="1"/>
  <c r="K207" i="6"/>
  <c r="K208" i="6" s="1"/>
  <c r="L208" i="6"/>
  <c r="O221" i="6"/>
  <c r="K151" i="9"/>
  <c r="M151" i="9"/>
  <c r="O121" i="9"/>
  <c r="K60" i="9"/>
  <c r="M60" i="9"/>
  <c r="J221" i="6"/>
  <c r="M147" i="9"/>
  <c r="K147" i="9"/>
  <c r="P217" i="6"/>
  <c r="E108" i="3" s="1"/>
  <c r="M54" i="9"/>
  <c r="K54" i="9"/>
  <c r="K144" i="9"/>
  <c r="M144" i="9"/>
  <c r="O114" i="9"/>
  <c r="M64" i="9"/>
  <c r="K64" i="9"/>
  <c r="K57" i="9"/>
  <c r="M57" i="9"/>
  <c r="M154" i="9"/>
  <c r="K154" i="9"/>
  <c r="M122" i="9"/>
  <c r="O120" i="9"/>
  <c r="E24" i="9"/>
  <c r="E31" i="9"/>
  <c r="E30" i="9"/>
  <c r="E27" i="9"/>
  <c r="E34" i="9"/>
  <c r="M85" i="3"/>
  <c r="K85" i="3"/>
  <c r="K61" i="9"/>
  <c r="M61" i="9"/>
  <c r="M150" i="9"/>
  <c r="K150" i="9"/>
  <c r="K122" i="9"/>
  <c r="A23" i="3"/>
  <c r="M166" i="4"/>
  <c r="K166" i="4"/>
  <c r="M134" i="4"/>
  <c r="K134" i="4"/>
  <c r="M102" i="4"/>
  <c r="K102" i="4"/>
  <c r="A24" i="1"/>
  <c r="K126" i="4"/>
  <c r="O126" i="4" s="1"/>
  <c r="A22" i="4"/>
  <c r="H221" i="6"/>
  <c r="G207" i="6"/>
  <c r="G208" i="6" s="1"/>
  <c r="E221" i="6"/>
  <c r="P219" i="6"/>
  <c r="E110" i="3" s="1"/>
  <c r="N220" i="6"/>
  <c r="P218" i="6"/>
  <c r="E109" i="3" s="1"/>
  <c r="L221" i="6"/>
  <c r="N207" i="6"/>
  <c r="N208" i="6" s="1"/>
  <c r="H208" i="6"/>
  <c r="P206" i="6"/>
  <c r="E87" i="3" s="1"/>
  <c r="I207" i="6"/>
  <c r="I208" i="6" s="1"/>
  <c r="F207" i="6"/>
  <c r="F208" i="6" s="1"/>
  <c r="P205" i="6"/>
  <c r="E86" i="3" s="1"/>
  <c r="D208" i="6"/>
  <c r="J181" i="6"/>
  <c r="J182" i="6" s="1"/>
  <c r="M40" i="3"/>
  <c r="K40" i="3"/>
  <c r="I182" i="6"/>
  <c r="O48" i="3"/>
  <c r="E182" i="6"/>
  <c r="K181" i="6"/>
  <c r="K182" i="6" s="1"/>
  <c r="L182" i="6"/>
  <c r="D182" i="6"/>
  <c r="P180" i="6"/>
  <c r="E41" i="3" s="1"/>
  <c r="M158" i="4"/>
  <c r="K158" i="4"/>
  <c r="M159" i="4"/>
  <c r="K159" i="4"/>
  <c r="M162" i="4"/>
  <c r="K162" i="4"/>
  <c r="M130" i="4"/>
  <c r="K130" i="4"/>
  <c r="K57" i="6"/>
  <c r="K58" i="6" s="1"/>
  <c r="K59" i="6" s="1"/>
  <c r="M127" i="4"/>
  <c r="K127" i="4"/>
  <c r="J58" i="6"/>
  <c r="J59" i="6" s="1"/>
  <c r="P147" i="6"/>
  <c r="E138" i="9" s="1"/>
  <c r="D148" i="6"/>
  <c r="F149" i="6"/>
  <c r="F150" i="6" s="1"/>
  <c r="F151" i="6" s="1"/>
  <c r="H152" i="6"/>
  <c r="L148" i="6"/>
  <c r="L149" i="6" s="1"/>
  <c r="L150" i="6" s="1"/>
  <c r="L151" i="6" s="1"/>
  <c r="G149" i="6"/>
  <c r="G150" i="6" s="1"/>
  <c r="G151" i="6" s="1"/>
  <c r="J152" i="6"/>
  <c r="N149" i="6"/>
  <c r="N150" i="6" s="1"/>
  <c r="N151" i="6" s="1"/>
  <c r="O148" i="6"/>
  <c r="N138" i="6"/>
  <c r="E148" i="6"/>
  <c r="E149" i="6" s="1"/>
  <c r="E150" i="6" s="1"/>
  <c r="E151" i="6" s="1"/>
  <c r="M152" i="6"/>
  <c r="K152" i="6"/>
  <c r="I152" i="6"/>
  <c r="P133" i="6"/>
  <c r="E108" i="9" s="1"/>
  <c r="M138" i="6"/>
  <c r="H74" i="6"/>
  <c r="H75" i="6" s="1"/>
  <c r="H134" i="6"/>
  <c r="J134" i="6"/>
  <c r="J135" i="6" s="1"/>
  <c r="J136" i="6" s="1"/>
  <c r="J137" i="6" s="1"/>
  <c r="D134" i="6"/>
  <c r="D135" i="6" s="1"/>
  <c r="K134" i="6"/>
  <c r="L57" i="6"/>
  <c r="L58" i="6" s="1"/>
  <c r="E134" i="6"/>
  <c r="G138" i="6"/>
  <c r="O134" i="6"/>
  <c r="O135" i="6" s="1"/>
  <c r="F134" i="6"/>
  <c r="F135" i="6" s="1"/>
  <c r="F136" i="6" s="1"/>
  <c r="F137" i="6" s="1"/>
  <c r="L134" i="6"/>
  <c r="L135" i="6" s="1"/>
  <c r="L136" i="6" s="1"/>
  <c r="L137" i="6" s="1"/>
  <c r="I87" i="6"/>
  <c r="I91" i="6" s="1"/>
  <c r="G76" i="6"/>
  <c r="L76" i="6"/>
  <c r="F74" i="6"/>
  <c r="F75" i="6" s="1"/>
  <c r="K74" i="6"/>
  <c r="K75" i="6" s="1"/>
  <c r="M73" i="6"/>
  <c r="M76" i="6" s="1"/>
  <c r="O74" i="6"/>
  <c r="O75" i="6" s="1"/>
  <c r="E74" i="6"/>
  <c r="E75" i="6" s="1"/>
  <c r="N74" i="6"/>
  <c r="N75" i="6" s="1"/>
  <c r="G74" i="6"/>
  <c r="G75" i="6" s="1"/>
  <c r="N76" i="6"/>
  <c r="E76" i="6"/>
  <c r="L75" i="6"/>
  <c r="M47" i="1"/>
  <c r="K47" i="1"/>
  <c r="P30" i="6"/>
  <c r="E50" i="1" s="1"/>
  <c r="J31" i="6"/>
  <c r="P29" i="6"/>
  <c r="E49" i="1" s="1"/>
  <c r="P28" i="6"/>
  <c r="E48" i="1" s="1"/>
  <c r="I31" i="6"/>
  <c r="H31" i="6"/>
  <c r="D31" i="6"/>
  <c r="O14" i="6"/>
  <c r="O15" i="6" s="1"/>
  <c r="O16" i="6" s="1"/>
  <c r="O17" i="6" s="1"/>
  <c r="N56" i="6"/>
  <c r="H56" i="6"/>
  <c r="O56" i="6"/>
  <c r="G56" i="6"/>
  <c r="I56" i="6"/>
  <c r="M56" i="6"/>
  <c r="F56" i="6"/>
  <c r="E56" i="6"/>
  <c r="L87" i="6"/>
  <c r="L91" i="6" s="1"/>
  <c r="L92" i="6" s="1"/>
  <c r="L93" i="6" s="1"/>
  <c r="L94" i="6" s="1"/>
  <c r="L95" i="6" s="1"/>
  <c r="G87" i="6"/>
  <c r="G91" i="6" s="1"/>
  <c r="O87" i="6"/>
  <c r="O91" i="6" s="1"/>
  <c r="K87" i="6"/>
  <c r="K91" i="6" s="1"/>
  <c r="K92" i="6" s="1"/>
  <c r="M14" i="6"/>
  <c r="M15" i="6" s="1"/>
  <c r="M16" i="6" s="1"/>
  <c r="M17" i="6" s="1"/>
  <c r="J14" i="6"/>
  <c r="D115" i="6"/>
  <c r="D119" i="6" s="1"/>
  <c r="D120" i="6" s="1"/>
  <c r="L14" i="6"/>
  <c r="N115" i="6"/>
  <c r="N119" i="6" s="1"/>
  <c r="N14" i="6"/>
  <c r="N15" i="6" s="1"/>
  <c r="N16" i="6" s="1"/>
  <c r="N17" i="6" s="1"/>
  <c r="D14" i="6"/>
  <c r="J87" i="6"/>
  <c r="J91" i="6" s="1"/>
  <c r="M115" i="6"/>
  <c r="M119" i="6" s="1"/>
  <c r="F14" i="6"/>
  <c r="F15" i="6" s="1"/>
  <c r="F16" i="6" s="1"/>
  <c r="F17" i="6" s="1"/>
  <c r="G14" i="6"/>
  <c r="G15" i="6" s="1"/>
  <c r="H87" i="6"/>
  <c r="H91" i="6" s="1"/>
  <c r="J115" i="6"/>
  <c r="J119" i="6" s="1"/>
  <c r="H115" i="6"/>
  <c r="H119" i="6" s="1"/>
  <c r="E13" i="4"/>
  <c r="F115" i="6"/>
  <c r="F119" i="6" s="1"/>
  <c r="K14" i="6"/>
  <c r="K15" i="6" s="1"/>
  <c r="K16" i="6" s="1"/>
  <c r="K17" i="6" s="1"/>
  <c r="H14" i="6"/>
  <c r="H15" i="6" s="1"/>
  <c r="H16" i="6" s="1"/>
  <c r="H17" i="6" s="1"/>
  <c r="D87" i="6"/>
  <c r="D91" i="6" s="1"/>
  <c r="E115" i="6"/>
  <c r="E119" i="6" s="1"/>
  <c r="P10" i="6"/>
  <c r="I14" i="6"/>
  <c r="I15" i="6" s="1"/>
  <c r="I16" i="6" s="1"/>
  <c r="I17" i="6" s="1"/>
  <c r="F87" i="6"/>
  <c r="F91" i="6" s="1"/>
  <c r="L115" i="6"/>
  <c r="L119" i="6" s="1"/>
  <c r="L120" i="6" s="1"/>
  <c r="N87" i="6"/>
  <c r="N91" i="6" s="1"/>
  <c r="M87" i="6"/>
  <c r="M91" i="6" s="1"/>
  <c r="E87" i="6"/>
  <c r="K115" i="6"/>
  <c r="K119" i="6" s="1"/>
  <c r="I115" i="6"/>
  <c r="I119" i="6" s="1"/>
  <c r="O115" i="6"/>
  <c r="O119" i="6" s="1"/>
  <c r="E15" i="6"/>
  <c r="G119" i="6"/>
  <c r="G120" i="6" s="1"/>
  <c r="P220" i="6" l="1"/>
  <c r="O61" i="9"/>
  <c r="I92" i="6"/>
  <c r="I93" i="6" s="1"/>
  <c r="I94" i="6" s="1"/>
  <c r="I95" i="6" s="1"/>
  <c r="I96" i="6" s="1"/>
  <c r="O144" i="9"/>
  <c r="O122" i="9"/>
  <c r="K62" i="9"/>
  <c r="O147" i="9"/>
  <c r="Q147" i="9" s="1"/>
  <c r="S147" i="9" s="1"/>
  <c r="O151" i="9"/>
  <c r="O154" i="9"/>
  <c r="Q154" i="9" s="1"/>
  <c r="S154" i="9" s="1"/>
  <c r="K152" i="9"/>
  <c r="M110" i="3"/>
  <c r="K110" i="3"/>
  <c r="K27" i="9"/>
  <c r="M27" i="9"/>
  <c r="O57" i="9"/>
  <c r="Q57" i="9" s="1"/>
  <c r="S57" i="9" s="1"/>
  <c r="O54" i="9"/>
  <c r="E111" i="3"/>
  <c r="K108" i="9"/>
  <c r="M108" i="9"/>
  <c r="M152" i="9"/>
  <c r="O150" i="9"/>
  <c r="M30" i="9"/>
  <c r="K30" i="9"/>
  <c r="M108" i="3"/>
  <c r="K108" i="3"/>
  <c r="O60" i="9"/>
  <c r="O62" i="9" s="1"/>
  <c r="M62" i="9"/>
  <c r="K87" i="3"/>
  <c r="M87" i="3"/>
  <c r="M31" i="9"/>
  <c r="K31" i="9"/>
  <c r="K24" i="9"/>
  <c r="M24" i="9"/>
  <c r="O64" i="9"/>
  <c r="Q64" i="9" s="1"/>
  <c r="S64" i="9" s="1"/>
  <c r="M86" i="3"/>
  <c r="K86" i="3"/>
  <c r="Q122" i="9"/>
  <c r="S122" i="9" s="1"/>
  <c r="M138" i="9"/>
  <c r="K138" i="9"/>
  <c r="K109" i="3"/>
  <c r="M109" i="3"/>
  <c r="M34" i="9"/>
  <c r="K34" i="9"/>
  <c r="O166" i="4"/>
  <c r="O162" i="4"/>
  <c r="Q162" i="4" s="1"/>
  <c r="O134" i="4"/>
  <c r="O102" i="4"/>
  <c r="A23" i="4"/>
  <c r="A24" i="4" s="1"/>
  <c r="K128" i="4"/>
  <c r="E38" i="4"/>
  <c r="O130" i="4"/>
  <c r="Q130" i="4" s="1"/>
  <c r="A25" i="3"/>
  <c r="A26" i="1"/>
  <c r="N221" i="6"/>
  <c r="P221" i="6"/>
  <c r="P207" i="6"/>
  <c r="K41" i="3"/>
  <c r="M41" i="3"/>
  <c r="P181" i="6"/>
  <c r="E42" i="3" s="1"/>
  <c r="O127" i="4"/>
  <c r="O128" i="4" s="1"/>
  <c r="M128" i="4"/>
  <c r="E114" i="4"/>
  <c r="O159" i="4"/>
  <c r="O158" i="4"/>
  <c r="K160" i="4"/>
  <c r="E146" i="4"/>
  <c r="J60" i="6"/>
  <c r="M160" i="4"/>
  <c r="F138" i="6"/>
  <c r="H135" i="6"/>
  <c r="H136" i="6" s="1"/>
  <c r="H137" i="6" s="1"/>
  <c r="O149" i="6"/>
  <c r="O150" i="6" s="1"/>
  <c r="O151" i="6" s="1"/>
  <c r="P148" i="6"/>
  <c r="E139" i="9" s="1"/>
  <c r="F152" i="6"/>
  <c r="N152" i="6"/>
  <c r="L152" i="6"/>
  <c r="E135" i="6"/>
  <c r="E136" i="6" s="1"/>
  <c r="E137" i="6" s="1"/>
  <c r="D149" i="6"/>
  <c r="G152" i="6"/>
  <c r="E152" i="6"/>
  <c r="O136" i="6"/>
  <c r="O137" i="6" s="1"/>
  <c r="K135" i="6"/>
  <c r="K136" i="6" s="1"/>
  <c r="K137" i="6" s="1"/>
  <c r="L138" i="6"/>
  <c r="D136" i="6"/>
  <c r="P134" i="6"/>
  <c r="E109" i="9" s="1"/>
  <c r="J138" i="6"/>
  <c r="H120" i="6"/>
  <c r="H121" i="6" s="1"/>
  <c r="H122" i="6" s="1"/>
  <c r="H123" i="6" s="1"/>
  <c r="P101" i="6"/>
  <c r="D105" i="6"/>
  <c r="I105" i="6"/>
  <c r="L105" i="6"/>
  <c r="K105" i="6"/>
  <c r="G105" i="6"/>
  <c r="G106" i="6" s="1"/>
  <c r="E105" i="6"/>
  <c r="E106" i="6" s="1"/>
  <c r="O105" i="6"/>
  <c r="M105" i="6"/>
  <c r="M106" i="6" s="1"/>
  <c r="H105" i="6"/>
  <c r="F105" i="6"/>
  <c r="F106" i="6" s="1"/>
  <c r="J105" i="6"/>
  <c r="N105" i="6"/>
  <c r="M74" i="6"/>
  <c r="M87" i="1"/>
  <c r="K87" i="1"/>
  <c r="K91" i="1"/>
  <c r="M91" i="1"/>
  <c r="M88" i="1"/>
  <c r="K88" i="1"/>
  <c r="K92" i="1"/>
  <c r="M92" i="1"/>
  <c r="M150" i="1"/>
  <c r="K150" i="1"/>
  <c r="M153" i="1"/>
  <c r="K153" i="1"/>
  <c r="M149" i="1"/>
  <c r="K149" i="1"/>
  <c r="M154" i="1"/>
  <c r="K154" i="1"/>
  <c r="K48" i="1"/>
  <c r="M48" i="1"/>
  <c r="E51" i="1"/>
  <c r="K50" i="1"/>
  <c r="M50" i="1"/>
  <c r="K49" i="1"/>
  <c r="M49" i="1"/>
  <c r="O47" i="1"/>
  <c r="P31" i="6"/>
  <c r="K60" i="6"/>
  <c r="D121" i="6"/>
  <c r="D122" i="6" s="1"/>
  <c r="I57" i="6"/>
  <c r="I58" i="6" s="1"/>
  <c r="I59" i="6" s="1"/>
  <c r="P14" i="6"/>
  <c r="G57" i="6"/>
  <c r="G58" i="6" s="1"/>
  <c r="L59" i="6"/>
  <c r="L60" i="6" s="1"/>
  <c r="O57" i="6"/>
  <c r="O58" i="6" s="1"/>
  <c r="N57" i="6"/>
  <c r="N58" i="6" s="1"/>
  <c r="L121" i="6"/>
  <c r="L122" i="6" s="1"/>
  <c r="L123" i="6" s="1"/>
  <c r="H57" i="6"/>
  <c r="H58" i="6" s="1"/>
  <c r="E57" i="6"/>
  <c r="F57" i="6"/>
  <c r="M57" i="6"/>
  <c r="I18" i="6"/>
  <c r="P87" i="6"/>
  <c r="J120" i="6"/>
  <c r="J121" i="6" s="1"/>
  <c r="J122" i="6" s="1"/>
  <c r="J123" i="6" s="1"/>
  <c r="J92" i="6"/>
  <c r="J93" i="6" s="1"/>
  <c r="J94" i="6" s="1"/>
  <c r="J95" i="6" s="1"/>
  <c r="J96" i="6" s="1"/>
  <c r="J15" i="6"/>
  <c r="H92" i="6"/>
  <c r="H93" i="6" s="1"/>
  <c r="H94" i="6" s="1"/>
  <c r="H95" i="6" s="1"/>
  <c r="F120" i="6"/>
  <c r="F121" i="6" s="1"/>
  <c r="F122" i="6" s="1"/>
  <c r="F123" i="6" s="1"/>
  <c r="G16" i="6"/>
  <c r="G17" i="6" s="1"/>
  <c r="L15" i="6"/>
  <c r="L16" i="6" s="1"/>
  <c r="L17" i="6" s="1"/>
  <c r="E91" i="6"/>
  <c r="P91" i="6" s="1"/>
  <c r="E18" i="9" s="1"/>
  <c r="D15" i="6"/>
  <c r="D16" i="6" s="1"/>
  <c r="D17" i="6" s="1"/>
  <c r="I120" i="6"/>
  <c r="I121" i="6" s="1"/>
  <c r="I122" i="6" s="1"/>
  <c r="I123" i="6" s="1"/>
  <c r="P115" i="6"/>
  <c r="N18" i="6"/>
  <c r="H18" i="6"/>
  <c r="O18" i="6"/>
  <c r="M18" i="6"/>
  <c r="K18" i="6"/>
  <c r="F18" i="6"/>
  <c r="E16" i="6"/>
  <c r="E17" i="6" s="1"/>
  <c r="P119" i="6"/>
  <c r="E78" i="9" s="1"/>
  <c r="K120" i="6"/>
  <c r="K121" i="6" s="1"/>
  <c r="G121" i="6"/>
  <c r="G122" i="6" s="1"/>
  <c r="G123" i="6" s="1"/>
  <c r="M120" i="6"/>
  <c r="M121" i="6" s="1"/>
  <c r="M122" i="6" s="1"/>
  <c r="M123" i="6" s="1"/>
  <c r="E120" i="6"/>
  <c r="O120" i="6"/>
  <c r="O121" i="6" s="1"/>
  <c r="O122" i="6" s="1"/>
  <c r="O123" i="6" s="1"/>
  <c r="N120" i="6"/>
  <c r="N121" i="6" s="1"/>
  <c r="N122" i="6" s="1"/>
  <c r="N123" i="6" s="1"/>
  <c r="O92" i="6"/>
  <c r="O93" i="6" s="1"/>
  <c r="O94" i="6" s="1"/>
  <c r="O95" i="6" s="1"/>
  <c r="G92" i="6"/>
  <c r="N92" i="6"/>
  <c r="N93" i="6" s="1"/>
  <c r="N94" i="6" s="1"/>
  <c r="N95" i="6" s="1"/>
  <c r="D92" i="6"/>
  <c r="D93" i="6" s="1"/>
  <c r="K93" i="6"/>
  <c r="K94" i="6" s="1"/>
  <c r="K95" i="6" s="1"/>
  <c r="M92" i="6"/>
  <c r="M93" i="6" s="1"/>
  <c r="M94" i="6" s="1"/>
  <c r="M95" i="6" s="1"/>
  <c r="L96" i="6"/>
  <c r="F92" i="6"/>
  <c r="F93" i="6" s="1"/>
  <c r="F94" i="6" s="1"/>
  <c r="F95" i="6" s="1"/>
  <c r="O152" i="9" l="1"/>
  <c r="Q152" i="9" s="1"/>
  <c r="S152" i="9" s="1"/>
  <c r="Q62" i="9"/>
  <c r="S62" i="9" s="1"/>
  <c r="O109" i="3"/>
  <c r="O110" i="3"/>
  <c r="P182" i="6"/>
  <c r="O27" i="9"/>
  <c r="Q27" i="9" s="1"/>
  <c r="S27" i="9" s="1"/>
  <c r="O24" i="9"/>
  <c r="M139" i="9"/>
  <c r="K139" i="9"/>
  <c r="K78" i="9"/>
  <c r="M78" i="9"/>
  <c r="P208" i="6"/>
  <c r="E88" i="3"/>
  <c r="O34" i="9"/>
  <c r="Q34" i="9" s="1"/>
  <c r="S34" i="9" s="1"/>
  <c r="O31" i="9"/>
  <c r="K32" i="9"/>
  <c r="M32" i="9"/>
  <c r="O30" i="9"/>
  <c r="M111" i="3"/>
  <c r="M112" i="3" s="1"/>
  <c r="K111" i="3"/>
  <c r="M109" i="9"/>
  <c r="K109" i="9"/>
  <c r="O108" i="9"/>
  <c r="M18" i="9"/>
  <c r="K18" i="9"/>
  <c r="O138" i="9"/>
  <c r="E112" i="3"/>
  <c r="O108" i="3"/>
  <c r="M70" i="4"/>
  <c r="K70" i="4"/>
  <c r="Q128" i="4"/>
  <c r="S128" i="4" s="1"/>
  <c r="M38" i="4"/>
  <c r="K38" i="4"/>
  <c r="O88" i="1"/>
  <c r="Q88" i="1" s="1"/>
  <c r="S88" i="1" s="1"/>
  <c r="A26" i="3"/>
  <c r="A27" i="3" s="1"/>
  <c r="A27" i="1"/>
  <c r="A28" i="1" s="1"/>
  <c r="A29" i="1" s="1"/>
  <c r="A25" i="4"/>
  <c r="A27" i="4" s="1"/>
  <c r="O91" i="1"/>
  <c r="K42" i="3"/>
  <c r="M42" i="3"/>
  <c r="E43" i="3"/>
  <c r="O160" i="4"/>
  <c r="Q160" i="4" s="1"/>
  <c r="S160" i="4" s="1"/>
  <c r="E115" i="4"/>
  <c r="E147" i="4"/>
  <c r="K146" i="4"/>
  <c r="M146" i="4"/>
  <c r="P135" i="6"/>
  <c r="E110" i="9" s="1"/>
  <c r="P149" i="6"/>
  <c r="E140" i="9" s="1"/>
  <c r="D150" i="6"/>
  <c r="E138" i="6"/>
  <c r="H138" i="6"/>
  <c r="O138" i="6"/>
  <c r="O152" i="6"/>
  <c r="P136" i="6"/>
  <c r="E111" i="9" s="1"/>
  <c r="D137" i="6"/>
  <c r="P137" i="6" s="1"/>
  <c r="E112" i="9" s="1"/>
  <c r="K138" i="6"/>
  <c r="O92" i="1"/>
  <c r="M62" i="4"/>
  <c r="K62" i="4"/>
  <c r="P105" i="6"/>
  <c r="E48" i="9" s="1"/>
  <c r="F107" i="6"/>
  <c r="F108" i="6" s="1"/>
  <c r="F109" i="6" s="1"/>
  <c r="M107" i="6"/>
  <c r="M108" i="6" s="1"/>
  <c r="M109" i="6" s="1"/>
  <c r="L106" i="6"/>
  <c r="L107" i="6" s="1"/>
  <c r="L108" i="6" s="1"/>
  <c r="L109" i="6" s="1"/>
  <c r="G107" i="6"/>
  <c r="G108" i="6" s="1"/>
  <c r="G109" i="6" s="1"/>
  <c r="J106" i="6"/>
  <c r="J107" i="6" s="1"/>
  <c r="J108" i="6" s="1"/>
  <c r="J109" i="6" s="1"/>
  <c r="E107" i="6"/>
  <c r="E108" i="6" s="1"/>
  <c r="E109" i="6" s="1"/>
  <c r="M63" i="4"/>
  <c r="K63" i="4"/>
  <c r="N106" i="6"/>
  <c r="N107" i="6" s="1"/>
  <c r="N108" i="6" s="1"/>
  <c r="N109" i="6" s="1"/>
  <c r="H106" i="6"/>
  <c r="O106" i="6"/>
  <c r="O107" i="6" s="1"/>
  <c r="K66" i="4"/>
  <c r="O66" i="4" s="1"/>
  <c r="Q66" i="4" s="1"/>
  <c r="S66" i="4" s="1"/>
  <c r="K106" i="6"/>
  <c r="K107" i="6" s="1"/>
  <c r="I106" i="6"/>
  <c r="I107" i="6" s="1"/>
  <c r="I108" i="6" s="1"/>
  <c r="I109" i="6" s="1"/>
  <c r="D106" i="6"/>
  <c r="G18" i="6"/>
  <c r="M75" i="6"/>
  <c r="E18" i="1"/>
  <c r="O87" i="1"/>
  <c r="Q87" i="1" s="1"/>
  <c r="S87" i="1" s="1"/>
  <c r="K51" i="1"/>
  <c r="O150" i="1"/>
  <c r="Q150" i="1" s="1"/>
  <c r="S150" i="1" s="1"/>
  <c r="O149" i="1"/>
  <c r="Q149" i="1" s="1"/>
  <c r="S149" i="1" s="1"/>
  <c r="O153" i="1"/>
  <c r="O50" i="1"/>
  <c r="O154" i="1"/>
  <c r="O49" i="1"/>
  <c r="O48" i="1"/>
  <c r="M51" i="1"/>
  <c r="G59" i="6"/>
  <c r="G60" i="6" s="1"/>
  <c r="I60" i="6"/>
  <c r="E92" i="6"/>
  <c r="E93" i="6" s="1"/>
  <c r="E94" i="6" s="1"/>
  <c r="E95" i="6" s="1"/>
  <c r="N59" i="6"/>
  <c r="N60" i="6" s="1"/>
  <c r="M58" i="6"/>
  <c r="M59" i="6" s="1"/>
  <c r="O59" i="6"/>
  <c r="O60" i="6" s="1"/>
  <c r="F58" i="6"/>
  <c r="F59" i="6" s="1"/>
  <c r="F60" i="6" s="1"/>
  <c r="E58" i="6"/>
  <c r="E59" i="6" s="1"/>
  <c r="E60" i="6" s="1"/>
  <c r="H59" i="6"/>
  <c r="H60" i="6" s="1"/>
  <c r="J16" i="6"/>
  <c r="J17" i="6" s="1"/>
  <c r="H96" i="6"/>
  <c r="J124" i="6"/>
  <c r="F124" i="6"/>
  <c r="I124" i="6"/>
  <c r="P15" i="6"/>
  <c r="L18" i="6"/>
  <c r="E18" i="4"/>
  <c r="D18" i="6"/>
  <c r="K122" i="6"/>
  <c r="K123" i="6" s="1"/>
  <c r="G124" i="6"/>
  <c r="N124" i="6"/>
  <c r="O124" i="6"/>
  <c r="D123" i="6"/>
  <c r="M124" i="6"/>
  <c r="H124" i="6"/>
  <c r="E121" i="6"/>
  <c r="P120" i="6"/>
  <c r="E79" i="9" s="1"/>
  <c r="L124" i="6"/>
  <c r="M96" i="6"/>
  <c r="F96" i="6"/>
  <c r="D94" i="6"/>
  <c r="O96" i="6"/>
  <c r="K96" i="6"/>
  <c r="G93" i="6"/>
  <c r="G94" i="6" s="1"/>
  <c r="G95" i="6" s="1"/>
  <c r="N96" i="6"/>
  <c r="O32" i="9" l="1"/>
  <c r="Q32" i="9" s="1"/>
  <c r="S32" i="9" s="1"/>
  <c r="O109" i="9"/>
  <c r="M140" i="9"/>
  <c r="K140" i="9"/>
  <c r="O111" i="3"/>
  <c r="O112" i="3" s="1"/>
  <c r="K88" i="3"/>
  <c r="M88" i="3"/>
  <c r="E89" i="3"/>
  <c r="O18" i="9"/>
  <c r="M112" i="9"/>
  <c r="K112" i="9"/>
  <c r="M110" i="9"/>
  <c r="K110" i="9"/>
  <c r="M111" i="9"/>
  <c r="K111" i="9"/>
  <c r="E113" i="9"/>
  <c r="O78" i="9"/>
  <c r="K48" i="9"/>
  <c r="M48" i="9"/>
  <c r="K79" i="9"/>
  <c r="M79" i="9"/>
  <c r="K112" i="3"/>
  <c r="O139" i="9"/>
  <c r="O70" i="4"/>
  <c r="O63" i="4"/>
  <c r="O38" i="4"/>
  <c r="A31" i="1"/>
  <c r="A32" i="1" s="1"/>
  <c r="A34" i="1" s="1"/>
  <c r="A35" i="1" s="1"/>
  <c r="A37" i="1" s="1"/>
  <c r="A38" i="1" s="1"/>
  <c r="A28" i="3"/>
  <c r="A30" i="3" s="1"/>
  <c r="A31" i="3" s="1"/>
  <c r="A35" i="3" s="1"/>
  <c r="A38" i="3" s="1"/>
  <c r="A40" i="3" s="1"/>
  <c r="A41" i="3" s="1"/>
  <c r="A42" i="3" s="1"/>
  <c r="A43" i="3" s="1"/>
  <c r="A44" i="3" s="1"/>
  <c r="A45" i="3" s="1"/>
  <c r="A30" i="4"/>
  <c r="E116" i="4"/>
  <c r="E117" i="4"/>
  <c r="E50" i="4"/>
  <c r="K50" i="4" s="1"/>
  <c r="O146" i="4"/>
  <c r="M147" i="4"/>
  <c r="K147" i="4"/>
  <c r="E148" i="4"/>
  <c r="E118" i="4"/>
  <c r="P138" i="6"/>
  <c r="E110" i="6"/>
  <c r="P150" i="6"/>
  <c r="E141" i="9" s="1"/>
  <c r="D151" i="6"/>
  <c r="P151" i="6" s="1"/>
  <c r="E142" i="9" s="1"/>
  <c r="D138" i="6"/>
  <c r="M110" i="6"/>
  <c r="F110" i="6"/>
  <c r="M64" i="4"/>
  <c r="K64" i="4"/>
  <c r="G110" i="6"/>
  <c r="K108" i="6"/>
  <c r="K109" i="6" s="1"/>
  <c r="O108" i="6"/>
  <c r="O109" i="6" s="1"/>
  <c r="I110" i="6"/>
  <c r="P106" i="6"/>
  <c r="E49" i="9" s="1"/>
  <c r="D107" i="6"/>
  <c r="J110" i="6"/>
  <c r="H107" i="6"/>
  <c r="H108" i="6" s="1"/>
  <c r="H109" i="6" s="1"/>
  <c r="L110" i="6"/>
  <c r="N110" i="6"/>
  <c r="O62" i="4"/>
  <c r="P92" i="6"/>
  <c r="E19" i="9" s="1"/>
  <c r="O51" i="1"/>
  <c r="E96" i="6"/>
  <c r="M60" i="6"/>
  <c r="J18" i="6"/>
  <c r="K124" i="6"/>
  <c r="P16" i="6"/>
  <c r="E83" i="4"/>
  <c r="P17" i="6"/>
  <c r="E122" i="6"/>
  <c r="P121" i="6"/>
  <c r="E80" i="9" s="1"/>
  <c r="D124" i="6"/>
  <c r="P94" i="6"/>
  <c r="E21" i="9" s="1"/>
  <c r="D95" i="6"/>
  <c r="P93" i="6"/>
  <c r="E20" i="9" s="1"/>
  <c r="G96" i="6"/>
  <c r="O79" i="9" l="1"/>
  <c r="O88" i="3"/>
  <c r="O64" i="4"/>
  <c r="K19" i="9"/>
  <c r="M19" i="9"/>
  <c r="O111" i="9"/>
  <c r="M21" i="9"/>
  <c r="K21" i="9"/>
  <c r="K113" i="9"/>
  <c r="K115" i="9" s="1"/>
  <c r="K128" i="9" s="1"/>
  <c r="K20" i="9"/>
  <c r="M20" i="9"/>
  <c r="K141" i="9"/>
  <c r="M141" i="9"/>
  <c r="O141" i="9" s="1"/>
  <c r="E143" i="9"/>
  <c r="O110" i="9"/>
  <c r="K80" i="9"/>
  <c r="M80" i="9"/>
  <c r="M113" i="9"/>
  <c r="M115" i="9" s="1"/>
  <c r="M128" i="9" s="1"/>
  <c r="O112" i="9"/>
  <c r="O140" i="9"/>
  <c r="M142" i="9"/>
  <c r="K142" i="9"/>
  <c r="E19" i="4"/>
  <c r="M49" i="9"/>
  <c r="K49" i="9"/>
  <c r="O48" i="9"/>
  <c r="M50" i="4"/>
  <c r="O50" i="4" s="1"/>
  <c r="A47" i="3"/>
  <c r="A48" i="3" s="1"/>
  <c r="A49" i="3" s="1"/>
  <c r="A50" i="3" s="1"/>
  <c r="A52" i="3" s="1"/>
  <c r="A53" i="3" s="1"/>
  <c r="A57" i="3" s="1"/>
  <c r="A60" i="3" s="1"/>
  <c r="A62" i="3" s="1"/>
  <c r="A63" i="3" s="1"/>
  <c r="A64" i="3" s="1"/>
  <c r="A65" i="3" s="1"/>
  <c r="A66" i="3" s="1"/>
  <c r="A67" i="3" s="1"/>
  <c r="A31" i="4"/>
  <c r="A32" i="4" s="1"/>
  <c r="E51" i="4"/>
  <c r="K51" i="4" s="1"/>
  <c r="O147" i="4"/>
  <c r="E149" i="4"/>
  <c r="K148" i="4"/>
  <c r="M148" i="4"/>
  <c r="P152" i="6"/>
  <c r="E150" i="4"/>
  <c r="M118" i="4"/>
  <c r="K118" i="4"/>
  <c r="D152" i="6"/>
  <c r="H110" i="6"/>
  <c r="P107" i="6"/>
  <c r="E50" i="9" s="1"/>
  <c r="D108" i="6"/>
  <c r="O110" i="6"/>
  <c r="Q64" i="4"/>
  <c r="S64" i="4" s="1"/>
  <c r="K110" i="6"/>
  <c r="E21" i="1"/>
  <c r="E20" i="1"/>
  <c r="E21" i="4"/>
  <c r="E84" i="4"/>
  <c r="E20" i="4"/>
  <c r="E18" i="6"/>
  <c r="P18" i="6"/>
  <c r="E123" i="6"/>
  <c r="P122" i="6"/>
  <c r="E81" i="9" s="1"/>
  <c r="P95" i="6"/>
  <c r="D96" i="6"/>
  <c r="M143" i="9" l="1"/>
  <c r="M145" i="9" s="1"/>
  <c r="M158" i="9" s="1"/>
  <c r="O128" i="9"/>
  <c r="S128" i="9" s="1"/>
  <c r="O49" i="9"/>
  <c r="O80" i="9"/>
  <c r="O142" i="9"/>
  <c r="O143" i="9" s="1"/>
  <c r="O145" i="9" s="1"/>
  <c r="O113" i="9"/>
  <c r="O115" i="9" s="1"/>
  <c r="Q115" i="9" s="1"/>
  <c r="S115" i="9" s="1"/>
  <c r="K143" i="9"/>
  <c r="K145" i="9" s="1"/>
  <c r="K158" i="9" s="1"/>
  <c r="O158" i="9" s="1"/>
  <c r="K126" i="9"/>
  <c r="O21" i="9"/>
  <c r="E22" i="4"/>
  <c r="E22" i="9"/>
  <c r="M81" i="9"/>
  <c r="K81" i="9"/>
  <c r="O19" i="9"/>
  <c r="M156" i="9"/>
  <c r="M126" i="9"/>
  <c r="K50" i="9"/>
  <c r="M50" i="9"/>
  <c r="O20" i="9"/>
  <c r="A68" i="3"/>
  <c r="A70" i="3" s="1"/>
  <c r="A71" i="3" s="1"/>
  <c r="A72" i="3" s="1"/>
  <c r="A73" i="3" s="1"/>
  <c r="A75" i="3" s="1"/>
  <c r="A76" i="3" s="1"/>
  <c r="A80" i="3" s="1"/>
  <c r="A83" i="3" s="1"/>
  <c r="A85" i="3" s="1"/>
  <c r="A86" i="3" s="1"/>
  <c r="A87" i="3" s="1"/>
  <c r="A88" i="3" s="1"/>
  <c r="A89" i="3" s="1"/>
  <c r="A90" i="3" s="1"/>
  <c r="A34" i="4"/>
  <c r="A36" i="4" s="1"/>
  <c r="A38" i="4"/>
  <c r="A40" i="4" s="1"/>
  <c r="A41" i="4" s="1"/>
  <c r="A45" i="4" s="1"/>
  <c r="A48" i="4" s="1"/>
  <c r="A50" i="4" s="1"/>
  <c r="A51" i="4" s="1"/>
  <c r="A52" i="4" s="1"/>
  <c r="A53" i="4" s="1"/>
  <c r="A54" i="4" s="1"/>
  <c r="A55" i="4" s="1"/>
  <c r="A56" i="4" s="1"/>
  <c r="A57" i="4" s="1"/>
  <c r="A59" i="4" s="1"/>
  <c r="A62" i="4" s="1"/>
  <c r="A63" i="4" s="1"/>
  <c r="A64" i="4" s="1"/>
  <c r="A66" i="4" s="1"/>
  <c r="A68" i="4" s="1"/>
  <c r="K150" i="4"/>
  <c r="M150" i="4"/>
  <c r="E52" i="4"/>
  <c r="M52" i="4" s="1"/>
  <c r="E151" i="4"/>
  <c r="O148" i="4"/>
  <c r="M51" i="4"/>
  <c r="O51" i="4" s="1"/>
  <c r="O118" i="4"/>
  <c r="M149" i="4"/>
  <c r="K149" i="4"/>
  <c r="P108" i="6"/>
  <c r="E51" i="9" s="1"/>
  <c r="D109" i="6"/>
  <c r="E85" i="4"/>
  <c r="P96" i="6"/>
  <c r="E124" i="6"/>
  <c r="P123" i="6"/>
  <c r="E82" i="9" s="1"/>
  <c r="Q128" i="9" l="1"/>
  <c r="S158" i="9"/>
  <c r="Q158" i="9"/>
  <c r="S159" i="9"/>
  <c r="Q159" i="9"/>
  <c r="K156" i="9"/>
  <c r="O156" i="9" s="1"/>
  <c r="Q156" i="9" s="1"/>
  <c r="S129" i="9"/>
  <c r="Q129" i="9"/>
  <c r="S126" i="9"/>
  <c r="S156" i="9"/>
  <c r="Q145" i="9"/>
  <c r="S145" i="9" s="1"/>
  <c r="O81" i="9"/>
  <c r="M51" i="9"/>
  <c r="K51" i="9"/>
  <c r="K22" i="9"/>
  <c r="K23" i="9" s="1"/>
  <c r="K25" i="9" s="1"/>
  <c r="K38" i="9" s="1"/>
  <c r="M22" i="9"/>
  <c r="E23" i="9"/>
  <c r="O50" i="9"/>
  <c r="M82" i="9"/>
  <c r="M83" i="9" s="1"/>
  <c r="M85" i="9" s="1"/>
  <c r="M98" i="9" s="1"/>
  <c r="K82" i="9"/>
  <c r="K83" i="9" s="1"/>
  <c r="K85" i="9" s="1"/>
  <c r="K98" i="9" s="1"/>
  <c r="E83" i="9"/>
  <c r="O126" i="9"/>
  <c r="Q126" i="9" s="1"/>
  <c r="K52" i="4"/>
  <c r="O52" i="4" s="1"/>
  <c r="A91" i="3"/>
  <c r="A93" i="3" s="1"/>
  <c r="A94" i="3" s="1"/>
  <c r="A95" i="3" s="1"/>
  <c r="A96" i="3" s="1"/>
  <c r="A98" i="3" s="1"/>
  <c r="A99" i="3" s="1"/>
  <c r="A103" i="3" s="1"/>
  <c r="A106" i="3" s="1"/>
  <c r="A108" i="3" s="1"/>
  <c r="A109" i="3" s="1"/>
  <c r="A110" i="3" s="1"/>
  <c r="A111" i="3" s="1"/>
  <c r="A112" i="3" s="1"/>
  <c r="A113" i="3" s="1"/>
  <c r="A70" i="4"/>
  <c r="A72" i="4" s="1"/>
  <c r="A73" i="4" s="1"/>
  <c r="M151" i="4"/>
  <c r="K151" i="4"/>
  <c r="O149" i="4"/>
  <c r="O150" i="4"/>
  <c r="E53" i="4"/>
  <c r="M53" i="4" s="1"/>
  <c r="P109" i="6"/>
  <c r="E52" i="9" s="1"/>
  <c r="D110" i="6"/>
  <c r="P124" i="6"/>
  <c r="E86" i="4"/>
  <c r="E87" i="4" s="1"/>
  <c r="E57" i="3"/>
  <c r="E187" i="6"/>
  <c r="F187" i="6"/>
  <c r="G187" i="6"/>
  <c r="G191" i="6" s="1"/>
  <c r="H187" i="6"/>
  <c r="H191" i="6" s="1"/>
  <c r="I187" i="6"/>
  <c r="J187" i="6"/>
  <c r="K187" i="6"/>
  <c r="K191" i="6" s="1"/>
  <c r="L187" i="6"/>
  <c r="L191" i="6" s="1"/>
  <c r="M187" i="6"/>
  <c r="N187" i="6"/>
  <c r="O187" i="6"/>
  <c r="O191" i="6" s="1"/>
  <c r="O192" i="6" s="1"/>
  <c r="D191" i="6"/>
  <c r="P188" i="6"/>
  <c r="P164" i="6"/>
  <c r="F163" i="6"/>
  <c r="O98" i="9" l="1"/>
  <c r="M96" i="9"/>
  <c r="K52" i="9"/>
  <c r="K53" i="9" s="1"/>
  <c r="K55" i="9" s="1"/>
  <c r="K68" i="9" s="1"/>
  <c r="M52" i="9"/>
  <c r="K36" i="9"/>
  <c r="O22" i="9"/>
  <c r="O23" i="9" s="1"/>
  <c r="O25" i="9" s="1"/>
  <c r="M23" i="9"/>
  <c r="M25" i="9" s="1"/>
  <c r="M38" i="9" s="1"/>
  <c r="O51" i="9"/>
  <c r="E53" i="9"/>
  <c r="K96" i="9"/>
  <c r="O82" i="9"/>
  <c r="O83" i="9" s="1"/>
  <c r="O85" i="9" s="1"/>
  <c r="A114" i="3"/>
  <c r="A116" i="3" s="1"/>
  <c r="A117" i="3" s="1"/>
  <c r="A118" i="3" s="1"/>
  <c r="A119" i="3" s="1"/>
  <c r="A121" i="3" s="1"/>
  <c r="A122" i="3" s="1"/>
  <c r="O151" i="4"/>
  <c r="A77" i="4"/>
  <c r="A80" i="4" s="1"/>
  <c r="A82" i="4" s="1"/>
  <c r="A83" i="4" s="1"/>
  <c r="A84" i="4" s="1"/>
  <c r="A85" i="4" s="1"/>
  <c r="A86" i="4" s="1"/>
  <c r="A87" i="4" s="1"/>
  <c r="A88" i="4" s="1"/>
  <c r="A89" i="4" s="1"/>
  <c r="A91" i="4" s="1"/>
  <c r="A94" i="4" s="1"/>
  <c r="A95" i="4" s="1"/>
  <c r="A96" i="4" s="1"/>
  <c r="A98" i="4" s="1"/>
  <c r="A100" i="4" s="1"/>
  <c r="K53" i="4"/>
  <c r="O53" i="4" s="1"/>
  <c r="P110" i="6"/>
  <c r="E54" i="4"/>
  <c r="D163" i="6"/>
  <c r="D167" i="6" s="1"/>
  <c r="E13" i="3"/>
  <c r="G192" i="6"/>
  <c r="G193" i="6" s="1"/>
  <c r="G194" i="6" s="1"/>
  <c r="K192" i="6"/>
  <c r="K193" i="6" s="1"/>
  <c r="E191" i="6"/>
  <c r="M191" i="6"/>
  <c r="H192" i="6"/>
  <c r="H193" i="6" s="1"/>
  <c r="H194" i="6" s="1"/>
  <c r="F191" i="6"/>
  <c r="N191" i="6"/>
  <c r="I191" i="6"/>
  <c r="I192" i="6" s="1"/>
  <c r="I193" i="6" s="1"/>
  <c r="D192" i="6"/>
  <c r="D193" i="6" s="1"/>
  <c r="L192" i="6"/>
  <c r="L193" i="6" s="1"/>
  <c r="O193" i="6"/>
  <c r="O194" i="6" s="1"/>
  <c r="J191" i="6"/>
  <c r="P187" i="6"/>
  <c r="O163" i="6"/>
  <c r="E163" i="6"/>
  <c r="E167" i="6" s="1"/>
  <c r="G163" i="6"/>
  <c r="G167" i="6" s="1"/>
  <c r="G168" i="6" s="1"/>
  <c r="L163" i="6"/>
  <c r="L167" i="6" s="1"/>
  <c r="M163" i="6"/>
  <c r="M167" i="6" s="1"/>
  <c r="N163" i="6"/>
  <c r="N167" i="6" s="1"/>
  <c r="N168" i="6" s="1"/>
  <c r="N169" i="6" s="1"/>
  <c r="H163" i="6"/>
  <c r="F167" i="6"/>
  <c r="I163" i="6"/>
  <c r="J163" i="6"/>
  <c r="K163" i="6"/>
  <c r="S99" i="9" l="1"/>
  <c r="Q99" i="9"/>
  <c r="S98" i="9"/>
  <c r="Q98" i="9"/>
  <c r="S39" i="9"/>
  <c r="Q39" i="9"/>
  <c r="K66" i="9"/>
  <c r="Q25" i="9"/>
  <c r="S25" i="9" s="1"/>
  <c r="S36" i="9"/>
  <c r="O52" i="9"/>
  <c r="O53" i="9" s="1"/>
  <c r="O55" i="9" s="1"/>
  <c r="M53" i="9"/>
  <c r="M55" i="9" s="1"/>
  <c r="M68" i="9" s="1"/>
  <c r="O68" i="9" s="1"/>
  <c r="O96" i="9"/>
  <c r="Q96" i="9" s="1"/>
  <c r="O38" i="9"/>
  <c r="M36" i="9"/>
  <c r="O36" i="9" s="1"/>
  <c r="Q36" i="9" s="1"/>
  <c r="S96" i="9"/>
  <c r="Q85" i="9"/>
  <c r="S85" i="9" s="1"/>
  <c r="A102" i="4"/>
  <c r="A104" i="4" s="1"/>
  <c r="A105" i="4" s="1"/>
  <c r="M54" i="4"/>
  <c r="K54" i="4"/>
  <c r="K55" i="4" s="1"/>
  <c r="E168" i="6"/>
  <c r="E169" i="6" s="1"/>
  <c r="E170" i="6" s="1"/>
  <c r="O195" i="6"/>
  <c r="K194" i="6"/>
  <c r="K195" i="6" s="1"/>
  <c r="H195" i="6"/>
  <c r="D194" i="6"/>
  <c r="D195" i="6" s="1"/>
  <c r="G195" i="6"/>
  <c r="F192" i="6"/>
  <c r="N192" i="6"/>
  <c r="M192" i="6"/>
  <c r="M193" i="6" s="1"/>
  <c r="I194" i="6"/>
  <c r="I195" i="6" s="1"/>
  <c r="E192" i="6"/>
  <c r="J192" i="6"/>
  <c r="J193" i="6" s="1"/>
  <c r="L194" i="6"/>
  <c r="L195" i="6" s="1"/>
  <c r="P191" i="6"/>
  <c r="E62" i="3" s="1"/>
  <c r="O167" i="6"/>
  <c r="O168" i="6" s="1"/>
  <c r="P163" i="6"/>
  <c r="D168" i="6"/>
  <c r="D169" i="6" s="1"/>
  <c r="D170" i="6" s="1"/>
  <c r="K167" i="6"/>
  <c r="K168" i="6" s="1"/>
  <c r="K169" i="6" s="1"/>
  <c r="H167" i="6"/>
  <c r="H168" i="6" s="1"/>
  <c r="H169" i="6" s="1"/>
  <c r="N170" i="6"/>
  <c r="G169" i="6"/>
  <c r="G170" i="6" s="1"/>
  <c r="M168" i="6"/>
  <c r="M169" i="6" s="1"/>
  <c r="F168" i="6"/>
  <c r="J167" i="6"/>
  <c r="I167" i="6"/>
  <c r="I168" i="6" s="1"/>
  <c r="L168" i="6"/>
  <c r="L169" i="6" s="1"/>
  <c r="S69" i="9" l="1"/>
  <c r="Q69" i="9"/>
  <c r="S68" i="9"/>
  <c r="Q68" i="9"/>
  <c r="Q38" i="9"/>
  <c r="S38" i="9"/>
  <c r="M66" i="9"/>
  <c r="O66" i="9" s="1"/>
  <c r="Q66" i="9" s="1"/>
  <c r="Q55" i="9"/>
  <c r="S55" i="9" s="1"/>
  <c r="S66" i="9"/>
  <c r="A109" i="4"/>
  <c r="A112" i="4" s="1"/>
  <c r="A114" i="4" s="1"/>
  <c r="A115" i="4" s="1"/>
  <c r="A116" i="4" s="1"/>
  <c r="A117" i="4" s="1"/>
  <c r="A118" i="4" s="1"/>
  <c r="A119" i="4" s="1"/>
  <c r="A120" i="4" s="1"/>
  <c r="A121" i="4" s="1"/>
  <c r="A123" i="4" s="1"/>
  <c r="A126" i="4" s="1"/>
  <c r="A127" i="4" s="1"/>
  <c r="A128" i="4" s="1"/>
  <c r="A130" i="4" s="1"/>
  <c r="A132" i="4" s="1"/>
  <c r="A42" i="1"/>
  <c r="M55" i="4"/>
  <c r="O54" i="4"/>
  <c r="O55" i="4" s="1"/>
  <c r="P192" i="6"/>
  <c r="M194" i="6"/>
  <c r="M195" i="6" s="1"/>
  <c r="N193" i="6"/>
  <c r="N194" i="6" s="1"/>
  <c r="J194" i="6"/>
  <c r="J195" i="6" s="1"/>
  <c r="E193" i="6"/>
  <c r="F193" i="6"/>
  <c r="F194" i="6" s="1"/>
  <c r="F195" i="6" s="1"/>
  <c r="O169" i="6"/>
  <c r="O170" i="6" s="1"/>
  <c r="L170" i="6"/>
  <c r="I169" i="6"/>
  <c r="I170" i="6" s="1"/>
  <c r="M170" i="6"/>
  <c r="P167" i="6"/>
  <c r="J168" i="6"/>
  <c r="P168" i="6" s="1"/>
  <c r="F169" i="6"/>
  <c r="F170" i="6" s="1"/>
  <c r="K170" i="6"/>
  <c r="H170" i="6"/>
  <c r="A134" i="4" l="1"/>
  <c r="A136" i="4" s="1"/>
  <c r="A137" i="4" s="1"/>
  <c r="A45" i="1"/>
  <c r="O85" i="3"/>
  <c r="E63" i="3"/>
  <c r="E18" i="3"/>
  <c r="E19" i="3"/>
  <c r="N195" i="6"/>
  <c r="P193" i="6"/>
  <c r="E194" i="6"/>
  <c r="P194" i="6" s="1"/>
  <c r="J169" i="6"/>
  <c r="A141" i="4" l="1"/>
  <c r="A144" i="4" s="1"/>
  <c r="A146" i="4" s="1"/>
  <c r="A147" i="4" s="1"/>
  <c r="A148" i="4" s="1"/>
  <c r="A149" i="4" s="1"/>
  <c r="A150" i="4" s="1"/>
  <c r="A151" i="4" s="1"/>
  <c r="A152" i="4" s="1"/>
  <c r="A153" i="4" s="1"/>
  <c r="A155" i="4" s="1"/>
  <c r="A158" i="4" s="1"/>
  <c r="A159" i="4" s="1"/>
  <c r="A160" i="4" s="1"/>
  <c r="A162" i="4" s="1"/>
  <c r="A164" i="4" s="1"/>
  <c r="A47" i="1"/>
  <c r="E64" i="3"/>
  <c r="E119" i="4"/>
  <c r="M114" i="4"/>
  <c r="K114" i="4"/>
  <c r="E65" i="3"/>
  <c r="E195" i="6"/>
  <c r="P195" i="6"/>
  <c r="J170" i="6"/>
  <c r="P169" i="6"/>
  <c r="E55" i="4" s="1"/>
  <c r="A166" i="4" l="1"/>
  <c r="A168" i="4" s="1"/>
  <c r="A169" i="4" s="1"/>
  <c r="A48" i="1"/>
  <c r="M89" i="3"/>
  <c r="K89" i="3"/>
  <c r="O86" i="3"/>
  <c r="O41" i="3"/>
  <c r="O40" i="3"/>
  <c r="O114" i="4"/>
  <c r="K117" i="4"/>
  <c r="M117" i="4"/>
  <c r="K116" i="4"/>
  <c r="M116" i="4"/>
  <c r="M115" i="4"/>
  <c r="K115" i="4"/>
  <c r="P170" i="6"/>
  <c r="E20" i="3"/>
  <c r="Q71" i="3"/>
  <c r="S71" i="3" s="1"/>
  <c r="Q26" i="3"/>
  <c r="S26" i="3" s="1"/>
  <c r="O117" i="4" l="1"/>
  <c r="A49" i="1"/>
  <c r="A50" i="1" s="1"/>
  <c r="A51" i="1" s="1"/>
  <c r="A52" i="1" s="1"/>
  <c r="A53" i="1" s="1"/>
  <c r="A55" i="1" s="1"/>
  <c r="A56" i="1" s="1"/>
  <c r="A57" i="1" s="1"/>
  <c r="A58" i="1" s="1"/>
  <c r="A60" i="1" s="1"/>
  <c r="A61" i="1" s="1"/>
  <c r="O87" i="3"/>
  <c r="O89" i="3" s="1"/>
  <c r="K43" i="3"/>
  <c r="M119" i="4"/>
  <c r="O116" i="4"/>
  <c r="K119" i="4"/>
  <c r="O115" i="4"/>
  <c r="O119" i="4" l="1"/>
  <c r="A63" i="1"/>
  <c r="A64" i="1" s="1"/>
  <c r="A66" i="1" s="1"/>
  <c r="A67" i="1" s="1"/>
  <c r="O42" i="3"/>
  <c r="O43" i="3" s="1"/>
  <c r="M43" i="3"/>
  <c r="A71" i="1" l="1"/>
  <c r="A74" i="1" s="1"/>
  <c r="A76" i="1" s="1"/>
  <c r="A77" i="1" s="1"/>
  <c r="A78" i="1" s="1"/>
  <c r="A79" i="1" s="1"/>
  <c r="A80" i="1" s="1"/>
  <c r="A81" i="1" s="1"/>
  <c r="A82" i="1" s="1"/>
  <c r="A83" i="1" s="1"/>
  <c r="A84" i="1" s="1"/>
  <c r="A86" i="1" s="1"/>
  <c r="A87" i="1" s="1"/>
  <c r="A88" i="1" s="1"/>
  <c r="A89" i="1" s="1"/>
  <c r="A91" i="1" s="1"/>
  <c r="A92" i="1" s="1"/>
  <c r="A94" i="1" l="1"/>
  <c r="A95" i="1" s="1"/>
  <c r="A97" i="1" s="1"/>
  <c r="A98" i="1" s="1"/>
  <c r="E98" i="4"/>
  <c r="E95" i="4"/>
  <c r="E94" i="4"/>
  <c r="E91" i="4"/>
  <c r="E88" i="4"/>
  <c r="I152" i="4"/>
  <c r="G152" i="4"/>
  <c r="E34" i="4"/>
  <c r="E31" i="4"/>
  <c r="E30" i="4"/>
  <c r="E27" i="4"/>
  <c r="I59" i="4"/>
  <c r="G59" i="4"/>
  <c r="E24" i="4"/>
  <c r="I56" i="4"/>
  <c r="M56" i="4" s="1"/>
  <c r="G56" i="4"/>
  <c r="K56" i="4" s="1"/>
  <c r="K57" i="4" s="1"/>
  <c r="E23" i="4"/>
  <c r="E72" i="3"/>
  <c r="E71" i="3"/>
  <c r="E70" i="3"/>
  <c r="E67" i="3"/>
  <c r="E66" i="3"/>
  <c r="E27" i="3"/>
  <c r="E26" i="3"/>
  <c r="K26" i="3" s="1"/>
  <c r="E25" i="3"/>
  <c r="I47" i="3"/>
  <c r="M47" i="3" s="1"/>
  <c r="G47" i="3"/>
  <c r="K47" i="3" s="1"/>
  <c r="E22" i="3"/>
  <c r="I44" i="3"/>
  <c r="M44" i="3" s="1"/>
  <c r="G44" i="3"/>
  <c r="K44" i="3" s="1"/>
  <c r="K45" i="3" s="1"/>
  <c r="E21" i="3"/>
  <c r="E119" i="1"/>
  <c r="E123" i="1"/>
  <c r="E122" i="1"/>
  <c r="E118" i="1"/>
  <c r="E117" i="1"/>
  <c r="E114" i="1"/>
  <c r="E28" i="1"/>
  <c r="E32" i="1"/>
  <c r="E31" i="1"/>
  <c r="E27" i="1"/>
  <c r="E26" i="1"/>
  <c r="E23" i="1"/>
  <c r="E22" i="1"/>
  <c r="K52" i="3" l="1"/>
  <c r="G123" i="4"/>
  <c r="G155" i="4"/>
  <c r="I123" i="4"/>
  <c r="I155" i="4"/>
  <c r="O44" i="3"/>
  <c r="O45" i="3" s="1"/>
  <c r="M45" i="3"/>
  <c r="M52" i="3" s="1"/>
  <c r="O52" i="3" s="1"/>
  <c r="G113" i="3"/>
  <c r="K113" i="3" s="1"/>
  <c r="K114" i="3" s="1"/>
  <c r="G90" i="3"/>
  <c r="K90" i="3" s="1"/>
  <c r="K91" i="3" s="1"/>
  <c r="O47" i="3"/>
  <c r="Q47" i="3" s="1"/>
  <c r="S47" i="3" s="1"/>
  <c r="G116" i="3"/>
  <c r="K116" i="3" s="1"/>
  <c r="G93" i="3"/>
  <c r="K93" i="3" s="1"/>
  <c r="I113" i="3"/>
  <c r="M113" i="3" s="1"/>
  <c r="I90" i="3"/>
  <c r="M90" i="3" s="1"/>
  <c r="I116" i="3"/>
  <c r="M116" i="3" s="1"/>
  <c r="I93" i="3"/>
  <c r="M93" i="3" s="1"/>
  <c r="K152" i="4"/>
  <c r="O152" i="4" s="1"/>
  <c r="G120" i="4"/>
  <c r="K120" i="4" s="1"/>
  <c r="K121" i="4" s="1"/>
  <c r="M152" i="4"/>
  <c r="I120" i="4"/>
  <c r="M120" i="4" s="1"/>
  <c r="O56" i="4"/>
  <c r="O57" i="4" s="1"/>
  <c r="M57" i="4"/>
  <c r="K52" i="1"/>
  <c r="K53" i="1" s="1"/>
  <c r="G114" i="1"/>
  <c r="K114" i="1" s="1"/>
  <c r="G52" i="1"/>
  <c r="G145" i="1"/>
  <c r="K145" i="1" s="1"/>
  <c r="G83" i="1"/>
  <c r="K83" i="1" s="1"/>
  <c r="M55" i="1"/>
  <c r="I148" i="1"/>
  <c r="I86" i="1"/>
  <c r="M117" i="1"/>
  <c r="M86" i="1"/>
  <c r="I117" i="1"/>
  <c r="I55" i="1"/>
  <c r="M148" i="1"/>
  <c r="M52" i="1"/>
  <c r="M53" i="1" s="1"/>
  <c r="M66" i="1" s="1"/>
  <c r="I52" i="1"/>
  <c r="I114" i="1"/>
  <c r="M83" i="1" s="1"/>
  <c r="O83" i="1" s="1"/>
  <c r="I145" i="1"/>
  <c r="I83" i="1"/>
  <c r="K55" i="1"/>
  <c r="G117" i="1"/>
  <c r="G148" i="1"/>
  <c r="G86" i="1"/>
  <c r="K117" i="1"/>
  <c r="K148" i="1"/>
  <c r="K86" i="1"/>
  <c r="G55" i="1"/>
  <c r="Q118" i="3"/>
  <c r="S118" i="3" s="1"/>
  <c r="O95" i="3"/>
  <c r="Q95" i="3" s="1"/>
  <c r="S95" i="3" s="1"/>
  <c r="K71" i="3"/>
  <c r="O49" i="3"/>
  <c r="Q49" i="3" s="1"/>
  <c r="S49" i="3" s="1"/>
  <c r="M59" i="4"/>
  <c r="M123" i="4"/>
  <c r="M155" i="4"/>
  <c r="K59" i="4"/>
  <c r="K72" i="4" s="1"/>
  <c r="K123" i="4"/>
  <c r="K155" i="4"/>
  <c r="K22" i="3"/>
  <c r="M25" i="3"/>
  <c r="K25" i="3"/>
  <c r="M22" i="3"/>
  <c r="K23" i="1"/>
  <c r="M23" i="1"/>
  <c r="M26" i="1"/>
  <c r="K26" i="1"/>
  <c r="K70" i="3"/>
  <c r="M88" i="4"/>
  <c r="M24" i="4"/>
  <c r="K67" i="3"/>
  <c r="M70" i="3"/>
  <c r="M67" i="3"/>
  <c r="K24" i="4"/>
  <c r="K27" i="4"/>
  <c r="K91" i="4"/>
  <c r="M27" i="4"/>
  <c r="K88" i="4"/>
  <c r="M91" i="4"/>
  <c r="O120" i="4" l="1"/>
  <c r="M68" i="4"/>
  <c r="O55" i="1"/>
  <c r="Q55" i="1" s="1"/>
  <c r="S55" i="1" s="1"/>
  <c r="K153" i="4"/>
  <c r="K168" i="4" s="1"/>
  <c r="O113" i="3"/>
  <c r="O114" i="3" s="1"/>
  <c r="M114" i="3"/>
  <c r="O116" i="3"/>
  <c r="Q116" i="3" s="1"/>
  <c r="S116" i="3" s="1"/>
  <c r="S52" i="3"/>
  <c r="Q52" i="3"/>
  <c r="O93" i="3"/>
  <c r="Q93" i="3" s="1"/>
  <c r="S93" i="3" s="1"/>
  <c r="O90" i="3"/>
  <c r="O91" i="3" s="1"/>
  <c r="M91" i="3"/>
  <c r="M96" i="3" s="1"/>
  <c r="S53" i="3"/>
  <c r="Q53" i="3"/>
  <c r="K136" i="4"/>
  <c r="S73" i="4"/>
  <c r="S68" i="4"/>
  <c r="Q57" i="4"/>
  <c r="S57" i="4" s="1"/>
  <c r="M72" i="4"/>
  <c r="O72" i="4" s="1"/>
  <c r="M64" i="1"/>
  <c r="M58" i="1"/>
  <c r="M67" i="1"/>
  <c r="O52" i="1"/>
  <c r="O53" i="1" s="1"/>
  <c r="Q53" i="1" s="1"/>
  <c r="S53" i="1" s="1"/>
  <c r="M63" i="1"/>
  <c r="O148" i="1"/>
  <c r="Q148" i="1" s="1"/>
  <c r="S148" i="1" s="1"/>
  <c r="M114" i="1"/>
  <c r="O114" i="1" s="1"/>
  <c r="O86" i="1"/>
  <c r="Q86" i="1" s="1"/>
  <c r="S86" i="1" s="1"/>
  <c r="M145" i="1"/>
  <c r="A102" i="1"/>
  <c r="A105" i="1" s="1"/>
  <c r="A107" i="1" s="1"/>
  <c r="A108" i="1" s="1"/>
  <c r="A109" i="1" s="1"/>
  <c r="A110" i="1" s="1"/>
  <c r="A111" i="1" s="1"/>
  <c r="A112" i="1" s="1"/>
  <c r="A113" i="1" s="1"/>
  <c r="A114" i="1" s="1"/>
  <c r="A115" i="1" s="1"/>
  <c r="A117" i="1" s="1"/>
  <c r="A118" i="1" s="1"/>
  <c r="A119" i="1" s="1"/>
  <c r="A120" i="1" s="1"/>
  <c r="A122" i="1" s="1"/>
  <c r="A123" i="1" s="1"/>
  <c r="O117" i="1"/>
  <c r="Q117" i="1" s="1"/>
  <c r="S117" i="1" s="1"/>
  <c r="K64" i="1"/>
  <c r="K66" i="1"/>
  <c r="O66" i="1" s="1"/>
  <c r="Q66" i="1" s="1"/>
  <c r="K63" i="1"/>
  <c r="K67" i="1"/>
  <c r="K119" i="3"/>
  <c r="K121" i="3"/>
  <c r="O94" i="3"/>
  <c r="O155" i="4"/>
  <c r="K132" i="4"/>
  <c r="K50" i="3"/>
  <c r="K68" i="4"/>
  <c r="O59" i="4"/>
  <c r="Q59" i="4" s="1"/>
  <c r="S59" i="4" s="1"/>
  <c r="O123" i="4"/>
  <c r="K58" i="1"/>
  <c r="O25" i="3"/>
  <c r="Q25" i="3" s="1"/>
  <c r="S25" i="3" s="1"/>
  <c r="O22" i="3"/>
  <c r="O23" i="1"/>
  <c r="O24" i="4"/>
  <c r="O67" i="3"/>
  <c r="O26" i="1"/>
  <c r="Q26" i="1" s="1"/>
  <c r="S26" i="1" s="1"/>
  <c r="O91" i="4"/>
  <c r="Q91" i="4" s="1"/>
  <c r="S91" i="4" s="1"/>
  <c r="O88" i="4"/>
  <c r="O70" i="3"/>
  <c r="Q70" i="3" s="1"/>
  <c r="S70" i="3" s="1"/>
  <c r="O27" i="4"/>
  <c r="Q27" i="4" s="1"/>
  <c r="S27" i="4" s="1"/>
  <c r="O68" i="4" l="1"/>
  <c r="Q68" i="4" s="1"/>
  <c r="K164" i="4"/>
  <c r="S67" i="1"/>
  <c r="M98" i="3"/>
  <c r="Q123" i="4"/>
  <c r="S123" i="4" s="1"/>
  <c r="Q155" i="4"/>
  <c r="S155" i="4" s="1"/>
  <c r="Q73" i="4"/>
  <c r="S72" i="4"/>
  <c r="Q72" i="4"/>
  <c r="O67" i="1"/>
  <c r="Q67" i="1" s="1"/>
  <c r="O64" i="1"/>
  <c r="Q64" i="1" s="1"/>
  <c r="A125" i="1"/>
  <c r="A126" i="1" s="1"/>
  <c r="A128" i="1" s="1"/>
  <c r="A129" i="1" s="1"/>
  <c r="O58" i="1"/>
  <c r="Q58" i="1" s="1"/>
  <c r="O63" i="1"/>
  <c r="Q63" i="1" s="1"/>
  <c r="S58" i="1"/>
  <c r="O145" i="1"/>
  <c r="S66" i="1"/>
  <c r="S64" i="1"/>
  <c r="S63" i="1"/>
  <c r="S119" i="3"/>
  <c r="Q122" i="3"/>
  <c r="Q114" i="3"/>
  <c r="S114" i="3" s="1"/>
  <c r="S122" i="3"/>
  <c r="M119" i="3"/>
  <c r="O119" i="3" s="1"/>
  <c r="Q119" i="3" s="1"/>
  <c r="M121" i="3"/>
  <c r="O121" i="3" s="1"/>
  <c r="K98" i="3"/>
  <c r="K96" i="3"/>
  <c r="O96" i="3" s="1"/>
  <c r="Q96" i="3" s="1"/>
  <c r="S99" i="3"/>
  <c r="S96" i="3"/>
  <c r="Q99" i="3"/>
  <c r="Q91" i="3"/>
  <c r="S91" i="3" s="1"/>
  <c r="M50" i="3"/>
  <c r="O50" i="3" s="1"/>
  <c r="Q50" i="3" s="1"/>
  <c r="Q45" i="3"/>
  <c r="S45" i="3" s="1"/>
  <c r="S50" i="3"/>
  <c r="O98" i="3" l="1"/>
  <c r="S98" i="3" s="1"/>
  <c r="A133" i="1"/>
  <c r="A136" i="1" s="1"/>
  <c r="A138" i="1" s="1"/>
  <c r="A139" i="1" s="1"/>
  <c r="A140" i="1" s="1"/>
  <c r="A141" i="1" s="1"/>
  <c r="A142" i="1" s="1"/>
  <c r="A143" i="1" s="1"/>
  <c r="A144" i="1" s="1"/>
  <c r="A145" i="1" s="1"/>
  <c r="A146" i="1" s="1"/>
  <c r="A148" i="1" s="1"/>
  <c r="A149" i="1" s="1"/>
  <c r="A150" i="1" s="1"/>
  <c r="A151" i="1" s="1"/>
  <c r="A153" i="1" s="1"/>
  <c r="A154" i="1" s="1"/>
  <c r="Q121" i="3"/>
  <c r="S121" i="3"/>
  <c r="Q98" i="3" l="1"/>
  <c r="A156" i="1"/>
  <c r="A157" i="1" s="1"/>
  <c r="A159" i="1" s="1"/>
  <c r="A160" i="1" s="1"/>
  <c r="E61" i="6"/>
  <c r="F61" i="6"/>
  <c r="G61" i="6"/>
  <c r="H61" i="6"/>
  <c r="I61" i="6"/>
  <c r="J61" i="6"/>
  <c r="K61" i="6"/>
  <c r="L61" i="6"/>
  <c r="M61" i="6"/>
  <c r="N61" i="6"/>
  <c r="O61" i="6"/>
  <c r="K98" i="4" l="1"/>
  <c r="K34" i="4"/>
  <c r="M71" i="3" l="1"/>
  <c r="O71" i="3" s="1"/>
  <c r="M64" i="3"/>
  <c r="M63" i="3"/>
  <c r="M62" i="3"/>
  <c r="M60" i="3"/>
  <c r="M26" i="3"/>
  <c r="O26" i="3" s="1"/>
  <c r="M20" i="3"/>
  <c r="M19" i="3"/>
  <c r="M18" i="3"/>
  <c r="M119" i="1"/>
  <c r="M122" i="1"/>
  <c r="M105" i="1"/>
  <c r="M28" i="1"/>
  <c r="M31" i="1"/>
  <c r="M21" i="1"/>
  <c r="M20" i="1"/>
  <c r="M19" i="1"/>
  <c r="M18" i="1"/>
  <c r="K65" i="3"/>
  <c r="K64" i="3"/>
  <c r="K63" i="3"/>
  <c r="K62" i="3"/>
  <c r="K60" i="3"/>
  <c r="K20" i="3"/>
  <c r="K19" i="3"/>
  <c r="K30" i="4"/>
  <c r="K119" i="1"/>
  <c r="K123" i="1"/>
  <c r="K105" i="1"/>
  <c r="K28" i="1"/>
  <c r="K32" i="1"/>
  <c r="K21" i="1"/>
  <c r="K20" i="1"/>
  <c r="K19" i="1"/>
  <c r="K18" i="1"/>
  <c r="K18" i="3" l="1"/>
  <c r="K21" i="3" s="1"/>
  <c r="M65" i="3"/>
  <c r="O65" i="3" s="1"/>
  <c r="K66" i="3"/>
  <c r="K68" i="3" s="1"/>
  <c r="O63" i="3"/>
  <c r="O119" i="1"/>
  <c r="Q119" i="1" s="1"/>
  <c r="S119" i="1" s="1"/>
  <c r="K19" i="4"/>
  <c r="K94" i="4"/>
  <c r="O19" i="1"/>
  <c r="M16" i="4"/>
  <c r="M94" i="4"/>
  <c r="M16" i="3"/>
  <c r="O64" i="3"/>
  <c r="K20" i="4"/>
  <c r="K80" i="4"/>
  <c r="O20" i="1"/>
  <c r="M18" i="4"/>
  <c r="M34" i="4"/>
  <c r="O34" i="4" s="1"/>
  <c r="Q34" i="4" s="1"/>
  <c r="S34" i="4" s="1"/>
  <c r="M95" i="4"/>
  <c r="M21" i="3"/>
  <c r="M31" i="4"/>
  <c r="K27" i="1"/>
  <c r="K21" i="4"/>
  <c r="K82" i="4"/>
  <c r="K95" i="4"/>
  <c r="O21" i="1"/>
  <c r="M19" i="4"/>
  <c r="I144" i="4"/>
  <c r="M144" i="4" s="1"/>
  <c r="O19" i="3"/>
  <c r="K31" i="4"/>
  <c r="K32" i="4" s="1"/>
  <c r="M22" i="1"/>
  <c r="O18" i="1"/>
  <c r="M86" i="4"/>
  <c r="K22" i="4"/>
  <c r="K83" i="4"/>
  <c r="M20" i="4"/>
  <c r="M82" i="4"/>
  <c r="M98" i="4"/>
  <c r="O98" i="4" s="1"/>
  <c r="Q98" i="4" s="1"/>
  <c r="S98" i="4" s="1"/>
  <c r="O20" i="3"/>
  <c r="M72" i="3"/>
  <c r="M27" i="3"/>
  <c r="K18" i="4"/>
  <c r="K84" i="4"/>
  <c r="M32" i="1"/>
  <c r="O32" i="1" s="1"/>
  <c r="M27" i="1"/>
  <c r="M21" i="4"/>
  <c r="M83" i="4"/>
  <c r="K22" i="1"/>
  <c r="K122" i="1"/>
  <c r="O122" i="1" s="1"/>
  <c r="K118" i="1"/>
  <c r="K85" i="4"/>
  <c r="K72" i="3"/>
  <c r="K27" i="3"/>
  <c r="O28" i="1"/>
  <c r="Q28" i="1" s="1"/>
  <c r="S28" i="1" s="1"/>
  <c r="M22" i="4"/>
  <c r="M84" i="4"/>
  <c r="O60" i="3"/>
  <c r="K16" i="4"/>
  <c r="K86" i="4"/>
  <c r="K16" i="3"/>
  <c r="K23" i="3" s="1"/>
  <c r="O16" i="1"/>
  <c r="O105" i="1"/>
  <c r="M118" i="1"/>
  <c r="M123" i="1"/>
  <c r="O123" i="1" s="1"/>
  <c r="M30" i="4"/>
  <c r="M85" i="4"/>
  <c r="O62" i="3"/>
  <c r="O144" i="4" l="1"/>
  <c r="O153" i="4" s="1"/>
  <c r="M153" i="4"/>
  <c r="K75" i="3"/>
  <c r="M23" i="3"/>
  <c r="M80" i="4"/>
  <c r="O80" i="4" s="1"/>
  <c r="I112" i="4"/>
  <c r="M112" i="4" s="1"/>
  <c r="M24" i="1"/>
  <c r="M29" i="1" s="1"/>
  <c r="K24" i="1"/>
  <c r="K38" i="1" s="1"/>
  <c r="K73" i="3"/>
  <c r="O66" i="3"/>
  <c r="O68" i="3" s="1"/>
  <c r="O20" i="4"/>
  <c r="O18" i="3"/>
  <c r="O21" i="3" s="1"/>
  <c r="O84" i="4"/>
  <c r="K31" i="1"/>
  <c r="O31" i="1" s="1"/>
  <c r="O22" i="4"/>
  <c r="O85" i="4"/>
  <c r="O31" i="4"/>
  <c r="O22" i="1"/>
  <c r="O19" i="4"/>
  <c r="K96" i="4"/>
  <c r="M66" i="3"/>
  <c r="M68" i="3" s="1"/>
  <c r="M75" i="3" s="1"/>
  <c r="O75" i="3" s="1"/>
  <c r="O83" i="4"/>
  <c r="O27" i="3"/>
  <c r="Q27" i="3" s="1"/>
  <c r="S27" i="3" s="1"/>
  <c r="O72" i="3"/>
  <c r="Q72" i="3" s="1"/>
  <c r="S72" i="3" s="1"/>
  <c r="O21" i="4"/>
  <c r="O95" i="4"/>
  <c r="O16" i="4"/>
  <c r="K87" i="4"/>
  <c r="K89" i="4" s="1"/>
  <c r="K104" i="4" s="1"/>
  <c r="M87" i="4"/>
  <c r="M89" i="4" s="1"/>
  <c r="M104" i="4" s="1"/>
  <c r="O82" i="4"/>
  <c r="K23" i="4"/>
  <c r="O18" i="4"/>
  <c r="M23" i="4"/>
  <c r="M25" i="4" s="1"/>
  <c r="M40" i="4" s="1"/>
  <c r="O16" i="3"/>
  <c r="M32" i="4"/>
  <c r="O30" i="4"/>
  <c r="O94" i="4"/>
  <c r="M96" i="4"/>
  <c r="O118" i="1"/>
  <c r="Q118" i="1" s="1"/>
  <c r="S118" i="1" s="1"/>
  <c r="O27" i="1"/>
  <c r="Q27" i="1" s="1"/>
  <c r="S27" i="1" s="1"/>
  <c r="O86" i="4"/>
  <c r="O104" i="4" l="1"/>
  <c r="O23" i="3"/>
  <c r="M34" i="1"/>
  <c r="M37" i="1"/>
  <c r="M164" i="4"/>
  <c r="O164" i="4" s="1"/>
  <c r="Q164" i="4" s="1"/>
  <c r="M168" i="4"/>
  <c r="O168" i="4" s="1"/>
  <c r="S164" i="4"/>
  <c r="Q153" i="4"/>
  <c r="S153" i="4" s="1"/>
  <c r="S169" i="4"/>
  <c r="Q169" i="4"/>
  <c r="Q75" i="3"/>
  <c r="S75" i="3"/>
  <c r="Q76" i="3"/>
  <c r="S76" i="3"/>
  <c r="O112" i="4"/>
  <c r="O121" i="4" s="1"/>
  <c r="M121" i="4"/>
  <c r="S104" i="4"/>
  <c r="Q104" i="4"/>
  <c r="M35" i="1"/>
  <c r="M38" i="1"/>
  <c r="K35" i="1"/>
  <c r="O24" i="1"/>
  <c r="S73" i="3"/>
  <c r="M73" i="3"/>
  <c r="O73" i="3" s="1"/>
  <c r="M28" i="3"/>
  <c r="M30" i="3"/>
  <c r="K28" i="3"/>
  <c r="K30" i="3"/>
  <c r="K100" i="4"/>
  <c r="M100" i="4"/>
  <c r="O23" i="4"/>
  <c r="O25" i="4" s="1"/>
  <c r="M36" i="4"/>
  <c r="K25" i="4"/>
  <c r="K40" i="4" s="1"/>
  <c r="K29" i="1"/>
  <c r="K34" i="1"/>
  <c r="K37" i="1"/>
  <c r="O32" i="4"/>
  <c r="Q32" i="4" s="1"/>
  <c r="S32" i="4" s="1"/>
  <c r="O96" i="4"/>
  <c r="Q68" i="3"/>
  <c r="S68" i="3" s="1"/>
  <c r="O87" i="4"/>
  <c r="O38" i="1" l="1"/>
  <c r="Q38" i="1" s="1"/>
  <c r="S168" i="4"/>
  <c r="Q168" i="4"/>
  <c r="M136" i="4"/>
  <c r="O136" i="4" s="1"/>
  <c r="M132" i="4"/>
  <c r="O132" i="4" s="1"/>
  <c r="Q132" i="4" s="1"/>
  <c r="S137" i="4"/>
  <c r="Q137" i="4"/>
  <c r="S132" i="4"/>
  <c r="Q121" i="4"/>
  <c r="S121" i="4" s="1"/>
  <c r="S41" i="4"/>
  <c r="Q41" i="4"/>
  <c r="O35" i="1"/>
  <c r="Q35" i="1" s="1"/>
  <c r="S35" i="1"/>
  <c r="S38" i="1"/>
  <c r="O37" i="1"/>
  <c r="O34" i="1"/>
  <c r="O100" i="4"/>
  <c r="Q100" i="4" s="1"/>
  <c r="S28" i="3"/>
  <c r="S31" i="3"/>
  <c r="Q31" i="3"/>
  <c r="O30" i="3"/>
  <c r="O28" i="3"/>
  <c r="K36" i="4"/>
  <c r="O36" i="4" s="1"/>
  <c r="Q36" i="4" s="1"/>
  <c r="O40" i="4"/>
  <c r="S36" i="4"/>
  <c r="O29" i="1"/>
  <c r="Q24" i="1"/>
  <c r="S24" i="1" s="1"/>
  <c r="S29" i="1"/>
  <c r="S37" i="1"/>
  <c r="S34" i="1"/>
  <c r="Q96" i="4"/>
  <c r="S96" i="4" s="1"/>
  <c r="O89" i="4"/>
  <c r="Q25" i="4"/>
  <c r="S25" i="4" s="1"/>
  <c r="Q73" i="3"/>
  <c r="Q23" i="3"/>
  <c r="S23" i="3" s="1"/>
  <c r="S136" i="4" l="1"/>
  <c r="Q136" i="4"/>
  <c r="S105" i="4"/>
  <c r="Q105" i="4"/>
  <c r="Q34" i="1"/>
  <c r="Q37" i="1"/>
  <c r="Q29" i="1"/>
  <c r="Q30" i="3"/>
  <c r="S30" i="3"/>
  <c r="S40" i="4"/>
  <c r="Q40" i="4"/>
  <c r="S100" i="4"/>
  <c r="Q28" i="3"/>
  <c r="Q89" i="4"/>
  <c r="S89" i="4" s="1"/>
  <c r="P52" i="6" l="1"/>
  <c r="P51" i="6"/>
  <c r="D55" i="6"/>
  <c r="P55" i="6" s="1"/>
  <c r="E107" i="1" l="1"/>
  <c r="D56" i="6"/>
  <c r="P56" i="6" l="1"/>
  <c r="D57" i="6"/>
  <c r="P57" i="6" s="1"/>
  <c r="E109" i="1" s="1"/>
  <c r="M107" i="1"/>
  <c r="K107" i="1"/>
  <c r="O107" i="1" l="1"/>
  <c r="E108" i="1"/>
  <c r="M109" i="1"/>
  <c r="K109" i="1"/>
  <c r="D58" i="6"/>
  <c r="P58" i="6" s="1"/>
  <c r="E110" i="1" s="1"/>
  <c r="O109" i="1" l="1"/>
  <c r="K110" i="1"/>
  <c r="M110" i="1"/>
  <c r="P61" i="6"/>
  <c r="D61" i="6"/>
  <c r="K108" i="1"/>
  <c r="M108" i="1"/>
  <c r="D59" i="6"/>
  <c r="O110" i="1" l="1"/>
  <c r="O108" i="1"/>
  <c r="P59" i="6"/>
  <c r="E111" i="1" s="1"/>
  <c r="D60" i="6"/>
  <c r="P60" i="6" s="1"/>
  <c r="E112" i="1" s="1"/>
  <c r="K112" i="1" l="1"/>
  <c r="M112" i="1"/>
  <c r="M111" i="1"/>
  <c r="K111" i="1"/>
  <c r="E113" i="1"/>
  <c r="K113" i="1" l="1"/>
  <c r="K115" i="1" s="1"/>
  <c r="K126" i="1" s="1"/>
  <c r="O112" i="1"/>
  <c r="O111" i="1"/>
  <c r="M113" i="1"/>
  <c r="M115" i="1" s="1"/>
  <c r="K120" i="1" l="1"/>
  <c r="K125" i="1"/>
  <c r="K129" i="1"/>
  <c r="K128" i="1"/>
  <c r="M128" i="1"/>
  <c r="M125" i="1"/>
  <c r="O125" i="1" s="1"/>
  <c r="Q125" i="1" s="1"/>
  <c r="M129" i="1"/>
  <c r="O129" i="1" s="1"/>
  <c r="Q129" i="1" s="1"/>
  <c r="M126" i="1"/>
  <c r="O126" i="1" s="1"/>
  <c r="Q126" i="1" s="1"/>
  <c r="O113" i="1"/>
  <c r="M120" i="1"/>
  <c r="O120" i="1" l="1"/>
  <c r="Q120" i="1" s="1"/>
  <c r="O128" i="1"/>
  <c r="Q128" i="1" s="1"/>
  <c r="O115" i="1"/>
  <c r="S120" i="1" s="1"/>
  <c r="P67" i="6"/>
  <c r="P66" i="6"/>
  <c r="D70" i="6"/>
  <c r="Q115" i="1" l="1"/>
  <c r="S115" i="1" s="1"/>
  <c r="S129" i="1"/>
  <c r="S125" i="1"/>
  <c r="S126" i="1"/>
  <c r="S128" i="1"/>
  <c r="D71" i="6"/>
  <c r="P70" i="6"/>
  <c r="E138" i="1" s="1"/>
  <c r="M138" i="1" l="1"/>
  <c r="K138" i="1"/>
  <c r="P71" i="6"/>
  <c r="E139" i="1" s="1"/>
  <c r="D72" i="6"/>
  <c r="M139" i="1" l="1"/>
  <c r="K139" i="1"/>
  <c r="O138" i="1"/>
  <c r="P72" i="6"/>
  <c r="E140" i="1" s="1"/>
  <c r="D73" i="6"/>
  <c r="P73" i="6" s="1"/>
  <c r="E141" i="1" s="1"/>
  <c r="O139" i="1" l="1"/>
  <c r="M141" i="1"/>
  <c r="K141" i="1"/>
  <c r="K140" i="1"/>
  <c r="M140" i="1"/>
  <c r="P76" i="6"/>
  <c r="D74" i="6"/>
  <c r="P74" i="6" s="1"/>
  <c r="E142" i="1" s="1"/>
  <c r="D76" i="6"/>
  <c r="O141" i="1" l="1"/>
  <c r="K142" i="1"/>
  <c r="M142" i="1"/>
  <c r="O140" i="1"/>
  <c r="D75" i="6"/>
  <c r="P75" i="6" s="1"/>
  <c r="E143" i="1" s="1"/>
  <c r="O142" i="1" l="1"/>
  <c r="M143" i="1"/>
  <c r="K143" i="1"/>
  <c r="K144" i="1" s="1"/>
  <c r="K146" i="1" s="1"/>
  <c r="E144" i="1"/>
  <c r="K151" i="1" l="1"/>
  <c r="K157" i="1"/>
  <c r="K156" i="1"/>
  <c r="K159" i="1"/>
  <c r="K160" i="1"/>
  <c r="O143" i="1"/>
  <c r="O144" i="1" s="1"/>
  <c r="O146" i="1" s="1"/>
  <c r="M144" i="1"/>
  <c r="M146" i="1" s="1"/>
  <c r="M160" i="1" l="1"/>
  <c r="O160" i="1" s="1"/>
  <c r="Q160" i="1" s="1"/>
  <c r="M159" i="1"/>
  <c r="O159" i="1" s="1"/>
  <c r="Q159" i="1" s="1"/>
  <c r="M157" i="1"/>
  <c r="O157" i="1" s="1"/>
  <c r="Q157" i="1" s="1"/>
  <c r="M156" i="1"/>
  <c r="O156" i="1" s="1"/>
  <c r="Q156" i="1" s="1"/>
  <c r="M151" i="1"/>
  <c r="O151" i="1" s="1"/>
  <c r="Q151" i="1" s="1"/>
  <c r="S160" i="1"/>
  <c r="S156" i="1"/>
  <c r="S157" i="1"/>
  <c r="Q146" i="1"/>
  <c r="S146" i="1" s="1"/>
  <c r="S159" i="1"/>
  <c r="S151" i="1"/>
  <c r="E76" i="1"/>
  <c r="K76" i="1"/>
  <c r="M76" i="1"/>
  <c r="O76" i="1"/>
  <c r="E77" i="1"/>
  <c r="K77" i="1"/>
  <c r="M77" i="1"/>
  <c r="O77" i="1"/>
  <c r="E78" i="1"/>
  <c r="K78" i="1"/>
  <c r="M78" i="1"/>
  <c r="O78" i="1"/>
  <c r="E79" i="1"/>
  <c r="K79" i="1"/>
  <c r="M79" i="1"/>
  <c r="O79" i="1"/>
  <c r="E80" i="1"/>
  <c r="K80" i="1"/>
  <c r="M80" i="1"/>
  <c r="O80" i="1"/>
  <c r="E81" i="1"/>
  <c r="K81" i="1"/>
  <c r="M81" i="1"/>
  <c r="O81" i="1"/>
  <c r="E82" i="1"/>
  <c r="K82" i="1"/>
  <c r="M82" i="1"/>
  <c r="O82" i="1"/>
  <c r="K84" i="1"/>
  <c r="M84" i="1"/>
  <c r="O84" i="1"/>
  <c r="Q84" i="1"/>
  <c r="S84" i="1"/>
  <c r="K89" i="1"/>
  <c r="M89" i="1"/>
  <c r="O89" i="1"/>
  <c r="Q89" i="1"/>
  <c r="S89" i="1"/>
  <c r="K94" i="1"/>
  <c r="M94" i="1"/>
  <c r="O94" i="1"/>
  <c r="Q94" i="1"/>
  <c r="S94" i="1"/>
  <c r="K95" i="1"/>
  <c r="M95" i="1"/>
  <c r="O95" i="1"/>
  <c r="Q95" i="1"/>
  <c r="S95" i="1"/>
  <c r="K97" i="1"/>
  <c r="M97" i="1"/>
  <c r="O97" i="1"/>
  <c r="Q97" i="1"/>
  <c r="S97" i="1"/>
  <c r="K98" i="1"/>
  <c r="M98" i="1"/>
  <c r="O98" i="1"/>
  <c r="Q98" i="1"/>
  <c r="S98" i="1"/>
  <c r="D36" i="6"/>
  <c r="E36" i="6"/>
  <c r="F36" i="6"/>
  <c r="G36" i="6"/>
  <c r="H36" i="6"/>
  <c r="I36" i="6"/>
  <c r="J36" i="6"/>
  <c r="K36" i="6"/>
  <c r="L36" i="6"/>
  <c r="M36" i="6"/>
  <c r="N36" i="6"/>
  <c r="O36" i="6"/>
  <c r="P36" i="6"/>
  <c r="D37" i="6"/>
  <c r="E37" i="6"/>
  <c r="F37" i="6"/>
  <c r="G37" i="6"/>
  <c r="H37" i="6"/>
  <c r="I37" i="6"/>
  <c r="J37" i="6"/>
  <c r="K37" i="6"/>
  <c r="L37" i="6"/>
  <c r="M37" i="6"/>
  <c r="N37" i="6"/>
  <c r="O37" i="6"/>
  <c r="P37" i="6"/>
  <c r="D40" i="6"/>
  <c r="E40" i="6"/>
  <c r="F40" i="6"/>
  <c r="G40" i="6"/>
  <c r="H40" i="6"/>
  <c r="I40" i="6"/>
  <c r="J40" i="6"/>
  <c r="K40" i="6"/>
  <c r="L40" i="6"/>
  <c r="M40" i="6"/>
  <c r="N40" i="6"/>
  <c r="O40" i="6"/>
  <c r="P40" i="6"/>
  <c r="D41" i="6"/>
  <c r="E41" i="6"/>
  <c r="F41" i="6"/>
  <c r="G41" i="6"/>
  <c r="H41" i="6"/>
  <c r="I41" i="6"/>
  <c r="J41" i="6"/>
  <c r="K41" i="6"/>
  <c r="L41" i="6"/>
  <c r="M41" i="6"/>
  <c r="N41" i="6"/>
  <c r="O41" i="6"/>
  <c r="P41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</calcChain>
</file>

<file path=xl/sharedStrings.xml><?xml version="1.0" encoding="utf-8"?>
<sst xmlns="http://schemas.openxmlformats.org/spreadsheetml/2006/main" count="869" uniqueCount="146">
  <si>
    <t>Page 1</t>
  </si>
  <si>
    <t>Calculation of 2024 General Service Bill Impacts for Typical Customers - Current Rate Classes</t>
  </si>
  <si>
    <t>EGD Rate Zone</t>
  </si>
  <si>
    <t>Unit Rate</t>
  </si>
  <si>
    <t>Total Bill</t>
  </si>
  <si>
    <t>Bill Impact</t>
  </si>
  <si>
    <t>Including Federal</t>
  </si>
  <si>
    <t>Excluding Federal</t>
  </si>
  <si>
    <t>Line</t>
  </si>
  <si>
    <t>Billing Units</t>
  </si>
  <si>
    <t>2023 Current (1)</t>
  </si>
  <si>
    <t>2024 Proposed (2)</t>
  </si>
  <si>
    <t>2023 Current</t>
  </si>
  <si>
    <t>2024 Proposed</t>
  </si>
  <si>
    <t>Change</t>
  </si>
  <si>
    <t>Carbon Charge</t>
  </si>
  <si>
    <t>No.</t>
  </si>
  <si>
    <t>Particulars</t>
  </si>
  <si>
    <r>
      <t>(m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)</t>
    </r>
  </si>
  <si>
    <r>
      <t>(cents / 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</si>
  <si>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($)</t>
  </si>
  <si>
    <t>(%)</t>
  </si>
  <si>
    <t>(a)</t>
  </si>
  <si>
    <t>(b)</t>
  </si>
  <si>
    <t>(c)</t>
  </si>
  <si>
    <t>(d) = (a*b)/100</t>
  </si>
  <si>
    <t>(e) = (a*c)/100</t>
  </si>
  <si>
    <t>(f) = (e-d)</t>
  </si>
  <si>
    <t>(g) = (f/d)</t>
  </si>
  <si>
    <t>(h)</t>
  </si>
  <si>
    <t>Rate 1 - Small Customer</t>
  </si>
  <si>
    <t>Annual Volume</t>
  </si>
  <si>
    <t>Delivery Charges</t>
  </si>
  <si>
    <t>Monthly Customer Charge</t>
  </si>
  <si>
    <t>12 months</t>
  </si>
  <si>
    <t>Delivery Charge - Commodity</t>
  </si>
  <si>
    <t>First     30 m³</t>
  </si>
  <si>
    <t>Next     55 m³</t>
  </si>
  <si>
    <t>Next     85 m³</t>
  </si>
  <si>
    <t>Over  170 m³</t>
  </si>
  <si>
    <t>Total Delivery Commodity Charge</t>
  </si>
  <si>
    <t>Facility Carbon Charge</t>
  </si>
  <si>
    <t>Total Delivery Charges</t>
  </si>
  <si>
    <t>Federal Carbon Charge</t>
  </si>
  <si>
    <t>Gas Supply Transportation</t>
  </si>
  <si>
    <t>Gas Supply Commodity</t>
  </si>
  <si>
    <t>Total Bill - Sales Service</t>
  </si>
  <si>
    <t>Transportation - WTS</t>
  </si>
  <si>
    <t>Transportation - DTS</t>
  </si>
  <si>
    <t>Total Bill - Bundled Direct Purchase WTS</t>
  </si>
  <si>
    <t>Bundled Direct Purchase Impact WTS</t>
  </si>
  <si>
    <t>Total Bill - Bundled Direct Purchase DTS</t>
  </si>
  <si>
    <t>Bundled Direct Purchase Impact DTS</t>
  </si>
  <si>
    <t>Rate 1 - Large Customer</t>
  </si>
  <si>
    <t>Rate 6 - Small Customer</t>
  </si>
  <si>
    <t>Page 2</t>
  </si>
  <si>
    <t>First     500 m³</t>
  </si>
  <si>
    <t>Next    1,050 m³</t>
  </si>
  <si>
    <t>Next    4,500 m³</t>
  </si>
  <si>
    <t>Next    7,000 m³</t>
  </si>
  <si>
    <t>Next    15,250 m³</t>
  </si>
  <si>
    <t>Over    28,300 m³</t>
  </si>
  <si>
    <t>Rate 6 - Average Customer</t>
  </si>
  <si>
    <t>Rate 6 - Large Customer</t>
  </si>
  <si>
    <t>Notes:</t>
  </si>
  <si>
    <t>(1)</t>
  </si>
  <si>
    <t>Exhibit 8, Tab 2, Schedule 8, Attachment 4, column (a), updated March 8, 2023.</t>
  </si>
  <si>
    <t>(2)</t>
  </si>
  <si>
    <t>Exhibit 8, Tab 2, Schedule 8, Attachment 4, column (c), updated March 8, 2023.</t>
  </si>
  <si>
    <t>Page 3</t>
  </si>
  <si>
    <t>Union North West Rate Zone</t>
  </si>
  <si>
    <t>Rate 01 - Small Customer</t>
  </si>
  <si>
    <t>First 100 m³</t>
  </si>
  <si>
    <t>Next  200 m³</t>
  </si>
  <si>
    <t>Next 200 m³</t>
  </si>
  <si>
    <t>Next 500 m³</t>
  </si>
  <si>
    <t>Over   1,000 m³</t>
  </si>
  <si>
    <t>Storage Charge</t>
  </si>
  <si>
    <t>Total Gas Supply Transportation</t>
  </si>
  <si>
    <t xml:space="preserve">Gas Supply Commodity </t>
  </si>
  <si>
    <t>Gas Supply Western Transportation</t>
  </si>
  <si>
    <t>Total Bill - Bundled Direct Purchase</t>
  </si>
  <si>
    <t xml:space="preserve">Bundled Direct Purchase Impact </t>
  </si>
  <si>
    <t>Rate 01 - Large Customer</t>
  </si>
  <si>
    <t>Monthly Charge</t>
  </si>
  <si>
    <t>Delivery Commodity Charge</t>
  </si>
  <si>
    <t>Gas Supply Commodity Charge</t>
  </si>
  <si>
    <t>Rate 10 - Small Customer</t>
  </si>
  <si>
    <t>Page 4</t>
  </si>
  <si>
    <t>First 1 000 m³</t>
  </si>
  <si>
    <t>Next  9 000 m³</t>
  </si>
  <si>
    <t>Next 20 000 m³</t>
  </si>
  <si>
    <t>Next 70 000 m³</t>
  </si>
  <si>
    <t>Over   100,000 m³</t>
  </si>
  <si>
    <t>Rate 10 - Average Customer</t>
  </si>
  <si>
    <t>Rate 10 - Large Customer</t>
  </si>
  <si>
    <t>Page 5</t>
  </si>
  <si>
    <t>Union North East Rate Zone</t>
  </si>
  <si>
    <t>Page 6</t>
  </si>
  <si>
    <t>Page 7</t>
  </si>
  <si>
    <t>Union South Rate Zone</t>
  </si>
  <si>
    <t>Rate M1 - Small Customer</t>
  </si>
  <si>
    <r>
      <t xml:space="preserve">    First              100 m</t>
    </r>
    <r>
      <rPr>
        <vertAlign val="superscript"/>
        <sz val="10"/>
        <rFont val="Arial"/>
        <family val="2"/>
      </rPr>
      <t>3</t>
    </r>
  </si>
  <si>
    <r>
      <t xml:space="preserve">    Next              150 m</t>
    </r>
    <r>
      <rPr>
        <vertAlign val="superscript"/>
        <sz val="10"/>
        <rFont val="Arial"/>
        <family val="2"/>
      </rPr>
      <t>3</t>
    </r>
  </si>
  <si>
    <r>
      <t xml:space="preserve">    All over       250 m</t>
    </r>
    <r>
      <rPr>
        <vertAlign val="superscript"/>
        <sz val="10"/>
        <rFont val="Arial"/>
        <family val="2"/>
      </rPr>
      <t>3</t>
    </r>
  </si>
  <si>
    <t>Rate M1 - Large Customer</t>
  </si>
  <si>
    <t>Rate M2 - Small Customer</t>
  </si>
  <si>
    <t>Page 8</t>
  </si>
  <si>
    <r>
      <t xml:space="preserve">    First              1 000 m</t>
    </r>
    <r>
      <rPr>
        <vertAlign val="superscript"/>
        <sz val="10"/>
        <rFont val="Arial"/>
        <family val="2"/>
      </rPr>
      <t>3</t>
    </r>
  </si>
  <si>
    <r>
      <t xml:space="preserve">    Next              6 000 m</t>
    </r>
    <r>
      <rPr>
        <vertAlign val="superscript"/>
        <sz val="10"/>
        <rFont val="Arial"/>
        <family val="2"/>
      </rPr>
      <t>3</t>
    </r>
  </si>
  <si>
    <r>
      <t xml:space="preserve">    Next            13 000 m</t>
    </r>
    <r>
      <rPr>
        <vertAlign val="superscript"/>
        <sz val="10"/>
        <rFont val="Arial"/>
        <family val="2"/>
      </rPr>
      <t>3</t>
    </r>
  </si>
  <si>
    <r>
      <t xml:space="preserve">    All over       20 000 m</t>
    </r>
    <r>
      <rPr>
        <vertAlign val="superscript"/>
        <sz val="10"/>
        <rFont val="Arial"/>
        <family val="2"/>
      </rPr>
      <t>3</t>
    </r>
  </si>
  <si>
    <t>Rate M2 - Average Customer</t>
  </si>
  <si>
    <t>Rate M2 - Large Customer</t>
  </si>
  <si>
    <t>Annual Volume Profile for Typical General Service Customers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</si>
  <si>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</si>
  <si>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</si>
  <si>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</si>
  <si>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</si>
  <si>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</si>
  <si>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</si>
  <si>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</si>
  <si>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</si>
  <si>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</si>
  <si>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</si>
  <si>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</si>
  <si>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</si>
  <si>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</si>
  <si>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(d)</t>
  </si>
  <si>
    <t>(e)</t>
  </si>
  <si>
    <t>(f)</t>
  </si>
  <si>
    <t>(g)</t>
  </si>
  <si>
    <t>(i)</t>
  </si>
  <si>
    <t>(j)</t>
  </si>
  <si>
    <t>(k)</t>
  </si>
  <si>
    <t>(l)</t>
  </si>
  <si>
    <t>(m)</t>
  </si>
  <si>
    <t>Annual Volume (m³)</t>
  </si>
  <si>
    <t>Allocation of Annual Volume (m³)</t>
  </si>
  <si>
    <t>Monthly Volume Distribution (%)</t>
  </si>
  <si>
    <t>Monthly Blocks</t>
  </si>
  <si>
    <t>First</t>
  </si>
  <si>
    <t>Next</t>
  </si>
  <si>
    <t>All over</t>
  </si>
  <si>
    <t>Union North Rate Zone</t>
  </si>
  <si>
    <t xml:space="preserve">Rate 01 - Large Customer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</si>
</sst>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(* #,##0.00_);_(* \(#,##0.00\);_(* &quot;-&quot;??_);_(@_)"/>
    <numFmt numFmtId="164" formatCode="_-* #,##0.00_-;\-* #,##0.00_-;_-* &quot;-&quot;??_-;_-@_-"/>
    <numFmt numFmtId="165" formatCode="#,##0.00_ ;\-#,##0.00\ "/>
    <numFmt numFmtId="166" formatCode="_-* #,##0_-;\-* #,##0_-;_-* &quot;-&quot;??_-;_-@_-"/>
    <numFmt numFmtId="167" formatCode="&quot;$&quot;#,##0.00;[Red]\-&quot;$&quot;#,##0.00"/>
    <numFmt numFmtId="168" formatCode="#,##0.0000_ ;\-#,##0.0000\ "/>
    <numFmt numFmtId="169" formatCode="#,##0.0000_ ;\(#,##0.0000\)"/>
    <numFmt numFmtId="170" formatCode="_(* #,##0_);_(* \(#,##0\);_(* &quot;-&quot;??_);_(@_)"/>
    <numFmt numFmtId="171" formatCode="0.0%"/>
    <numFmt numFmtId="172" formatCode="mmmm\ d\,\ yyyy"/>
    <numFmt numFmtId="173" formatCode="_-&quot;$&quot;* #,##0.00_-;\-&quot;$&quot;* #,##0.00_-;_-&quot;$&quot;* &quot;-&quot;??_-;_-@_-"/>
    <numFmt numFmtId="174" formatCode="_(* #,##0.000000_);_(* \(#,##0.000000\);_(* &quot;-&quot;??_);_(@_)"/>
    <numFmt numFmtId="175" formatCode="_-* #,##0.0000_-;\-* #,##0.0000_-;_-* &quot;-&quot;??_-;_-@_-"/>
    <numFmt numFmtId="176" formatCode="0_);\(0\)"/>
    <numFmt numFmtId="177" formatCode="#,##0_);\(#,##0\);\-"/>
    <numFmt numFmtId="178" formatCode="0.0%;\(0.0%\)"/>
    <numFmt numFmtId="179" formatCode="#,##0;\ \(#,###\);\ \-"/>
    <numFmt numFmtId="180" formatCode="#,##0.0000_);\(#,##0.0000\)"/>
  </numFmts>
  <fonts count="13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7030A0"/>
      <name val="Arial"/>
      <family val="2"/>
    </font>
    <font>
      <vertAlign val="superscript"/>
      <sz val="10"/>
      <name val="Arial"/>
      <family val="2"/>
    </font>
    <font>
      <u/>
      <sz val="10"/>
      <name val="Arial"/>
      <family val="2"/>
    </font>
    <font>
      <sz val="10"/>
      <color theme="4"/>
      <name val="Arial"/>
      <family val="2"/>
    </font>
    <font>
      <sz val="10"/>
      <color rgb="FF0070C0"/>
      <name val="Arial"/>
      <family val="2"/>
    </font>
    <font>
      <u/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sz val="12"/>
      <name val="Arial"/>
      <family val="2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0" fontId="12" fillId="0" borderId="0"/>
    <xf numFmtId="43" fontId="3" fillId="0" borderId="0" applyFont="0" applyFill="0" applyBorder="0" applyAlignment="0" applyProtection="0"/>
  </cellStyleXfs>
  <cellXfs count="153">
    <xf numFmtId="0" fontId="0" fillId="0" borderId="0" xfId="0"/>
    <xf numFmtId="15" fontId="3" fillId="0" borderId="0" xfId="0" applyNumberFormat="1" applyFont="1" applyAlignment="1">
      <alignment horizontal="center"/>
    </xf>
    <xf numFmtId="40" fontId="4" fillId="0" borderId="0" xfId="0" applyNumberFormat="1" applyFont="1"/>
    <xf numFmtId="40" fontId="3" fillId="0" borderId="0" xfId="0" applyNumberFormat="1" applyFont="1"/>
    <xf numFmtId="0" fontId="3" fillId="0" borderId="0" xfId="0" applyFont="1"/>
    <xf numFmtId="43" fontId="6" fillId="0" borderId="0" xfId="1" applyNumberFormat="1" applyFont="1" applyFill="1"/>
    <xf numFmtId="43" fontId="3" fillId="0" borderId="0" xfId="1" applyNumberFormat="1" applyFont="1" applyFill="1"/>
    <xf numFmtId="38" fontId="3" fillId="0" borderId="0" xfId="0" applyNumberFormat="1" applyFont="1"/>
    <xf numFmtId="0" fontId="6" fillId="0" borderId="0" xfId="0" applyFont="1"/>
    <xf numFmtId="43" fontId="3" fillId="0" borderId="0" xfId="1" applyNumberFormat="1" applyFont="1" applyFill="1" applyBorder="1"/>
    <xf numFmtId="43" fontId="6" fillId="0" borderId="0" xfId="1" applyNumberFormat="1" applyFont="1" applyFill="1" applyAlignment="1"/>
    <xf numFmtId="0" fontId="3" fillId="0" borderId="0" xfId="0" applyFont="1" applyAlignment="1">
      <alignment horizontal="left" indent="1"/>
    </xf>
    <xf numFmtId="166" fontId="3" fillId="0" borderId="0" xfId="1" applyNumberFormat="1" applyFont="1" applyFill="1" applyBorder="1"/>
    <xf numFmtId="169" fontId="8" fillId="0" borderId="0" xfId="1" applyNumberFormat="1" applyFont="1" applyFill="1" applyBorder="1"/>
    <xf numFmtId="169" fontId="8" fillId="0" borderId="0" xfId="1" applyNumberFormat="1" applyFont="1" applyFill="1"/>
    <xf numFmtId="0" fontId="3" fillId="0" borderId="0" xfId="6" applyFont="1"/>
    <xf numFmtId="0" fontId="3" fillId="0" borderId="0" xfId="6" applyFont="1" applyAlignment="1">
      <alignment horizontal="right"/>
    </xf>
    <xf numFmtId="174" fontId="3" fillId="0" borderId="0" xfId="1" applyNumberFormat="1" applyFont="1" applyFill="1" applyAlignment="1" applyProtection="1">
      <alignment horizontal="right"/>
    </xf>
    <xf numFmtId="0" fontId="3" fillId="0" borderId="0" xfId="0" applyFont="1" applyAlignment="1">
      <alignment horizontal="right"/>
    </xf>
    <xf numFmtId="168" fontId="3" fillId="0" borderId="0" xfId="1" applyNumberFormat="1" applyFont="1" applyFill="1"/>
    <xf numFmtId="0" fontId="3" fillId="0" borderId="0" xfId="0" applyFont="1" applyAlignment="1">
      <alignment horizontal="center"/>
    </xf>
    <xf numFmtId="176" fontId="3" fillId="0" borderId="0" xfId="0" applyNumberFormat="1" applyFont="1"/>
    <xf numFmtId="176" fontId="3" fillId="0" borderId="0" xfId="0" applyNumberFormat="1" applyFont="1" applyAlignment="1">
      <alignment horizontal="center"/>
    </xf>
    <xf numFmtId="40" fontId="3" fillId="0" borderId="0" xfId="0" applyNumberFormat="1" applyFont="1" applyAlignment="1">
      <alignment horizontal="center"/>
    </xf>
    <xf numFmtId="0" fontId="9" fillId="0" borderId="0" xfId="0" applyFont="1"/>
    <xf numFmtId="0" fontId="3" fillId="0" borderId="0" xfId="6" applyFont="1" applyAlignment="1">
      <alignment horizontal="center"/>
    </xf>
    <xf numFmtId="0" fontId="3" fillId="0" borderId="0" xfId="0" quotePrefix="1" applyFont="1" applyAlignment="1">
      <alignment horizontal="center"/>
    </xf>
    <xf numFmtId="0" fontId="3" fillId="0" borderId="1" xfId="6" applyFont="1" applyBorder="1"/>
    <xf numFmtId="0" fontId="3" fillId="0" borderId="1" xfId="6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72" fontId="6" fillId="0" borderId="0" xfId="6" quotePrefix="1" applyNumberFormat="1" applyFont="1" applyAlignment="1">
      <alignment horizontal="left"/>
    </xf>
    <xf numFmtId="172" fontId="3" fillId="0" borderId="0" xfId="6" quotePrefix="1" applyNumberFormat="1" applyFont="1" applyAlignment="1">
      <alignment horizontal="center"/>
    </xf>
    <xf numFmtId="170" fontId="3" fillId="0" borderId="0" xfId="1" applyNumberFormat="1" applyFont="1" applyFill="1" applyAlignment="1" applyProtection="1">
      <alignment horizontal="center"/>
    </xf>
    <xf numFmtId="10" fontId="3" fillId="0" borderId="0" xfId="7" applyNumberFormat="1" applyFont="1" applyFill="1" applyAlignment="1" applyProtection="1">
      <alignment horizontal="center"/>
    </xf>
    <xf numFmtId="10" fontId="3" fillId="0" borderId="0" xfId="0" applyNumberFormat="1" applyFont="1" applyAlignment="1">
      <alignment horizontal="center"/>
    </xf>
    <xf numFmtId="174" fontId="3" fillId="0" borderId="0" xfId="1" applyNumberFormat="1" applyFont="1" applyFill="1" applyAlignment="1" applyProtection="1">
      <alignment horizontal="center"/>
    </xf>
    <xf numFmtId="10" fontId="3" fillId="0" borderId="0" xfId="7" applyNumberFormat="1" applyFont="1" applyAlignment="1" applyProtection="1">
      <alignment horizontal="center"/>
    </xf>
    <xf numFmtId="171" fontId="3" fillId="0" borderId="0" xfId="7" applyNumberFormat="1" applyFont="1" applyFill="1" applyAlignment="1" applyProtection="1">
      <alignment horizontal="center"/>
    </xf>
    <xf numFmtId="170" fontId="3" fillId="0" borderId="0" xfId="8" applyNumberFormat="1" applyFont="1" applyFill="1" applyAlignment="1" applyProtection="1">
      <alignment horizontal="center"/>
    </xf>
    <xf numFmtId="10" fontId="3" fillId="0" borderId="0" xfId="6" applyNumberFormat="1" applyFont="1" applyAlignment="1">
      <alignment horizontal="center"/>
    </xf>
    <xf numFmtId="179" fontId="3" fillId="0" borderId="0" xfId="1" applyNumberFormat="1" applyFont="1" applyFill="1" applyAlignment="1" applyProtection="1">
      <alignment horizontal="center"/>
    </xf>
    <xf numFmtId="179" fontId="3" fillId="0" borderId="2" xfId="1" applyNumberFormat="1" applyFont="1" applyFill="1" applyBorder="1" applyAlignment="1" applyProtection="1">
      <alignment horizontal="center"/>
    </xf>
    <xf numFmtId="179" fontId="3" fillId="0" borderId="0" xfId="6" applyNumberFormat="1" applyFont="1" applyAlignment="1">
      <alignment horizontal="center"/>
    </xf>
    <xf numFmtId="179" fontId="3" fillId="0" borderId="0" xfId="0" applyNumberFormat="1" applyFont="1" applyAlignment="1">
      <alignment horizontal="center"/>
    </xf>
    <xf numFmtId="179" fontId="3" fillId="0" borderId="0" xfId="0" applyNumberFormat="1" applyFont="1" applyAlignment="1" applyProtection="1">
      <alignment horizontal="center"/>
      <protection locked="0"/>
    </xf>
    <xf numFmtId="0" fontId="3" fillId="0" borderId="0" xfId="0" applyFont="1" applyAlignment="1">
      <alignment horizontal="left"/>
    </xf>
    <xf numFmtId="0" fontId="6" fillId="0" borderId="0" xfId="6" applyFont="1" applyAlignment="1">
      <alignment horizontal="left"/>
    </xf>
    <xf numFmtId="0" fontId="3" fillId="0" borderId="1" xfId="6" applyFont="1" applyBorder="1" applyAlignment="1">
      <alignment horizontal="left"/>
    </xf>
    <xf numFmtId="0" fontId="6" fillId="0" borderId="0" xfId="0" applyFont="1" applyAlignment="1">
      <alignment horizontal="left"/>
    </xf>
    <xf numFmtId="0" fontId="3" fillId="0" borderId="0" xfId="6" applyFont="1" applyAlignment="1">
      <alignment horizontal="left"/>
    </xf>
    <xf numFmtId="174" fontId="3" fillId="0" borderId="0" xfId="1" applyNumberFormat="1" applyFont="1" applyFill="1" applyAlignment="1" applyProtection="1">
      <alignment horizontal="left"/>
    </xf>
    <xf numFmtId="179" fontId="3" fillId="0" borderId="0" xfId="8" applyNumberFormat="1" applyFont="1" applyFill="1" applyAlignment="1" applyProtection="1">
      <alignment horizontal="center"/>
    </xf>
    <xf numFmtId="179" fontId="3" fillId="0" borderId="1" xfId="8" applyNumberFormat="1" applyFont="1" applyFill="1" applyBorder="1" applyAlignment="1" applyProtection="1">
      <alignment horizontal="center"/>
    </xf>
    <xf numFmtId="179" fontId="3" fillId="0" borderId="2" xfId="8" applyNumberFormat="1" applyFont="1" applyFill="1" applyBorder="1" applyAlignment="1" applyProtection="1">
      <alignment horizontal="center"/>
    </xf>
    <xf numFmtId="179" fontId="3" fillId="0" borderId="0" xfId="6" applyNumberFormat="1" applyFont="1" applyAlignment="1" applyProtection="1">
      <alignment horizontal="center"/>
      <protection locked="0"/>
    </xf>
    <xf numFmtId="179" fontId="3" fillId="0" borderId="1" xfId="1" applyNumberFormat="1" applyFont="1" applyFill="1" applyBorder="1" applyAlignment="1" applyProtection="1">
      <alignment horizontal="center"/>
    </xf>
    <xf numFmtId="179" fontId="3" fillId="0" borderId="0" xfId="1" applyNumberFormat="1" applyFont="1" applyFill="1" applyAlignment="1" applyProtection="1">
      <alignment horizontal="center"/>
      <protection locked="0"/>
    </xf>
    <xf numFmtId="179" fontId="3" fillId="0" borderId="0" xfId="1" applyNumberFormat="1" applyFont="1" applyAlignment="1">
      <alignment horizontal="center"/>
    </xf>
    <xf numFmtId="179" fontId="3" fillId="0" borderId="0" xfId="0" applyNumberFormat="1" applyFont="1"/>
    <xf numFmtId="176" fontId="0" fillId="0" borderId="0" xfId="0" applyNumberFormat="1"/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  <xf numFmtId="40" fontId="0" fillId="0" borderId="0" xfId="0" applyNumberFormat="1"/>
    <xf numFmtId="40" fontId="0" fillId="0" borderId="0" xfId="0" applyNumberFormat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40" fontId="0" fillId="0" borderId="1" xfId="0" applyNumberFormat="1" applyBorder="1" applyAlignment="1">
      <alignment horizontal="center"/>
    </xf>
    <xf numFmtId="176" fontId="0" fillId="0" borderId="1" xfId="0" applyNumberFormat="1" applyBorder="1" applyAlignment="1">
      <alignment horizontal="center"/>
    </xf>
    <xf numFmtId="0" fontId="6" fillId="0" borderId="0" xfId="0" applyFont="1" applyAlignment="1">
      <alignment wrapText="1"/>
    </xf>
    <xf numFmtId="165" fontId="2" fillId="0" borderId="0" xfId="1" applyNumberFormat="1" applyFont="1" applyFill="1"/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165" fontId="0" fillId="0" borderId="0" xfId="0" applyNumberFormat="1"/>
    <xf numFmtId="0" fontId="0" fillId="0" borderId="0" xfId="0" applyAlignment="1">
      <alignment horizontal="left" indent="2"/>
    </xf>
    <xf numFmtId="177" fontId="2" fillId="0" borderId="0" xfId="1" applyNumberFormat="1" applyFont="1" applyFill="1" applyAlignment="1">
      <alignment horizontal="center"/>
    </xf>
    <xf numFmtId="166" fontId="2" fillId="0" borderId="0" xfId="1" applyNumberFormat="1" applyFont="1"/>
    <xf numFmtId="0" fontId="0" fillId="0" borderId="0" xfId="0" quotePrefix="1" applyAlignment="1">
      <alignment horizontal="center"/>
    </xf>
    <xf numFmtId="165" fontId="2" fillId="0" borderId="0" xfId="1" applyNumberFormat="1" applyFont="1" applyFill="1" applyAlignment="1">
      <alignment horizontal="center"/>
    </xf>
    <xf numFmtId="175" fontId="3" fillId="0" borderId="0" xfId="1" applyNumberFormat="1" applyFont="1" applyFill="1" applyAlignment="1">
      <alignment horizontal="center"/>
    </xf>
    <xf numFmtId="168" fontId="8" fillId="0" borderId="0" xfId="1" applyNumberFormat="1" applyFont="1" applyFill="1" applyBorder="1" applyAlignment="1">
      <alignment horizontal="center"/>
    </xf>
    <xf numFmtId="168" fontId="3" fillId="0" borderId="0" xfId="1" applyNumberFormat="1" applyFont="1" applyFill="1" applyAlignment="1">
      <alignment horizontal="center"/>
    </xf>
    <xf numFmtId="166" fontId="3" fillId="0" borderId="0" xfId="1" applyNumberFormat="1" applyFont="1" applyFill="1" applyBorder="1" applyAlignment="1">
      <alignment horizontal="center"/>
    </xf>
    <xf numFmtId="43" fontId="6" fillId="0" borderId="0" xfId="1" applyNumberFormat="1" applyFont="1" applyFill="1" applyAlignment="1">
      <alignment horizontal="center"/>
    </xf>
    <xf numFmtId="177" fontId="3" fillId="0" borderId="0" xfId="1" applyNumberFormat="1" applyFont="1" applyFill="1" applyAlignment="1">
      <alignment horizontal="center"/>
    </xf>
    <xf numFmtId="165" fontId="3" fillId="0" borderId="0" xfId="1" applyNumberFormat="1" applyFont="1" applyFill="1" applyAlignment="1">
      <alignment horizontal="center"/>
    </xf>
    <xf numFmtId="175" fontId="6" fillId="0" borderId="0" xfId="1" applyNumberFormat="1" applyFont="1" applyFill="1" applyAlignment="1">
      <alignment horizontal="center"/>
    </xf>
    <xf numFmtId="178" fontId="3" fillId="0" borderId="0" xfId="2" applyNumberFormat="1" applyFont="1" applyFill="1" applyBorder="1" applyAlignment="1">
      <alignment horizontal="center"/>
    </xf>
    <xf numFmtId="166" fontId="2" fillId="0" borderId="0" xfId="1" applyNumberFormat="1" applyFont="1" applyFill="1" applyBorder="1" applyAlignment="1">
      <alignment horizontal="center"/>
    </xf>
    <xf numFmtId="178" fontId="0" fillId="0" borderId="0" xfId="0" applyNumberFormat="1" applyAlignment="1">
      <alignment horizontal="center"/>
    </xf>
    <xf numFmtId="178" fontId="3" fillId="0" borderId="0" xfId="0" applyNumberFormat="1" applyFont="1" applyAlignment="1">
      <alignment horizontal="center"/>
    </xf>
    <xf numFmtId="38" fontId="3" fillId="0" borderId="0" xfId="0" applyNumberFormat="1" applyFont="1" applyAlignment="1">
      <alignment horizontal="center"/>
    </xf>
    <xf numFmtId="167" fontId="3" fillId="0" borderId="0" xfId="0" applyNumberFormat="1" applyFont="1" applyAlignment="1">
      <alignment horizontal="center"/>
    </xf>
    <xf numFmtId="167" fontId="7" fillId="0" borderId="0" xfId="0" applyNumberFormat="1" applyFont="1" applyAlignment="1">
      <alignment horizontal="center"/>
    </xf>
    <xf numFmtId="177" fontId="3" fillId="0" borderId="2" xfId="1" applyNumberFormat="1" applyFont="1" applyFill="1" applyBorder="1" applyAlignment="1">
      <alignment horizontal="center"/>
    </xf>
    <xf numFmtId="38" fontId="3" fillId="0" borderId="0" xfId="1" applyNumberFormat="1" applyFont="1" applyFill="1" applyBorder="1" applyAlignment="1">
      <alignment horizontal="center"/>
    </xf>
    <xf numFmtId="178" fontId="3" fillId="0" borderId="2" xfId="2" applyNumberFormat="1" applyFont="1" applyFill="1" applyBorder="1" applyAlignment="1">
      <alignment horizontal="center"/>
    </xf>
    <xf numFmtId="38" fontId="0" fillId="0" borderId="0" xfId="0" applyNumberFormat="1" applyAlignment="1">
      <alignment horizontal="center"/>
    </xf>
    <xf numFmtId="177" fontId="3" fillId="0" borderId="0" xfId="1" applyNumberFormat="1" applyFont="1" applyFill="1" applyBorder="1" applyAlignment="1">
      <alignment horizontal="center"/>
    </xf>
    <xf numFmtId="177" fontId="2" fillId="0" borderId="0" xfId="1" applyNumberFormat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177" fontId="3" fillId="0" borderId="3" xfId="1" applyNumberFormat="1" applyFont="1" applyFill="1" applyBorder="1" applyAlignment="1">
      <alignment horizontal="center"/>
    </xf>
    <xf numFmtId="178" fontId="3" fillId="0" borderId="3" xfId="2" applyNumberFormat="1" applyFont="1" applyFill="1" applyBorder="1" applyAlignment="1">
      <alignment horizontal="center"/>
    </xf>
    <xf numFmtId="178" fontId="2" fillId="0" borderId="0" xfId="2" applyNumberFormat="1" applyFont="1" applyFill="1" applyBorder="1" applyAlignment="1">
      <alignment horizontal="center"/>
    </xf>
    <xf numFmtId="177" fontId="9" fillId="0" borderId="0" xfId="1" applyNumberFormat="1" applyFont="1" applyFill="1" applyAlignment="1">
      <alignment horizontal="center"/>
    </xf>
    <xf numFmtId="177" fontId="3" fillId="0" borderId="4" xfId="1" applyNumberFormat="1" applyFont="1" applyFill="1" applyBorder="1" applyAlignment="1">
      <alignment horizontal="center"/>
    </xf>
    <xf numFmtId="178" fontId="3" fillId="0" borderId="0" xfId="2" applyNumberFormat="1" applyFont="1" applyFill="1" applyAlignment="1">
      <alignment horizontal="center"/>
    </xf>
    <xf numFmtId="37" fontId="2" fillId="0" borderId="0" xfId="1" applyNumberFormat="1" applyFont="1" applyFill="1" applyBorder="1" applyAlignment="1">
      <alignment horizontal="center"/>
    </xf>
    <xf numFmtId="37" fontId="2" fillId="0" borderId="1" xfId="1" applyNumberFormat="1" applyFont="1" applyFill="1" applyBorder="1" applyAlignment="1">
      <alignment horizontal="center"/>
    </xf>
    <xf numFmtId="37" fontId="3" fillId="0" borderId="0" xfId="1" applyNumberFormat="1" applyFont="1" applyFill="1" applyBorder="1" applyAlignment="1">
      <alignment horizontal="center"/>
    </xf>
    <xf numFmtId="180" fontId="3" fillId="0" borderId="0" xfId="1" applyNumberFormat="1" applyFont="1" applyFill="1" applyAlignment="1">
      <alignment horizontal="center"/>
    </xf>
    <xf numFmtId="180" fontId="3" fillId="0" borderId="0" xfId="0" applyNumberFormat="1" applyFont="1" applyAlignment="1">
      <alignment horizontal="center"/>
    </xf>
    <xf numFmtId="179" fontId="2" fillId="0" borderId="0" xfId="1" applyNumberFormat="1" applyFont="1" applyFill="1" applyBorder="1" applyAlignment="1">
      <alignment horizontal="center"/>
    </xf>
    <xf numFmtId="179" fontId="2" fillId="0" borderId="1" xfId="1" applyNumberFormat="1" applyFont="1" applyFill="1" applyBorder="1" applyAlignment="1">
      <alignment horizontal="center"/>
    </xf>
    <xf numFmtId="179" fontId="3" fillId="0" borderId="0" xfId="1" applyNumberFormat="1" applyFont="1" applyFill="1" applyBorder="1" applyAlignment="1">
      <alignment horizontal="center"/>
    </xf>
    <xf numFmtId="179" fontId="2" fillId="0" borderId="2" xfId="1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3" fillId="0" borderId="0" xfId="0" applyFont="1" applyAlignment="1">
      <alignment wrapText="1"/>
    </xf>
    <xf numFmtId="177" fontId="3" fillId="0" borderId="0" xfId="0" applyNumberFormat="1" applyFont="1" applyAlignment="1">
      <alignment horizontal="right"/>
    </xf>
    <xf numFmtId="178" fontId="3" fillId="0" borderId="0" xfId="0" applyNumberFormat="1" applyFont="1"/>
    <xf numFmtId="177" fontId="6" fillId="0" borderId="0" xfId="0" applyNumberFormat="1" applyFont="1" applyAlignment="1">
      <alignment horizontal="right"/>
    </xf>
    <xf numFmtId="177" fontId="9" fillId="0" borderId="0" xfId="0" applyNumberFormat="1" applyFont="1" applyAlignment="1">
      <alignment horizontal="right"/>
    </xf>
    <xf numFmtId="178" fontId="0" fillId="0" borderId="0" xfId="0" applyNumberFormat="1"/>
    <xf numFmtId="166" fontId="2" fillId="0" borderId="0" xfId="1" applyNumberFormat="1" applyFont="1" applyFill="1"/>
    <xf numFmtId="177" fontId="0" fillId="0" borderId="0" xfId="0" applyNumberFormat="1" applyAlignment="1">
      <alignment horizontal="center"/>
    </xf>
    <xf numFmtId="177" fontId="3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178" fontId="3" fillId="0" borderId="0" xfId="1" applyNumberFormat="1" applyFont="1" applyFill="1" applyBorder="1" applyAlignment="1">
      <alignment horizontal="center"/>
    </xf>
    <xf numFmtId="177" fontId="3" fillId="0" borderId="4" xfId="0" applyNumberFormat="1" applyFont="1" applyBorder="1" applyAlignment="1">
      <alignment horizontal="center"/>
    </xf>
    <xf numFmtId="168" fontId="3" fillId="0" borderId="0" xfId="1" applyNumberFormat="1" applyFont="1" applyFill="1" applyBorder="1" applyAlignment="1">
      <alignment horizontal="center"/>
    </xf>
    <xf numFmtId="177" fontId="3" fillId="0" borderId="2" xfId="0" applyNumberFormat="1" applyFont="1" applyBorder="1" applyAlignment="1">
      <alignment horizontal="center"/>
    </xf>
    <xf numFmtId="178" fontId="0" fillId="0" borderId="2" xfId="0" applyNumberFormat="1" applyBorder="1" applyAlignment="1">
      <alignment horizontal="center"/>
    </xf>
    <xf numFmtId="165" fontId="3" fillId="0" borderId="0" xfId="1" applyNumberFormat="1" applyFont="1" applyFill="1" applyBorder="1" applyAlignment="1">
      <alignment horizontal="center"/>
    </xf>
    <xf numFmtId="177" fontId="3" fillId="0" borderId="3" xfId="0" applyNumberFormat="1" applyFont="1" applyBorder="1" applyAlignment="1">
      <alignment horizontal="center"/>
    </xf>
    <xf numFmtId="178" fontId="2" fillId="0" borderId="3" xfId="2" applyNumberFormat="1" applyFont="1" applyFill="1" applyBorder="1" applyAlignment="1">
      <alignment horizontal="center"/>
    </xf>
    <xf numFmtId="177" fontId="6" fillId="0" borderId="0" xfId="0" applyNumberFormat="1" applyFont="1" applyAlignment="1">
      <alignment horizontal="center"/>
    </xf>
    <xf numFmtId="177" fontId="9" fillId="0" borderId="0" xfId="0" applyNumberFormat="1" applyFont="1" applyAlignment="1">
      <alignment horizontal="center"/>
    </xf>
    <xf numFmtId="166" fontId="2" fillId="0" borderId="0" xfId="1" applyNumberFormat="1" applyFont="1" applyFill="1" applyAlignment="1">
      <alignment horizontal="center"/>
    </xf>
    <xf numFmtId="38" fontId="3" fillId="0" borderId="0" xfId="1" applyNumberFormat="1" applyFont="1" applyFill="1" applyBorder="1"/>
    <xf numFmtId="0" fontId="3" fillId="0" borderId="0" xfId="0" applyFont="1" applyProtection="1">
      <protection locked="0"/>
    </xf>
    <xf numFmtId="0" fontId="6" fillId="0" borderId="0" xfId="0" applyFont="1" applyProtection="1">
      <protection locked="0"/>
    </xf>
    <xf numFmtId="175" fontId="3" fillId="0" borderId="0" xfId="1" applyNumberFormat="1" applyFont="1" applyFill="1" applyBorder="1" applyAlignment="1">
      <alignment horizontal="center"/>
    </xf>
    <xf numFmtId="164" fontId="3" fillId="0" borderId="0" xfId="1" applyFont="1" applyFill="1" applyBorder="1" applyAlignment="1">
      <alignment horizontal="center"/>
    </xf>
    <xf numFmtId="171" fontId="0" fillId="0" borderId="0" xfId="0" applyNumberFormat="1" applyAlignment="1">
      <alignment horizontal="center"/>
    </xf>
    <xf numFmtId="169" fontId="3" fillId="0" borderId="0" xfId="1" applyNumberFormat="1" applyFont="1" applyFill="1" applyBorder="1" applyAlignment="1">
      <alignment horizontal="center"/>
    </xf>
    <xf numFmtId="169" fontId="3" fillId="0" borderId="0" xfId="1" applyNumberFormat="1" applyFont="1" applyFill="1" applyAlignment="1">
      <alignment horizontal="center"/>
    </xf>
    <xf numFmtId="178" fontId="2" fillId="0" borderId="2" xfId="2" applyNumberFormat="1" applyFont="1" applyFill="1" applyBorder="1" applyAlignment="1">
      <alignment horizontal="center"/>
    </xf>
    <xf numFmtId="176" fontId="3" fillId="0" borderId="0" xfId="1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9" fillId="0" borderId="0" xfId="0" applyFont="1" applyAlignment="1">
      <alignment horizontal="center"/>
    </xf>
    <xf numFmtId="15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6" fillId="0" borderId="0" xfId="6" applyFont="1" applyAlignment="1">
      <alignment horizontal="center"/>
    </xf>
  </cellXfs>
  <cellStyles count="12">
    <cellStyle name="Comma" xfId="1" builtinId="3"/>
    <cellStyle name="Comma 10" xfId="11" xr:uid="{AE2846C5-6C4F-44F1-9304-34B2C00FD2FD}"/>
    <cellStyle name="Comma 2" xfId="4" xr:uid="{16F619A2-8483-4C96-9226-3B4333B7130B}"/>
    <cellStyle name="Comma 3" xfId="8" xr:uid="{AF0B655A-CBA2-4D9D-88F4-2693E5738EBD}"/>
    <cellStyle name="Currency 2" xfId="9" xr:uid="{7453E251-6FF5-4E35-8A56-B8D5D14B5B3B}"/>
    <cellStyle name="Normal" xfId="0" builtinId="0"/>
    <cellStyle name="Normal 2" xfId="3" xr:uid="{A73CFFB5-ED63-4F3E-A15D-173576A192AD}"/>
    <cellStyle name="Normal 2 2" xfId="10" xr:uid="{57365D09-9F8E-47B1-9D44-56FCFE6CE206}"/>
    <cellStyle name="Normal 3" xfId="6" xr:uid="{35B4AEF4-5F06-4EEA-8A41-CA4AB766A100}"/>
    <cellStyle name="Percent" xfId="2" builtinId="5"/>
    <cellStyle name="Percent 2" xfId="5" xr:uid="{281FA8C7-C96A-429B-BAB7-47645ACF7348}"/>
    <cellStyle name="Percent 3" xfId="7" xr:uid="{A4CE77A1-760A-4F21-AB72-328F21F8E3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Rates%20&amp;%20Pricing\2020%20Incentive%20Regulation\2020%20Federal%20Carbon\T2S5-Bill%20Comparisons_Rate%2001%20&amp;%2010_QRAM%20Jul%202018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s/Annual%20Rates/2023/Union%20RZ/Working%20Papers/WP(03)-Bill%20Comparisons_Rate%20M1&amp;M2%20-2023%20Rates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Rates%20&amp;%20Pricing\2013%20Cost%20of%20Service\Updated%20Filing%20-%20March%202012\In-Franchise%20Working%20Papers\Rate%20M1%20&amp;%20M2%20Bill%20Impacts%20-%202013%20Rates%20(March%202012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"/>
      <sheetName val="R01 Bill Impacts"/>
      <sheetName val="R01 Bill Calc"/>
      <sheetName val="R10 Bill Impacts "/>
      <sheetName val="R10 Bill Calc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"/>
      <sheetName val="M1 &amp; M2 Bill Impacts"/>
      <sheetName val="M1 Residential Bill Calc."/>
      <sheetName val="M2 Commercial Bill Calc.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"/>
      <sheetName val="M1 &amp; M2 Bill Impacts"/>
      <sheetName val="M1 Residential Bill Calc."/>
      <sheetName val="M2 Commercial Bill Calc.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2F762-4AC2-4F67-9CAD-3E28DCC832B7}">
  <dimension ref="A1:AH164"/>
  <sheetViews>
    <sheetView tabSelected="1" view="pageLayout" zoomScaleNormal="85" zoomScaleSheetLayoutView="80" workbookViewId="0">
      <selection activeCell="E133" sqref="E133"/>
    </sheetView>
  </sheetViews>
  <sheetFormatPr defaultColWidth="8.85546875" defaultRowHeight="12.75"/>
  <cols>
    <col min="1" max="1" width="5.42578125" customWidth="1"/>
    <col min="2" max="2" width="1.7109375" customWidth="1"/>
    <col min="3" max="3" width="36.7109375" customWidth="1"/>
    <col min="4" max="4" width="1.7109375" customWidth="1"/>
    <col min="5" max="5" width="15.7109375" customWidth="1"/>
    <col min="6" max="6" width="1.7109375" customWidth="1"/>
    <col min="7" max="7" width="15.7109375" customWidth="1"/>
    <col min="8" max="8" width="1.7109375" customWidth="1"/>
    <col min="9" max="9" width="15.7109375" customWidth="1"/>
    <col min="10" max="10" width="1.7109375" customWidth="1"/>
    <col min="11" max="11" width="15.7109375" customWidth="1"/>
    <col min="12" max="12" width="1.7109375" customWidth="1"/>
    <col min="13" max="13" width="15.7109375" customWidth="1"/>
    <col min="14" max="14" width="1.7109375" customWidth="1"/>
    <col min="15" max="15" width="15.7109375" style="59" customWidth="1"/>
    <col min="16" max="16" width="1.7109375" customWidth="1"/>
    <col min="17" max="17" width="15.7109375" customWidth="1"/>
    <col min="18" max="18" width="1.7109375" customWidth="1"/>
    <col min="19" max="19" width="15.7109375" customWidth="1"/>
    <col min="20" max="20" width="1.7109375" customWidth="1"/>
    <col min="21" max="21" width="14.5703125" bestFit="1" customWidth="1"/>
    <col min="22" max="22" width="1.5703125" customWidth="1"/>
    <col min="23" max="23" width="11.140625" bestFit="1" customWidth="1"/>
    <col min="24" max="31" width="10.42578125" bestFit="1" customWidth="1"/>
    <col min="32" max="33" width="9.42578125" bestFit="1" customWidth="1"/>
    <col min="34" max="34" width="10.42578125" bestFit="1" customWidth="1"/>
  </cols>
  <sheetData>
    <row r="1" spans="1:27">
      <c r="U1" t="s">
        <v>0</v>
      </c>
    </row>
    <row r="4" spans="1:27">
      <c r="A4" s="149" t="s">
        <v>1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</row>
    <row r="5" spans="1:27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</row>
    <row r="6" spans="1:27"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1"/>
      <c r="P6" s="60"/>
      <c r="Q6" s="60"/>
      <c r="R6" s="60"/>
    </row>
    <row r="7" spans="1:27">
      <c r="G7" s="148" t="s">
        <v>3</v>
      </c>
      <c r="H7" s="148"/>
      <c r="I7" s="148"/>
      <c r="K7" s="148" t="s">
        <v>4</v>
      </c>
      <c r="L7" s="148"/>
      <c r="M7" s="148"/>
      <c r="O7" s="148" t="s">
        <v>5</v>
      </c>
      <c r="P7" s="148"/>
      <c r="Q7" s="148"/>
      <c r="R7" s="148"/>
      <c r="S7" s="148"/>
    </row>
    <row r="8" spans="1:27">
      <c r="E8" s="60"/>
      <c r="G8" s="1"/>
      <c r="I8" s="1"/>
      <c r="K8" s="1"/>
      <c r="M8" s="1"/>
      <c r="N8" s="2"/>
      <c r="O8" s="22" t="s">
        <v>4</v>
      </c>
      <c r="P8" s="3"/>
      <c r="Q8" s="23" t="s">
        <v>6</v>
      </c>
      <c r="R8" s="3"/>
      <c r="S8" s="23" t="s">
        <v>7</v>
      </c>
    </row>
    <row r="9" spans="1:27">
      <c r="A9" s="60" t="s">
        <v>8</v>
      </c>
      <c r="E9" s="60" t="s">
        <v>9</v>
      </c>
      <c r="G9" s="1" t="s">
        <v>10</v>
      </c>
      <c r="I9" s="1" t="s">
        <v>11</v>
      </c>
      <c r="K9" s="1" t="s">
        <v>12</v>
      </c>
      <c r="M9" s="1" t="s">
        <v>13</v>
      </c>
      <c r="N9" s="62"/>
      <c r="O9" s="61" t="s">
        <v>14</v>
      </c>
      <c r="P9" s="62"/>
      <c r="Q9" s="63" t="s">
        <v>15</v>
      </c>
      <c r="R9" s="62"/>
      <c r="S9" s="63" t="s">
        <v>15</v>
      </c>
    </row>
    <row r="10" spans="1:27" ht="14.25">
      <c r="A10" s="64" t="s">
        <v>16</v>
      </c>
      <c r="C10" s="65" t="s">
        <v>17</v>
      </c>
      <c r="E10" s="66" t="s">
        <v>18</v>
      </c>
      <c r="G10" s="29" t="s">
        <v>19</v>
      </c>
      <c r="I10" s="29" t="s">
        <v>19</v>
      </c>
      <c r="K10" s="67" t="s">
        <v>20</v>
      </c>
      <c r="L10" s="63"/>
      <c r="M10" s="67" t="s">
        <v>20</v>
      </c>
      <c r="N10" s="62"/>
      <c r="O10" s="68" t="s">
        <v>20</v>
      </c>
      <c r="P10" s="62"/>
      <c r="Q10" s="67" t="s">
        <v>21</v>
      </c>
      <c r="R10" s="62"/>
      <c r="S10" s="67" t="s">
        <v>21</v>
      </c>
    </row>
    <row r="11" spans="1:27">
      <c r="A11" s="60"/>
      <c r="E11" s="60" t="s">
        <v>22</v>
      </c>
      <c r="F11" s="60"/>
      <c r="G11" s="20" t="s">
        <v>23</v>
      </c>
      <c r="I11" s="20" t="s">
        <v>24</v>
      </c>
      <c r="K11" s="63" t="s">
        <v>25</v>
      </c>
      <c r="L11" s="63"/>
      <c r="M11" s="63" t="s">
        <v>26</v>
      </c>
      <c r="N11" s="63"/>
      <c r="O11" s="61" t="s">
        <v>27</v>
      </c>
      <c r="P11" s="63"/>
      <c r="Q11" s="63" t="s">
        <v>28</v>
      </c>
      <c r="R11" s="63"/>
      <c r="S11" s="60" t="s">
        <v>29</v>
      </c>
    </row>
    <row r="12" spans="1:27">
      <c r="A12" s="60"/>
      <c r="C12" s="69" t="s">
        <v>30</v>
      </c>
      <c r="E12" s="4"/>
      <c r="F12" s="4"/>
      <c r="H12" s="10"/>
      <c r="I12" s="10"/>
      <c r="K12" s="3"/>
      <c r="L12" s="3"/>
      <c r="M12" s="3"/>
      <c r="N12" s="3"/>
      <c r="O12" s="21"/>
      <c r="P12" s="3"/>
      <c r="Q12" s="3"/>
      <c r="R12" s="3"/>
      <c r="S12" s="4"/>
      <c r="T12" s="4"/>
      <c r="U12" s="4"/>
      <c r="V12" s="4"/>
      <c r="W12" s="4"/>
    </row>
    <row r="13" spans="1:27">
      <c r="A13" s="60">
        <v>1</v>
      </c>
      <c r="C13" s="4" t="s">
        <v>31</v>
      </c>
      <c r="E13" s="112">
        <f>'Attachment 2'!P9</f>
        <v>2400</v>
      </c>
      <c r="F13" s="60"/>
      <c r="G13" s="110"/>
      <c r="H13" s="79"/>
      <c r="I13" s="110"/>
      <c r="J13" s="60"/>
      <c r="K13" s="60"/>
      <c r="L13" s="60"/>
      <c r="M13" s="60"/>
      <c r="N13" s="60"/>
      <c r="O13" s="61"/>
      <c r="P13" s="60"/>
      <c r="Q13" s="60"/>
      <c r="R13" s="60"/>
      <c r="S13" s="20"/>
      <c r="T13" s="4"/>
      <c r="U13" s="4"/>
      <c r="V13" s="4"/>
      <c r="W13" s="4"/>
    </row>
    <row r="14" spans="1:27">
      <c r="A14" s="60"/>
      <c r="E14" s="60"/>
      <c r="F14" s="60"/>
      <c r="G14" s="20"/>
      <c r="H14" s="20"/>
      <c r="I14" s="20"/>
      <c r="J14" s="60"/>
      <c r="K14" s="60"/>
      <c r="L14" s="60"/>
      <c r="M14" s="60"/>
      <c r="N14" s="60"/>
      <c r="O14" s="61"/>
      <c r="P14" s="60"/>
      <c r="Q14" s="89"/>
      <c r="R14" s="89"/>
      <c r="S14" s="89"/>
      <c r="Y14" s="71"/>
      <c r="Z14" s="72"/>
      <c r="AA14" s="72"/>
    </row>
    <row r="15" spans="1:27">
      <c r="A15" s="60"/>
      <c r="C15" s="8" t="s">
        <v>32</v>
      </c>
      <c r="E15" s="20"/>
      <c r="F15" s="20"/>
      <c r="G15" s="20"/>
      <c r="H15" s="20"/>
      <c r="I15" s="20"/>
      <c r="J15" s="60"/>
      <c r="K15" s="20"/>
      <c r="L15" s="20"/>
      <c r="M15" s="20"/>
      <c r="N15" s="20"/>
      <c r="O15" s="22"/>
      <c r="P15" s="20"/>
      <c r="Q15" s="90"/>
      <c r="R15" s="90"/>
      <c r="S15" s="90"/>
      <c r="T15" s="4"/>
      <c r="U15" s="4"/>
      <c r="V15" s="4"/>
      <c r="W15" s="4"/>
    </row>
    <row r="16" spans="1:27">
      <c r="A16" s="60">
        <f>MAX(A$13:A15)+1</f>
        <v>2</v>
      </c>
      <c r="C16" s="4" t="s">
        <v>33</v>
      </c>
      <c r="E16" s="91" t="s">
        <v>34</v>
      </c>
      <c r="F16" s="91"/>
      <c r="G16" s="92">
        <v>21.878786989991127</v>
      </c>
      <c r="H16" s="92"/>
      <c r="I16" s="92">
        <v>23</v>
      </c>
      <c r="J16" s="93"/>
      <c r="K16" s="84">
        <f>G16*12</f>
        <v>262.54544387989353</v>
      </c>
      <c r="L16" s="84"/>
      <c r="M16" s="84">
        <f>I16*12</f>
        <v>276</v>
      </c>
      <c r="N16" s="84"/>
      <c r="O16" s="84">
        <f>M16-K16</f>
        <v>13.454556120106474</v>
      </c>
      <c r="P16" s="91"/>
      <c r="Q16" s="87"/>
      <c r="R16" s="90"/>
      <c r="S16" s="90"/>
      <c r="T16" s="4"/>
      <c r="U16" s="73"/>
      <c r="V16" s="4"/>
      <c r="W16" s="4"/>
    </row>
    <row r="17" spans="1:34">
      <c r="A17" s="60"/>
      <c r="C17" s="4" t="s">
        <v>35</v>
      </c>
      <c r="E17" s="91"/>
      <c r="F17" s="91"/>
      <c r="G17" s="92"/>
      <c r="H17" s="92"/>
      <c r="I17" s="92"/>
      <c r="J17" s="93"/>
      <c r="K17" s="84"/>
      <c r="L17" s="84"/>
      <c r="M17" s="84"/>
      <c r="N17" s="84"/>
      <c r="O17" s="84"/>
      <c r="P17" s="91"/>
      <c r="Q17" s="90"/>
      <c r="R17" s="90"/>
      <c r="S17" s="90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</row>
    <row r="18" spans="1:34">
      <c r="A18" s="60">
        <f>MAX(A$13:A17)+1</f>
        <v>3</v>
      </c>
      <c r="C18" s="74" t="s">
        <v>36</v>
      </c>
      <c r="E18" s="112">
        <f>'Attachment 2'!P14</f>
        <v>360</v>
      </c>
      <c r="F18" s="60"/>
      <c r="G18" s="110">
        <v>11.918857380675554</v>
      </c>
      <c r="H18" s="79"/>
      <c r="I18" s="110">
        <v>13.414575843082472</v>
      </c>
      <c r="J18" s="60"/>
      <c r="K18" s="75">
        <f>G18*$E18/100</f>
        <v>42.907886570431991</v>
      </c>
      <c r="L18" s="75"/>
      <c r="M18" s="75">
        <f>I18*$E18/100</f>
        <v>48.292473035096897</v>
      </c>
      <c r="N18" s="75"/>
      <c r="O18" s="84">
        <f t="shared" ref="O18:O21" si="0">M18-K18</f>
        <v>5.3845864646649062</v>
      </c>
      <c r="P18" s="60"/>
      <c r="Q18" s="89"/>
      <c r="R18" s="89"/>
      <c r="S18" s="89"/>
    </row>
    <row r="19" spans="1:34">
      <c r="A19" s="60">
        <f>MAX(A$13:A18)+1</f>
        <v>4</v>
      </c>
      <c r="C19" s="74" t="s">
        <v>37</v>
      </c>
      <c r="E19" s="112">
        <f>'Attachment 2'!P15</f>
        <v>552</v>
      </c>
      <c r="F19" s="60"/>
      <c r="G19" s="110">
        <v>11.238869487448605</v>
      </c>
      <c r="H19" s="79"/>
      <c r="I19" s="110">
        <v>12.50465366430851</v>
      </c>
      <c r="J19" s="60"/>
      <c r="K19" s="75">
        <f>G19*$E19/100</f>
        <v>62.038559570716295</v>
      </c>
      <c r="L19" s="75"/>
      <c r="M19" s="75">
        <f>I19*$E19/100</f>
        <v>69.025688226982979</v>
      </c>
      <c r="N19" s="75"/>
      <c r="O19" s="84">
        <f t="shared" si="0"/>
        <v>6.9871286562666839</v>
      </c>
      <c r="P19" s="60"/>
      <c r="Q19" s="89"/>
      <c r="R19" s="89"/>
      <c r="S19" s="89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</row>
    <row r="20" spans="1:34">
      <c r="A20" s="60">
        <f>MAX(A$13:A19)+1</f>
        <v>5</v>
      </c>
      <c r="C20" s="74" t="s">
        <v>38</v>
      </c>
      <c r="E20" s="112">
        <f>'Attachment 2'!P16</f>
        <v>589</v>
      </c>
      <c r="F20" s="60"/>
      <c r="G20" s="110">
        <v>10.706406073237655</v>
      </c>
      <c r="H20" s="79"/>
      <c r="I20" s="110">
        <v>11.7921422461883</v>
      </c>
      <c r="J20" s="60"/>
      <c r="K20" s="75">
        <f>G20*$E20/100</f>
        <v>63.060731771369795</v>
      </c>
      <c r="L20" s="75"/>
      <c r="M20" s="75">
        <f>I20*$E20/100</f>
        <v>69.455717830049082</v>
      </c>
      <c r="N20" s="75"/>
      <c r="O20" s="84">
        <f t="shared" si="0"/>
        <v>6.3949860586792866</v>
      </c>
      <c r="P20" s="60"/>
      <c r="Q20" s="89"/>
      <c r="R20" s="89"/>
      <c r="S20" s="89"/>
    </row>
    <row r="21" spans="1:34">
      <c r="A21" s="60">
        <f>MAX(A$13:A20)+1</f>
        <v>6</v>
      </c>
      <c r="C21" s="74" t="s">
        <v>39</v>
      </c>
      <c r="E21" s="112">
        <f>'Attachment 2'!P17</f>
        <v>899</v>
      </c>
      <c r="F21" s="60"/>
      <c r="G21" s="110">
        <v>10.309480313558556</v>
      </c>
      <c r="H21" s="79"/>
      <c r="I21" s="110">
        <v>11.260997944720636</v>
      </c>
      <c r="J21" s="60"/>
      <c r="K21" s="75">
        <f>G21*$E21/100</f>
        <v>92.682228018891422</v>
      </c>
      <c r="L21" s="75"/>
      <c r="M21" s="75">
        <f>I21*$E21/100</f>
        <v>101.2363715230385</v>
      </c>
      <c r="N21" s="75"/>
      <c r="O21" s="84">
        <f t="shared" si="0"/>
        <v>8.5541435041470777</v>
      </c>
      <c r="P21" s="60"/>
      <c r="Q21" s="89"/>
      <c r="R21" s="89"/>
      <c r="S21" s="89"/>
    </row>
    <row r="22" spans="1:34">
      <c r="A22" s="60">
        <f>MAX(A$13:A21)+1</f>
        <v>7</v>
      </c>
      <c r="C22" s="4" t="s">
        <v>40</v>
      </c>
      <c r="E22" s="115">
        <f>SUM(E18:E21)</f>
        <v>2400</v>
      </c>
      <c r="F22" s="60"/>
      <c r="G22" s="110"/>
      <c r="H22" s="79"/>
      <c r="I22" s="110"/>
      <c r="J22" s="60"/>
      <c r="K22" s="94">
        <f>SUM(K18:K21)</f>
        <v>260.68940593140951</v>
      </c>
      <c r="L22" s="84"/>
      <c r="M22" s="94">
        <f>SUM(M18:M21)</f>
        <v>288.01025061516748</v>
      </c>
      <c r="N22" s="84"/>
      <c r="O22" s="94">
        <f>SUM(O18:O21)</f>
        <v>27.320844683757954</v>
      </c>
      <c r="P22" s="91"/>
      <c r="Q22" s="87"/>
      <c r="R22" s="90"/>
      <c r="S22" s="90"/>
      <c r="T22" s="4"/>
      <c r="U22" s="73"/>
      <c r="V22" s="4"/>
      <c r="W22" s="4"/>
    </row>
    <row r="23" spans="1:34">
      <c r="A23" s="60">
        <f>MAX(A$13:A22)+1</f>
        <v>8</v>
      </c>
      <c r="C23" s="4" t="s">
        <v>41</v>
      </c>
      <c r="E23" s="112">
        <f>$E$13</f>
        <v>2400</v>
      </c>
      <c r="F23" s="60"/>
      <c r="G23" s="110">
        <v>7.0000000000000001E-3</v>
      </c>
      <c r="H23" s="79"/>
      <c r="I23" s="110">
        <v>7.0000000000000001E-3</v>
      </c>
      <c r="J23" s="80"/>
      <c r="K23" s="84">
        <f>$G$23*E23/100</f>
        <v>0.16800000000000001</v>
      </c>
      <c r="L23" s="84"/>
      <c r="M23" s="84">
        <f>$I$23*E23/100</f>
        <v>0.16800000000000001</v>
      </c>
      <c r="N23" s="84"/>
      <c r="O23" s="84">
        <f>M23-K23</f>
        <v>0</v>
      </c>
      <c r="P23" s="91"/>
      <c r="Q23" s="90"/>
      <c r="R23" s="90"/>
      <c r="S23" s="90"/>
      <c r="T23" s="4"/>
      <c r="U23" s="73"/>
      <c r="V23" s="4"/>
      <c r="W23" s="4"/>
    </row>
    <row r="24" spans="1:34">
      <c r="A24" s="60">
        <f>MAX(A$13:A23)+1</f>
        <v>9</v>
      </c>
      <c r="C24" s="4" t="s">
        <v>42</v>
      </c>
      <c r="E24" s="112"/>
      <c r="F24" s="60"/>
      <c r="G24" s="110"/>
      <c r="H24" s="79"/>
      <c r="I24" s="110"/>
      <c r="J24" s="60"/>
      <c r="K24" s="94">
        <f>K22+K16+K23</f>
        <v>523.4028498113031</v>
      </c>
      <c r="L24" s="84"/>
      <c r="M24" s="94">
        <f>M22+M16+M23</f>
        <v>564.17825061516749</v>
      </c>
      <c r="N24" s="84"/>
      <c r="O24" s="94">
        <f>O22+O16+O23</f>
        <v>40.775400803864429</v>
      </c>
      <c r="P24" s="91"/>
      <c r="Q24" s="96">
        <f>O24/K24</f>
        <v>7.7904430246348022E-2</v>
      </c>
      <c r="R24" s="90"/>
      <c r="S24" s="96">
        <f>Q24</f>
        <v>7.7904430246348022E-2</v>
      </c>
      <c r="T24" s="4"/>
      <c r="U24" s="4"/>
      <c r="V24" s="4"/>
      <c r="W24" s="4"/>
    </row>
    <row r="25" spans="1:34">
      <c r="A25" s="60"/>
      <c r="C25" s="4"/>
      <c r="E25" s="112"/>
      <c r="F25" s="60"/>
      <c r="G25" s="110"/>
      <c r="H25" s="79"/>
      <c r="I25" s="110"/>
      <c r="J25" s="60"/>
      <c r="K25" s="75"/>
      <c r="L25" s="75"/>
      <c r="M25" s="75"/>
      <c r="N25" s="75"/>
      <c r="O25" s="75"/>
      <c r="P25" s="97"/>
      <c r="Q25" s="89"/>
      <c r="R25" s="89"/>
      <c r="S25" s="89"/>
      <c r="T25" s="4"/>
      <c r="U25" s="4"/>
      <c r="V25" s="4"/>
      <c r="W25" s="4"/>
    </row>
    <row r="26" spans="1:34">
      <c r="A26" s="60">
        <f>MAX(A$13:A25)+1</f>
        <v>10</v>
      </c>
      <c r="C26" s="4" t="s">
        <v>43</v>
      </c>
      <c r="E26" s="112">
        <f>$E$13</f>
        <v>2400</v>
      </c>
      <c r="F26" s="60"/>
      <c r="G26" s="110">
        <v>9.7899999999999991</v>
      </c>
      <c r="H26" s="79"/>
      <c r="I26" s="110">
        <v>9.7899999999999991</v>
      </c>
      <c r="J26" s="80"/>
      <c r="K26" s="98">
        <f>$G$26*E26/100</f>
        <v>234.95999999999995</v>
      </c>
      <c r="L26" s="98"/>
      <c r="M26" s="98">
        <f>$I$26*E26/100</f>
        <v>234.95999999999995</v>
      </c>
      <c r="N26" s="98"/>
      <c r="O26" s="98">
        <f>M26-K26</f>
        <v>0</v>
      </c>
      <c r="P26" s="91"/>
      <c r="Q26" s="87">
        <f>O26/K26</f>
        <v>0</v>
      </c>
      <c r="R26" s="89"/>
      <c r="S26" s="87">
        <f>Q26</f>
        <v>0</v>
      </c>
      <c r="T26" s="4"/>
      <c r="U26" s="4"/>
      <c r="V26" s="4"/>
      <c r="W26" s="4"/>
    </row>
    <row r="27" spans="1:34">
      <c r="A27" s="60">
        <f>MAX(A$13:A26)+1</f>
        <v>11</v>
      </c>
      <c r="C27" s="4" t="s">
        <v>44</v>
      </c>
      <c r="E27" s="112">
        <f>$E$13</f>
        <v>2400</v>
      </c>
      <c r="F27" s="60"/>
      <c r="G27" s="110">
        <v>3.9267443870173873</v>
      </c>
      <c r="H27" s="79"/>
      <c r="I27" s="110">
        <v>1.9422572433628118</v>
      </c>
      <c r="J27" s="60"/>
      <c r="K27" s="99">
        <f>$E27*G27/100</f>
        <v>94.241865288417301</v>
      </c>
      <c r="L27" s="99"/>
      <c r="M27" s="99">
        <f>$E27*I27/100</f>
        <v>46.61417384070748</v>
      </c>
      <c r="N27" s="99"/>
      <c r="O27" s="98">
        <f t="shared" ref="O27" si="1">M27-K27</f>
        <v>-47.627691447709822</v>
      </c>
      <c r="P27" s="60"/>
      <c r="Q27" s="87">
        <f>O27/K27</f>
        <v>-0.50537721533789992</v>
      </c>
      <c r="R27" s="89"/>
      <c r="S27" s="87">
        <f>Q27</f>
        <v>-0.50537721533789992</v>
      </c>
    </row>
    <row r="28" spans="1:34">
      <c r="A28" s="60">
        <f>MAX(A$13:A27)+1</f>
        <v>12</v>
      </c>
      <c r="C28" s="4" t="s">
        <v>45</v>
      </c>
      <c r="E28" s="112">
        <f>$E$13</f>
        <v>2400</v>
      </c>
      <c r="F28" s="60"/>
      <c r="G28" s="110">
        <v>18.377497019556195</v>
      </c>
      <c r="H28" s="79"/>
      <c r="I28" s="110">
        <v>20.903604607530845</v>
      </c>
      <c r="J28" s="100"/>
      <c r="K28" s="98">
        <f>E28*$G28/100</f>
        <v>441.05992846934868</v>
      </c>
      <c r="L28" s="98"/>
      <c r="M28" s="98">
        <f>E28*$I28/100</f>
        <v>501.68651058074028</v>
      </c>
      <c r="N28" s="98"/>
      <c r="O28" s="98">
        <f>M28-K28</f>
        <v>60.626582111391599</v>
      </c>
      <c r="P28" s="91"/>
      <c r="Q28" s="87">
        <f>O28/K28</f>
        <v>0.13745656360528979</v>
      </c>
      <c r="R28" s="90"/>
      <c r="S28" s="87">
        <f>Q28</f>
        <v>0.13745656360528979</v>
      </c>
      <c r="T28" s="4"/>
      <c r="U28" s="73"/>
      <c r="V28" s="4"/>
      <c r="W28" s="4"/>
    </row>
    <row r="29" spans="1:34" ht="13.5" thickBot="1">
      <c r="A29" s="60">
        <f>MAX(A$13:A28)+1</f>
        <v>13</v>
      </c>
      <c r="C29" s="4" t="s">
        <v>46</v>
      </c>
      <c r="E29" s="112"/>
      <c r="F29" s="60"/>
      <c r="G29" s="110"/>
      <c r="H29" s="79"/>
      <c r="I29" s="110"/>
      <c r="J29" s="100"/>
      <c r="K29" s="101">
        <f>K24+K26+K27+K28</f>
        <v>1293.6646435690691</v>
      </c>
      <c r="L29" s="84"/>
      <c r="M29" s="101">
        <f>M24+M26+M27+M28</f>
        <v>1347.4389350366152</v>
      </c>
      <c r="N29" s="84"/>
      <c r="O29" s="101">
        <f>O24+O26+O27+O28</f>
        <v>53.774291467546206</v>
      </c>
      <c r="P29" s="91"/>
      <c r="Q29" s="102">
        <f>O29/K29</f>
        <v>4.1567412184342643E-2</v>
      </c>
      <c r="R29" s="90"/>
      <c r="S29" s="102">
        <f>(O24+O27+O28)/(K24+K27+K28)</f>
        <v>5.0792533870697071E-2</v>
      </c>
      <c r="T29" s="4"/>
      <c r="U29" s="73"/>
      <c r="V29" s="4"/>
      <c r="W29" s="4"/>
    </row>
    <row r="30" spans="1:34" ht="13.5" thickTop="1">
      <c r="A30" s="60"/>
      <c r="E30" s="112"/>
      <c r="F30" s="60"/>
      <c r="G30" s="110"/>
      <c r="H30" s="79"/>
      <c r="I30" s="110"/>
      <c r="J30" s="60"/>
      <c r="K30" s="75"/>
      <c r="L30" s="75"/>
      <c r="M30" s="75"/>
      <c r="N30" s="75"/>
      <c r="O30" s="75"/>
      <c r="P30" s="60"/>
      <c r="Q30" s="89"/>
      <c r="R30" s="89"/>
      <c r="S30" s="89"/>
    </row>
    <row r="31" spans="1:34">
      <c r="A31" s="60">
        <f>MAX(A$13:A30)+1</f>
        <v>14</v>
      </c>
      <c r="C31" s="4" t="s">
        <v>47</v>
      </c>
      <c r="E31" s="112">
        <f>$E$13</f>
        <v>2400</v>
      </c>
      <c r="F31" s="60"/>
      <c r="G31" s="110">
        <v>3.9267443870173873</v>
      </c>
      <c r="H31" s="79"/>
      <c r="I31" s="110">
        <v>3.8042241488558211</v>
      </c>
      <c r="J31" s="60"/>
      <c r="K31" s="75">
        <f>$E31*G31/100</f>
        <v>94.241865288417301</v>
      </c>
      <c r="L31" s="75"/>
      <c r="M31" s="75">
        <f>$E31*I31/100</f>
        <v>91.301379572539702</v>
      </c>
      <c r="N31" s="75"/>
      <c r="O31" s="84">
        <f t="shared" ref="O31:O38" si="2">M31-K31</f>
        <v>-2.9404857158775997</v>
      </c>
      <c r="P31" s="60"/>
      <c r="Q31" s="103"/>
      <c r="R31" s="89"/>
      <c r="S31" s="103"/>
    </row>
    <row r="32" spans="1:34">
      <c r="A32" s="60">
        <f>MAX(A$13:A31)+1</f>
        <v>15</v>
      </c>
      <c r="C32" s="4" t="s">
        <v>48</v>
      </c>
      <c r="E32" s="112">
        <f>$E$13</f>
        <v>2400</v>
      </c>
      <c r="F32" s="60"/>
      <c r="G32" s="110">
        <v>0.96972012770460903</v>
      </c>
      <c r="H32" s="79"/>
      <c r="I32" s="110">
        <v>1.9422572433628118</v>
      </c>
      <c r="J32" s="60"/>
      <c r="K32" s="75">
        <f>$E32*G32/100</f>
        <v>23.273283064910615</v>
      </c>
      <c r="L32" s="75"/>
      <c r="M32" s="75">
        <f>$E32*I32/100</f>
        <v>46.61417384070748</v>
      </c>
      <c r="N32" s="75"/>
      <c r="O32" s="84">
        <f t="shared" si="2"/>
        <v>23.340890775796865</v>
      </c>
      <c r="P32" s="60"/>
      <c r="Q32" s="103"/>
      <c r="R32" s="89"/>
      <c r="S32" s="103"/>
    </row>
    <row r="33" spans="1:23">
      <c r="A33" s="60"/>
      <c r="C33" s="4"/>
      <c r="E33" s="88"/>
      <c r="F33" s="60"/>
      <c r="G33" s="79"/>
      <c r="H33" s="79"/>
      <c r="I33" s="79"/>
      <c r="J33" s="60"/>
      <c r="K33" s="75"/>
      <c r="L33" s="75"/>
      <c r="M33" s="75"/>
      <c r="N33" s="75"/>
      <c r="O33" s="75"/>
      <c r="P33" s="60"/>
      <c r="Q33" s="89"/>
      <c r="R33" s="89"/>
      <c r="S33" s="89"/>
    </row>
    <row r="34" spans="1:23">
      <c r="A34" s="60">
        <f>MAX(A$13:A33)+1</f>
        <v>16</v>
      </c>
      <c r="C34" s="4" t="s">
        <v>49</v>
      </c>
      <c r="E34" s="88"/>
      <c r="F34" s="91"/>
      <c r="G34" s="79"/>
      <c r="H34" s="79"/>
      <c r="I34" s="79"/>
      <c r="J34" s="100"/>
      <c r="K34" s="94">
        <f>K24+K26+K31+M28</f>
        <v>1354.2912256804607</v>
      </c>
      <c r="L34" s="84"/>
      <c r="M34" s="94">
        <f>M24+M26+M31+M28</f>
        <v>1392.1261407684474</v>
      </c>
      <c r="N34" s="84"/>
      <c r="O34" s="94">
        <f t="shared" si="2"/>
        <v>37.834915087986701</v>
      </c>
      <c r="P34" s="91"/>
      <c r="Q34" s="96">
        <f>O34/K34</f>
        <v>2.7937059895648833E-2</v>
      </c>
      <c r="R34" s="90"/>
      <c r="S34" s="96">
        <f>(O24+O31)/(K24+M28+K31)</f>
        <v>3.3801357649954185E-2</v>
      </c>
      <c r="T34" s="4"/>
      <c r="U34" s="73"/>
      <c r="V34" s="4"/>
      <c r="W34" s="4"/>
    </row>
    <row r="35" spans="1:23">
      <c r="A35" s="60">
        <f>MAX(A$13:A34)+1</f>
        <v>17</v>
      </c>
      <c r="C35" s="11" t="s">
        <v>50</v>
      </c>
      <c r="E35" s="88"/>
      <c r="F35" s="91"/>
      <c r="G35" s="81"/>
      <c r="H35" s="81"/>
      <c r="I35" s="81"/>
      <c r="J35" s="100"/>
      <c r="K35" s="84">
        <f>K24+K26+K31</f>
        <v>852.60471509972035</v>
      </c>
      <c r="L35" s="104"/>
      <c r="M35" s="84">
        <f>M24+M26+M31</f>
        <v>890.43963018770705</v>
      </c>
      <c r="N35" s="84"/>
      <c r="O35" s="84">
        <f t="shared" ref="O35" si="3">M35-K35</f>
        <v>37.834915087986701</v>
      </c>
      <c r="P35" s="91"/>
      <c r="Q35" s="87">
        <f>O35/K35</f>
        <v>4.4375681271668244E-2</v>
      </c>
      <c r="R35" s="90"/>
      <c r="S35" s="87">
        <f>(O24+O31)/(K24+K31)</f>
        <v>6.1256761635009344E-2</v>
      </c>
      <c r="T35" s="4"/>
      <c r="U35" s="73"/>
      <c r="V35" s="4"/>
      <c r="W35" s="4"/>
    </row>
    <row r="36" spans="1:23">
      <c r="A36" s="60"/>
      <c r="C36" s="4"/>
      <c r="E36" s="88"/>
      <c r="F36" s="60"/>
      <c r="G36" s="20"/>
      <c r="H36" s="20"/>
      <c r="I36" s="20"/>
      <c r="J36" s="60"/>
      <c r="K36" s="75"/>
      <c r="L36" s="75"/>
      <c r="M36" s="75"/>
      <c r="N36" s="75"/>
      <c r="O36" s="75"/>
      <c r="P36" s="60"/>
      <c r="Q36" s="89"/>
      <c r="R36" s="89"/>
      <c r="S36" s="89"/>
    </row>
    <row r="37" spans="1:23">
      <c r="A37" s="60">
        <f>MAX(A$13:A36)+1</f>
        <v>18</v>
      </c>
      <c r="C37" s="4" t="s">
        <v>51</v>
      </c>
      <c r="E37" s="88"/>
      <c r="F37" s="20"/>
      <c r="G37" s="81"/>
      <c r="H37" s="81"/>
      <c r="I37" s="81"/>
      <c r="J37" s="60"/>
      <c r="K37" s="94">
        <f>K24+K26+M28+K32</f>
        <v>1283.322643456954</v>
      </c>
      <c r="L37" s="84"/>
      <c r="M37" s="94">
        <f>M24+M26+M28+M32</f>
        <v>1347.4389350366152</v>
      </c>
      <c r="N37" s="84"/>
      <c r="O37" s="94">
        <f t="shared" si="2"/>
        <v>64.116291579661265</v>
      </c>
      <c r="P37" s="91"/>
      <c r="Q37" s="96">
        <f>O37/K37</f>
        <v>4.9961162850635774E-2</v>
      </c>
      <c r="R37" s="90"/>
      <c r="S37" s="96">
        <f>(O24+O32)/(K24+M28+K32)</f>
        <v>6.1158504626070191E-2</v>
      </c>
      <c r="T37" s="4"/>
      <c r="U37" s="73"/>
      <c r="V37" s="4"/>
      <c r="W37" s="4"/>
    </row>
    <row r="38" spans="1:23">
      <c r="A38" s="60">
        <f>MAX(A$13:A37)+1</f>
        <v>19</v>
      </c>
      <c r="C38" s="11" t="s">
        <v>52</v>
      </c>
      <c r="E38" s="88"/>
      <c r="F38" s="91"/>
      <c r="G38" s="81"/>
      <c r="H38" s="81"/>
      <c r="I38" s="81"/>
      <c r="J38" s="100"/>
      <c r="K38" s="84">
        <f>K24+K26+K32</f>
        <v>781.63613287621365</v>
      </c>
      <c r="L38" s="104"/>
      <c r="M38" s="84">
        <f>M24+M26+M32</f>
        <v>845.75242445587492</v>
      </c>
      <c r="N38" s="84"/>
      <c r="O38" s="84">
        <f t="shared" si="2"/>
        <v>64.116291579661265</v>
      </c>
      <c r="P38" s="91"/>
      <c r="Q38" s="87">
        <f>O38/K38</f>
        <v>8.202831072270203E-2</v>
      </c>
      <c r="R38" s="90"/>
      <c r="S38" s="87">
        <f>(O24+O32)/(K24+K32)</f>
        <v>0.11728386831583047</v>
      </c>
      <c r="T38" s="4"/>
      <c r="U38" s="73"/>
      <c r="V38" s="4"/>
      <c r="W38" s="4"/>
    </row>
    <row r="39" spans="1:23">
      <c r="A39" s="60"/>
      <c r="C39" s="9"/>
      <c r="E39" s="82"/>
      <c r="F39" s="91"/>
      <c r="G39" s="81"/>
      <c r="H39" s="81"/>
      <c r="I39" s="81"/>
      <c r="J39" s="100"/>
      <c r="K39" s="98"/>
      <c r="L39" s="75"/>
      <c r="M39" s="98"/>
      <c r="N39" s="84"/>
      <c r="O39" s="84"/>
      <c r="P39" s="91"/>
      <c r="Q39" s="90"/>
      <c r="R39" s="90"/>
      <c r="S39" s="90"/>
      <c r="T39" s="4"/>
      <c r="U39" s="73"/>
      <c r="V39" s="4"/>
      <c r="W39" s="4"/>
    </row>
    <row r="40" spans="1:23">
      <c r="A40" s="60"/>
      <c r="E40" s="82"/>
      <c r="F40" s="60"/>
      <c r="G40" s="20"/>
      <c r="H40" s="20"/>
      <c r="I40" s="20"/>
      <c r="J40" s="60"/>
      <c r="K40" s="75"/>
      <c r="L40" s="75"/>
      <c r="M40" s="75"/>
      <c r="N40" s="75"/>
      <c r="O40" s="75"/>
      <c r="P40" s="60"/>
      <c r="Q40" s="89"/>
      <c r="R40" s="89"/>
      <c r="S40" s="89"/>
    </row>
    <row r="41" spans="1:23">
      <c r="A41" s="60"/>
      <c r="C41" s="69" t="s">
        <v>53</v>
      </c>
      <c r="E41" s="82"/>
      <c r="F41" s="20"/>
      <c r="G41" s="60"/>
      <c r="H41" s="83"/>
      <c r="I41" s="83"/>
      <c r="J41" s="60"/>
      <c r="K41" s="84"/>
      <c r="L41" s="84"/>
      <c r="M41" s="84"/>
      <c r="N41" s="84"/>
      <c r="O41" s="84"/>
      <c r="P41" s="23"/>
      <c r="Q41" s="90"/>
      <c r="R41" s="90"/>
      <c r="S41" s="90"/>
    </row>
    <row r="42" spans="1:23">
      <c r="A42" s="60">
        <f>MAX(A$13:A41)+1</f>
        <v>20</v>
      </c>
      <c r="C42" s="4" t="s">
        <v>31</v>
      </c>
      <c r="E42" s="112">
        <f>'Attachment 2'!P22</f>
        <v>5048</v>
      </c>
      <c r="F42" s="60"/>
      <c r="G42" s="60"/>
      <c r="H42" s="78"/>
      <c r="I42" s="60"/>
      <c r="J42" s="60"/>
      <c r="K42" s="75"/>
      <c r="L42" s="75"/>
      <c r="M42" s="75"/>
      <c r="N42" s="75"/>
      <c r="O42" s="75"/>
      <c r="P42" s="60"/>
      <c r="Q42" s="89"/>
      <c r="R42" s="89"/>
      <c r="S42" s="90"/>
    </row>
    <row r="43" spans="1:23">
      <c r="A43" s="60"/>
      <c r="E43" s="60"/>
      <c r="F43" s="60"/>
      <c r="G43" s="20"/>
      <c r="H43" s="20"/>
      <c r="I43" s="20"/>
      <c r="J43" s="60"/>
      <c r="K43" s="75"/>
      <c r="L43" s="75"/>
      <c r="M43" s="75"/>
      <c r="N43" s="75"/>
      <c r="O43" s="75"/>
      <c r="P43" s="60"/>
      <c r="Q43" s="89"/>
      <c r="R43" s="89"/>
      <c r="S43" s="89"/>
    </row>
    <row r="44" spans="1:23">
      <c r="A44" s="60"/>
      <c r="C44" s="8" t="s">
        <v>32</v>
      </c>
      <c r="E44" s="20"/>
      <c r="F44" s="20"/>
      <c r="G44" s="20"/>
      <c r="H44" s="20"/>
      <c r="I44" s="20"/>
      <c r="J44" s="60"/>
      <c r="K44" s="84"/>
      <c r="L44" s="84"/>
      <c r="M44" s="84"/>
      <c r="N44" s="84"/>
      <c r="O44" s="84"/>
      <c r="P44" s="20"/>
      <c r="Q44" s="90"/>
      <c r="R44" s="90"/>
      <c r="S44" s="90"/>
    </row>
    <row r="45" spans="1:23">
      <c r="A45" s="60">
        <f>MAX(A$13:A44)+1</f>
        <v>21</v>
      </c>
      <c r="C45" s="4" t="s">
        <v>33</v>
      </c>
      <c r="E45" s="91" t="s">
        <v>34</v>
      </c>
      <c r="F45" s="91"/>
      <c r="G45" s="92">
        <f>G16</f>
        <v>21.878786989991127</v>
      </c>
      <c r="H45" s="92"/>
      <c r="I45" s="92">
        <f>I16</f>
        <v>23</v>
      </c>
      <c r="J45" s="93"/>
      <c r="K45" s="84">
        <f>G45*12</f>
        <v>262.54544387989353</v>
      </c>
      <c r="L45" s="84"/>
      <c r="M45" s="84">
        <f>I45*12</f>
        <v>276</v>
      </c>
      <c r="N45" s="84"/>
      <c r="O45" s="84">
        <f>M45-K45</f>
        <v>13.454556120106474</v>
      </c>
      <c r="P45" s="91"/>
      <c r="Q45" s="87"/>
      <c r="R45" s="90"/>
      <c r="S45" s="90"/>
    </row>
    <row r="46" spans="1:23">
      <c r="A46" s="60"/>
      <c r="C46" s="4" t="s">
        <v>35</v>
      </c>
      <c r="E46" s="91"/>
      <c r="F46" s="91"/>
      <c r="G46" s="92"/>
      <c r="H46" s="92"/>
      <c r="I46" s="92"/>
      <c r="J46" s="93"/>
      <c r="K46" s="84"/>
      <c r="L46" s="84"/>
      <c r="M46" s="84"/>
      <c r="N46" s="84"/>
      <c r="O46" s="84"/>
      <c r="P46" s="91"/>
      <c r="Q46" s="90"/>
      <c r="R46" s="90"/>
      <c r="S46" s="90"/>
    </row>
    <row r="47" spans="1:23">
      <c r="A47" s="60">
        <f>MAX(A$13:A46)+1</f>
        <v>22</v>
      </c>
      <c r="C47" s="74" t="s">
        <v>36</v>
      </c>
      <c r="E47" s="112">
        <f>'Attachment 2'!P27</f>
        <v>360</v>
      </c>
      <c r="F47" s="60"/>
      <c r="G47" s="110">
        <f>G18</f>
        <v>11.918857380675554</v>
      </c>
      <c r="H47" s="79"/>
      <c r="I47" s="110">
        <f>I18</f>
        <v>13.414575843082472</v>
      </c>
      <c r="J47" s="60"/>
      <c r="K47" s="75">
        <f>G47*$E47/100</f>
        <v>42.907886570431991</v>
      </c>
      <c r="L47" s="75"/>
      <c r="M47" s="75">
        <f>I47*$E47/100</f>
        <v>48.292473035096897</v>
      </c>
      <c r="N47" s="75"/>
      <c r="O47" s="84">
        <f t="shared" ref="O47:O50" si="4">M47-K47</f>
        <v>5.3845864646649062</v>
      </c>
      <c r="P47" s="60"/>
      <c r="Q47" s="89"/>
      <c r="R47" s="89"/>
      <c r="S47" s="89"/>
    </row>
    <row r="48" spans="1:23">
      <c r="A48" s="60">
        <f>MAX(A$13:A47)+1</f>
        <v>23</v>
      </c>
      <c r="C48" s="74" t="s">
        <v>37</v>
      </c>
      <c r="E48" s="112">
        <f>'Attachment 2'!P28</f>
        <v>660</v>
      </c>
      <c r="F48" s="60"/>
      <c r="G48" s="110">
        <f>G19</f>
        <v>11.238869487448605</v>
      </c>
      <c r="H48" s="79"/>
      <c r="I48" s="110">
        <f>I19</f>
        <v>12.50465366430851</v>
      </c>
      <c r="J48" s="60"/>
      <c r="K48" s="75">
        <f>G48*$E48/100</f>
        <v>74.176538617160801</v>
      </c>
      <c r="L48" s="75"/>
      <c r="M48" s="75">
        <f>I48*$E48/100</f>
        <v>82.530714184436164</v>
      </c>
      <c r="N48" s="75"/>
      <c r="O48" s="84">
        <f t="shared" si="4"/>
        <v>8.3541755672753624</v>
      </c>
      <c r="P48" s="60"/>
      <c r="Q48" s="89"/>
      <c r="R48" s="89"/>
      <c r="S48" s="89"/>
    </row>
    <row r="49" spans="1:23">
      <c r="A49" s="60">
        <f>MAX(A$13:A48)+1</f>
        <v>24</v>
      </c>
      <c r="C49" s="74" t="s">
        <v>38</v>
      </c>
      <c r="E49" s="112">
        <f>'Attachment 2'!P29</f>
        <v>1020</v>
      </c>
      <c r="F49" s="60"/>
      <c r="G49" s="110">
        <f>G20</f>
        <v>10.706406073237655</v>
      </c>
      <c r="H49" s="79"/>
      <c r="I49" s="110">
        <f>I20</f>
        <v>11.7921422461883</v>
      </c>
      <c r="J49" s="60"/>
      <c r="K49" s="75">
        <f>G49*$E49/100</f>
        <v>109.20534194702408</v>
      </c>
      <c r="L49" s="75"/>
      <c r="M49" s="75">
        <f>I49*$E49/100</f>
        <v>120.27985091112066</v>
      </c>
      <c r="N49" s="75"/>
      <c r="O49" s="84">
        <f t="shared" si="4"/>
        <v>11.07450896409658</v>
      </c>
      <c r="P49" s="60"/>
      <c r="Q49" s="89"/>
      <c r="R49" s="89"/>
      <c r="S49" s="89"/>
    </row>
    <row r="50" spans="1:23">
      <c r="A50" s="60">
        <f>MAX(A$13:A49)+1</f>
        <v>25</v>
      </c>
      <c r="C50" s="74" t="s">
        <v>39</v>
      </c>
      <c r="E50" s="113">
        <f>'Attachment 2'!P30</f>
        <v>3008</v>
      </c>
      <c r="F50" s="60"/>
      <c r="G50" s="110">
        <f>G21</f>
        <v>10.309480313558556</v>
      </c>
      <c r="H50" s="79"/>
      <c r="I50" s="110">
        <f>I21</f>
        <v>11.260997944720636</v>
      </c>
      <c r="J50" s="60"/>
      <c r="K50" s="75">
        <f>G50*$E50/100</f>
        <v>310.10916783184138</v>
      </c>
      <c r="L50" s="75"/>
      <c r="M50" s="75">
        <f>I50*$E50/100</f>
        <v>338.73081817719668</v>
      </c>
      <c r="N50" s="75"/>
      <c r="O50" s="84">
        <f t="shared" si="4"/>
        <v>28.621650345355306</v>
      </c>
      <c r="P50" s="60"/>
      <c r="Q50" s="89"/>
      <c r="R50" s="89"/>
      <c r="S50" s="89"/>
    </row>
    <row r="51" spans="1:23">
      <c r="A51" s="60">
        <f>MAX(A$13:A50)+1</f>
        <v>26</v>
      </c>
      <c r="C51" s="4" t="s">
        <v>40</v>
      </c>
      <c r="E51" s="112">
        <f>SUM(E47:E50)</f>
        <v>5048</v>
      </c>
      <c r="F51" s="60"/>
      <c r="G51" s="110"/>
      <c r="H51" s="79"/>
      <c r="I51" s="110"/>
      <c r="J51" s="60"/>
      <c r="K51" s="105">
        <f>SUM(K47:K50)</f>
        <v>536.39893496645823</v>
      </c>
      <c r="L51" s="84"/>
      <c r="M51" s="105">
        <f>SUM(M47:M50)</f>
        <v>589.8338563078504</v>
      </c>
      <c r="N51" s="84"/>
      <c r="O51" s="105">
        <f>SUM(O47:O50)</f>
        <v>53.434921341392155</v>
      </c>
      <c r="P51" s="91"/>
      <c r="Q51" s="87"/>
      <c r="R51" s="90"/>
      <c r="S51" s="90"/>
    </row>
    <row r="52" spans="1:23">
      <c r="A52" s="60">
        <f>MAX(A$13:A51)+1</f>
        <v>27</v>
      </c>
      <c r="C52" s="4" t="s">
        <v>41</v>
      </c>
      <c r="E52" s="112">
        <f>$E$42</f>
        <v>5048</v>
      </c>
      <c r="F52" s="60"/>
      <c r="G52" s="110">
        <f>$G$23</f>
        <v>7.0000000000000001E-3</v>
      </c>
      <c r="H52" s="79"/>
      <c r="I52" s="110">
        <f>$I$23</f>
        <v>7.0000000000000001E-3</v>
      </c>
      <c r="J52" s="80"/>
      <c r="K52" s="84">
        <f>$G$23*E52/100</f>
        <v>0.35336000000000001</v>
      </c>
      <c r="L52" s="84"/>
      <c r="M52" s="84">
        <f>$I$23*E52/100</f>
        <v>0.35336000000000001</v>
      </c>
      <c r="N52" s="84"/>
      <c r="O52" s="84">
        <f>M52-K52</f>
        <v>0</v>
      </c>
      <c r="P52" s="91"/>
      <c r="Q52" s="90"/>
      <c r="R52" s="90"/>
      <c r="S52" s="90"/>
    </row>
    <row r="53" spans="1:23">
      <c r="A53" s="60">
        <f>MAX(A$13:A52)+1</f>
        <v>28</v>
      </c>
      <c r="C53" s="4" t="s">
        <v>42</v>
      </c>
      <c r="E53" s="112"/>
      <c r="F53" s="60"/>
      <c r="G53" s="110"/>
      <c r="H53" s="79"/>
      <c r="I53" s="110"/>
      <c r="J53" s="60"/>
      <c r="K53" s="94">
        <f>K51+K45+K52</f>
        <v>799.29773884635176</v>
      </c>
      <c r="L53" s="84"/>
      <c r="M53" s="94">
        <f>M51+M45+M52</f>
        <v>866.18721630785035</v>
      </c>
      <c r="N53" s="84"/>
      <c r="O53" s="94">
        <f>O51+O45+O52</f>
        <v>66.889477461498629</v>
      </c>
      <c r="P53" s="91"/>
      <c r="Q53" s="96">
        <f>O53/K53</f>
        <v>8.3685308003050324E-2</v>
      </c>
      <c r="R53" s="90"/>
      <c r="S53" s="96">
        <f>Q53</f>
        <v>8.3685308003050324E-2</v>
      </c>
    </row>
    <row r="54" spans="1:23">
      <c r="A54" s="60"/>
      <c r="C54" s="4"/>
      <c r="E54" s="112"/>
      <c r="F54" s="60"/>
      <c r="G54" s="110"/>
      <c r="H54" s="79"/>
      <c r="I54" s="110"/>
      <c r="J54" s="60"/>
      <c r="K54" s="75"/>
      <c r="L54" s="75"/>
      <c r="M54" s="75"/>
      <c r="N54" s="75"/>
      <c r="O54" s="75"/>
      <c r="P54" s="97"/>
      <c r="Q54" s="89"/>
      <c r="R54" s="89"/>
      <c r="S54" s="90"/>
    </row>
    <row r="55" spans="1:23">
      <c r="A55" s="60">
        <f>MAX(A$13:A54)+1</f>
        <v>29</v>
      </c>
      <c r="C55" s="4" t="s">
        <v>43</v>
      </c>
      <c r="E55" s="112">
        <f>$E$42</f>
        <v>5048</v>
      </c>
      <c r="F55" s="60"/>
      <c r="G55" s="110">
        <f>$G$26</f>
        <v>9.7899999999999991</v>
      </c>
      <c r="H55" s="79"/>
      <c r="I55" s="110">
        <f>$I$26</f>
        <v>9.7899999999999991</v>
      </c>
      <c r="J55" s="80"/>
      <c r="K55" s="98">
        <f>$G$26*E55/100</f>
        <v>494.19919999999996</v>
      </c>
      <c r="L55" s="98"/>
      <c r="M55" s="98">
        <f>$I$26*E55/100</f>
        <v>494.19919999999996</v>
      </c>
      <c r="N55" s="98"/>
      <c r="O55" s="98">
        <f>M55-K55</f>
        <v>0</v>
      </c>
      <c r="P55" s="91"/>
      <c r="Q55" s="87">
        <f>O55/K55</f>
        <v>0</v>
      </c>
      <c r="R55" s="89"/>
      <c r="S55" s="89">
        <f>Q55</f>
        <v>0</v>
      </c>
    </row>
    <row r="56" spans="1:23">
      <c r="A56" s="60">
        <f>MAX(A$13:A55)+1</f>
        <v>30</v>
      </c>
      <c r="C56" s="4" t="s">
        <v>44</v>
      </c>
      <c r="E56" s="112">
        <f>$E$42</f>
        <v>5048</v>
      </c>
      <c r="F56" s="60"/>
      <c r="G56" s="110">
        <f>G27</f>
        <v>3.9267443870173873</v>
      </c>
      <c r="H56" s="79"/>
      <c r="I56" s="110">
        <f>I27</f>
        <v>1.9422572433628118</v>
      </c>
      <c r="J56" s="60"/>
      <c r="K56" s="99">
        <f>$E56*G56/100</f>
        <v>198.22205665663773</v>
      </c>
      <c r="L56" s="99"/>
      <c r="M56" s="99">
        <f>$E56*I56/100</f>
        <v>98.045145644954744</v>
      </c>
      <c r="N56" s="99"/>
      <c r="O56" s="98">
        <f t="shared" ref="O56" si="5">M56-K56</f>
        <v>-100.17691101168299</v>
      </c>
      <c r="P56" s="60"/>
      <c r="Q56" s="87">
        <f>O56/K56</f>
        <v>-0.50537721533789981</v>
      </c>
      <c r="R56" s="89"/>
      <c r="S56" s="89">
        <f>Q56</f>
        <v>-0.50537721533789981</v>
      </c>
    </row>
    <row r="57" spans="1:23">
      <c r="A57" s="60">
        <f>MAX(A$13:A56)+1</f>
        <v>31</v>
      </c>
      <c r="C57" s="4" t="s">
        <v>45</v>
      </c>
      <c r="E57" s="112">
        <f>$E$42</f>
        <v>5048</v>
      </c>
      <c r="F57" s="60"/>
      <c r="G57" s="110">
        <f>G28</f>
        <v>18.377497019556195</v>
      </c>
      <c r="H57" s="79"/>
      <c r="I57" s="110">
        <f>I28</f>
        <v>20.903604607530845</v>
      </c>
      <c r="J57" s="100"/>
      <c r="K57" s="98">
        <f>E57*$G57/100</f>
        <v>927.69604954719671</v>
      </c>
      <c r="L57" s="98"/>
      <c r="M57" s="98">
        <f>E57*$I57/100</f>
        <v>1055.2139605881571</v>
      </c>
      <c r="N57" s="98"/>
      <c r="O57" s="98">
        <f>M57-K57</f>
        <v>127.51791104096037</v>
      </c>
      <c r="P57" s="91"/>
      <c r="Q57" s="87">
        <f>O57/K57</f>
        <v>0.13745656360528985</v>
      </c>
      <c r="R57" s="90"/>
      <c r="S57" s="90">
        <f>Q57</f>
        <v>0.13745656360528985</v>
      </c>
    </row>
    <row r="58" spans="1:23" ht="13.5" thickBot="1">
      <c r="A58" s="60">
        <f>MAX(A$13:A57)+1</f>
        <v>32</v>
      </c>
      <c r="C58" s="4" t="s">
        <v>46</v>
      </c>
      <c r="E58" s="112"/>
      <c r="F58" s="60"/>
      <c r="G58" s="110"/>
      <c r="H58" s="79"/>
      <c r="I58" s="110"/>
      <c r="J58" s="100"/>
      <c r="K58" s="101">
        <f>K53+K55+K56+K57</f>
        <v>2419.4150450501861</v>
      </c>
      <c r="L58" s="84"/>
      <c r="M58" s="101">
        <f>M53+M55+M56+M57</f>
        <v>2513.6455225409622</v>
      </c>
      <c r="N58" s="84"/>
      <c r="O58" s="101">
        <f>O53+O55+O56+O57</f>
        <v>94.230477490776011</v>
      </c>
      <c r="P58" s="91"/>
      <c r="Q58" s="102">
        <f>O58/K58</f>
        <v>3.8947628139933875E-2</v>
      </c>
      <c r="R58" s="90"/>
      <c r="S58" s="102">
        <f>(O53+O56+O57)/(K53+K56+K57)</f>
        <v>4.894540928127445E-2</v>
      </c>
    </row>
    <row r="59" spans="1:23" ht="13.5" thickTop="1">
      <c r="A59" s="60"/>
      <c r="E59" s="112"/>
      <c r="F59" s="60"/>
      <c r="G59" s="110"/>
      <c r="H59" s="79"/>
      <c r="I59" s="110"/>
      <c r="J59" s="60"/>
      <c r="K59" s="75"/>
      <c r="L59" s="75"/>
      <c r="M59" s="75"/>
      <c r="N59" s="75"/>
      <c r="O59" s="75"/>
      <c r="P59" s="60"/>
      <c r="Q59" s="89"/>
      <c r="R59" s="89"/>
      <c r="S59" s="89"/>
    </row>
    <row r="60" spans="1:23">
      <c r="A60" s="60">
        <f>MAX(A$13:A59)+1</f>
        <v>33</v>
      </c>
      <c r="C60" s="4" t="s">
        <v>47</v>
      </c>
      <c r="E60" s="112">
        <f>$E$42</f>
        <v>5048</v>
      </c>
      <c r="F60" s="60"/>
      <c r="G60" s="110">
        <f>G31</f>
        <v>3.9267443870173873</v>
      </c>
      <c r="H60" s="79"/>
      <c r="I60" s="110">
        <f>I31</f>
        <v>3.8042241488558211</v>
      </c>
      <c r="J60" s="60"/>
      <c r="K60" s="75">
        <f>$E60*G60/100</f>
        <v>198.22205665663773</v>
      </c>
      <c r="L60" s="75"/>
      <c r="M60" s="75">
        <f>$E60*I60/100</f>
        <v>192.03723503424186</v>
      </c>
      <c r="N60" s="75"/>
      <c r="O60" s="84">
        <f t="shared" ref="O60:O61" si="6">M60-K60</f>
        <v>-6.184821622395873</v>
      </c>
      <c r="P60" s="60"/>
      <c r="Q60" s="87"/>
      <c r="R60" s="90"/>
      <c r="S60" s="89"/>
    </row>
    <row r="61" spans="1:23">
      <c r="A61" s="60">
        <f>MAX(A$13:A60)+1</f>
        <v>34</v>
      </c>
      <c r="C61" s="4" t="s">
        <v>48</v>
      </c>
      <c r="E61" s="112">
        <f>$E$42</f>
        <v>5048</v>
      </c>
      <c r="F61" s="60"/>
      <c r="G61" s="110">
        <f>G32</f>
        <v>0.96972012770460903</v>
      </c>
      <c r="H61" s="79"/>
      <c r="I61" s="110">
        <f>I32</f>
        <v>1.9422572433628118</v>
      </c>
      <c r="J61" s="60"/>
      <c r="K61" s="75">
        <f>$E61*G61/100</f>
        <v>48.951472046528664</v>
      </c>
      <c r="L61" s="75"/>
      <c r="M61" s="75">
        <f>$E61*I61/100</f>
        <v>98.045145644954744</v>
      </c>
      <c r="N61" s="75"/>
      <c r="O61" s="84">
        <f t="shared" si="6"/>
        <v>49.093673598426079</v>
      </c>
      <c r="P61" s="60"/>
      <c r="Q61" s="87"/>
      <c r="R61" s="90"/>
      <c r="S61" s="89"/>
    </row>
    <row r="62" spans="1:23">
      <c r="A62" s="60"/>
      <c r="C62" s="4"/>
      <c r="E62" s="88"/>
      <c r="F62" s="60"/>
      <c r="G62" s="79"/>
      <c r="H62" s="79"/>
      <c r="I62" s="79"/>
      <c r="J62" s="60"/>
      <c r="K62" s="75"/>
      <c r="L62" s="75"/>
      <c r="M62" s="75"/>
      <c r="N62" s="75"/>
      <c r="O62" s="75"/>
      <c r="P62" s="60"/>
      <c r="Q62" s="89"/>
      <c r="R62" s="89"/>
      <c r="S62" s="89"/>
    </row>
    <row r="63" spans="1:23">
      <c r="A63" s="60">
        <f>MAX(A$13:A62)+1</f>
        <v>35</v>
      </c>
      <c r="C63" s="4" t="s">
        <v>49</v>
      </c>
      <c r="E63" s="88"/>
      <c r="F63" s="91"/>
      <c r="G63" s="81"/>
      <c r="H63" s="81"/>
      <c r="I63" s="81"/>
      <c r="J63" s="100"/>
      <c r="K63" s="94">
        <f>K53+K55+K60+M57</f>
        <v>2546.9329560911465</v>
      </c>
      <c r="L63" s="84"/>
      <c r="M63" s="94">
        <f>M53+M55+M60+M57</f>
        <v>2607.6376119302495</v>
      </c>
      <c r="N63" s="84"/>
      <c r="O63" s="94">
        <f t="shared" ref="O63:O64" si="7">M63-K63</f>
        <v>60.704655839102998</v>
      </c>
      <c r="P63" s="91"/>
      <c r="Q63" s="96">
        <f>O63/K63</f>
        <v>2.3834414523524888E-2</v>
      </c>
      <c r="R63" s="90"/>
      <c r="S63" s="96">
        <f>(O53+O60)/(K53+M57+K60)</f>
        <v>2.9572591018670481E-2</v>
      </c>
      <c r="T63" s="4"/>
      <c r="U63" s="73"/>
      <c r="V63" s="4"/>
      <c r="W63" s="4"/>
    </row>
    <row r="64" spans="1:23">
      <c r="A64" s="60">
        <f>MAX(A$13:A63)+1</f>
        <v>36</v>
      </c>
      <c r="C64" s="11" t="s">
        <v>50</v>
      </c>
      <c r="E64" s="88"/>
      <c r="F64" s="91"/>
      <c r="G64" s="81"/>
      <c r="H64" s="81"/>
      <c r="I64" s="81"/>
      <c r="J64" s="100"/>
      <c r="K64" s="84">
        <f>K53+K55+K60</f>
        <v>1491.7189955029894</v>
      </c>
      <c r="L64" s="104"/>
      <c r="M64" s="84">
        <f>M53+M55+M60</f>
        <v>1552.4236513420922</v>
      </c>
      <c r="N64" s="84"/>
      <c r="O64" s="84">
        <f t="shared" si="7"/>
        <v>60.70465583910277</v>
      </c>
      <c r="P64" s="91"/>
      <c r="Q64" s="87">
        <f>O64/K64</f>
        <v>4.0694431070534103E-2</v>
      </c>
      <c r="R64" s="90"/>
      <c r="S64" s="87">
        <f>(O53+O60)/(K53+K60)</f>
        <v>6.0855590147454702E-2</v>
      </c>
      <c r="T64" s="4"/>
      <c r="U64" s="73"/>
      <c r="V64" s="4"/>
      <c r="W64" s="4"/>
    </row>
    <row r="65" spans="1:23">
      <c r="A65" s="60"/>
      <c r="C65" s="4"/>
      <c r="E65" s="88"/>
      <c r="F65" s="60"/>
      <c r="G65" s="20"/>
      <c r="H65" s="20"/>
      <c r="I65" s="20"/>
      <c r="J65" s="60"/>
      <c r="K65" s="75"/>
      <c r="L65" s="75"/>
      <c r="M65" s="75"/>
      <c r="N65" s="75"/>
      <c r="O65" s="75"/>
      <c r="P65" s="60"/>
      <c r="Q65" s="89"/>
      <c r="R65" s="89"/>
      <c r="S65" s="89"/>
    </row>
    <row r="66" spans="1:23">
      <c r="A66" s="60">
        <f>MAX(A$13:A65)+1</f>
        <v>37</v>
      </c>
      <c r="C66" s="4" t="s">
        <v>51</v>
      </c>
      <c r="E66" s="88"/>
      <c r="F66" s="20"/>
      <c r="G66" s="81"/>
      <c r="H66" s="81"/>
      <c r="I66" s="81"/>
      <c r="J66" s="60"/>
      <c r="K66" s="94">
        <f>K53+K55+M57+K61</f>
        <v>2397.6623714810376</v>
      </c>
      <c r="L66" s="84"/>
      <c r="M66" s="94">
        <f>M53+M55+M57+M61</f>
        <v>2513.6455225409618</v>
      </c>
      <c r="N66" s="84"/>
      <c r="O66" s="94">
        <f t="shared" ref="O66:O67" si="8">M66-K66</f>
        <v>115.98315105992424</v>
      </c>
      <c r="P66" s="91"/>
      <c r="Q66" s="96">
        <f>O66/K66</f>
        <v>4.8373429236528147E-2</v>
      </c>
      <c r="R66" s="90"/>
      <c r="S66" s="96">
        <f>(O53+O61)/(K53+M57+K61)</f>
        <v>6.0932700352526965E-2</v>
      </c>
      <c r="T66" s="4"/>
      <c r="U66" s="73"/>
      <c r="V66" s="4"/>
      <c r="W66" s="4"/>
    </row>
    <row r="67" spans="1:23">
      <c r="A67" s="60">
        <f>MAX(A$13:A66)+1</f>
        <v>38</v>
      </c>
      <c r="C67" s="11" t="s">
        <v>52</v>
      </c>
      <c r="E67" s="88"/>
      <c r="F67" s="91"/>
      <c r="G67" s="81"/>
      <c r="H67" s="81"/>
      <c r="I67" s="81"/>
      <c r="J67" s="100"/>
      <c r="K67" s="84">
        <f>K53+K55+K61</f>
        <v>1342.4484108928802</v>
      </c>
      <c r="L67" s="104"/>
      <c r="M67" s="84">
        <f>M53+M55+M61</f>
        <v>1458.4315619528052</v>
      </c>
      <c r="N67" s="84"/>
      <c r="O67" s="84">
        <f t="shared" si="8"/>
        <v>115.98315105992492</v>
      </c>
      <c r="P67" s="91"/>
      <c r="Q67" s="87">
        <f>O67/K67</f>
        <v>8.6396728633156922E-2</v>
      </c>
      <c r="R67" s="90"/>
      <c r="S67" s="87">
        <f>(O53+O61)/(K53+K61)</f>
        <v>0.13673240077387047</v>
      </c>
      <c r="T67" s="4"/>
      <c r="U67" s="73"/>
      <c r="V67" s="4"/>
      <c r="W67" s="4"/>
    </row>
    <row r="68" spans="1:23">
      <c r="A68" s="60"/>
      <c r="E68" s="82"/>
      <c r="F68" s="60"/>
      <c r="G68" s="20"/>
      <c r="H68" s="20"/>
      <c r="I68" s="20"/>
      <c r="J68" s="60"/>
      <c r="K68" s="75"/>
      <c r="L68" s="75"/>
      <c r="M68" s="75"/>
      <c r="N68" s="75"/>
      <c r="O68" s="75"/>
      <c r="P68" s="60"/>
      <c r="Q68" s="89"/>
      <c r="R68" s="89"/>
      <c r="S68" s="89"/>
    </row>
    <row r="69" spans="1:23">
      <c r="A69" s="60"/>
      <c r="E69" s="82"/>
      <c r="F69" s="60"/>
      <c r="G69" s="20"/>
      <c r="H69" s="20"/>
      <c r="I69" s="20"/>
      <c r="J69" s="60"/>
      <c r="K69" s="75"/>
      <c r="L69" s="75"/>
      <c r="M69" s="75"/>
      <c r="N69" s="75"/>
      <c r="O69" s="75"/>
      <c r="P69" s="60"/>
      <c r="Q69" s="89"/>
      <c r="R69" s="89"/>
      <c r="S69" s="89"/>
    </row>
    <row r="70" spans="1:23">
      <c r="A70" s="60"/>
      <c r="C70" s="69" t="s">
        <v>54</v>
      </c>
      <c r="E70" s="82"/>
      <c r="F70" s="20"/>
      <c r="G70" s="20"/>
      <c r="H70" s="83"/>
      <c r="I70" s="83"/>
      <c r="J70" s="60"/>
      <c r="K70" s="84"/>
      <c r="L70" s="84"/>
      <c r="M70" s="84"/>
      <c r="N70" s="84"/>
      <c r="O70" s="84"/>
      <c r="P70" s="23"/>
      <c r="Q70" s="90"/>
      <c r="R70" s="90"/>
      <c r="S70" s="89"/>
      <c r="U70" t="s">
        <v>55</v>
      </c>
    </row>
    <row r="71" spans="1:23">
      <c r="A71" s="60">
        <f>MAX(A$13:A70)+1</f>
        <v>39</v>
      </c>
      <c r="C71" s="4" t="s">
        <v>31</v>
      </c>
      <c r="E71" s="88">
        <f>'Attachment 2'!P35</f>
        <v>5048</v>
      </c>
      <c r="F71" s="60"/>
      <c r="G71" s="20"/>
      <c r="H71" s="85"/>
      <c r="I71" s="20"/>
      <c r="J71" s="60"/>
      <c r="K71" s="75"/>
      <c r="L71" s="75"/>
      <c r="M71" s="75"/>
      <c r="N71" s="75"/>
      <c r="O71" s="75"/>
      <c r="P71" s="60"/>
      <c r="Q71" s="89"/>
      <c r="R71" s="89"/>
      <c r="S71" s="89"/>
    </row>
    <row r="72" spans="1:23">
      <c r="A72" s="60"/>
      <c r="E72" s="60"/>
      <c r="F72" s="60"/>
      <c r="G72" s="20"/>
      <c r="H72" s="20"/>
      <c r="I72" s="20"/>
      <c r="J72" s="60"/>
      <c r="K72" s="75"/>
      <c r="L72" s="75"/>
      <c r="M72" s="75"/>
      <c r="N72" s="75"/>
      <c r="O72" s="75"/>
      <c r="P72" s="60"/>
      <c r="Q72" s="89"/>
      <c r="R72" s="89"/>
      <c r="S72" s="89"/>
    </row>
    <row r="73" spans="1:23">
      <c r="A73" s="60"/>
      <c r="C73" s="8" t="s">
        <v>32</v>
      </c>
      <c r="E73" s="20"/>
      <c r="F73" s="20"/>
      <c r="G73" s="20"/>
      <c r="H73" s="20"/>
      <c r="I73" s="20"/>
      <c r="J73" s="60"/>
      <c r="K73" s="84"/>
      <c r="L73" s="84"/>
      <c r="M73" s="84"/>
      <c r="N73" s="84"/>
      <c r="O73" s="84"/>
      <c r="P73" s="20"/>
      <c r="Q73" s="90"/>
      <c r="R73" s="90"/>
      <c r="S73" s="89"/>
    </row>
    <row r="74" spans="1:23">
      <c r="A74" s="60">
        <f>MAX(A$13:A73)+1</f>
        <v>40</v>
      </c>
      <c r="C74" s="4" t="s">
        <v>33</v>
      </c>
      <c r="E74" s="91" t="s">
        <v>34</v>
      </c>
      <c r="F74" s="91"/>
      <c r="G74" s="92">
        <v>76.575754464968981</v>
      </c>
      <c r="H74" s="92"/>
      <c r="I74" s="92">
        <v>80</v>
      </c>
      <c r="J74" s="93"/>
      <c r="K74" s="84">
        <f>G74*12</f>
        <v>918.90905357962777</v>
      </c>
      <c r="L74" s="84"/>
      <c r="M74" s="84">
        <f>I74*12</f>
        <v>960</v>
      </c>
      <c r="N74" s="84"/>
      <c r="O74" s="84">
        <f>M74-K74</f>
        <v>41.090946420372234</v>
      </c>
      <c r="P74" s="91"/>
      <c r="Q74" s="106"/>
      <c r="R74" s="90"/>
      <c r="S74" s="89"/>
    </row>
    <row r="75" spans="1:23">
      <c r="A75" s="60"/>
      <c r="C75" s="4" t="s">
        <v>35</v>
      </c>
      <c r="E75" s="91"/>
      <c r="F75" s="91"/>
      <c r="G75" s="92"/>
      <c r="H75" s="92"/>
      <c r="I75" s="92"/>
      <c r="J75" s="93"/>
      <c r="K75" s="84"/>
      <c r="L75" s="84"/>
      <c r="M75" s="84"/>
      <c r="N75" s="84"/>
      <c r="O75" s="84"/>
      <c r="P75" s="91"/>
      <c r="Q75" s="90"/>
      <c r="R75" s="90"/>
      <c r="S75" s="89"/>
    </row>
    <row r="76" spans="1:23">
      <c r="A76" s="60">
        <f>MAX(A$13:A75)+1</f>
        <v>41</v>
      </c>
      <c r="C76" s="74" t="s">
        <v>56</v>
      </c>
      <c r="E76" s="112">
        <f ca="1">'Attachment 2'!P40</f>
        <v>4511</v>
      </c>
      <c r="F76" s="60"/>
      <c r="G76" s="110">
        <v>11.229882367134465</v>
      </c>
      <c r="H76" s="79"/>
      <c r="I76" s="110">
        <v>11.805086620236931</v>
      </c>
      <c r="J76" s="60"/>
      <c r="K76" s="75">
        <f t="shared" ref="K76:K81" ca="1" si="9">G76*$E76/100</f>
        <v>506.5799935814357</v>
      </c>
      <c r="L76" s="75"/>
      <c r="M76" s="75">
        <f t="shared" ref="M76:M81" ca="1" si="10">I76*$E76/100</f>
        <v>532.52745743888795</v>
      </c>
      <c r="N76" s="75"/>
      <c r="O76" s="84">
        <f t="shared" ref="O76:O81" ca="1" si="11">M76-K76</f>
        <v>25.947463857452249</v>
      </c>
      <c r="P76" s="60"/>
      <c r="Q76" s="89"/>
      <c r="R76" s="89"/>
      <c r="S76" s="90"/>
    </row>
    <row r="77" spans="1:23">
      <c r="A77" s="60">
        <f>MAX(A$13:A76)+1</f>
        <v>42</v>
      </c>
      <c r="C77" s="74" t="s">
        <v>57</v>
      </c>
      <c r="E77" s="112">
        <f ca="1">'Attachment 2'!P41</f>
        <v>536.99999999999977</v>
      </c>
      <c r="F77" s="60"/>
      <c r="G77" s="110">
        <v>8.8636919289442755</v>
      </c>
      <c r="H77" s="79"/>
      <c r="I77" s="110">
        <v>8.8879803926933505</v>
      </c>
      <c r="J77" s="60"/>
      <c r="K77" s="75">
        <f t="shared" ca="1" si="9"/>
        <v>47.598025658430743</v>
      </c>
      <c r="L77" s="75"/>
      <c r="M77" s="75">
        <f t="shared" ca="1" si="10"/>
        <v>47.728454708763273</v>
      </c>
      <c r="N77" s="75"/>
      <c r="O77" s="84">
        <f t="shared" ca="1" si="11"/>
        <v>0.13042905033253049</v>
      </c>
      <c r="P77" s="60"/>
      <c r="Q77" s="89"/>
      <c r="R77" s="89"/>
      <c r="S77" s="90"/>
    </row>
    <row r="78" spans="1:23">
      <c r="A78" s="60">
        <f>MAX(A$13:A77)+1</f>
        <v>43</v>
      </c>
      <c r="C78" s="74" t="s">
        <v>58</v>
      </c>
      <c r="E78" s="112">
        <f ca="1">'Attachment 2'!P42</f>
        <v>0</v>
      </c>
      <c r="F78" s="60"/>
      <c r="G78" s="110">
        <v>7.206693763785581</v>
      </c>
      <c r="H78" s="79"/>
      <c r="I78" s="110">
        <v>6.8451887177534694</v>
      </c>
      <c r="J78" s="60"/>
      <c r="K78" s="75">
        <f t="shared" ca="1" si="9"/>
        <v>0</v>
      </c>
      <c r="L78" s="75"/>
      <c r="M78" s="75">
        <f t="shared" ca="1" si="10"/>
        <v>0</v>
      </c>
      <c r="N78" s="75"/>
      <c r="O78" s="84">
        <f t="shared" ca="1" si="11"/>
        <v>0</v>
      </c>
      <c r="P78" s="60"/>
      <c r="Q78" s="89"/>
      <c r="R78" s="89"/>
      <c r="S78" s="90"/>
    </row>
    <row r="79" spans="1:23">
      <c r="A79" s="60">
        <f>MAX(A$13:A78)+1</f>
        <v>44</v>
      </c>
      <c r="C79" s="74" t="s">
        <v>59</v>
      </c>
      <c r="E79" s="112">
        <f ca="1">'Attachment 2'!P43</f>
        <v>0</v>
      </c>
      <c r="F79" s="60"/>
      <c r="G79" s="110">
        <v>6.1421140258986346</v>
      </c>
      <c r="H79" s="79"/>
      <c r="I79" s="110">
        <v>5.532745371612962</v>
      </c>
      <c r="J79" s="60"/>
      <c r="K79" s="75">
        <f t="shared" ca="1" si="9"/>
        <v>0</v>
      </c>
      <c r="L79" s="75"/>
      <c r="M79" s="75">
        <f t="shared" ca="1" si="10"/>
        <v>0</v>
      </c>
      <c r="N79" s="75"/>
      <c r="O79" s="84">
        <f t="shared" ca="1" si="11"/>
        <v>0</v>
      </c>
      <c r="P79" s="60"/>
      <c r="Q79" s="89"/>
      <c r="R79" s="89"/>
      <c r="S79" s="90"/>
    </row>
    <row r="80" spans="1:23">
      <c r="A80" s="60">
        <f>MAX(A$13:A79)+1</f>
        <v>45</v>
      </c>
      <c r="C80" s="74" t="s">
        <v>60</v>
      </c>
      <c r="E80" s="112">
        <f ca="1">'Attachment 2'!P44</f>
        <v>0</v>
      </c>
      <c r="F80" s="60"/>
      <c r="G80" s="110">
        <v>5.6690538016789072</v>
      </c>
      <c r="H80" s="79"/>
      <c r="I80" s="110">
        <v>4.9495443043167224</v>
      </c>
      <c r="J80" s="60"/>
      <c r="K80" s="75">
        <f t="shared" ca="1" si="9"/>
        <v>0</v>
      </c>
      <c r="L80" s="75"/>
      <c r="M80" s="75">
        <f t="shared" ca="1" si="10"/>
        <v>0</v>
      </c>
      <c r="N80" s="75"/>
      <c r="O80" s="84">
        <f t="shared" ca="1" si="11"/>
        <v>0</v>
      </c>
      <c r="P80" s="60"/>
      <c r="Q80" s="89"/>
      <c r="R80" s="89"/>
      <c r="S80" s="90"/>
    </row>
    <row r="81" spans="1:23">
      <c r="A81" s="60">
        <f>MAX(A$13:A80)+1</f>
        <v>46</v>
      </c>
      <c r="C81" s="74" t="s">
        <v>61</v>
      </c>
      <c r="E81" s="113">
        <f ca="1">'Attachment 2'!P45</f>
        <v>0</v>
      </c>
      <c r="F81" s="60"/>
      <c r="G81" s="110">
        <v>5.550258796153428</v>
      </c>
      <c r="H81" s="79"/>
      <c r="I81" s="110">
        <v>4.8030898044006989</v>
      </c>
      <c r="J81" s="60"/>
      <c r="K81" s="75">
        <f t="shared" ca="1" si="9"/>
        <v>0</v>
      </c>
      <c r="L81" s="75"/>
      <c r="M81" s="75">
        <f t="shared" ca="1" si="10"/>
        <v>0</v>
      </c>
      <c r="N81" s="75"/>
      <c r="O81" s="84">
        <f t="shared" ca="1" si="11"/>
        <v>0</v>
      </c>
      <c r="P81" s="60"/>
      <c r="Q81" s="89"/>
      <c r="R81" s="89"/>
      <c r="S81" s="90"/>
    </row>
    <row r="82" spans="1:23">
      <c r="A82" s="60">
        <f>MAX(A$13:A81)+1</f>
        <v>47</v>
      </c>
      <c r="C82" s="4" t="s">
        <v>40</v>
      </c>
      <c r="E82" s="112">
        <f ca="1">SUM(E76:E81)</f>
        <v>5048</v>
      </c>
      <c r="F82" s="60"/>
      <c r="G82" s="110"/>
      <c r="H82" s="79"/>
      <c r="I82" s="110"/>
      <c r="J82" s="60"/>
      <c r="K82" s="105">
        <f ca="1">SUM(K76:K81)</f>
        <v>554.17801923986644</v>
      </c>
      <c r="L82" s="98"/>
      <c r="M82" s="105">
        <f ca="1">SUM(M76:M81)</f>
        <v>580.2559121476512</v>
      </c>
      <c r="N82" s="98"/>
      <c r="O82" s="105">
        <f ca="1">SUM(O76:O81)</f>
        <v>26.077892907784779</v>
      </c>
      <c r="P82" s="91"/>
      <c r="Q82" s="87"/>
      <c r="R82" s="90"/>
      <c r="S82" s="90"/>
    </row>
    <row r="83" spans="1:23">
      <c r="A83" s="60">
        <f>MAX(A$13:A82)+1</f>
        <v>48</v>
      </c>
      <c r="C83" s="4" t="s">
        <v>41</v>
      </c>
      <c r="E83" s="112">
        <f>$E$71</f>
        <v>5048</v>
      </c>
      <c r="F83" s="60"/>
      <c r="G83" s="110">
        <f>$G$23</f>
        <v>7.0000000000000001E-3</v>
      </c>
      <c r="H83" s="79"/>
      <c r="I83" s="110">
        <f>$I$23</f>
        <v>7.0000000000000001E-3</v>
      </c>
      <c r="J83" s="80"/>
      <c r="K83" s="84">
        <f>$G83*E83/100</f>
        <v>0.35336000000000001</v>
      </c>
      <c r="L83" s="84"/>
      <c r="M83" s="84">
        <f>$I$114*$E83/100</f>
        <v>0.35336000000000001</v>
      </c>
      <c r="N83" s="84"/>
      <c r="O83" s="84">
        <f>M83-K83</f>
        <v>0</v>
      </c>
      <c r="P83" s="91"/>
      <c r="Q83" s="90"/>
      <c r="R83" s="90"/>
      <c r="S83" s="89"/>
    </row>
    <row r="84" spans="1:23">
      <c r="A84" s="60">
        <f>MAX(A$13:A83)+1</f>
        <v>49</v>
      </c>
      <c r="C84" s="4" t="s">
        <v>42</v>
      </c>
      <c r="E84" s="82"/>
      <c r="F84" s="91"/>
      <c r="G84" s="79"/>
      <c r="H84" s="79"/>
      <c r="I84" s="79"/>
      <c r="J84" s="60"/>
      <c r="K84" s="94">
        <f ca="1">K82+K74+K83</f>
        <v>1473.4404328194942</v>
      </c>
      <c r="L84" s="84"/>
      <c r="M84" s="94">
        <f ca="1">M82+M74+M83</f>
        <v>1540.6092721476512</v>
      </c>
      <c r="N84" s="84"/>
      <c r="O84" s="94">
        <f ca="1">O82+O74+O83</f>
        <v>67.16883932815702</v>
      </c>
      <c r="P84" s="91"/>
      <c r="Q84" s="96">
        <f ca="1">O84/K84</f>
        <v>4.5586396186798293E-2</v>
      </c>
      <c r="R84" s="90"/>
      <c r="S84" s="96">
        <f ca="1">Q84</f>
        <v>4.5586396186798293E-2</v>
      </c>
    </row>
    <row r="85" spans="1:23">
      <c r="A85" s="60"/>
      <c r="C85" s="4"/>
      <c r="E85" s="88"/>
      <c r="F85" s="97"/>
      <c r="G85" s="79"/>
      <c r="H85" s="79"/>
      <c r="I85" s="79"/>
      <c r="J85" s="60"/>
      <c r="K85" s="75"/>
      <c r="L85" s="75"/>
      <c r="M85" s="75"/>
      <c r="N85" s="75"/>
      <c r="O85" s="75"/>
      <c r="P85" s="97"/>
      <c r="Q85" s="89"/>
      <c r="R85" s="89"/>
      <c r="S85" s="89"/>
    </row>
    <row r="86" spans="1:23">
      <c r="A86" s="60">
        <f>MAX(A$13:A85)+1</f>
        <v>50</v>
      </c>
      <c r="C86" s="4" t="s">
        <v>43</v>
      </c>
      <c r="E86" s="112">
        <f>$E$71</f>
        <v>5048</v>
      </c>
      <c r="F86" s="60"/>
      <c r="G86" s="110">
        <f>$G$26</f>
        <v>9.7899999999999991</v>
      </c>
      <c r="H86" s="79"/>
      <c r="I86" s="110">
        <f>$I$26</f>
        <v>9.7899999999999991</v>
      </c>
      <c r="J86" s="80"/>
      <c r="K86" s="98">
        <f>$G$26*E86/100</f>
        <v>494.19919999999996</v>
      </c>
      <c r="L86" s="98"/>
      <c r="M86" s="98">
        <f>$I$26*E86/100</f>
        <v>494.19919999999996</v>
      </c>
      <c r="N86" s="98"/>
      <c r="O86" s="98">
        <f>M86-K86</f>
        <v>0</v>
      </c>
      <c r="P86" s="91"/>
      <c r="Q86" s="87">
        <f>O86/K86</f>
        <v>0</v>
      </c>
      <c r="R86" s="89"/>
      <c r="S86" s="87">
        <f>Q86</f>
        <v>0</v>
      </c>
    </row>
    <row r="87" spans="1:23">
      <c r="A87" s="60">
        <f>MAX(A$13:A86)+1</f>
        <v>51</v>
      </c>
      <c r="C87" s="4" t="s">
        <v>44</v>
      </c>
      <c r="E87" s="112">
        <f>$E$71</f>
        <v>5048</v>
      </c>
      <c r="F87" s="60"/>
      <c r="G87" s="110">
        <v>3.9267443846006143</v>
      </c>
      <c r="H87" s="79"/>
      <c r="I87" s="110">
        <v>1.8434610340946149</v>
      </c>
      <c r="J87" s="60"/>
      <c r="K87" s="75">
        <f>$E87*G87/100</f>
        <v>198.22205653463902</v>
      </c>
      <c r="L87" s="75"/>
      <c r="M87" s="75">
        <f>$E87*I87/100</f>
        <v>93.057913001096168</v>
      </c>
      <c r="N87" s="75"/>
      <c r="O87" s="84">
        <f t="shared" ref="O87" si="12">M87-K87</f>
        <v>-105.16414353354286</v>
      </c>
      <c r="P87" s="60"/>
      <c r="Q87" s="87">
        <f>O87/K87</f>
        <v>-0.53053704200251584</v>
      </c>
      <c r="R87" s="89"/>
      <c r="S87" s="89">
        <f>Q87</f>
        <v>-0.53053704200251584</v>
      </c>
    </row>
    <row r="88" spans="1:23">
      <c r="A88" s="60">
        <f>MAX(A$13:A87)+1</f>
        <v>52</v>
      </c>
      <c r="C88" s="4" t="s">
        <v>45</v>
      </c>
      <c r="E88" s="112">
        <f>$E$71</f>
        <v>5048</v>
      </c>
      <c r="F88" s="60"/>
      <c r="G88" s="110">
        <v>18.400798940142568</v>
      </c>
      <c r="H88" s="79"/>
      <c r="I88" s="110">
        <v>20.903604607530845</v>
      </c>
      <c r="J88" s="100"/>
      <c r="K88" s="84">
        <f>E88*$G88/100</f>
        <v>928.87233049839688</v>
      </c>
      <c r="L88" s="84"/>
      <c r="M88" s="84">
        <f>E88*$I88/100</f>
        <v>1055.2139605881571</v>
      </c>
      <c r="N88" s="84"/>
      <c r="O88" s="84">
        <f>M88-K88</f>
        <v>126.3416300897602</v>
      </c>
      <c r="P88" s="91"/>
      <c r="Q88" s="87">
        <f>O88/K88</f>
        <v>0.13601614123005493</v>
      </c>
      <c r="R88" s="90"/>
      <c r="S88" s="90">
        <f>Q88</f>
        <v>0.13601614123005493</v>
      </c>
    </row>
    <row r="89" spans="1:23" ht="13.5" thickBot="1">
      <c r="A89" s="60">
        <f>MAX(A$13:A88)+1</f>
        <v>53</v>
      </c>
      <c r="C89" s="4" t="s">
        <v>46</v>
      </c>
      <c r="E89" s="82"/>
      <c r="F89" s="91"/>
      <c r="G89" s="79"/>
      <c r="H89" s="79"/>
      <c r="I89" s="79"/>
      <c r="J89" s="100"/>
      <c r="K89" s="101">
        <f ca="1">K84+K86+K88+K87</f>
        <v>3094.7340198525299</v>
      </c>
      <c r="L89" s="84"/>
      <c r="M89" s="101">
        <f ca="1">M84+M86+M88+M87</f>
        <v>3183.0803457369043</v>
      </c>
      <c r="N89" s="84"/>
      <c r="O89" s="101">
        <f ca="1">M89-K89</f>
        <v>88.346325884374437</v>
      </c>
      <c r="P89" s="91"/>
      <c r="Q89" s="102">
        <f ca="1">O89/K89</f>
        <v>2.8547308207308979E-2</v>
      </c>
      <c r="R89" s="89"/>
      <c r="S89" s="102">
        <f ca="1">(O84+O87+O88)/(K84+K87+K88)</f>
        <v>3.3972367995205033E-2</v>
      </c>
    </row>
    <row r="90" spans="1:23" ht="13.5" thickTop="1">
      <c r="A90" s="60"/>
      <c r="C90" s="4"/>
      <c r="E90" s="88"/>
      <c r="F90" s="60"/>
      <c r="G90" s="79"/>
      <c r="H90" s="79"/>
      <c r="I90" s="79"/>
      <c r="J90" s="60"/>
      <c r="K90" s="84"/>
      <c r="L90" s="75"/>
      <c r="M90" s="84"/>
      <c r="N90" s="75"/>
      <c r="O90" s="84"/>
      <c r="P90" s="60"/>
      <c r="Q90" s="89"/>
      <c r="R90" s="89"/>
      <c r="S90" s="89"/>
    </row>
    <row r="91" spans="1:23">
      <c r="A91" s="60">
        <f>MAX(A$13:A90)+1</f>
        <v>54</v>
      </c>
      <c r="C91" s="4" t="s">
        <v>47</v>
      </c>
      <c r="E91" s="112">
        <f>$E$71</f>
        <v>5048</v>
      </c>
      <c r="F91" s="60"/>
      <c r="G91" s="110">
        <v>3.9267443846006143</v>
      </c>
      <c r="H91" s="79"/>
      <c r="I91" s="110">
        <v>3.7054279395876244</v>
      </c>
      <c r="J91" s="60"/>
      <c r="K91" s="75">
        <f>$E91*G91/100</f>
        <v>198.22205653463902</v>
      </c>
      <c r="L91" s="75"/>
      <c r="M91" s="75">
        <f>$E91*I91/100</f>
        <v>187.05000239038327</v>
      </c>
      <c r="N91" s="75"/>
      <c r="O91" s="84">
        <f t="shared" ref="O91:O92" si="13">M91-K91</f>
        <v>-11.172054144255753</v>
      </c>
      <c r="P91" s="60"/>
      <c r="Q91" s="89"/>
      <c r="R91" s="89"/>
      <c r="S91" s="90"/>
    </row>
    <row r="92" spans="1:23">
      <c r="A92" s="60">
        <f>MAX(A$13:A91)+1</f>
        <v>55</v>
      </c>
      <c r="C92" s="4" t="s">
        <v>48</v>
      </c>
      <c r="E92" s="112">
        <f>$E$71</f>
        <v>5048</v>
      </c>
      <c r="F92" s="60"/>
      <c r="G92" s="110">
        <v>0.96972040643947122</v>
      </c>
      <c r="H92" s="79"/>
      <c r="I92" s="110">
        <v>1.8434610340946149</v>
      </c>
      <c r="J92" s="60"/>
      <c r="K92" s="75">
        <f>$E92*G92/100</f>
        <v>48.951486117064505</v>
      </c>
      <c r="L92" s="75"/>
      <c r="M92" s="75">
        <f>$E92*I92/100</f>
        <v>93.057913001096168</v>
      </c>
      <c r="N92" s="75"/>
      <c r="O92" s="84">
        <f t="shared" si="13"/>
        <v>44.106426884031663</v>
      </c>
      <c r="P92" s="60"/>
      <c r="Q92" s="89"/>
      <c r="R92" s="89"/>
      <c r="S92" s="90"/>
    </row>
    <row r="93" spans="1:23">
      <c r="A93" s="60"/>
      <c r="C93" s="4"/>
      <c r="E93" s="88"/>
      <c r="F93" s="60"/>
      <c r="G93" s="20"/>
      <c r="H93" s="20"/>
      <c r="I93" s="20"/>
      <c r="J93" s="60"/>
      <c r="K93" s="75"/>
      <c r="L93" s="75"/>
      <c r="M93" s="75"/>
      <c r="N93" s="75"/>
      <c r="O93" s="75"/>
      <c r="P93" s="60"/>
      <c r="Q93" s="89"/>
      <c r="R93" s="89"/>
      <c r="S93" s="89"/>
    </row>
    <row r="94" spans="1:23">
      <c r="A94" s="60">
        <f>MAX(A$13:A93)+1</f>
        <v>56</v>
      </c>
      <c r="C94" s="4" t="s">
        <v>49</v>
      </c>
      <c r="E94" s="88"/>
      <c r="F94" s="91"/>
      <c r="G94" s="81"/>
      <c r="H94" s="81"/>
      <c r="I94" s="81"/>
      <c r="J94" s="100"/>
      <c r="K94" s="94">
        <f ca="1">K84+K86+K91+M88</f>
        <v>3221.0756499422901</v>
      </c>
      <c r="L94" s="84"/>
      <c r="M94" s="94">
        <f ca="1">M84+M86+M91+M88</f>
        <v>3277.0724351261915</v>
      </c>
      <c r="N94" s="84"/>
      <c r="O94" s="94">
        <f t="shared" ref="O94:O95" ca="1" si="14">M94-K94</f>
        <v>55.996785183901466</v>
      </c>
      <c r="P94" s="91"/>
      <c r="Q94" s="96">
        <f ca="1">O94/K94</f>
        <v>1.7384498617691493E-2</v>
      </c>
      <c r="R94" s="90"/>
      <c r="S94" s="96">
        <f ca="1">(O84+O91)/(K84+M88+K91)</f>
        <v>2.0535138357693595E-2</v>
      </c>
      <c r="T94" s="4"/>
      <c r="U94" s="73"/>
      <c r="V94" s="4"/>
      <c r="W94" s="4"/>
    </row>
    <row r="95" spans="1:23">
      <c r="A95" s="60">
        <f>MAX(A$13:A94)+1</f>
        <v>57</v>
      </c>
      <c r="C95" s="11" t="s">
        <v>50</v>
      </c>
      <c r="E95" s="88"/>
      <c r="F95" s="91"/>
      <c r="G95" s="81"/>
      <c r="H95" s="81"/>
      <c r="I95" s="81"/>
      <c r="J95" s="100"/>
      <c r="K95" s="84">
        <f ca="1">K84+K86+K91</f>
        <v>2165.861689354133</v>
      </c>
      <c r="L95" s="104"/>
      <c r="M95" s="84">
        <f ca="1">M84+M86+M91</f>
        <v>2221.8584745380344</v>
      </c>
      <c r="N95" s="84"/>
      <c r="O95" s="84">
        <f t="shared" ca="1" si="14"/>
        <v>55.996785183901466</v>
      </c>
      <c r="P95" s="91"/>
      <c r="Q95" s="87">
        <f ca="1">O95/K95</f>
        <v>2.5854275671961253E-2</v>
      </c>
      <c r="R95" s="90"/>
      <c r="S95" s="87">
        <f ca="1">(O84+O91)/(K84+K91)</f>
        <v>3.3497662082216308E-2</v>
      </c>
      <c r="T95" s="4"/>
      <c r="U95" s="73"/>
      <c r="V95" s="4"/>
      <c r="W95" s="4"/>
    </row>
    <row r="96" spans="1:23">
      <c r="A96" s="60"/>
      <c r="C96" s="4"/>
      <c r="E96" s="88"/>
      <c r="F96" s="60"/>
      <c r="G96" s="20"/>
      <c r="H96" s="20"/>
      <c r="I96" s="20"/>
      <c r="J96" s="60"/>
      <c r="K96" s="75"/>
      <c r="L96" s="75"/>
      <c r="M96" s="75"/>
      <c r="N96" s="75"/>
      <c r="O96" s="75"/>
      <c r="P96" s="60"/>
      <c r="Q96" s="89"/>
      <c r="R96" s="89"/>
      <c r="S96" s="89"/>
    </row>
    <row r="97" spans="1:27">
      <c r="A97" s="60">
        <f>MAX(A$13:A96)+1</f>
        <v>58</v>
      </c>
      <c r="C97" s="4" t="s">
        <v>51</v>
      </c>
      <c r="E97" s="88"/>
      <c r="F97" s="20"/>
      <c r="G97" s="81"/>
      <c r="H97" s="81"/>
      <c r="I97" s="81"/>
      <c r="J97" s="60"/>
      <c r="K97" s="94">
        <f ca="1">K84+K86+M88+K92</f>
        <v>3071.8050795247159</v>
      </c>
      <c r="L97" s="84"/>
      <c r="M97" s="94">
        <f ca="1">M84+M86+M88+M92</f>
        <v>3183.0803457369043</v>
      </c>
      <c r="N97" s="84"/>
      <c r="O97" s="94">
        <f t="shared" ref="O97:O98" ca="1" si="15">M97-K97</f>
        <v>111.2752662121884</v>
      </c>
      <c r="P97" s="91"/>
      <c r="Q97" s="96">
        <f ca="1">O97/K97</f>
        <v>3.6224715869473539E-2</v>
      </c>
      <c r="R97" s="90"/>
      <c r="S97" s="96">
        <f ca="1">(O84+O92)/(K84+M88+K92)</f>
        <v>4.317000791164656E-2</v>
      </c>
      <c r="T97" s="4"/>
      <c r="U97" s="73"/>
      <c r="V97" s="4"/>
      <c r="W97" s="4"/>
    </row>
    <row r="98" spans="1:27">
      <c r="A98" s="60">
        <f>MAX(A$13:A97)+1</f>
        <v>59</v>
      </c>
      <c r="C98" s="11" t="s">
        <v>52</v>
      </c>
      <c r="E98" s="88"/>
      <c r="F98" s="91"/>
      <c r="G98" s="81"/>
      <c r="H98" s="81"/>
      <c r="I98" s="81"/>
      <c r="J98" s="100"/>
      <c r="K98" s="84">
        <f ca="1">K84+K86+K92</f>
        <v>2016.5911189365586</v>
      </c>
      <c r="L98" s="104"/>
      <c r="M98" s="84">
        <f ca="1">M84+M86+M92</f>
        <v>2127.8663851487472</v>
      </c>
      <c r="N98" s="84"/>
      <c r="O98" s="84">
        <f t="shared" ca="1" si="15"/>
        <v>111.27526621218863</v>
      </c>
      <c r="P98" s="91"/>
      <c r="Q98" s="87">
        <f ca="1">O98/K98</f>
        <v>5.5179885087894863E-2</v>
      </c>
      <c r="R98" s="90"/>
      <c r="S98" s="87">
        <f ca="1">(O84+O92)/(K84+K92)</f>
        <v>7.3092391537336959E-2</v>
      </c>
      <c r="T98" s="4"/>
      <c r="U98" s="73"/>
      <c r="V98" s="4"/>
      <c r="W98" s="4"/>
    </row>
    <row r="99" spans="1:27">
      <c r="A99" s="60"/>
      <c r="E99" s="82"/>
      <c r="F99" s="60"/>
      <c r="G99" s="20"/>
      <c r="H99" s="20"/>
      <c r="I99" s="20"/>
      <c r="J99" s="60"/>
      <c r="K99" s="75"/>
      <c r="L99" s="75"/>
      <c r="M99" s="75"/>
      <c r="N99" s="75"/>
      <c r="O99" s="75"/>
      <c r="P99" s="60"/>
      <c r="Q99" s="89"/>
      <c r="R99" s="89"/>
      <c r="S99" s="89"/>
    </row>
    <row r="100" spans="1:27">
      <c r="A100" s="60"/>
      <c r="E100" s="82"/>
      <c r="F100" s="60"/>
      <c r="G100" s="20"/>
      <c r="H100" s="20"/>
      <c r="I100" s="20"/>
      <c r="J100" s="60"/>
      <c r="K100" s="75"/>
      <c r="L100" s="75"/>
      <c r="M100" s="75"/>
      <c r="N100" s="75"/>
      <c r="O100" s="75"/>
      <c r="P100" s="60"/>
      <c r="Q100" s="89"/>
      <c r="R100" s="89"/>
      <c r="S100" s="89"/>
    </row>
    <row r="101" spans="1:27">
      <c r="A101" s="60"/>
      <c r="C101" s="69" t="s">
        <v>62</v>
      </c>
      <c r="E101" s="82"/>
      <c r="F101" s="20"/>
      <c r="G101" s="20"/>
      <c r="H101" s="83"/>
      <c r="I101" s="83"/>
      <c r="J101" s="60"/>
      <c r="K101" s="84"/>
      <c r="L101" s="84"/>
      <c r="M101" s="84"/>
      <c r="N101" s="84"/>
      <c r="O101" s="84"/>
      <c r="P101" s="23"/>
      <c r="Q101" s="90"/>
      <c r="R101" s="90"/>
      <c r="S101" s="89"/>
    </row>
    <row r="102" spans="1:27">
      <c r="A102" s="60">
        <f>MAX(A$13:A101)+1</f>
        <v>60</v>
      </c>
      <c r="C102" s="4" t="s">
        <v>31</v>
      </c>
      <c r="E102" s="112">
        <f>'Attachment 2'!P50</f>
        <v>22606</v>
      </c>
      <c r="F102" s="60"/>
      <c r="G102" s="20"/>
      <c r="H102" s="85"/>
      <c r="I102" s="20"/>
      <c r="J102" s="60"/>
      <c r="K102" s="75"/>
      <c r="L102" s="75"/>
      <c r="M102" s="75"/>
      <c r="N102" s="75"/>
      <c r="O102" s="75"/>
      <c r="P102" s="60"/>
      <c r="Q102" s="89"/>
      <c r="R102" s="89"/>
      <c r="S102" s="89"/>
    </row>
    <row r="103" spans="1:27">
      <c r="A103" s="60"/>
      <c r="E103" s="60"/>
      <c r="F103" s="60"/>
      <c r="G103" s="20"/>
      <c r="H103" s="20"/>
      <c r="I103" s="20"/>
      <c r="J103" s="60"/>
      <c r="K103" s="75"/>
      <c r="L103" s="75"/>
      <c r="M103" s="75"/>
      <c r="N103" s="75"/>
      <c r="O103" s="75"/>
      <c r="P103" s="60"/>
      <c r="Q103" s="89"/>
      <c r="R103" s="89"/>
      <c r="S103" s="89"/>
    </row>
    <row r="104" spans="1:27">
      <c r="A104" s="60"/>
      <c r="C104" s="8" t="s">
        <v>32</v>
      </c>
      <c r="E104" s="20"/>
      <c r="F104" s="20"/>
      <c r="G104" s="20"/>
      <c r="H104" s="20"/>
      <c r="I104" s="20"/>
      <c r="J104" s="60"/>
      <c r="K104" s="84"/>
      <c r="L104" s="84"/>
      <c r="M104" s="84"/>
      <c r="N104" s="84"/>
      <c r="O104" s="84"/>
      <c r="P104" s="20"/>
      <c r="Q104" s="90"/>
      <c r="R104" s="90"/>
      <c r="S104" s="89"/>
    </row>
    <row r="105" spans="1:27">
      <c r="A105" s="60">
        <f>MAX(A$13:A104)+1</f>
        <v>61</v>
      </c>
      <c r="C105" s="4" t="s">
        <v>33</v>
      </c>
      <c r="E105" s="91" t="s">
        <v>34</v>
      </c>
      <c r="F105" s="91"/>
      <c r="G105" s="92">
        <f>G74</f>
        <v>76.575754464968981</v>
      </c>
      <c r="H105" s="92"/>
      <c r="I105" s="92">
        <f>I74</f>
        <v>80</v>
      </c>
      <c r="J105" s="93"/>
      <c r="K105" s="84">
        <f>G105*12</f>
        <v>918.90905357962777</v>
      </c>
      <c r="L105" s="84"/>
      <c r="M105" s="84">
        <f>I105*12</f>
        <v>960</v>
      </c>
      <c r="N105" s="84"/>
      <c r="O105" s="84">
        <f>M105-K105</f>
        <v>41.090946420372234</v>
      </c>
      <c r="P105" s="91"/>
      <c r="Q105" s="87"/>
      <c r="R105" s="90"/>
      <c r="S105" s="89"/>
    </row>
    <row r="106" spans="1:27">
      <c r="A106" s="60"/>
      <c r="C106" s="4" t="s">
        <v>35</v>
      </c>
      <c r="E106" s="91"/>
      <c r="F106" s="91"/>
      <c r="G106" s="92"/>
      <c r="H106" s="92"/>
      <c r="I106" s="92"/>
      <c r="J106" s="93"/>
      <c r="K106" s="84"/>
      <c r="L106" s="84"/>
      <c r="M106" s="84"/>
      <c r="N106" s="84"/>
      <c r="O106" s="84"/>
      <c r="P106" s="91"/>
      <c r="Q106" s="90"/>
      <c r="R106" s="90"/>
      <c r="S106" s="89"/>
    </row>
    <row r="107" spans="1:27">
      <c r="A107" s="60">
        <f>MAX(A$13:A106)+1</f>
        <v>62</v>
      </c>
      <c r="C107" s="74" t="s">
        <v>56</v>
      </c>
      <c r="E107" s="112">
        <f>'Attachment 2'!P55</f>
        <v>5758</v>
      </c>
      <c r="F107" s="60"/>
      <c r="G107" s="110">
        <f t="shared" ref="G107:G112" si="16">G76</f>
        <v>11.229882367134465</v>
      </c>
      <c r="H107" s="79"/>
      <c r="I107" s="110">
        <f t="shared" ref="I107:I112" si="17">I76</f>
        <v>11.805086620236931</v>
      </c>
      <c r="J107" s="60"/>
      <c r="K107" s="75">
        <f t="shared" ref="K107:K112" si="18">G107*$E107/100</f>
        <v>646.61662669960253</v>
      </c>
      <c r="L107" s="75"/>
      <c r="M107" s="75">
        <f t="shared" ref="M107:M112" si="19">I107*$E107/100</f>
        <v>679.73688759324261</v>
      </c>
      <c r="N107" s="75"/>
      <c r="O107" s="84">
        <f t="shared" ref="O107:O112" si="20">M107-K107</f>
        <v>33.120260893640079</v>
      </c>
      <c r="P107" s="60"/>
      <c r="Q107" s="89"/>
      <c r="R107" s="89"/>
      <c r="S107" s="90"/>
      <c r="T107" s="4"/>
      <c r="U107" s="4"/>
      <c r="V107" s="4"/>
      <c r="W107" s="4"/>
      <c r="X107" s="4"/>
      <c r="Y107" s="4"/>
      <c r="Z107" s="4"/>
      <c r="AA107" s="4"/>
    </row>
    <row r="108" spans="1:27">
      <c r="A108" s="60">
        <f>MAX(A$13:A107)+1</f>
        <v>63</v>
      </c>
      <c r="C108" s="74" t="s">
        <v>57</v>
      </c>
      <c r="E108" s="112">
        <f>'Attachment 2'!P56</f>
        <v>7573</v>
      </c>
      <c r="F108" s="60"/>
      <c r="G108" s="110">
        <f t="shared" si="16"/>
        <v>8.8636919289442755</v>
      </c>
      <c r="H108" s="79"/>
      <c r="I108" s="110">
        <f t="shared" si="17"/>
        <v>8.8879803926933505</v>
      </c>
      <c r="J108" s="60"/>
      <c r="K108" s="75">
        <f t="shared" si="18"/>
        <v>671.24738977895004</v>
      </c>
      <c r="L108" s="75"/>
      <c r="M108" s="75">
        <f t="shared" si="19"/>
        <v>673.08675513866751</v>
      </c>
      <c r="N108" s="75"/>
      <c r="O108" s="84">
        <f t="shared" si="20"/>
        <v>1.8393653597174762</v>
      </c>
      <c r="P108" s="60"/>
      <c r="Q108" s="89"/>
      <c r="R108" s="89"/>
      <c r="S108" s="90"/>
      <c r="T108" s="4"/>
      <c r="U108" s="4"/>
      <c r="V108" s="4"/>
      <c r="W108" s="4"/>
      <c r="X108" s="4"/>
      <c r="Y108" s="4"/>
      <c r="Z108" s="4"/>
      <c r="AA108" s="4"/>
    </row>
    <row r="109" spans="1:27">
      <c r="A109" s="60">
        <f>MAX(A$13:A108)+1</f>
        <v>64</v>
      </c>
      <c r="C109" s="74" t="s">
        <v>58</v>
      </c>
      <c r="E109" s="112">
        <f>'Attachment 2'!P57</f>
        <v>9275</v>
      </c>
      <c r="F109" s="60"/>
      <c r="G109" s="110">
        <f t="shared" si="16"/>
        <v>7.206693763785581</v>
      </c>
      <c r="H109" s="79"/>
      <c r="I109" s="110">
        <f t="shared" si="17"/>
        <v>6.8451887177534694</v>
      </c>
      <c r="J109" s="60"/>
      <c r="K109" s="75">
        <f t="shared" si="18"/>
        <v>668.42084659111265</v>
      </c>
      <c r="L109" s="75"/>
      <c r="M109" s="75">
        <f t="shared" si="19"/>
        <v>634.89125357163425</v>
      </c>
      <c r="N109" s="75"/>
      <c r="O109" s="84">
        <f t="shared" si="20"/>
        <v>-33.529593019478398</v>
      </c>
      <c r="P109" s="60"/>
      <c r="Q109" s="89"/>
      <c r="R109" s="89"/>
      <c r="S109" s="90"/>
      <c r="T109" s="4"/>
      <c r="U109" s="4"/>
      <c r="V109" s="4"/>
      <c r="W109" s="4"/>
      <c r="X109" s="4"/>
      <c r="Y109" s="4"/>
      <c r="Z109" s="4"/>
      <c r="AA109" s="4"/>
    </row>
    <row r="110" spans="1:27">
      <c r="A110" s="60">
        <f>MAX(A$13:A109)+1</f>
        <v>65</v>
      </c>
      <c r="C110" s="74" t="s">
        <v>59</v>
      </c>
      <c r="E110" s="112">
        <f>'Attachment 2'!P58</f>
        <v>0</v>
      </c>
      <c r="F110" s="60"/>
      <c r="G110" s="110">
        <f t="shared" si="16"/>
        <v>6.1421140258986346</v>
      </c>
      <c r="H110" s="79"/>
      <c r="I110" s="110">
        <f t="shared" si="17"/>
        <v>5.532745371612962</v>
      </c>
      <c r="J110" s="60"/>
      <c r="K110" s="75">
        <f t="shared" si="18"/>
        <v>0</v>
      </c>
      <c r="L110" s="75"/>
      <c r="M110" s="75">
        <f t="shared" si="19"/>
        <v>0</v>
      </c>
      <c r="N110" s="75"/>
      <c r="O110" s="84">
        <f t="shared" si="20"/>
        <v>0</v>
      </c>
      <c r="P110" s="60"/>
      <c r="Q110" s="89"/>
      <c r="R110" s="89"/>
      <c r="S110" s="90"/>
      <c r="T110" s="4"/>
      <c r="U110" s="4"/>
      <c r="V110" s="4"/>
      <c r="W110" s="4"/>
      <c r="X110" s="4"/>
      <c r="Y110" s="4"/>
      <c r="Z110" s="4"/>
      <c r="AA110" s="4"/>
    </row>
    <row r="111" spans="1:27">
      <c r="A111" s="60">
        <f>MAX(A$13:A110)+1</f>
        <v>66</v>
      </c>
      <c r="C111" s="74" t="s">
        <v>60</v>
      </c>
      <c r="E111" s="112">
        <f>'Attachment 2'!P59</f>
        <v>0</v>
      </c>
      <c r="F111" s="60"/>
      <c r="G111" s="110">
        <f t="shared" si="16"/>
        <v>5.6690538016789072</v>
      </c>
      <c r="H111" s="79"/>
      <c r="I111" s="110">
        <f t="shared" si="17"/>
        <v>4.9495443043167224</v>
      </c>
      <c r="J111" s="60"/>
      <c r="K111" s="75">
        <f t="shared" si="18"/>
        <v>0</v>
      </c>
      <c r="L111" s="75"/>
      <c r="M111" s="75">
        <f t="shared" si="19"/>
        <v>0</v>
      </c>
      <c r="N111" s="75"/>
      <c r="O111" s="84">
        <f t="shared" si="20"/>
        <v>0</v>
      </c>
      <c r="P111" s="60"/>
      <c r="Q111" s="89"/>
      <c r="R111" s="89"/>
      <c r="S111" s="90"/>
      <c r="T111" s="4"/>
      <c r="U111" s="4"/>
      <c r="V111" s="4"/>
      <c r="W111" s="4"/>
      <c r="X111" s="4"/>
      <c r="Y111" s="4"/>
      <c r="Z111" s="4"/>
      <c r="AA111" s="4"/>
    </row>
    <row r="112" spans="1:27">
      <c r="A112" s="60">
        <f>MAX(A$13:A111)+1</f>
        <v>67</v>
      </c>
      <c r="C112" s="74" t="s">
        <v>61</v>
      </c>
      <c r="E112" s="113">
        <f>'Attachment 2'!P60</f>
        <v>0</v>
      </c>
      <c r="F112" s="60"/>
      <c r="G112" s="110">
        <f t="shared" si="16"/>
        <v>5.550258796153428</v>
      </c>
      <c r="H112" s="79"/>
      <c r="I112" s="110">
        <f t="shared" si="17"/>
        <v>4.8030898044006989</v>
      </c>
      <c r="J112" s="60"/>
      <c r="K112" s="75">
        <f t="shared" si="18"/>
        <v>0</v>
      </c>
      <c r="L112" s="75"/>
      <c r="M112" s="75">
        <f t="shared" si="19"/>
        <v>0</v>
      </c>
      <c r="N112" s="75"/>
      <c r="O112" s="84">
        <f t="shared" si="20"/>
        <v>0</v>
      </c>
      <c r="P112" s="60"/>
      <c r="Q112" s="89"/>
      <c r="R112" s="89"/>
      <c r="S112" s="90"/>
      <c r="T112" s="4"/>
      <c r="U112" s="4"/>
      <c r="V112" s="4"/>
    </row>
    <row r="113" spans="1:27">
      <c r="A113" s="60">
        <f>MAX(A$13:A112)+1</f>
        <v>68</v>
      </c>
      <c r="C113" s="4" t="s">
        <v>40</v>
      </c>
      <c r="E113" s="114">
        <f>SUM(E107:E112)</f>
        <v>22606</v>
      </c>
      <c r="F113" s="91"/>
      <c r="G113" s="110"/>
      <c r="H113" s="79"/>
      <c r="I113" s="110"/>
      <c r="J113" s="60"/>
      <c r="K113" s="105">
        <f>SUM(K107:K112)</f>
        <v>1986.2848630696651</v>
      </c>
      <c r="L113" s="98"/>
      <c r="M113" s="105">
        <f>SUM(M107:M112)</f>
        <v>1987.7148963035445</v>
      </c>
      <c r="N113" s="98"/>
      <c r="O113" s="105">
        <f>SUM(O107:O112)</f>
        <v>1.4300332338791577</v>
      </c>
      <c r="P113" s="91"/>
      <c r="Q113" s="87"/>
      <c r="R113" s="90"/>
      <c r="S113" s="90"/>
      <c r="T113" s="4"/>
      <c r="U113" s="4"/>
      <c r="V113" s="4"/>
      <c r="W113" s="4"/>
      <c r="X113" s="4"/>
      <c r="Y113" s="4"/>
      <c r="Z113" s="4"/>
      <c r="AA113" s="4"/>
    </row>
    <row r="114" spans="1:27">
      <c r="A114" s="60">
        <f>MAX(A$13:A113)+1</f>
        <v>69</v>
      </c>
      <c r="C114" s="4" t="s">
        <v>41</v>
      </c>
      <c r="E114" s="114">
        <f>$E$102</f>
        <v>22606</v>
      </c>
      <c r="F114" s="95"/>
      <c r="G114" s="110">
        <f>$G$23</f>
        <v>7.0000000000000001E-3</v>
      </c>
      <c r="H114" s="79"/>
      <c r="I114" s="110">
        <f>$I$23</f>
        <v>7.0000000000000001E-3</v>
      </c>
      <c r="J114" s="80"/>
      <c r="K114" s="84">
        <f>$G114*E114/100</f>
        <v>1.5824199999999999</v>
      </c>
      <c r="L114" s="84"/>
      <c r="M114" s="84">
        <f>$I$114*$E114/100</f>
        <v>1.5824199999999999</v>
      </c>
      <c r="N114" s="84"/>
      <c r="O114" s="84">
        <f>M114-K114</f>
        <v>0</v>
      </c>
      <c r="P114" s="91"/>
      <c r="Q114" s="90"/>
      <c r="R114" s="90"/>
      <c r="S114" s="89"/>
    </row>
    <row r="115" spans="1:27">
      <c r="A115" s="60">
        <f>MAX(A$13:A114)+1</f>
        <v>70</v>
      </c>
      <c r="C115" s="4" t="s">
        <v>42</v>
      </c>
      <c r="E115" s="114"/>
      <c r="F115" s="91"/>
      <c r="G115" s="110"/>
      <c r="H115" s="79"/>
      <c r="I115" s="110"/>
      <c r="J115" s="60"/>
      <c r="K115" s="94">
        <f>K113+K105+K114</f>
        <v>2906.7763366492932</v>
      </c>
      <c r="L115" s="84"/>
      <c r="M115" s="94">
        <f>M113+M105+M114</f>
        <v>2949.2973163035444</v>
      </c>
      <c r="N115" s="84"/>
      <c r="O115" s="94">
        <f>O113+O105+O114</f>
        <v>42.520979654251391</v>
      </c>
      <c r="P115" s="91"/>
      <c r="Q115" s="96">
        <f>O115/K115</f>
        <v>1.4628225473744667E-2</v>
      </c>
      <c r="R115" s="90"/>
      <c r="S115" s="96">
        <f>Q115</f>
        <v>1.4628225473744667E-2</v>
      </c>
    </row>
    <row r="116" spans="1:27">
      <c r="A116" s="60"/>
      <c r="C116" s="4"/>
      <c r="E116" s="112"/>
      <c r="F116" s="97"/>
      <c r="G116" s="110"/>
      <c r="H116" s="79"/>
      <c r="I116" s="110"/>
      <c r="J116" s="60"/>
      <c r="K116" s="75"/>
      <c r="L116" s="75"/>
      <c r="M116" s="75"/>
      <c r="N116" s="75"/>
      <c r="O116" s="75"/>
      <c r="P116" s="97"/>
      <c r="Q116" s="89"/>
      <c r="R116" s="89"/>
      <c r="S116" s="89"/>
    </row>
    <row r="117" spans="1:27">
      <c r="A117" s="60">
        <f>MAX(A$13:A116)+1</f>
        <v>71</v>
      </c>
      <c r="C117" s="4" t="s">
        <v>43</v>
      </c>
      <c r="E117" s="114">
        <f>$E$102</f>
        <v>22606</v>
      </c>
      <c r="F117" s="95"/>
      <c r="G117" s="110">
        <f>$G$26</f>
        <v>9.7899999999999991</v>
      </c>
      <c r="H117" s="79"/>
      <c r="I117" s="110">
        <f>$I$26</f>
        <v>9.7899999999999991</v>
      </c>
      <c r="J117" s="80"/>
      <c r="K117" s="98">
        <f>$G$26*E117/100</f>
        <v>2213.1273999999999</v>
      </c>
      <c r="L117" s="98"/>
      <c r="M117" s="98">
        <f>$I$26*E117/100</f>
        <v>2213.1273999999999</v>
      </c>
      <c r="N117" s="98"/>
      <c r="O117" s="98">
        <f>M117-K117</f>
        <v>0</v>
      </c>
      <c r="P117" s="91"/>
      <c r="Q117" s="87">
        <f>O117/K117</f>
        <v>0</v>
      </c>
      <c r="R117" s="89"/>
      <c r="S117" s="87">
        <f>Q117</f>
        <v>0</v>
      </c>
    </row>
    <row r="118" spans="1:27">
      <c r="A118" s="60">
        <f>MAX(A$13:A117)+1</f>
        <v>72</v>
      </c>
      <c r="C118" s="4" t="s">
        <v>44</v>
      </c>
      <c r="E118" s="114">
        <f>$E$102</f>
        <v>22606</v>
      </c>
      <c r="F118" s="60"/>
      <c r="G118" s="110">
        <f>G87</f>
        <v>3.9267443846006143</v>
      </c>
      <c r="H118" s="79"/>
      <c r="I118" s="110">
        <f>I87</f>
        <v>1.8434610340946149</v>
      </c>
      <c r="J118" s="60"/>
      <c r="K118" s="75">
        <f>$E118*G118/100</f>
        <v>887.6798355828148</v>
      </c>
      <c r="L118" s="75"/>
      <c r="M118" s="75">
        <f>$E118*I118/100</f>
        <v>416.73280136742864</v>
      </c>
      <c r="N118" s="75"/>
      <c r="O118" s="84">
        <f t="shared" ref="O118" si="21">M118-K118</f>
        <v>-470.94703421538617</v>
      </c>
      <c r="P118" s="60"/>
      <c r="Q118" s="87">
        <f>O118/K118</f>
        <v>-0.53053704200251584</v>
      </c>
      <c r="R118" s="89"/>
      <c r="S118" s="89">
        <f>Q118</f>
        <v>-0.53053704200251584</v>
      </c>
    </row>
    <row r="119" spans="1:27">
      <c r="A119" s="60">
        <f>MAX(A$13:A118)+1</f>
        <v>73</v>
      </c>
      <c r="C119" s="4" t="s">
        <v>45</v>
      </c>
      <c r="E119" s="114">
        <f>$E$102</f>
        <v>22606</v>
      </c>
      <c r="F119" s="91"/>
      <c r="G119" s="110">
        <f>G88</f>
        <v>18.400798940142568</v>
      </c>
      <c r="H119" s="79"/>
      <c r="I119" s="110">
        <f>I88</f>
        <v>20.903604607530845</v>
      </c>
      <c r="J119" s="100"/>
      <c r="K119" s="84">
        <f>E119*$G119/100</f>
        <v>4159.6846084086292</v>
      </c>
      <c r="L119" s="84"/>
      <c r="M119" s="84">
        <f>E119*$I119/100</f>
        <v>4725.468857578423</v>
      </c>
      <c r="N119" s="84"/>
      <c r="O119" s="84">
        <f>M119-K119</f>
        <v>565.78424916979384</v>
      </c>
      <c r="P119" s="91"/>
      <c r="Q119" s="87">
        <f>O119/K119</f>
        <v>0.13601614123005493</v>
      </c>
      <c r="R119" s="90"/>
      <c r="S119" s="90">
        <f>Q119</f>
        <v>0.13601614123005493</v>
      </c>
    </row>
    <row r="120" spans="1:27" ht="13.5" thickBot="1">
      <c r="A120" s="60">
        <f>MAX(A$13:A119)+1</f>
        <v>74</v>
      </c>
      <c r="C120" s="4" t="s">
        <v>46</v>
      </c>
      <c r="E120" s="114"/>
      <c r="F120" s="91"/>
      <c r="G120" s="110"/>
      <c r="H120" s="81"/>
      <c r="I120" s="110"/>
      <c r="J120" s="100"/>
      <c r="K120" s="101">
        <f>K115+K117+K119+K118</f>
        <v>10167.268180640736</v>
      </c>
      <c r="L120" s="84"/>
      <c r="M120" s="101">
        <f>M115+M117+M119+M118</f>
        <v>10304.626375249396</v>
      </c>
      <c r="N120" s="84"/>
      <c r="O120" s="101">
        <f>M120-K120</f>
        <v>137.35819460865969</v>
      </c>
      <c r="P120" s="91"/>
      <c r="Q120" s="102">
        <f>O120/K120</f>
        <v>1.3509842778633527E-2</v>
      </c>
      <c r="R120" s="89"/>
      <c r="S120" s="102">
        <f>(O115+O118+O119)/(K115+K118+K119)</f>
        <v>1.726876584117918E-2</v>
      </c>
    </row>
    <row r="121" spans="1:27" ht="13.5" thickTop="1">
      <c r="A121" s="60"/>
      <c r="C121" s="4"/>
      <c r="E121" s="112"/>
      <c r="F121" s="60"/>
      <c r="G121" s="111"/>
      <c r="H121" s="20"/>
      <c r="I121" s="111"/>
      <c r="J121" s="60"/>
      <c r="K121" s="84"/>
      <c r="L121" s="75"/>
      <c r="M121" s="84"/>
      <c r="N121" s="75"/>
      <c r="O121" s="84"/>
      <c r="P121" s="60"/>
      <c r="Q121" s="89"/>
      <c r="R121" s="89"/>
      <c r="S121" s="89"/>
    </row>
    <row r="122" spans="1:27">
      <c r="A122" s="60">
        <f>MAX(A$13:A121)+1</f>
        <v>75</v>
      </c>
      <c r="C122" s="4" t="s">
        <v>47</v>
      </c>
      <c r="E122" s="114">
        <f>$E$102</f>
        <v>22606</v>
      </c>
      <c r="F122" s="60"/>
      <c r="G122" s="110">
        <f>G91</f>
        <v>3.9267443846006143</v>
      </c>
      <c r="H122" s="79"/>
      <c r="I122" s="110">
        <f>I91</f>
        <v>3.7054279395876244</v>
      </c>
      <c r="J122" s="60"/>
      <c r="K122" s="75">
        <f>$E122*G122/100</f>
        <v>887.6798355828148</v>
      </c>
      <c r="L122" s="75"/>
      <c r="M122" s="75">
        <f>$E122*I122/100</f>
        <v>837.64904002317837</v>
      </c>
      <c r="N122" s="75"/>
      <c r="O122" s="84">
        <f t="shared" ref="O122:O123" si="22">M122-K122</f>
        <v>-50.030795559636431</v>
      </c>
      <c r="P122" s="60"/>
      <c r="Q122" s="89"/>
      <c r="R122" s="89"/>
      <c r="S122" s="90"/>
    </row>
    <row r="123" spans="1:27">
      <c r="A123" s="60">
        <f>MAX(A$13:A122)+1</f>
        <v>76</v>
      </c>
      <c r="C123" s="4" t="s">
        <v>48</v>
      </c>
      <c r="E123" s="114">
        <f>$E$102</f>
        <v>22606</v>
      </c>
      <c r="F123" s="60"/>
      <c r="G123" s="110">
        <f>G92</f>
        <v>0.96972040643947122</v>
      </c>
      <c r="H123" s="79"/>
      <c r="I123" s="110">
        <f>I92</f>
        <v>1.8434610340946149</v>
      </c>
      <c r="J123" s="60"/>
      <c r="K123" s="75">
        <f>$E123*G123/100</f>
        <v>219.21499507970685</v>
      </c>
      <c r="L123" s="75"/>
      <c r="M123" s="75">
        <f>$E123*I123/100</f>
        <v>416.73280136742864</v>
      </c>
      <c r="N123" s="75"/>
      <c r="O123" s="84">
        <f t="shared" si="22"/>
        <v>197.51780628772178</v>
      </c>
      <c r="P123" s="60"/>
      <c r="Q123" s="89"/>
      <c r="R123" s="89"/>
      <c r="S123" s="90"/>
    </row>
    <row r="124" spans="1:27">
      <c r="A124" s="60"/>
      <c r="C124" s="4"/>
      <c r="E124" s="88"/>
      <c r="F124" s="60"/>
      <c r="G124" s="20"/>
      <c r="H124" s="20"/>
      <c r="I124" s="20"/>
      <c r="J124" s="60"/>
      <c r="K124" s="75"/>
      <c r="L124" s="75"/>
      <c r="M124" s="75"/>
      <c r="N124" s="75"/>
      <c r="O124" s="75"/>
      <c r="P124" s="60"/>
      <c r="Q124" s="89"/>
      <c r="R124" s="89"/>
      <c r="S124" s="89"/>
    </row>
    <row r="125" spans="1:27">
      <c r="A125" s="60">
        <f>MAX(A$13:A124)+1</f>
        <v>77</v>
      </c>
      <c r="C125" s="4" t="s">
        <v>49</v>
      </c>
      <c r="E125" s="88"/>
      <c r="F125" s="91"/>
      <c r="G125" s="81"/>
      <c r="H125" s="81"/>
      <c r="I125" s="81"/>
      <c r="J125" s="100"/>
      <c r="K125" s="94">
        <f>K115+K117+K122+M119</f>
        <v>10733.05242981053</v>
      </c>
      <c r="L125" s="84"/>
      <c r="M125" s="94">
        <f>M115+M117+M122+M119</f>
        <v>10725.542613905145</v>
      </c>
      <c r="N125" s="84"/>
      <c r="O125" s="94">
        <f t="shared" ref="O125:O126" si="23">M125-K125</f>
        <v>-7.5098159053850395</v>
      </c>
      <c r="P125" s="91"/>
      <c r="Q125" s="96">
        <f>O125/K125</f>
        <v>-6.9969060101923025E-4</v>
      </c>
      <c r="R125" s="90"/>
      <c r="S125" s="96">
        <f>(O115+O122)/(K115+M119+K122)</f>
        <v>-8.8144154779634784E-4</v>
      </c>
      <c r="T125" s="4"/>
      <c r="U125" s="73"/>
      <c r="V125" s="4"/>
      <c r="W125" s="4"/>
    </row>
    <row r="126" spans="1:27">
      <c r="A126" s="60">
        <f>MAX(A$13:A125)+1</f>
        <v>78</v>
      </c>
      <c r="C126" s="11" t="s">
        <v>50</v>
      </c>
      <c r="E126" s="88"/>
      <c r="F126" s="91"/>
      <c r="G126" s="81"/>
      <c r="H126" s="81"/>
      <c r="I126" s="81"/>
      <c r="J126" s="100"/>
      <c r="K126" s="84">
        <f>K115+K117+K122</f>
        <v>6007.5835722321081</v>
      </c>
      <c r="L126" s="104"/>
      <c r="M126" s="84">
        <f>M115+M117+M122</f>
        <v>6000.073756326723</v>
      </c>
      <c r="N126" s="84"/>
      <c r="O126" s="84">
        <f t="shared" si="23"/>
        <v>-7.5098159053850395</v>
      </c>
      <c r="P126" s="91"/>
      <c r="Q126" s="87">
        <f>O126/K126</f>
        <v>-1.2500560025659002E-3</v>
      </c>
      <c r="R126" s="90"/>
      <c r="S126" s="87">
        <f>(O115+O122)/(K115+K122)</f>
        <v>-1.9791547364130845E-3</v>
      </c>
      <c r="T126" s="4"/>
      <c r="U126" s="73"/>
      <c r="V126" s="4"/>
      <c r="W126" s="4"/>
    </row>
    <row r="127" spans="1:27">
      <c r="A127" s="60"/>
      <c r="C127" s="4"/>
      <c r="E127" s="88"/>
      <c r="F127" s="60"/>
      <c r="G127" s="20"/>
      <c r="H127" s="20"/>
      <c r="I127" s="20"/>
      <c r="J127" s="60"/>
      <c r="K127" s="75"/>
      <c r="L127" s="75"/>
      <c r="M127" s="75"/>
      <c r="N127" s="75"/>
      <c r="O127" s="75"/>
      <c r="P127" s="60"/>
      <c r="Q127" s="89"/>
      <c r="R127" s="89"/>
      <c r="S127" s="89"/>
    </row>
    <row r="128" spans="1:27">
      <c r="A128" s="60">
        <f>MAX(A$13:A127)+1</f>
        <v>79</v>
      </c>
      <c r="C128" s="4" t="s">
        <v>51</v>
      </c>
      <c r="E128" s="88"/>
      <c r="F128" s="20"/>
      <c r="G128" s="81"/>
      <c r="H128" s="81"/>
      <c r="I128" s="81"/>
      <c r="J128" s="60"/>
      <c r="K128" s="94">
        <f>K115+K117+M119+K123</f>
        <v>10064.587589307423</v>
      </c>
      <c r="L128" s="84"/>
      <c r="M128" s="94">
        <f>M115+M117+M119+M123</f>
        <v>10304.626375249396</v>
      </c>
      <c r="N128" s="84"/>
      <c r="O128" s="94">
        <f t="shared" ref="O128:O129" si="24">M128-K128</f>
        <v>240.0387859419734</v>
      </c>
      <c r="P128" s="91"/>
      <c r="Q128" s="96">
        <f>O128/K128</f>
        <v>2.3849838238477812E-2</v>
      </c>
      <c r="R128" s="90"/>
      <c r="S128" s="96">
        <f>(O115+O123)/(K115+M119+K123)</f>
        <v>3.057250245869832E-2</v>
      </c>
      <c r="T128" s="4"/>
      <c r="U128" s="73"/>
      <c r="V128" s="4"/>
      <c r="W128" s="4"/>
    </row>
    <row r="129" spans="1:23">
      <c r="A129" s="60">
        <f>MAX(A$13:A128)+1</f>
        <v>80</v>
      </c>
      <c r="C129" s="11" t="s">
        <v>52</v>
      </c>
      <c r="E129" s="88"/>
      <c r="F129" s="91"/>
      <c r="G129" s="81"/>
      <c r="H129" s="81"/>
      <c r="I129" s="81"/>
      <c r="J129" s="100"/>
      <c r="K129" s="84">
        <f>K115+K117+K123</f>
        <v>5339.1187317289996</v>
      </c>
      <c r="L129" s="104"/>
      <c r="M129" s="84">
        <f>M115+M117+M123</f>
        <v>5579.157517670973</v>
      </c>
      <c r="N129" s="84"/>
      <c r="O129" s="84">
        <f t="shared" si="24"/>
        <v>240.0387859419734</v>
      </c>
      <c r="P129" s="91"/>
      <c r="Q129" s="87">
        <f>O129/K129</f>
        <v>4.4958503079447376E-2</v>
      </c>
      <c r="R129" s="90"/>
      <c r="S129" s="87">
        <f>(O115+O123)/(K115+K123)</f>
        <v>7.6788052322975128E-2</v>
      </c>
      <c r="T129" s="4"/>
      <c r="U129" s="73"/>
      <c r="V129" s="4"/>
      <c r="W129" s="4"/>
    </row>
    <row r="130" spans="1:23">
      <c r="A130" s="60"/>
      <c r="E130" s="60"/>
      <c r="F130" s="60"/>
      <c r="G130" s="60"/>
      <c r="H130" s="60"/>
      <c r="I130" s="60"/>
      <c r="J130" s="60"/>
      <c r="K130" s="75"/>
      <c r="L130" s="75"/>
      <c r="M130" s="75"/>
      <c r="N130" s="84"/>
      <c r="O130" s="84"/>
      <c r="P130" s="91"/>
      <c r="Q130" s="90"/>
      <c r="R130" s="90"/>
      <c r="S130" s="89"/>
    </row>
    <row r="131" spans="1:23">
      <c r="A131" s="60"/>
      <c r="E131" s="60"/>
      <c r="F131" s="60"/>
      <c r="G131" s="60"/>
      <c r="H131" s="60"/>
      <c r="I131" s="60"/>
      <c r="J131" s="60"/>
      <c r="K131" s="75"/>
      <c r="L131" s="75"/>
      <c r="M131" s="75"/>
      <c r="N131" s="84"/>
      <c r="O131" s="84"/>
      <c r="P131" s="91"/>
      <c r="Q131" s="90"/>
      <c r="R131" s="90"/>
      <c r="S131" s="89"/>
    </row>
    <row r="132" spans="1:23">
      <c r="A132" s="60"/>
      <c r="C132" s="69" t="s">
        <v>63</v>
      </c>
      <c r="E132" s="20"/>
      <c r="F132" s="20"/>
      <c r="G132" s="79"/>
      <c r="H132" s="86"/>
      <c r="I132" s="86"/>
      <c r="J132" s="60"/>
      <c r="K132" s="84"/>
      <c r="L132" s="84"/>
      <c r="M132" s="84"/>
      <c r="N132" s="84"/>
      <c r="O132" s="84"/>
      <c r="P132" s="23"/>
      <c r="Q132" s="90"/>
      <c r="R132" s="90"/>
      <c r="S132" s="89"/>
    </row>
    <row r="133" spans="1:23">
      <c r="A133" s="60">
        <f>MAX(A$13:A132)+1</f>
        <v>81</v>
      </c>
      <c r="C133" s="4" t="s">
        <v>31</v>
      </c>
      <c r="E133" s="107">
        <f>'Attachment 2'!P65</f>
        <v>339124</v>
      </c>
      <c r="F133" s="60"/>
      <c r="G133" s="79"/>
      <c r="H133" s="79"/>
      <c r="I133" s="79"/>
      <c r="J133" s="60"/>
      <c r="K133" s="75"/>
      <c r="L133" s="75"/>
      <c r="M133" s="75"/>
      <c r="N133" s="75"/>
      <c r="O133" s="75"/>
      <c r="P133" s="60"/>
      <c r="Q133" s="89"/>
      <c r="R133" s="89"/>
      <c r="S133" s="89"/>
    </row>
    <row r="134" spans="1:23">
      <c r="A134" s="60"/>
      <c r="E134" s="60"/>
      <c r="F134" s="60"/>
      <c r="G134" s="79"/>
      <c r="H134" s="79"/>
      <c r="I134" s="79"/>
      <c r="J134" s="60"/>
      <c r="K134" s="75"/>
      <c r="L134" s="75"/>
      <c r="M134" s="75"/>
      <c r="N134" s="75"/>
      <c r="O134" s="75"/>
      <c r="P134" s="60"/>
      <c r="Q134" s="89"/>
      <c r="R134" s="89"/>
      <c r="S134" s="89"/>
    </row>
    <row r="135" spans="1:23">
      <c r="A135" s="60"/>
      <c r="C135" s="8" t="s">
        <v>32</v>
      </c>
      <c r="E135" s="20"/>
      <c r="F135" s="20"/>
      <c r="G135" s="20"/>
      <c r="H135" s="20"/>
      <c r="I135" s="20"/>
      <c r="J135" s="60"/>
      <c r="K135" s="84"/>
      <c r="L135" s="84"/>
      <c r="M135" s="84"/>
      <c r="N135" s="84"/>
      <c r="O135" s="84"/>
      <c r="P135" s="20"/>
      <c r="Q135" s="90"/>
      <c r="R135" s="90"/>
      <c r="S135" s="89"/>
    </row>
    <row r="136" spans="1:23">
      <c r="A136" s="60">
        <f>MAX(A$13:A135)+1</f>
        <v>82</v>
      </c>
      <c r="C136" s="4" t="s">
        <v>33</v>
      </c>
      <c r="E136" s="91" t="s">
        <v>34</v>
      </c>
      <c r="F136" s="91"/>
      <c r="G136" s="92">
        <f>G74</f>
        <v>76.575754464968981</v>
      </c>
      <c r="H136" s="92"/>
      <c r="I136" s="92">
        <f>I74</f>
        <v>80</v>
      </c>
      <c r="J136" s="93"/>
      <c r="K136" s="84">
        <f>G136*12</f>
        <v>918.90905357962777</v>
      </c>
      <c r="L136" s="84"/>
      <c r="M136" s="84">
        <f>I136*12</f>
        <v>960</v>
      </c>
      <c r="N136" s="84"/>
      <c r="O136" s="84">
        <f>M136-K136</f>
        <v>41.090946420372234</v>
      </c>
      <c r="P136" s="91"/>
      <c r="Q136" s="106"/>
      <c r="R136" s="90"/>
      <c r="S136" s="89"/>
    </row>
    <row r="137" spans="1:23">
      <c r="A137" s="60"/>
      <c r="C137" s="4" t="s">
        <v>35</v>
      </c>
      <c r="E137" s="91"/>
      <c r="F137" s="91"/>
      <c r="G137" s="92"/>
      <c r="H137" s="92"/>
      <c r="I137" s="92"/>
      <c r="J137" s="93"/>
      <c r="K137" s="84"/>
      <c r="L137" s="84"/>
      <c r="M137" s="84"/>
      <c r="N137" s="84"/>
      <c r="O137" s="84"/>
      <c r="P137" s="91"/>
      <c r="Q137" s="90"/>
      <c r="R137" s="90"/>
      <c r="S137" s="89"/>
    </row>
    <row r="138" spans="1:23">
      <c r="A138" s="60">
        <f>MAX(A$13:A137)+1</f>
        <v>83</v>
      </c>
      <c r="C138" s="74" t="s">
        <v>56</v>
      </c>
      <c r="E138" s="107">
        <f>'Attachment 2'!P70</f>
        <v>6000</v>
      </c>
      <c r="F138" s="60"/>
      <c r="G138" s="110">
        <f t="shared" ref="G138:G143" si="25">G76</f>
        <v>11.229882367134465</v>
      </c>
      <c r="H138" s="110"/>
      <c r="I138" s="110">
        <f t="shared" ref="I138:I143" si="26">I76</f>
        <v>11.805086620236931</v>
      </c>
      <c r="J138" s="60"/>
      <c r="K138" s="75">
        <f>G138*$E138/100</f>
        <v>673.79294202806796</v>
      </c>
      <c r="L138" s="75"/>
      <c r="M138" s="75">
        <f>I138*$E138/100</f>
        <v>708.30519721421592</v>
      </c>
      <c r="N138" s="75"/>
      <c r="O138" s="84">
        <f t="shared" ref="O138:O143" si="27">M138-K138</f>
        <v>34.512255186147968</v>
      </c>
      <c r="P138" s="60"/>
      <c r="Q138" s="89"/>
      <c r="R138" s="89"/>
      <c r="S138" s="90"/>
    </row>
    <row r="139" spans="1:23">
      <c r="A139" s="60">
        <f>MAX(A$13:A138)+1</f>
        <v>84</v>
      </c>
      <c r="C139" s="74" t="s">
        <v>57</v>
      </c>
      <c r="E139" s="107">
        <f>'Attachment 2'!P71</f>
        <v>12600</v>
      </c>
      <c r="F139" s="60"/>
      <c r="G139" s="110">
        <f t="shared" si="25"/>
        <v>8.8636919289442755</v>
      </c>
      <c r="H139" s="110"/>
      <c r="I139" s="110">
        <f t="shared" si="26"/>
        <v>8.8879803926933505</v>
      </c>
      <c r="J139" s="60"/>
      <c r="K139" s="75">
        <f t="shared" ref="K139:K143" si="28">G139*$E139/100</f>
        <v>1116.8251830469787</v>
      </c>
      <c r="L139" s="75"/>
      <c r="M139" s="75">
        <f t="shared" ref="M139:M143" si="29">I139*$E139/100</f>
        <v>1119.885529479362</v>
      </c>
      <c r="N139" s="75"/>
      <c r="O139" s="84">
        <f t="shared" si="27"/>
        <v>3.0603464323833123</v>
      </c>
      <c r="P139" s="60"/>
      <c r="Q139" s="89"/>
      <c r="R139" s="89"/>
      <c r="S139" s="90"/>
    </row>
    <row r="140" spans="1:23">
      <c r="A140" s="60">
        <f>MAX(A$13:A139)+1</f>
        <v>85</v>
      </c>
      <c r="C140" s="74" t="s">
        <v>58</v>
      </c>
      <c r="E140" s="107">
        <f>'Attachment 2'!P72</f>
        <v>54000</v>
      </c>
      <c r="F140" s="60"/>
      <c r="G140" s="110">
        <f t="shared" si="25"/>
        <v>7.206693763785581</v>
      </c>
      <c r="H140" s="110"/>
      <c r="I140" s="110">
        <f t="shared" si="26"/>
        <v>6.8451887177534694</v>
      </c>
      <c r="J140" s="60"/>
      <c r="K140" s="75">
        <f t="shared" si="28"/>
        <v>3891.6146324442134</v>
      </c>
      <c r="L140" s="75"/>
      <c r="M140" s="75">
        <f t="shared" si="29"/>
        <v>3696.4019075868732</v>
      </c>
      <c r="N140" s="75"/>
      <c r="O140" s="84">
        <f t="shared" si="27"/>
        <v>-195.21272485734016</v>
      </c>
      <c r="P140" s="60"/>
      <c r="Q140" s="89"/>
      <c r="R140" s="89"/>
      <c r="S140" s="90"/>
    </row>
    <row r="141" spans="1:23">
      <c r="A141" s="60">
        <f>MAX(A$13:A140)+1</f>
        <v>86</v>
      </c>
      <c r="C141" s="74" t="s">
        <v>59</v>
      </c>
      <c r="E141" s="107">
        <f>'Attachment 2'!P73</f>
        <v>84000</v>
      </c>
      <c r="F141" s="60"/>
      <c r="G141" s="110">
        <f t="shared" si="25"/>
        <v>6.1421140258986346</v>
      </c>
      <c r="H141" s="110"/>
      <c r="I141" s="110">
        <f t="shared" si="26"/>
        <v>5.532745371612962</v>
      </c>
      <c r="J141" s="60"/>
      <c r="K141" s="75">
        <f t="shared" si="28"/>
        <v>5159.3757817548531</v>
      </c>
      <c r="L141" s="75"/>
      <c r="M141" s="75">
        <f t="shared" si="29"/>
        <v>4647.5061121548879</v>
      </c>
      <c r="N141" s="75"/>
      <c r="O141" s="84">
        <f t="shared" si="27"/>
        <v>-511.86966959996516</v>
      </c>
      <c r="P141" s="60"/>
      <c r="Q141" s="89"/>
      <c r="R141" s="89"/>
      <c r="S141" s="90"/>
    </row>
    <row r="142" spans="1:23">
      <c r="A142" s="60">
        <f>MAX(A$13:A141)+1</f>
        <v>87</v>
      </c>
      <c r="C142" s="74" t="s">
        <v>60</v>
      </c>
      <c r="E142" s="107">
        <f>'Attachment 2'!P74</f>
        <v>129593</v>
      </c>
      <c r="F142" s="60"/>
      <c r="G142" s="110">
        <f t="shared" si="25"/>
        <v>5.6690538016789072</v>
      </c>
      <c r="H142" s="110"/>
      <c r="I142" s="110">
        <f t="shared" si="26"/>
        <v>4.9495443043167224</v>
      </c>
      <c r="J142" s="60"/>
      <c r="K142" s="75">
        <f t="shared" si="28"/>
        <v>7346.6968932097461</v>
      </c>
      <c r="L142" s="75"/>
      <c r="M142" s="75">
        <f t="shared" si="29"/>
        <v>6414.2629502931704</v>
      </c>
      <c r="N142" s="75"/>
      <c r="O142" s="84">
        <f t="shared" si="27"/>
        <v>-932.43394291657569</v>
      </c>
      <c r="P142" s="60"/>
      <c r="Q142" s="89"/>
      <c r="R142" s="89"/>
      <c r="S142" s="90"/>
    </row>
    <row r="143" spans="1:23">
      <c r="A143" s="60">
        <f>MAX(A$13:A142)+1</f>
        <v>88</v>
      </c>
      <c r="C143" s="74" t="s">
        <v>61</v>
      </c>
      <c r="E143" s="108">
        <f>'Attachment 2'!P75</f>
        <v>52931</v>
      </c>
      <c r="F143" s="60"/>
      <c r="G143" s="110">
        <f t="shared" si="25"/>
        <v>5.550258796153428</v>
      </c>
      <c r="H143" s="110"/>
      <c r="I143" s="110">
        <f t="shared" si="26"/>
        <v>4.8030898044006989</v>
      </c>
      <c r="J143" s="60"/>
      <c r="K143" s="75">
        <f t="shared" si="28"/>
        <v>2937.8074833919709</v>
      </c>
      <c r="L143" s="75"/>
      <c r="M143" s="75">
        <f t="shared" si="29"/>
        <v>2542.3234643673336</v>
      </c>
      <c r="N143" s="75"/>
      <c r="O143" s="84">
        <f t="shared" si="27"/>
        <v>-395.48401902463729</v>
      </c>
      <c r="P143" s="60"/>
      <c r="Q143" s="89"/>
      <c r="R143" s="89"/>
      <c r="S143" s="90"/>
    </row>
    <row r="144" spans="1:23">
      <c r="A144" s="60">
        <f>MAX(A$13:A143)+1</f>
        <v>89</v>
      </c>
      <c r="C144" s="4" t="s">
        <v>40</v>
      </c>
      <c r="E144" s="109">
        <f>SUM(E138:E143)</f>
        <v>339124</v>
      </c>
      <c r="F144" s="91"/>
      <c r="G144" s="110"/>
      <c r="H144" s="110"/>
      <c r="I144" s="110"/>
      <c r="J144" s="60"/>
      <c r="K144" s="105">
        <f>SUM(K138:K143)</f>
        <v>21126.11291587583</v>
      </c>
      <c r="L144" s="98"/>
      <c r="M144" s="105">
        <f>SUM(M138:M143)</f>
        <v>19128.685161095844</v>
      </c>
      <c r="N144" s="98"/>
      <c r="O144" s="105">
        <f>SUM(O138:O143)</f>
        <v>-1997.427754779987</v>
      </c>
      <c r="P144" s="91"/>
      <c r="Q144" s="87"/>
      <c r="R144" s="90"/>
      <c r="S144" s="90"/>
    </row>
    <row r="145" spans="1:23">
      <c r="A145" s="60">
        <f>MAX(A$13:A144)+1</f>
        <v>90</v>
      </c>
      <c r="C145" s="4" t="s">
        <v>41</v>
      </c>
      <c r="E145" s="109">
        <f>$E$133</f>
        <v>339124</v>
      </c>
      <c r="F145" s="95"/>
      <c r="G145" s="110">
        <f>$G$23</f>
        <v>7.0000000000000001E-3</v>
      </c>
      <c r="H145" s="110"/>
      <c r="I145" s="110">
        <f>$I$23</f>
        <v>7.0000000000000001E-3</v>
      </c>
      <c r="J145" s="80"/>
      <c r="K145" s="84">
        <f>$G145*E145/100</f>
        <v>23.738679999999999</v>
      </c>
      <c r="L145" s="84"/>
      <c r="M145" s="84">
        <f>$I$114*$E145/100</f>
        <v>23.738679999999999</v>
      </c>
      <c r="N145" s="84"/>
      <c r="O145" s="84">
        <f>M145-K145</f>
        <v>0</v>
      </c>
      <c r="P145" s="91"/>
      <c r="Q145" s="90"/>
      <c r="R145" s="90"/>
      <c r="S145" s="89"/>
    </row>
    <row r="146" spans="1:23">
      <c r="A146" s="60">
        <f>MAX(A$13:A145)+1</f>
        <v>91</v>
      </c>
      <c r="C146" s="4" t="s">
        <v>42</v>
      </c>
      <c r="E146" s="109"/>
      <c r="F146" s="91"/>
      <c r="G146" s="110"/>
      <c r="H146" s="110"/>
      <c r="I146" s="110"/>
      <c r="J146" s="60"/>
      <c r="K146" s="94">
        <f>K144+K136+K145</f>
        <v>22068.760649455457</v>
      </c>
      <c r="L146" s="84"/>
      <c r="M146" s="94">
        <f>M144+M136+M145</f>
        <v>20112.423841095842</v>
      </c>
      <c r="N146" s="84"/>
      <c r="O146" s="94">
        <f>O144+O136+O145</f>
        <v>-1956.3368083596147</v>
      </c>
      <c r="P146" s="91"/>
      <c r="Q146" s="96">
        <f>O146/K146</f>
        <v>-8.8647334548344336E-2</v>
      </c>
      <c r="R146" s="90"/>
      <c r="S146" s="96">
        <f>Q146</f>
        <v>-8.8647334548344336E-2</v>
      </c>
    </row>
    <row r="147" spans="1:23">
      <c r="A147" s="60"/>
      <c r="C147" s="4"/>
      <c r="E147" s="107"/>
      <c r="F147" s="97"/>
      <c r="G147" s="110"/>
      <c r="H147" s="110"/>
      <c r="I147" s="110"/>
      <c r="J147" s="60"/>
      <c r="K147" s="75"/>
      <c r="L147" s="75"/>
      <c r="M147" s="75"/>
      <c r="N147" s="75"/>
      <c r="O147" s="75"/>
      <c r="P147" s="97"/>
      <c r="Q147" s="89"/>
      <c r="R147" s="89"/>
      <c r="S147" s="89"/>
    </row>
    <row r="148" spans="1:23">
      <c r="A148" s="60">
        <f>MAX(A$13:A147)+1</f>
        <v>92</v>
      </c>
      <c r="C148" s="4" t="s">
        <v>43</v>
      </c>
      <c r="E148" s="109">
        <f>$E$133</f>
        <v>339124</v>
      </c>
      <c r="F148" s="95"/>
      <c r="G148" s="110">
        <f>$G$26</f>
        <v>9.7899999999999991</v>
      </c>
      <c r="H148" s="110"/>
      <c r="I148" s="110">
        <f>$I$26</f>
        <v>9.7899999999999991</v>
      </c>
      <c r="J148" s="80"/>
      <c r="K148" s="98">
        <f>$G$26*E148/100</f>
        <v>33200.239599999994</v>
      </c>
      <c r="L148" s="98"/>
      <c r="M148" s="98">
        <f>$I$26*E148/100</f>
        <v>33200.239599999994</v>
      </c>
      <c r="N148" s="98"/>
      <c r="O148" s="98">
        <f>M148-K148</f>
        <v>0</v>
      </c>
      <c r="P148" s="91"/>
      <c r="Q148" s="87">
        <f>O148/K148</f>
        <v>0</v>
      </c>
      <c r="R148" s="89"/>
      <c r="S148" s="87">
        <f>Q148</f>
        <v>0</v>
      </c>
    </row>
    <row r="149" spans="1:23">
      <c r="A149" s="60">
        <f>MAX(A$13:A148)+1</f>
        <v>93</v>
      </c>
      <c r="C149" s="4" t="s">
        <v>44</v>
      </c>
      <c r="E149" s="109">
        <f>$E$133</f>
        <v>339124</v>
      </c>
      <c r="F149" s="60"/>
      <c r="G149" s="110">
        <f>G87</f>
        <v>3.9267443846006143</v>
      </c>
      <c r="H149" s="110"/>
      <c r="I149" s="110">
        <f>I87</f>
        <v>1.8434610340946149</v>
      </c>
      <c r="J149" s="60"/>
      <c r="K149" s="75">
        <f>$E149*G149/100</f>
        <v>13316.532626832986</v>
      </c>
      <c r="L149" s="75"/>
      <c r="M149" s="75">
        <f>$E149*I149/100</f>
        <v>6251.6187972630223</v>
      </c>
      <c r="N149" s="75"/>
      <c r="O149" s="84">
        <f t="shared" ref="O149" si="30">M149-K149</f>
        <v>-7064.913829569964</v>
      </c>
      <c r="P149" s="60"/>
      <c r="Q149" s="87">
        <f>O149/K149</f>
        <v>-0.53053704200251584</v>
      </c>
      <c r="R149" s="89"/>
      <c r="S149" s="89">
        <f>Q149</f>
        <v>-0.53053704200251584</v>
      </c>
    </row>
    <row r="150" spans="1:23">
      <c r="A150" s="60">
        <f>MAX(A$13:A149)+1</f>
        <v>94</v>
      </c>
      <c r="C150" s="4" t="s">
        <v>45</v>
      </c>
      <c r="E150" s="109">
        <f>$E$133</f>
        <v>339124</v>
      </c>
      <c r="F150" s="91"/>
      <c r="G150" s="110">
        <f>G88</f>
        <v>18.400798940142568</v>
      </c>
      <c r="H150" s="110"/>
      <c r="I150" s="110">
        <f>I88</f>
        <v>20.903604607530845</v>
      </c>
      <c r="J150" s="100"/>
      <c r="K150" s="84">
        <f>E150*$G150/100</f>
        <v>62401.525397769081</v>
      </c>
      <c r="L150" s="84"/>
      <c r="M150" s="84">
        <f>E150*$I150/100</f>
        <v>70889.140089242908</v>
      </c>
      <c r="N150" s="84"/>
      <c r="O150" s="84">
        <f>M150-K150</f>
        <v>8487.6146914738274</v>
      </c>
      <c r="P150" s="91"/>
      <c r="Q150" s="87">
        <f>O150/K150</f>
        <v>0.13601614123005507</v>
      </c>
      <c r="R150" s="90"/>
      <c r="S150" s="90">
        <f>Q150</f>
        <v>0.13601614123005507</v>
      </c>
    </row>
    <row r="151" spans="1:23" ht="13.5" thickBot="1">
      <c r="A151" s="60">
        <f>MAX(A$13:A150)+1</f>
        <v>95</v>
      </c>
      <c r="C151" s="4" t="s">
        <v>46</v>
      </c>
      <c r="E151" s="109"/>
      <c r="F151" s="91"/>
      <c r="G151" s="110"/>
      <c r="H151" s="110"/>
      <c r="I151" s="110"/>
      <c r="J151" s="100"/>
      <c r="K151" s="101">
        <f>K146+K148+K150+K149</f>
        <v>130987.05827405752</v>
      </c>
      <c r="L151" s="84"/>
      <c r="M151" s="101">
        <f>M146+M148+M150+M149</f>
        <v>130453.42232760177</v>
      </c>
      <c r="N151" s="84"/>
      <c r="O151" s="101">
        <f>M151-K151</f>
        <v>-533.63594645574631</v>
      </c>
      <c r="P151" s="91"/>
      <c r="Q151" s="102">
        <f>O151/K151</f>
        <v>-4.073959316952115E-3</v>
      </c>
      <c r="R151" s="89"/>
      <c r="S151" s="102">
        <f>(O146+O149+O150)/(K146+K149+K150)</f>
        <v>-5.4571357744489487E-3</v>
      </c>
    </row>
    <row r="152" spans="1:23" ht="13.5" thickTop="1">
      <c r="A152" s="60"/>
      <c r="C152" s="4"/>
      <c r="E152" s="107"/>
      <c r="F152" s="60"/>
      <c r="G152" s="110"/>
      <c r="H152" s="110"/>
      <c r="I152" s="110"/>
      <c r="J152" s="60"/>
      <c r="K152" s="84"/>
      <c r="L152" s="75"/>
      <c r="M152" s="84"/>
      <c r="N152" s="75"/>
      <c r="O152" s="84"/>
      <c r="P152" s="60"/>
      <c r="Q152" s="89"/>
      <c r="R152" s="89"/>
      <c r="S152" s="89"/>
    </row>
    <row r="153" spans="1:23">
      <c r="A153" s="60">
        <f>MAX(A$13:A152)+1</f>
        <v>96</v>
      </c>
      <c r="C153" s="4" t="s">
        <v>47</v>
      </c>
      <c r="E153" s="109">
        <f>$E$133</f>
        <v>339124</v>
      </c>
      <c r="F153" s="60"/>
      <c r="G153" s="110">
        <f>G91</f>
        <v>3.9267443846006143</v>
      </c>
      <c r="H153" s="110"/>
      <c r="I153" s="110">
        <f>I91</f>
        <v>3.7054279395876244</v>
      </c>
      <c r="J153" s="60"/>
      <c r="K153" s="75">
        <f>$E153*G153/100</f>
        <v>13316.532626832986</v>
      </c>
      <c r="L153" s="75"/>
      <c r="M153" s="75">
        <f>$E153*I153/100</f>
        <v>12565.995445847137</v>
      </c>
      <c r="N153" s="75"/>
      <c r="O153" s="84">
        <f t="shared" ref="O153:O154" si="31">M153-K153</f>
        <v>-750.53718098584977</v>
      </c>
      <c r="P153" s="60"/>
      <c r="Q153" s="89"/>
      <c r="R153" s="89"/>
      <c r="S153" s="90"/>
    </row>
    <row r="154" spans="1:23">
      <c r="A154" s="60">
        <f>MAX(A$13:A153)+1</f>
        <v>97</v>
      </c>
      <c r="C154" s="4" t="s">
        <v>48</v>
      </c>
      <c r="E154" s="109">
        <f>$E$133</f>
        <v>339124</v>
      </c>
      <c r="F154" s="60"/>
      <c r="G154" s="110">
        <f>G92</f>
        <v>0.96972040643947122</v>
      </c>
      <c r="H154" s="110"/>
      <c r="I154" s="110">
        <f>I92</f>
        <v>1.8434610340946149</v>
      </c>
      <c r="J154" s="60"/>
      <c r="K154" s="75">
        <f>$E154*G154/100</f>
        <v>3288.5546311337926</v>
      </c>
      <c r="L154" s="75"/>
      <c r="M154" s="75">
        <f>$E154*I154/100</f>
        <v>6251.6187972630223</v>
      </c>
      <c r="N154" s="75"/>
      <c r="O154" s="84">
        <f t="shared" si="31"/>
        <v>2963.0641661292298</v>
      </c>
      <c r="P154" s="60"/>
      <c r="Q154" s="89"/>
      <c r="R154" s="89"/>
      <c r="S154" s="90"/>
    </row>
    <row r="155" spans="1:23">
      <c r="A155" s="60"/>
      <c r="C155" s="4"/>
      <c r="E155" s="88"/>
      <c r="F155" s="60"/>
      <c r="G155" s="79"/>
      <c r="H155" s="79"/>
      <c r="I155" s="79"/>
      <c r="J155" s="60"/>
      <c r="K155" s="75"/>
      <c r="L155" s="75"/>
      <c r="M155" s="75"/>
      <c r="N155" s="75"/>
      <c r="O155" s="75"/>
      <c r="P155" s="60"/>
      <c r="Q155" s="89"/>
      <c r="R155" s="89"/>
      <c r="S155" s="89"/>
    </row>
    <row r="156" spans="1:23">
      <c r="A156" s="60">
        <f>MAX(A$13:A155)+1</f>
        <v>98</v>
      </c>
      <c r="C156" s="4" t="s">
        <v>49</v>
      </c>
      <c r="E156" s="88"/>
      <c r="F156" s="91"/>
      <c r="G156" s="81"/>
      <c r="H156" s="81"/>
      <c r="I156" s="81"/>
      <c r="J156" s="100"/>
      <c r="K156" s="94">
        <f>K146+K148+K153+M150</f>
        <v>139474.67296553135</v>
      </c>
      <c r="L156" s="84"/>
      <c r="M156" s="94">
        <f>M146+M148+M153+M150</f>
        <v>136767.79897618588</v>
      </c>
      <c r="N156" s="84"/>
      <c r="O156" s="94">
        <f t="shared" ref="O156:O157" si="32">M156-K156</f>
        <v>-2706.8739893454767</v>
      </c>
      <c r="P156" s="91"/>
      <c r="Q156" s="96">
        <f>O156/K156</f>
        <v>-1.9407638188292664E-2</v>
      </c>
      <c r="R156" s="90"/>
      <c r="S156" s="96">
        <f>(O146+O153)/(K146+M150+K153)</f>
        <v>-2.5470603828440658E-2</v>
      </c>
      <c r="T156" s="4"/>
      <c r="U156" s="73"/>
      <c r="V156" s="4"/>
      <c r="W156" s="4"/>
    </row>
    <row r="157" spans="1:23">
      <c r="A157" s="60">
        <f>MAX(A$13:A156)+1</f>
        <v>99</v>
      </c>
      <c r="C157" s="11" t="s">
        <v>50</v>
      </c>
      <c r="E157" s="88"/>
      <c r="F157" s="91"/>
      <c r="G157" s="81"/>
      <c r="H157" s="81"/>
      <c r="I157" s="81"/>
      <c r="J157" s="100"/>
      <c r="K157" s="84">
        <f>K146+K148+K153</f>
        <v>68585.532876288431</v>
      </c>
      <c r="L157" s="104"/>
      <c r="M157" s="84">
        <f>M146+M148+M153</f>
        <v>65878.658886942969</v>
      </c>
      <c r="N157" s="84"/>
      <c r="O157" s="84">
        <f t="shared" si="32"/>
        <v>-2706.8739893454622</v>
      </c>
      <c r="P157" s="91"/>
      <c r="Q157" s="87">
        <f>O157/K157</f>
        <v>-3.9467127772091562E-2</v>
      </c>
      <c r="R157" s="90"/>
      <c r="S157" s="87">
        <f>(O146+O153)/(K146+K153)</f>
        <v>-7.6497147224701134E-2</v>
      </c>
      <c r="T157" s="4"/>
      <c r="U157" s="73"/>
      <c r="V157" s="4"/>
      <c r="W157" s="4"/>
    </row>
    <row r="158" spans="1:23">
      <c r="A158" s="60"/>
      <c r="C158" s="4"/>
      <c r="E158" s="88"/>
      <c r="F158" s="60"/>
      <c r="G158" s="20"/>
      <c r="H158" s="20"/>
      <c r="I158" s="20"/>
      <c r="J158" s="60"/>
      <c r="K158" s="75"/>
      <c r="L158" s="75"/>
      <c r="M158" s="75"/>
      <c r="N158" s="75"/>
      <c r="O158" s="75"/>
      <c r="P158" s="60"/>
      <c r="Q158" s="89"/>
      <c r="R158" s="89"/>
      <c r="S158" s="89"/>
    </row>
    <row r="159" spans="1:23">
      <c r="A159" s="60">
        <f>MAX(A$13:A158)+1</f>
        <v>100</v>
      </c>
      <c r="C159" s="4" t="s">
        <v>51</v>
      </c>
      <c r="E159" s="88"/>
      <c r="F159" s="20"/>
      <c r="G159" s="81"/>
      <c r="H159" s="81"/>
      <c r="I159" s="81"/>
      <c r="J159" s="60"/>
      <c r="K159" s="94">
        <f>K146+K148+M150+K154</f>
        <v>129446.69496983216</v>
      </c>
      <c r="L159" s="84"/>
      <c r="M159" s="94">
        <f>M146+M148+M150+M154</f>
        <v>130453.42232760177</v>
      </c>
      <c r="N159" s="84"/>
      <c r="O159" s="94">
        <f t="shared" ref="O159:O160" si="33">M159-K159</f>
        <v>1006.7273577696178</v>
      </c>
      <c r="P159" s="91"/>
      <c r="Q159" s="96">
        <f>O159/K159</f>
        <v>7.7771576787204798E-3</v>
      </c>
      <c r="R159" s="90"/>
      <c r="S159" s="96">
        <f>(O146+O154)/(K146+M150+K154)</f>
        <v>1.0459890225579853E-2</v>
      </c>
      <c r="T159" s="4"/>
      <c r="U159" s="73"/>
      <c r="V159" s="4"/>
      <c r="W159" s="4"/>
    </row>
    <row r="160" spans="1:23">
      <c r="A160" s="60">
        <f>MAX(A$13:A159)+1</f>
        <v>101</v>
      </c>
      <c r="C160" s="11" t="s">
        <v>52</v>
      </c>
      <c r="E160" s="88"/>
      <c r="F160" s="91"/>
      <c r="G160" s="81"/>
      <c r="H160" s="81"/>
      <c r="I160" s="81"/>
      <c r="J160" s="100"/>
      <c r="K160" s="84">
        <f>K146+K148+K154</f>
        <v>58557.554880589239</v>
      </c>
      <c r="L160" s="104"/>
      <c r="M160" s="84">
        <f>M146+M148+M154</f>
        <v>59564.282238358857</v>
      </c>
      <c r="N160" s="84"/>
      <c r="O160" s="84">
        <f t="shared" si="33"/>
        <v>1006.7273577696178</v>
      </c>
      <c r="P160" s="91"/>
      <c r="Q160" s="87">
        <f>O160/K160</f>
        <v>1.7192100316048706E-2</v>
      </c>
      <c r="R160" s="90"/>
      <c r="S160" s="87">
        <f>(O146+O154)/(K146+K154)</f>
        <v>3.9701654005156219E-2</v>
      </c>
      <c r="T160" s="4"/>
      <c r="U160" s="73"/>
      <c r="V160" s="4"/>
      <c r="W160" s="4"/>
    </row>
    <row r="161" spans="1:18">
      <c r="E161" s="76"/>
      <c r="N161" s="7"/>
      <c r="O161" s="21"/>
      <c r="P161" s="7"/>
      <c r="Q161" s="7"/>
      <c r="R161" s="7"/>
    </row>
    <row r="162" spans="1:18">
      <c r="A162" s="24" t="s">
        <v>64</v>
      </c>
      <c r="J162" s="12"/>
      <c r="K162" s="62"/>
      <c r="L162" s="62"/>
      <c r="M162" s="62"/>
      <c r="N162" s="62"/>
      <c r="P162" s="62"/>
      <c r="Q162" s="62"/>
      <c r="R162" s="62"/>
    </row>
    <row r="163" spans="1:18">
      <c r="A163" s="77" t="s">
        <v>65</v>
      </c>
      <c r="C163" t="s">
        <v>66</v>
      </c>
      <c r="J163" s="12"/>
      <c r="K163" s="62"/>
      <c r="L163" s="62"/>
      <c r="M163" s="62"/>
      <c r="N163" s="62"/>
      <c r="P163" s="62"/>
      <c r="Q163" s="62"/>
      <c r="R163" s="62"/>
    </row>
    <row r="164" spans="1:18">
      <c r="A164" s="77" t="s">
        <v>67</v>
      </c>
      <c r="C164" t="s">
        <v>68</v>
      </c>
      <c r="J164" s="12"/>
      <c r="K164" s="62"/>
      <c r="L164" s="62"/>
      <c r="M164" s="62"/>
      <c r="N164" s="62"/>
      <c r="P164" s="62"/>
      <c r="Q164" s="62"/>
      <c r="R164" s="62"/>
    </row>
  </sheetData>
  <mergeCells count="5">
    <mergeCell ref="O7:S7"/>
    <mergeCell ref="G7:I7"/>
    <mergeCell ref="K7:M7"/>
    <mergeCell ref="A4:S4"/>
    <mergeCell ref="A5:S5"/>
  </mergeCells>
  <printOptions horizontalCentered="1"/>
  <pageMargins left="0.5" right="0.5" top="0.75" bottom="0.5" header="0.3" footer="0.3"/>
  <pageSetup scale="51" fitToHeight="0" orientation="portrait" r:id="rId1"/>
  <headerFooter>
    <oddHeader>&amp;RFiled: 2023-04-06
EB-2022-0200
Exhibit JT8.7
Attachment 1
Page &amp;P of 8</oddHeader>
  </headerFooter>
  <rowBreaks count="1" manualBreakCount="1">
    <brk id="6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A993D3-38EF-4192-ADAC-158E21160249}">
  <dimension ref="A1:U1048493"/>
  <sheetViews>
    <sheetView view="pageLayout" zoomScaleNormal="80" zoomScaleSheetLayoutView="80" workbookViewId="0">
      <selection activeCell="E18" sqref="E18:I18"/>
    </sheetView>
  </sheetViews>
  <sheetFormatPr defaultColWidth="9.140625" defaultRowHeight="12.75"/>
  <cols>
    <col min="1" max="1" width="5.42578125" customWidth="1"/>
    <col min="2" max="2" width="1.7109375" customWidth="1"/>
    <col min="3" max="3" width="36.7109375" customWidth="1"/>
    <col min="4" max="4" width="1.7109375" customWidth="1"/>
    <col min="5" max="5" width="15.7109375" customWidth="1"/>
    <col min="6" max="6" width="1.7109375" customWidth="1"/>
    <col min="7" max="7" width="15.7109375" customWidth="1"/>
    <col min="8" max="8" width="1.7109375" customWidth="1"/>
    <col min="9" max="9" width="15.7109375" customWidth="1"/>
    <col min="10" max="10" width="1.7109375" customWidth="1"/>
    <col min="11" max="11" width="15.7109375" customWidth="1"/>
    <col min="12" max="12" width="1.7109375" customWidth="1"/>
    <col min="13" max="13" width="15.7109375" customWidth="1"/>
    <col min="14" max="14" width="1.7109375" customWidth="1"/>
    <col min="15" max="15" width="15.7109375" style="59" customWidth="1"/>
    <col min="16" max="16" width="1.7109375" customWidth="1"/>
    <col min="17" max="17" width="15.7109375" customWidth="1"/>
    <col min="18" max="18" width="1.7109375" customWidth="1"/>
    <col min="19" max="19" width="15.7109375" customWidth="1"/>
    <col min="20" max="20" width="1.7109375" customWidth="1"/>
  </cols>
  <sheetData>
    <row r="1" spans="1:21">
      <c r="U1" t="s">
        <v>69</v>
      </c>
    </row>
    <row r="4" spans="1:21">
      <c r="A4" s="149" t="s">
        <v>1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</row>
    <row r="5" spans="1:21">
      <c r="A5" s="149" t="s">
        <v>70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</row>
    <row r="6" spans="1:21">
      <c r="A6" s="116"/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</row>
    <row r="7" spans="1:21">
      <c r="G7" s="150" t="s">
        <v>3</v>
      </c>
      <c r="H7" s="150"/>
      <c r="I7" s="150"/>
      <c r="K7" s="148" t="s">
        <v>4</v>
      </c>
      <c r="L7" s="148"/>
      <c r="M7" s="148"/>
      <c r="O7" s="151" t="s">
        <v>5</v>
      </c>
      <c r="P7" s="151"/>
      <c r="Q7" s="151"/>
      <c r="R7" s="151"/>
      <c r="S7" s="151"/>
    </row>
    <row r="8" spans="1:21">
      <c r="E8" s="60"/>
      <c r="G8" s="1"/>
      <c r="I8" s="1"/>
      <c r="K8" s="1"/>
      <c r="M8" s="1"/>
      <c r="N8" s="2"/>
      <c r="O8" s="22" t="s">
        <v>4</v>
      </c>
      <c r="P8" s="3"/>
      <c r="Q8" s="23" t="s">
        <v>6</v>
      </c>
      <c r="R8" s="3"/>
      <c r="S8" s="23" t="s">
        <v>7</v>
      </c>
    </row>
    <row r="9" spans="1:21">
      <c r="A9" s="60" t="s">
        <v>8</v>
      </c>
      <c r="E9" s="60" t="s">
        <v>9</v>
      </c>
      <c r="G9" s="1" t="s">
        <v>10</v>
      </c>
      <c r="I9" s="1" t="s">
        <v>11</v>
      </c>
      <c r="K9" s="1" t="s">
        <v>12</v>
      </c>
      <c r="M9" s="1" t="s">
        <v>13</v>
      </c>
      <c r="N9" s="62"/>
      <c r="O9" s="61" t="s">
        <v>14</v>
      </c>
      <c r="P9" s="62"/>
      <c r="Q9" s="63" t="s">
        <v>15</v>
      </c>
      <c r="R9" s="62"/>
      <c r="S9" s="63" t="s">
        <v>15</v>
      </c>
    </row>
    <row r="10" spans="1:21" ht="14.25">
      <c r="A10" s="64" t="s">
        <v>16</v>
      </c>
      <c r="C10" s="65" t="s">
        <v>17</v>
      </c>
      <c r="D10" s="65"/>
      <c r="E10" s="66" t="s">
        <v>18</v>
      </c>
      <c r="G10" s="29" t="s">
        <v>19</v>
      </c>
      <c r="I10" s="29" t="s">
        <v>19</v>
      </c>
      <c r="K10" s="67" t="s">
        <v>20</v>
      </c>
      <c r="L10" s="63"/>
      <c r="M10" s="67" t="s">
        <v>20</v>
      </c>
      <c r="N10" s="62"/>
      <c r="O10" s="68" t="s">
        <v>20</v>
      </c>
      <c r="P10" s="62"/>
      <c r="Q10" s="67" t="s">
        <v>21</v>
      </c>
      <c r="R10" s="62"/>
      <c r="S10" s="67" t="s">
        <v>21</v>
      </c>
    </row>
    <row r="11" spans="1:21">
      <c r="E11" s="60" t="s">
        <v>22</v>
      </c>
      <c r="F11" s="60"/>
      <c r="G11" s="20" t="s">
        <v>23</v>
      </c>
      <c r="I11" s="20" t="s">
        <v>24</v>
      </c>
      <c r="K11" s="63" t="s">
        <v>25</v>
      </c>
      <c r="L11" s="63"/>
      <c r="M11" s="63" t="s">
        <v>26</v>
      </c>
      <c r="N11" s="63"/>
      <c r="O11" s="61" t="s">
        <v>27</v>
      </c>
      <c r="P11" s="63"/>
      <c r="Q11" s="63" t="s">
        <v>28</v>
      </c>
      <c r="R11" s="63"/>
      <c r="S11" s="60" t="s">
        <v>29</v>
      </c>
    </row>
    <row r="12" spans="1:21">
      <c r="C12" s="69" t="s">
        <v>71</v>
      </c>
      <c r="D12" s="69"/>
      <c r="E12" s="4"/>
      <c r="H12" s="10"/>
      <c r="I12" s="10"/>
      <c r="K12" s="3"/>
      <c r="L12" s="3"/>
      <c r="M12" s="3"/>
      <c r="N12" s="3"/>
      <c r="O12" s="21"/>
      <c r="P12" s="3"/>
      <c r="Q12" s="3"/>
      <c r="R12" s="3"/>
      <c r="S12" s="4"/>
    </row>
    <row r="13" spans="1:21">
      <c r="A13" s="60">
        <v>1</v>
      </c>
      <c r="C13" s="4" t="s">
        <v>31</v>
      </c>
      <c r="D13" s="4"/>
      <c r="E13" s="112">
        <f>'Attachment 2'!P86</f>
        <v>2200</v>
      </c>
      <c r="F13" s="60"/>
      <c r="G13" s="60"/>
      <c r="H13" s="78"/>
      <c r="I13" s="60"/>
      <c r="J13" s="60"/>
      <c r="K13" s="60"/>
      <c r="L13" s="60"/>
      <c r="M13" s="60"/>
      <c r="N13" s="60"/>
      <c r="O13" s="22"/>
      <c r="P13" s="20"/>
      <c r="Q13" s="20"/>
      <c r="R13" s="20"/>
      <c r="S13" s="20"/>
    </row>
    <row r="14" spans="1:21">
      <c r="A14" s="60"/>
      <c r="C14" s="117"/>
      <c r="D14" s="117"/>
      <c r="E14" s="60"/>
      <c r="F14" s="60"/>
      <c r="G14" s="83"/>
      <c r="H14" s="83"/>
      <c r="I14" s="83"/>
      <c r="J14" s="20"/>
      <c r="K14" s="124"/>
      <c r="L14" s="124"/>
      <c r="M14" s="124"/>
      <c r="N14" s="124"/>
      <c r="O14" s="124"/>
      <c r="P14" s="60"/>
      <c r="Q14" s="89"/>
      <c r="R14" s="89"/>
      <c r="S14" s="89"/>
    </row>
    <row r="15" spans="1:21">
      <c r="A15" s="60"/>
      <c r="C15" s="8" t="s">
        <v>32</v>
      </c>
      <c r="D15" s="5"/>
      <c r="E15" s="20"/>
      <c r="F15" s="60"/>
      <c r="G15" s="20"/>
      <c r="H15" s="20"/>
      <c r="I15" s="20"/>
      <c r="J15" s="20"/>
      <c r="K15" s="125"/>
      <c r="L15" s="125"/>
      <c r="M15" s="125"/>
      <c r="N15" s="125"/>
      <c r="O15" s="125"/>
      <c r="P15" s="20"/>
      <c r="Q15" s="90"/>
      <c r="R15" s="90"/>
      <c r="S15" s="89"/>
    </row>
    <row r="16" spans="1:21">
      <c r="A16" s="60">
        <f>MAX(A$12:A15)+1</f>
        <v>2</v>
      </c>
      <c r="C16" s="4" t="s">
        <v>33</v>
      </c>
      <c r="D16" s="6"/>
      <c r="E16" s="91" t="s">
        <v>34</v>
      </c>
      <c r="F16" s="60"/>
      <c r="G16" s="92">
        <v>22.98</v>
      </c>
      <c r="H16" s="92"/>
      <c r="I16" s="92">
        <v>23</v>
      </c>
      <c r="J16" s="92"/>
      <c r="K16" s="125">
        <f>G16*12</f>
        <v>275.76</v>
      </c>
      <c r="L16" s="125"/>
      <c r="M16" s="125">
        <f>I16*12</f>
        <v>276</v>
      </c>
      <c r="N16" s="125"/>
      <c r="O16" s="125">
        <f>M16-K16</f>
        <v>0.24000000000000909</v>
      </c>
      <c r="P16" s="126"/>
      <c r="Q16" s="106"/>
      <c r="R16" s="90"/>
      <c r="S16" s="89"/>
    </row>
    <row r="17" spans="1:19">
      <c r="C17" s="4" t="s">
        <v>35</v>
      </c>
      <c r="D17" s="6"/>
      <c r="E17" s="91"/>
      <c r="F17" s="60"/>
      <c r="G17" s="92"/>
      <c r="H17" s="92"/>
      <c r="I17" s="92"/>
      <c r="J17" s="92"/>
      <c r="K17" s="125"/>
      <c r="L17" s="125"/>
      <c r="M17" s="125"/>
      <c r="N17" s="125"/>
      <c r="O17" s="125"/>
      <c r="P17" s="126"/>
      <c r="Q17" s="90"/>
      <c r="R17" s="90"/>
      <c r="S17" s="89"/>
    </row>
    <row r="18" spans="1:19">
      <c r="A18" s="60">
        <f>MAX(A$12:A17)+1</f>
        <v>3</v>
      </c>
      <c r="C18" s="11" t="s">
        <v>72</v>
      </c>
      <c r="D18" s="11"/>
      <c r="E18" s="112">
        <f>'Attachment 2'!P91</f>
        <v>1006.8</v>
      </c>
      <c r="F18" s="60"/>
      <c r="G18" s="110">
        <v>11.1409</v>
      </c>
      <c r="H18" s="79"/>
      <c r="I18" s="110">
        <v>7.3968214140421704</v>
      </c>
      <c r="J18" s="20"/>
      <c r="K18" s="125">
        <f>$E$18*G18/100</f>
        <v>112.1665812</v>
      </c>
      <c r="L18" s="125"/>
      <c r="M18" s="125">
        <f>$E$18*I18/100</f>
        <v>74.471197996576564</v>
      </c>
      <c r="N18" s="125"/>
      <c r="O18" s="125">
        <f>M18-K18</f>
        <v>-37.695383203423432</v>
      </c>
      <c r="P18" s="126"/>
      <c r="Q18" s="90"/>
      <c r="R18" s="127"/>
      <c r="S18" s="89"/>
    </row>
    <row r="19" spans="1:19">
      <c r="A19" s="60">
        <f>MAX(A$12:A18)+1</f>
        <v>4</v>
      </c>
      <c r="C19" s="11" t="s">
        <v>73</v>
      </c>
      <c r="D19" s="11"/>
      <c r="E19" s="112">
        <f>'Attachment 2'!P92</f>
        <v>973.40000000000009</v>
      </c>
      <c r="F19" s="60"/>
      <c r="G19" s="110">
        <v>10.862900000000002</v>
      </c>
      <c r="H19" s="79"/>
      <c r="I19" s="110">
        <v>7.193113030409811</v>
      </c>
      <c r="J19" s="20"/>
      <c r="K19" s="125">
        <f>$E$19*G19/100</f>
        <v>105.73946860000002</v>
      </c>
      <c r="L19" s="125"/>
      <c r="M19" s="125">
        <f>$E$19*I19/100</f>
        <v>70.017762238009112</v>
      </c>
      <c r="N19" s="125"/>
      <c r="O19" s="125">
        <f>M19-K19</f>
        <v>-35.721706361990911</v>
      </c>
      <c r="P19" s="126"/>
      <c r="Q19" s="90"/>
      <c r="R19" s="127"/>
      <c r="S19" s="89"/>
    </row>
    <row r="20" spans="1:19">
      <c r="A20" s="60">
        <f>MAX(A$12:A19)+1</f>
        <v>5</v>
      </c>
      <c r="C20" s="11" t="s">
        <v>74</v>
      </c>
      <c r="D20" s="11"/>
      <c r="E20" s="112">
        <f>'Attachment 2'!P93</f>
        <v>219.8</v>
      </c>
      <c r="F20" s="60"/>
      <c r="G20" s="110">
        <v>10.4222</v>
      </c>
      <c r="H20" s="79"/>
      <c r="I20" s="110">
        <v>6.8701839488746241</v>
      </c>
      <c r="J20" s="20"/>
      <c r="K20" s="125">
        <f>$E$20*G20/100</f>
        <v>22.9079956</v>
      </c>
      <c r="L20" s="125"/>
      <c r="M20" s="125">
        <f>$E$20*I20/100</f>
        <v>15.100664319626423</v>
      </c>
      <c r="N20" s="125"/>
      <c r="O20" s="125">
        <f t="shared" ref="O20:O22" si="0">M20-K20</f>
        <v>-7.8073312803735764</v>
      </c>
      <c r="P20" s="126"/>
      <c r="Q20" s="90"/>
      <c r="R20" s="127"/>
      <c r="S20" s="89"/>
    </row>
    <row r="21" spans="1:19">
      <c r="A21" s="60">
        <f>MAX(A$12:A20)+1</f>
        <v>6</v>
      </c>
      <c r="C21" s="11" t="s">
        <v>75</v>
      </c>
      <c r="D21" s="11"/>
      <c r="E21" s="112">
        <f>'Attachment 2'!P94</f>
        <v>0</v>
      </c>
      <c r="F21" s="60"/>
      <c r="G21" s="110">
        <v>10.017900000000001</v>
      </c>
      <c r="H21" s="79"/>
      <c r="I21" s="110">
        <v>6.5739274758438215</v>
      </c>
      <c r="J21" s="20"/>
      <c r="K21" s="125">
        <f>$E$21*G21/100</f>
        <v>0</v>
      </c>
      <c r="L21" s="125"/>
      <c r="M21" s="125">
        <f>$E$21*I21/100</f>
        <v>0</v>
      </c>
      <c r="N21" s="125"/>
      <c r="O21" s="125">
        <f t="shared" si="0"/>
        <v>0</v>
      </c>
      <c r="P21" s="126"/>
      <c r="Q21" s="90"/>
      <c r="R21" s="127"/>
      <c r="S21" s="89"/>
    </row>
    <row r="22" spans="1:19">
      <c r="A22" s="60">
        <f>MAX(A$12:A21)+1</f>
        <v>7</v>
      </c>
      <c r="C22" s="11" t="s">
        <v>76</v>
      </c>
      <c r="D22" s="11"/>
      <c r="E22" s="113">
        <f>'Attachment 2'!P95</f>
        <v>0</v>
      </c>
      <c r="F22" s="60"/>
      <c r="G22" s="110">
        <v>9.6836000000000002</v>
      </c>
      <c r="H22" s="79"/>
      <c r="I22" s="110">
        <v>6.3289644807060581</v>
      </c>
      <c r="J22" s="20"/>
      <c r="K22" s="125">
        <f>$E$22*G22/100</f>
        <v>0</v>
      </c>
      <c r="L22" s="125"/>
      <c r="M22" s="125">
        <f>$E$22*I22/100</f>
        <v>0</v>
      </c>
      <c r="N22" s="125"/>
      <c r="O22" s="125">
        <f t="shared" si="0"/>
        <v>0</v>
      </c>
      <c r="P22" s="126"/>
      <c r="Q22" s="90"/>
      <c r="R22" s="90"/>
      <c r="S22" s="89"/>
    </row>
    <row r="23" spans="1:19">
      <c r="A23" s="60">
        <f>MAX(A$12:A22)+1</f>
        <v>8</v>
      </c>
      <c r="C23" s="4" t="s">
        <v>40</v>
      </c>
      <c r="D23" s="6"/>
      <c r="E23" s="112">
        <f>SUM(E18:E22)</f>
        <v>2200</v>
      </c>
      <c r="F23" s="60"/>
      <c r="G23" s="110"/>
      <c r="H23" s="79"/>
      <c r="I23" s="110"/>
      <c r="J23" s="20"/>
      <c r="K23" s="128">
        <f>SUM(K18:K22)</f>
        <v>240.8140454</v>
      </c>
      <c r="L23" s="125"/>
      <c r="M23" s="128">
        <f>SUM(M18:M22)</f>
        <v>159.58962455421209</v>
      </c>
      <c r="N23" s="125"/>
      <c r="O23" s="128">
        <f>SUM(O18:O22)</f>
        <v>-81.224420845787918</v>
      </c>
      <c r="P23" s="126"/>
      <c r="Q23" s="87"/>
      <c r="R23" s="90"/>
      <c r="S23" s="89"/>
    </row>
    <row r="24" spans="1:19">
      <c r="A24" s="60">
        <f>MAX(A$12:A23)+1</f>
        <v>9</v>
      </c>
      <c r="C24" s="4" t="s">
        <v>41</v>
      </c>
      <c r="D24" s="4"/>
      <c r="E24" s="112">
        <f>$E$13</f>
        <v>2200</v>
      </c>
      <c r="F24" s="60"/>
      <c r="G24" s="110">
        <v>1.41E-2</v>
      </c>
      <c r="H24" s="79"/>
      <c r="I24" s="110">
        <v>1.41E-2</v>
      </c>
      <c r="J24" s="129"/>
      <c r="K24" s="125">
        <f>$G$88*E24/100</f>
        <v>0.31019999999999998</v>
      </c>
      <c r="L24" s="125"/>
      <c r="M24" s="125">
        <f>$I$88*E24/100</f>
        <v>0.31019999999999998</v>
      </c>
      <c r="N24" s="125"/>
      <c r="O24" s="125">
        <f>M24-K24</f>
        <v>0</v>
      </c>
      <c r="P24" s="126"/>
      <c r="Q24" s="90"/>
      <c r="R24" s="90"/>
      <c r="S24" s="89"/>
    </row>
    <row r="25" spans="1:19">
      <c r="A25" s="60">
        <f>MAX(A$12:A24)+1</f>
        <v>10</v>
      </c>
      <c r="C25" s="4" t="s">
        <v>42</v>
      </c>
      <c r="D25" s="9"/>
      <c r="E25" s="112"/>
      <c r="F25" s="60"/>
      <c r="G25" s="110"/>
      <c r="H25" s="79"/>
      <c r="I25" s="110"/>
      <c r="J25" s="20"/>
      <c r="K25" s="130">
        <f>K23+K16+K24</f>
        <v>516.88424539999994</v>
      </c>
      <c r="L25" s="125"/>
      <c r="M25" s="130">
        <f>M23+M16+M24</f>
        <v>435.8998245542121</v>
      </c>
      <c r="N25" s="125"/>
      <c r="O25" s="130">
        <f>O23+O16+O24</f>
        <v>-80.984420845787909</v>
      </c>
      <c r="P25" s="126"/>
      <c r="Q25" s="96">
        <f>O25/K25</f>
        <v>-0.15667806006181653</v>
      </c>
      <c r="R25" s="90"/>
      <c r="S25" s="131">
        <f>Q25</f>
        <v>-0.15667806006181653</v>
      </c>
    </row>
    <row r="26" spans="1:19">
      <c r="C26" s="9"/>
      <c r="D26" s="9"/>
      <c r="E26" s="112"/>
      <c r="F26" s="60"/>
      <c r="G26" s="110"/>
      <c r="H26" s="79"/>
      <c r="I26" s="110"/>
      <c r="J26" s="20"/>
      <c r="K26" s="124"/>
      <c r="L26" s="124"/>
      <c r="M26" s="124"/>
      <c r="N26" s="124"/>
      <c r="O26" s="124"/>
      <c r="P26" s="97"/>
      <c r="Q26" s="89"/>
      <c r="R26" s="89"/>
      <c r="S26" s="89"/>
    </row>
    <row r="27" spans="1:19">
      <c r="A27" s="60">
        <f>MAX(A$12:A26)+1</f>
        <v>11</v>
      </c>
      <c r="C27" s="4" t="s">
        <v>43</v>
      </c>
      <c r="D27" s="4"/>
      <c r="E27" s="112">
        <f>$E$13</f>
        <v>2200</v>
      </c>
      <c r="F27" s="60"/>
      <c r="G27" s="110">
        <v>9.7899999999999991</v>
      </c>
      <c r="H27" s="79"/>
      <c r="I27" s="110">
        <v>9.7899999999999991</v>
      </c>
      <c r="J27" s="129"/>
      <c r="K27" s="125">
        <f>$G$91*E27/100</f>
        <v>215.37999999999997</v>
      </c>
      <c r="L27" s="125"/>
      <c r="M27" s="125">
        <f>$I$91*E27/100</f>
        <v>215.37999999999997</v>
      </c>
      <c r="N27" s="125"/>
      <c r="O27" s="125">
        <f>M27-K27</f>
        <v>0</v>
      </c>
      <c r="P27" s="126"/>
      <c r="Q27" s="87">
        <f>O27/K27</f>
        <v>0</v>
      </c>
      <c r="R27" s="90"/>
      <c r="S27" s="89">
        <f>Q27</f>
        <v>0</v>
      </c>
    </row>
    <row r="28" spans="1:19">
      <c r="C28" s="8"/>
      <c r="D28" s="8"/>
      <c r="E28" s="112"/>
      <c r="F28" s="60"/>
      <c r="G28" s="110"/>
      <c r="H28" s="79"/>
      <c r="I28" s="110"/>
      <c r="J28" s="132"/>
      <c r="K28" s="125"/>
      <c r="L28" s="125"/>
      <c r="M28" s="125"/>
      <c r="N28" s="125"/>
      <c r="O28" s="125"/>
      <c r="P28" s="126"/>
      <c r="Q28" s="90"/>
      <c r="R28" s="90"/>
      <c r="S28" s="89"/>
    </row>
    <row r="29" spans="1:19">
      <c r="C29" s="8" t="s">
        <v>44</v>
      </c>
      <c r="D29" s="8"/>
      <c r="E29" s="112"/>
      <c r="F29" s="60"/>
      <c r="G29" s="110"/>
      <c r="H29" s="79"/>
      <c r="I29" s="110"/>
      <c r="J29" s="132"/>
      <c r="K29" s="125"/>
      <c r="L29" s="125"/>
      <c r="M29" s="125"/>
      <c r="N29" s="125"/>
      <c r="O29" s="125"/>
      <c r="P29" s="126"/>
      <c r="Q29" s="90"/>
      <c r="R29" s="90"/>
      <c r="S29" s="89"/>
    </row>
    <row r="30" spans="1:19">
      <c r="A30" s="60">
        <f>MAX(A$12:A29)+1</f>
        <v>12</v>
      </c>
      <c r="C30" s="4" t="s">
        <v>44</v>
      </c>
      <c r="D30" s="6"/>
      <c r="E30" s="112">
        <f>$E$13</f>
        <v>2200</v>
      </c>
      <c r="F30" s="60"/>
      <c r="G30" s="110">
        <v>4.4904000000000011</v>
      </c>
      <c r="H30" s="79"/>
      <c r="I30" s="110">
        <v>3.3211529697198543</v>
      </c>
      <c r="J30" s="20"/>
      <c r="K30" s="125">
        <f>E30*$G30/100</f>
        <v>98.788800000000023</v>
      </c>
      <c r="L30" s="125"/>
      <c r="M30" s="125">
        <f>E30*$I30/100</f>
        <v>73.065365333836795</v>
      </c>
      <c r="N30" s="125"/>
      <c r="O30" s="125">
        <f>M30-K30</f>
        <v>-25.723434666163229</v>
      </c>
      <c r="P30" s="126"/>
      <c r="Q30" s="90"/>
      <c r="R30" s="89"/>
      <c r="S30" s="89"/>
    </row>
    <row r="31" spans="1:19">
      <c r="A31" s="60">
        <f>MAX(A$12:A30)+1</f>
        <v>13</v>
      </c>
      <c r="C31" s="4" t="s">
        <v>77</v>
      </c>
      <c r="D31" s="9"/>
      <c r="E31" s="112">
        <f>$E$13</f>
        <v>2200</v>
      </c>
      <c r="F31" s="60"/>
      <c r="G31" s="110">
        <v>2.2812000000000001</v>
      </c>
      <c r="H31" s="79"/>
      <c r="I31" s="110">
        <v>2.232120538530832</v>
      </c>
      <c r="J31" s="20"/>
      <c r="K31" s="125">
        <f>E31*$G31/100</f>
        <v>50.186400000000006</v>
      </c>
      <c r="L31" s="125"/>
      <c r="M31" s="125">
        <f>E31*$I31/100</f>
        <v>49.106651847678307</v>
      </c>
      <c r="N31" s="125"/>
      <c r="O31" s="125">
        <f>M31-K31</f>
        <v>-1.0797481523216987</v>
      </c>
      <c r="P31" s="126"/>
      <c r="Q31" s="90"/>
      <c r="R31" s="89"/>
      <c r="S31" s="89"/>
    </row>
    <row r="32" spans="1:19">
      <c r="A32" s="60">
        <f>MAX(A$12:A31)+1</f>
        <v>14</v>
      </c>
      <c r="C32" s="4" t="s">
        <v>78</v>
      </c>
      <c r="D32" s="9"/>
      <c r="E32" s="112"/>
      <c r="F32" s="60"/>
      <c r="G32" s="110"/>
      <c r="H32" s="79"/>
      <c r="I32" s="110"/>
      <c r="J32" s="20"/>
      <c r="K32" s="130">
        <f>SUM(K30:K31)</f>
        <v>148.97520000000003</v>
      </c>
      <c r="L32" s="125"/>
      <c r="M32" s="130">
        <f>SUM(M30:M31)</f>
        <v>122.1720171815151</v>
      </c>
      <c r="N32" s="125"/>
      <c r="O32" s="130">
        <f>SUM(O30:O31)</f>
        <v>-26.803182818484927</v>
      </c>
      <c r="P32" s="126"/>
      <c r="Q32" s="96">
        <f>O32/K32</f>
        <v>-0.17991707893988343</v>
      </c>
      <c r="R32" s="89"/>
      <c r="S32" s="131">
        <f>Q32</f>
        <v>-0.17991707893988343</v>
      </c>
    </row>
    <row r="33" spans="1:19">
      <c r="C33" s="9"/>
      <c r="D33" s="9"/>
      <c r="E33" s="112"/>
      <c r="F33" s="60"/>
      <c r="G33" s="110"/>
      <c r="H33" s="79"/>
      <c r="I33" s="110"/>
      <c r="J33" s="20"/>
      <c r="K33" s="125"/>
      <c r="L33" s="124"/>
      <c r="M33" s="125"/>
      <c r="N33" s="124"/>
      <c r="O33" s="125"/>
      <c r="P33" s="91"/>
      <c r="Q33" s="90"/>
      <c r="R33" s="89"/>
      <c r="S33" s="89"/>
    </row>
    <row r="34" spans="1:19">
      <c r="A34" s="60">
        <f>MAX(A$12:A33)+1</f>
        <v>15</v>
      </c>
      <c r="C34" s="4" t="s">
        <v>79</v>
      </c>
      <c r="D34" s="9"/>
      <c r="E34" s="112">
        <f>$E$13</f>
        <v>2200</v>
      </c>
      <c r="F34" s="60"/>
      <c r="G34" s="110">
        <v>18.274100000000001</v>
      </c>
      <c r="H34" s="79"/>
      <c r="I34" s="110">
        <v>20.903604607530845</v>
      </c>
      <c r="J34" s="20"/>
      <c r="K34" s="125">
        <f>E34*$G34/100</f>
        <v>402.03020000000004</v>
      </c>
      <c r="L34" s="125"/>
      <c r="M34" s="125">
        <f>E34*$I34/100</f>
        <v>459.8793013656786</v>
      </c>
      <c r="N34" s="125"/>
      <c r="O34" s="125">
        <f>M34-K34</f>
        <v>57.849101365678564</v>
      </c>
      <c r="P34" s="126"/>
      <c r="Q34" s="87">
        <f>O34/K34</f>
        <v>0.1438924273989331</v>
      </c>
      <c r="R34" s="90"/>
      <c r="S34" s="89">
        <f>Q34</f>
        <v>0.1438924273989331</v>
      </c>
    </row>
    <row r="35" spans="1:19">
      <c r="C35" s="8"/>
      <c r="D35" s="8"/>
      <c r="E35" s="112"/>
      <c r="F35" s="60"/>
      <c r="G35" s="110"/>
      <c r="H35" s="79"/>
      <c r="I35" s="110"/>
      <c r="J35" s="20"/>
      <c r="K35" s="125"/>
      <c r="L35" s="124"/>
      <c r="M35" s="125"/>
      <c r="N35" s="125"/>
      <c r="O35" s="125"/>
      <c r="P35" s="91"/>
      <c r="Q35" s="90"/>
      <c r="R35" s="90"/>
      <c r="S35" s="89"/>
    </row>
    <row r="36" spans="1:19" ht="13.5" thickBot="1">
      <c r="A36" s="60">
        <f>MAX(A$12:A35)+1</f>
        <v>16</v>
      </c>
      <c r="C36" s="4" t="s">
        <v>46</v>
      </c>
      <c r="D36" s="8"/>
      <c r="E36" s="112"/>
      <c r="F36" s="60"/>
      <c r="G36" s="110"/>
      <c r="H36" s="79"/>
      <c r="I36" s="110"/>
      <c r="J36" s="20"/>
      <c r="K36" s="133">
        <f>K25+K27+K32+K34</f>
        <v>1283.2696454000002</v>
      </c>
      <c r="L36" s="125"/>
      <c r="M36" s="133">
        <f>M25+M27+M32+M34</f>
        <v>1233.3311431014058</v>
      </c>
      <c r="N36" s="125"/>
      <c r="O36" s="133">
        <f>M36-K36</f>
        <v>-49.938502298594358</v>
      </c>
      <c r="P36" s="126"/>
      <c r="Q36" s="102">
        <f>O36/K36</f>
        <v>-3.8915049909895069E-2</v>
      </c>
      <c r="R36" s="90"/>
      <c r="S36" s="134">
        <f>(O25+O32+O34)/(K25+K32+K34)</f>
        <v>-4.6763729298909699E-2</v>
      </c>
    </row>
    <row r="37" spans="1:19" ht="13.5" thickTop="1">
      <c r="C37" s="8"/>
      <c r="D37" s="8"/>
      <c r="E37" s="112"/>
      <c r="F37" s="60"/>
      <c r="G37" s="110"/>
      <c r="H37" s="79"/>
      <c r="I37" s="110"/>
      <c r="J37" s="20"/>
      <c r="K37" s="125"/>
      <c r="L37" s="124"/>
      <c r="M37" s="125"/>
      <c r="N37" s="125"/>
      <c r="O37" s="125"/>
      <c r="P37" s="91"/>
      <c r="Q37" s="90"/>
      <c r="R37" s="90"/>
      <c r="S37" s="89"/>
    </row>
    <row r="38" spans="1:19">
      <c r="A38" s="60">
        <f>MAX(A$13:A37)+1</f>
        <v>17</v>
      </c>
      <c r="C38" s="4" t="s">
        <v>80</v>
      </c>
      <c r="E38" s="112">
        <f>$E$13</f>
        <v>2200</v>
      </c>
      <c r="F38" s="60"/>
      <c r="G38" s="110">
        <v>4.4904000000000011</v>
      </c>
      <c r="H38" s="79"/>
      <c r="I38" s="110">
        <v>5.1831198752128635</v>
      </c>
      <c r="J38" s="60"/>
      <c r="K38" s="75">
        <f>$E38*G38/100</f>
        <v>98.788800000000023</v>
      </c>
      <c r="L38" s="75"/>
      <c r="M38" s="75">
        <f>$E38*I38/100</f>
        <v>114.02863725468301</v>
      </c>
      <c r="N38" s="75"/>
      <c r="O38" s="84">
        <f t="shared" ref="O38" si="1">M38-K38</f>
        <v>15.239837254682982</v>
      </c>
      <c r="P38" s="60"/>
      <c r="Q38" s="103"/>
      <c r="R38" s="89"/>
      <c r="S38" s="103"/>
    </row>
    <row r="39" spans="1:19">
      <c r="E39" s="112"/>
      <c r="F39" s="60"/>
      <c r="G39" s="110"/>
      <c r="H39" s="79"/>
      <c r="I39" s="110"/>
      <c r="J39" s="20"/>
      <c r="K39" s="135"/>
      <c r="L39" s="136"/>
      <c r="M39" s="135"/>
      <c r="N39" s="125"/>
      <c r="O39" s="125"/>
      <c r="P39" s="91"/>
      <c r="Q39" s="90"/>
      <c r="R39" s="90"/>
      <c r="S39" s="89"/>
    </row>
    <row r="40" spans="1:19">
      <c r="A40" s="60">
        <f>MAX(A$12:A39)+1</f>
        <v>18</v>
      </c>
      <c r="C40" s="4" t="s">
        <v>81</v>
      </c>
      <c r="D40" s="9"/>
      <c r="E40" s="112"/>
      <c r="F40" s="60"/>
      <c r="G40" s="110"/>
      <c r="H40" s="79"/>
      <c r="I40" s="110"/>
      <c r="J40" s="20"/>
      <c r="K40" s="94">
        <f>K25+K27+K38+K31+M34</f>
        <v>1341.1187467656787</v>
      </c>
      <c r="L40" s="84"/>
      <c r="M40" s="94">
        <f>M25+M27+M38+M31+M34</f>
        <v>1274.294415022252</v>
      </c>
      <c r="N40" s="84"/>
      <c r="O40" s="94">
        <f>M40-K40</f>
        <v>-66.824331743426683</v>
      </c>
      <c r="P40" s="91"/>
      <c r="Q40" s="96">
        <f>O40/K40</f>
        <v>-4.9827304185094866E-2</v>
      </c>
      <c r="R40" s="90"/>
      <c r="S40" s="96">
        <f>(O40-O27)/(K40-K27)</f>
        <v>-5.9360426151642526E-2</v>
      </c>
    </row>
    <row r="41" spans="1:19">
      <c r="A41" s="60">
        <f>MAX(A$12:A40)+1</f>
        <v>19</v>
      </c>
      <c r="C41" s="11" t="s">
        <v>82</v>
      </c>
      <c r="E41" s="112"/>
      <c r="F41" s="60"/>
      <c r="G41" s="110"/>
      <c r="H41" s="79"/>
      <c r="I41" s="110"/>
      <c r="J41" s="20"/>
      <c r="K41" s="84"/>
      <c r="L41" s="104"/>
      <c r="M41" s="84"/>
      <c r="N41" s="84"/>
      <c r="O41" s="84"/>
      <c r="P41" s="91"/>
      <c r="Q41" s="87">
        <f>(O25+O27+O38+O31)/(K25+K27+K38+K31)</f>
        <v>-7.5829937132574285E-2</v>
      </c>
      <c r="R41" s="90"/>
      <c r="S41" s="87">
        <f>(O25+O38+O31)/(K25+K38+K31)</f>
        <v>-0.10035801430027537</v>
      </c>
    </row>
    <row r="42" spans="1:19">
      <c r="A42" s="60"/>
      <c r="C42" s="11"/>
      <c r="E42" s="112"/>
      <c r="F42" s="60"/>
      <c r="G42" s="110"/>
      <c r="H42" s="79"/>
      <c r="I42" s="110"/>
      <c r="J42" s="20"/>
      <c r="K42" s="84"/>
      <c r="L42" s="104"/>
      <c r="M42" s="84"/>
      <c r="N42" s="84"/>
      <c r="O42" s="84"/>
      <c r="P42" s="91"/>
      <c r="Q42" s="87"/>
      <c r="R42" s="90"/>
      <c r="S42" s="87"/>
    </row>
    <row r="43" spans="1:19">
      <c r="E43" s="112"/>
      <c r="F43" s="60"/>
      <c r="G43" s="110"/>
      <c r="H43" s="79"/>
      <c r="I43" s="110"/>
      <c r="J43" s="20"/>
      <c r="K43" s="124"/>
      <c r="L43" s="124"/>
      <c r="M43" s="124"/>
      <c r="N43" s="124"/>
      <c r="O43" s="124"/>
      <c r="P43" s="60"/>
      <c r="Q43" s="87"/>
      <c r="R43" s="89"/>
      <c r="S43" s="87"/>
    </row>
    <row r="44" spans="1:19">
      <c r="C44" s="69" t="s">
        <v>83</v>
      </c>
      <c r="D44" s="69"/>
      <c r="E44" s="112"/>
      <c r="F44" s="60"/>
      <c r="G44" s="110"/>
      <c r="H44" s="79"/>
      <c r="I44" s="110"/>
      <c r="J44" s="60"/>
      <c r="K44" s="125"/>
      <c r="L44" s="125"/>
      <c r="M44" s="125"/>
      <c r="N44" s="125"/>
      <c r="O44" s="125"/>
      <c r="P44" s="23"/>
      <c r="Q44" s="90"/>
      <c r="R44" s="90"/>
      <c r="S44" s="89"/>
    </row>
    <row r="45" spans="1:19">
      <c r="A45" s="60">
        <f>MAX(A$12:A44)+1</f>
        <v>20</v>
      </c>
      <c r="C45" s="4" t="s">
        <v>31</v>
      </c>
      <c r="D45" s="4"/>
      <c r="E45" s="112">
        <f>'Attachment 2'!P100</f>
        <v>40000</v>
      </c>
      <c r="F45" s="60"/>
      <c r="G45" s="110"/>
      <c r="H45" s="79"/>
      <c r="I45" s="110"/>
      <c r="J45" s="60"/>
      <c r="K45" s="124"/>
      <c r="L45" s="124"/>
      <c r="M45" s="124"/>
      <c r="N45" s="124"/>
      <c r="O45" s="124"/>
      <c r="P45" s="60"/>
      <c r="Q45" s="89"/>
      <c r="R45" s="89"/>
      <c r="S45" s="89"/>
    </row>
    <row r="46" spans="1:19">
      <c r="C46" s="117"/>
      <c r="D46" s="117"/>
      <c r="E46" s="60"/>
      <c r="F46" s="60"/>
      <c r="G46" s="83"/>
      <c r="H46" s="83"/>
      <c r="I46" s="83"/>
      <c r="J46" s="20"/>
      <c r="K46" s="124"/>
      <c r="L46" s="124"/>
      <c r="M46" s="124"/>
      <c r="N46" s="124"/>
      <c r="O46" s="124"/>
      <c r="P46" s="60"/>
      <c r="Q46" s="89"/>
      <c r="R46" s="89"/>
      <c r="S46" s="89"/>
    </row>
    <row r="47" spans="1:19">
      <c r="C47" s="8" t="s">
        <v>32</v>
      </c>
      <c r="D47" s="5"/>
      <c r="E47" s="20"/>
      <c r="F47" s="60"/>
      <c r="G47" s="20"/>
      <c r="H47" s="20"/>
      <c r="I47" s="20"/>
      <c r="J47" s="20"/>
      <c r="K47" s="125"/>
      <c r="L47" s="125"/>
      <c r="M47" s="125"/>
      <c r="N47" s="125"/>
      <c r="O47" s="125"/>
      <c r="P47" s="20"/>
      <c r="Q47" s="90"/>
      <c r="R47" s="90"/>
      <c r="S47" s="89"/>
    </row>
    <row r="48" spans="1:19">
      <c r="A48" s="60">
        <f>MAX(A$12:A47)+1</f>
        <v>21</v>
      </c>
      <c r="C48" s="4" t="s">
        <v>84</v>
      </c>
      <c r="D48" s="6"/>
      <c r="E48" s="91" t="s">
        <v>34</v>
      </c>
      <c r="F48" s="60"/>
      <c r="G48" s="92">
        <f>G16</f>
        <v>22.98</v>
      </c>
      <c r="H48" s="92"/>
      <c r="I48" s="92">
        <f>I16</f>
        <v>23</v>
      </c>
      <c r="J48" s="92"/>
      <c r="K48" s="125">
        <f>G48*12</f>
        <v>275.76</v>
      </c>
      <c r="L48" s="125"/>
      <c r="M48" s="125">
        <f>I48*12</f>
        <v>276</v>
      </c>
      <c r="N48" s="125"/>
      <c r="O48" s="125">
        <f>M48-K48</f>
        <v>0.24000000000000909</v>
      </c>
      <c r="P48" s="126"/>
      <c r="Q48" s="106"/>
      <c r="R48" s="90"/>
      <c r="S48" s="89"/>
    </row>
    <row r="49" spans="1:19">
      <c r="C49" s="4" t="s">
        <v>85</v>
      </c>
      <c r="D49" s="6"/>
      <c r="E49" s="91"/>
      <c r="F49" s="60"/>
      <c r="G49" s="92"/>
      <c r="H49" s="92"/>
      <c r="I49" s="92"/>
      <c r="J49" s="92"/>
      <c r="K49" s="125"/>
      <c r="L49" s="125"/>
      <c r="M49" s="125"/>
      <c r="N49" s="125"/>
      <c r="O49" s="125"/>
      <c r="P49" s="126"/>
      <c r="Q49" s="90"/>
      <c r="R49" s="90"/>
      <c r="S49" s="89"/>
    </row>
    <row r="50" spans="1:19">
      <c r="A50" s="60">
        <f>MAX(A$12:A49)+1</f>
        <v>22</v>
      </c>
      <c r="C50" s="11" t="s">
        <v>72</v>
      </c>
      <c r="D50" s="11"/>
      <c r="E50" s="112">
        <f>'Attachment 2'!P105</f>
        <v>1200</v>
      </c>
      <c r="F50" s="60"/>
      <c r="G50" s="110">
        <f>G18</f>
        <v>11.1409</v>
      </c>
      <c r="H50" s="79"/>
      <c r="I50" s="110">
        <f>I18</f>
        <v>7.3968214140421704</v>
      </c>
      <c r="J50" s="20"/>
      <c r="K50" s="125">
        <f>E50*G50/100</f>
        <v>133.6908</v>
      </c>
      <c r="L50" s="125"/>
      <c r="M50" s="125">
        <f>E50*I50/100</f>
        <v>88.761856968506052</v>
      </c>
      <c r="N50" s="125"/>
      <c r="O50" s="125">
        <f>M50-K50</f>
        <v>-44.928943031493944</v>
      </c>
      <c r="P50" s="126"/>
      <c r="Q50" s="90"/>
      <c r="R50" s="127"/>
      <c r="S50" s="89"/>
    </row>
    <row r="51" spans="1:19">
      <c r="A51" s="60">
        <f>MAX(A$12:A50)+1</f>
        <v>23</v>
      </c>
      <c r="C51" s="11" t="s">
        <v>73</v>
      </c>
      <c r="D51" s="11"/>
      <c r="E51" s="112">
        <f>'Attachment 2'!P106</f>
        <v>2400</v>
      </c>
      <c r="F51" s="60"/>
      <c r="G51" s="110">
        <f>G19</f>
        <v>10.862900000000002</v>
      </c>
      <c r="H51" s="79"/>
      <c r="I51" s="110">
        <f>I19</f>
        <v>7.193113030409811</v>
      </c>
      <c r="J51" s="20"/>
      <c r="K51" s="125">
        <f t="shared" ref="K51:K54" si="2">E51*G51/100</f>
        <v>260.70960000000002</v>
      </c>
      <c r="L51" s="125"/>
      <c r="M51" s="125">
        <f t="shared" ref="M51:M54" si="3">E51*I51/100</f>
        <v>172.63471272983546</v>
      </c>
      <c r="N51" s="125"/>
      <c r="O51" s="125">
        <f>M51-K51</f>
        <v>-88.074887270164567</v>
      </c>
      <c r="P51" s="126"/>
      <c r="Q51" s="90"/>
      <c r="R51" s="127"/>
      <c r="S51" s="89"/>
    </row>
    <row r="52" spans="1:19">
      <c r="A52" s="60">
        <f>MAX(A$12:A51)+1</f>
        <v>24</v>
      </c>
      <c r="C52" s="11" t="s">
        <v>74</v>
      </c>
      <c r="D52" s="11"/>
      <c r="E52" s="112">
        <f>'Attachment 2'!P107</f>
        <v>2400</v>
      </c>
      <c r="F52" s="60"/>
      <c r="G52" s="110">
        <f>G20</f>
        <v>10.4222</v>
      </c>
      <c r="H52" s="79"/>
      <c r="I52" s="110">
        <f>I20</f>
        <v>6.8701839488746241</v>
      </c>
      <c r="J52" s="20"/>
      <c r="K52" s="125">
        <f t="shared" si="2"/>
        <v>250.13279999999997</v>
      </c>
      <c r="L52" s="125"/>
      <c r="M52" s="125">
        <f t="shared" si="3"/>
        <v>164.88441477299097</v>
      </c>
      <c r="N52" s="125"/>
      <c r="O52" s="125">
        <f t="shared" ref="O52:O54" si="4">M52-K52</f>
        <v>-85.24838522700901</v>
      </c>
      <c r="P52" s="126"/>
      <c r="Q52" s="90"/>
      <c r="R52" s="127"/>
      <c r="S52" s="89"/>
    </row>
    <row r="53" spans="1:19">
      <c r="A53" s="60">
        <f>MAX(A$12:A52)+1</f>
        <v>25</v>
      </c>
      <c r="C53" s="11" t="s">
        <v>75</v>
      </c>
      <c r="D53" s="11"/>
      <c r="E53" s="112">
        <f>'Attachment 2'!P108</f>
        <v>6000</v>
      </c>
      <c r="F53" s="60"/>
      <c r="G53" s="110">
        <f>G21</f>
        <v>10.017900000000001</v>
      </c>
      <c r="H53" s="79"/>
      <c r="I53" s="110">
        <f>I21</f>
        <v>6.5739274758438215</v>
      </c>
      <c r="J53" s="20"/>
      <c r="K53" s="125">
        <f t="shared" si="2"/>
        <v>601.07400000000007</v>
      </c>
      <c r="L53" s="125"/>
      <c r="M53" s="125">
        <f t="shared" si="3"/>
        <v>394.43564855062925</v>
      </c>
      <c r="N53" s="125"/>
      <c r="O53" s="125">
        <f t="shared" si="4"/>
        <v>-206.63835144937082</v>
      </c>
      <c r="P53" s="126"/>
      <c r="Q53" s="90"/>
      <c r="R53" s="127"/>
      <c r="S53" s="89"/>
    </row>
    <row r="54" spans="1:19">
      <c r="A54" s="60">
        <f>MAX(A$12:A53)+1</f>
        <v>26</v>
      </c>
      <c r="C54" s="11" t="s">
        <v>76</v>
      </c>
      <c r="D54" s="11"/>
      <c r="E54" s="113">
        <f>'Attachment 2'!P109</f>
        <v>27999.960000000006</v>
      </c>
      <c r="F54" s="60"/>
      <c r="G54" s="110">
        <f>G22</f>
        <v>9.6836000000000002</v>
      </c>
      <c r="H54" s="79"/>
      <c r="I54" s="110">
        <f>I22</f>
        <v>6.3289644807060581</v>
      </c>
      <c r="J54" s="20"/>
      <c r="K54" s="125">
        <f t="shared" si="2"/>
        <v>2711.4041265600008</v>
      </c>
      <c r="L54" s="125"/>
      <c r="M54" s="125">
        <f t="shared" si="3"/>
        <v>1772.1075230119043</v>
      </c>
      <c r="N54" s="125"/>
      <c r="O54" s="125">
        <f t="shared" si="4"/>
        <v>-939.29660354809653</v>
      </c>
      <c r="P54" s="126"/>
      <c r="Q54" s="90"/>
      <c r="R54" s="90"/>
      <c r="S54" s="89"/>
    </row>
    <row r="55" spans="1:19">
      <c r="A55" s="60">
        <f>MAX(A$12:A54)+1</f>
        <v>27</v>
      </c>
      <c r="C55" s="4" t="s">
        <v>40</v>
      </c>
      <c r="D55" s="6"/>
      <c r="E55" s="112">
        <f>SUM(E50:E54)</f>
        <v>39999.960000000006</v>
      </c>
      <c r="F55" s="60"/>
      <c r="G55" s="110"/>
      <c r="H55" s="79"/>
      <c r="I55" s="110"/>
      <c r="J55" s="20"/>
      <c r="K55" s="128">
        <f>SUM(K50:K54)</f>
        <v>3957.0113265600007</v>
      </c>
      <c r="L55" s="125"/>
      <c r="M55" s="128">
        <f>SUM(M50:M54)</f>
        <v>2592.8241560338661</v>
      </c>
      <c r="N55" s="125"/>
      <c r="O55" s="128">
        <f>SUM(O50:O54)</f>
        <v>-1364.1871705261349</v>
      </c>
      <c r="P55" s="126"/>
      <c r="Q55" s="87"/>
      <c r="R55" s="90"/>
      <c r="S55" s="89"/>
    </row>
    <row r="56" spans="1:19">
      <c r="A56" s="60">
        <f>MAX(A$12:A55)+1</f>
        <v>28</v>
      </c>
      <c r="C56" s="4" t="s">
        <v>41</v>
      </c>
      <c r="D56" s="4"/>
      <c r="E56" s="112">
        <f>$E$45</f>
        <v>40000</v>
      </c>
      <c r="F56" s="60"/>
      <c r="G56" s="110">
        <f>G24</f>
        <v>1.41E-2</v>
      </c>
      <c r="H56" s="79"/>
      <c r="I56" s="110">
        <f>I24</f>
        <v>1.41E-2</v>
      </c>
      <c r="J56" s="129"/>
      <c r="K56" s="125">
        <f>G56*E56/100</f>
        <v>5.64</v>
      </c>
      <c r="L56" s="125"/>
      <c r="M56" s="125">
        <f>I56*E56/100</f>
        <v>5.64</v>
      </c>
      <c r="N56" s="125"/>
      <c r="O56" s="125">
        <f>M56-K56</f>
        <v>0</v>
      </c>
      <c r="P56" s="126"/>
      <c r="Q56" s="90"/>
      <c r="R56" s="90"/>
      <c r="S56" s="89"/>
    </row>
    <row r="57" spans="1:19">
      <c r="A57" s="60">
        <f>MAX(A$12:A56)+1</f>
        <v>29</v>
      </c>
      <c r="C57" s="4" t="s">
        <v>42</v>
      </c>
      <c r="D57" s="9"/>
      <c r="E57" s="112"/>
      <c r="F57" s="60"/>
      <c r="G57" s="110"/>
      <c r="H57" s="79"/>
      <c r="I57" s="110"/>
      <c r="J57" s="20"/>
      <c r="K57" s="130">
        <f>K55+K48+K56</f>
        <v>4238.4113265600008</v>
      </c>
      <c r="L57" s="125"/>
      <c r="M57" s="130">
        <f>M55+M48+M56</f>
        <v>2874.4641560338659</v>
      </c>
      <c r="N57" s="125"/>
      <c r="O57" s="130">
        <f>O55+O48+O56</f>
        <v>-1363.9471705261349</v>
      </c>
      <c r="P57" s="126"/>
      <c r="Q57" s="96">
        <f>O57/K57</f>
        <v>-0.32180623007940762</v>
      </c>
      <c r="R57" s="90"/>
      <c r="S57" s="131">
        <f>Q57</f>
        <v>-0.32180623007940762</v>
      </c>
    </row>
    <row r="58" spans="1:19">
      <c r="C58" s="4"/>
      <c r="D58" s="9"/>
      <c r="E58" s="112"/>
      <c r="F58" s="60"/>
      <c r="G58" s="110"/>
      <c r="H58" s="79"/>
      <c r="I58" s="110"/>
      <c r="J58" s="20"/>
      <c r="K58" s="124"/>
      <c r="L58" s="124"/>
      <c r="M58" s="124"/>
      <c r="N58" s="124"/>
      <c r="O58" s="124"/>
      <c r="P58" s="97"/>
      <c r="Q58" s="89"/>
      <c r="R58" s="89"/>
      <c r="S58" s="89"/>
    </row>
    <row r="59" spans="1:19">
      <c r="A59" s="60">
        <f>MAX(A$12:A58)+1</f>
        <v>30</v>
      </c>
      <c r="C59" s="4" t="s">
        <v>43</v>
      </c>
      <c r="D59" s="4"/>
      <c r="E59" s="112">
        <f>$E$45</f>
        <v>40000</v>
      </c>
      <c r="F59" s="60"/>
      <c r="G59" s="110">
        <f>G27</f>
        <v>9.7899999999999991</v>
      </c>
      <c r="H59" s="79"/>
      <c r="I59" s="110">
        <f>I27</f>
        <v>9.7899999999999991</v>
      </c>
      <c r="J59" s="129"/>
      <c r="K59" s="125">
        <f>$G$91*E59/100</f>
        <v>3915.9999999999995</v>
      </c>
      <c r="L59" s="125"/>
      <c r="M59" s="125">
        <f>$I$91*E59/100</f>
        <v>3915.9999999999995</v>
      </c>
      <c r="N59" s="125"/>
      <c r="O59" s="125">
        <f>M59-K59</f>
        <v>0</v>
      </c>
      <c r="P59" s="126"/>
      <c r="Q59" s="87">
        <f>O59/K59</f>
        <v>0</v>
      </c>
      <c r="R59" s="90"/>
      <c r="S59" s="89">
        <f>Q59</f>
        <v>0</v>
      </c>
    </row>
    <row r="60" spans="1:19">
      <c r="C60" s="8"/>
      <c r="D60" s="8"/>
      <c r="E60" s="112"/>
      <c r="F60" s="60"/>
      <c r="G60" s="110"/>
      <c r="H60" s="79"/>
      <c r="I60" s="110"/>
      <c r="J60" s="132"/>
      <c r="K60" s="125"/>
      <c r="L60" s="125"/>
      <c r="M60" s="125"/>
      <c r="N60" s="125"/>
      <c r="O60" s="125"/>
      <c r="P60" s="126"/>
      <c r="Q60" s="90"/>
      <c r="R60" s="90"/>
      <c r="S60" s="89"/>
    </row>
    <row r="61" spans="1:19">
      <c r="C61" s="8" t="s">
        <v>44</v>
      </c>
      <c r="D61" s="8"/>
      <c r="E61" s="112"/>
      <c r="F61" s="60"/>
      <c r="G61" s="110"/>
      <c r="H61" s="79"/>
      <c r="I61" s="110"/>
      <c r="J61" s="132"/>
      <c r="K61" s="125"/>
      <c r="L61" s="125"/>
      <c r="M61" s="125"/>
      <c r="N61" s="125"/>
      <c r="O61" s="125"/>
      <c r="P61" s="126"/>
      <c r="Q61" s="90"/>
      <c r="R61" s="90"/>
      <c r="S61" s="89"/>
    </row>
    <row r="62" spans="1:19">
      <c r="A62" s="60">
        <f>MAX(A$12:A61)+1</f>
        <v>31</v>
      </c>
      <c r="C62" s="4" t="s">
        <v>44</v>
      </c>
      <c r="D62" s="6"/>
      <c r="E62" s="112">
        <f>$E$45</f>
        <v>40000</v>
      </c>
      <c r="F62" s="60"/>
      <c r="G62" s="110">
        <f>G30</f>
        <v>4.4904000000000011</v>
      </c>
      <c r="H62" s="79"/>
      <c r="I62" s="110">
        <f>I30</f>
        <v>3.3211529697198543</v>
      </c>
      <c r="J62" s="20"/>
      <c r="K62" s="125">
        <f>E62*$G62/100</f>
        <v>1796.1600000000003</v>
      </c>
      <c r="L62" s="125"/>
      <c r="M62" s="125">
        <f>E62*$I62/100</f>
        <v>1328.4611878879418</v>
      </c>
      <c r="N62" s="125"/>
      <c r="O62" s="125">
        <f>M62-K62</f>
        <v>-467.69881211205848</v>
      </c>
      <c r="P62" s="126"/>
      <c r="Q62" s="90"/>
      <c r="R62" s="89"/>
      <c r="S62" s="89"/>
    </row>
    <row r="63" spans="1:19">
      <c r="A63" s="60">
        <f>MAX(A$12:A62)+1</f>
        <v>32</v>
      </c>
      <c r="C63" s="4" t="s">
        <v>77</v>
      </c>
      <c r="D63" s="9"/>
      <c r="E63" s="112">
        <f>$E$45</f>
        <v>40000</v>
      </c>
      <c r="F63" s="60"/>
      <c r="G63" s="110">
        <f>G31</f>
        <v>2.2812000000000001</v>
      </c>
      <c r="H63" s="79"/>
      <c r="I63" s="110">
        <f>I31</f>
        <v>2.232120538530832</v>
      </c>
      <c r="J63" s="20"/>
      <c r="K63" s="125">
        <f>E63*$G63/100</f>
        <v>912.48</v>
      </c>
      <c r="L63" s="125"/>
      <c r="M63" s="125">
        <f>E63*$I63/100</f>
        <v>892.84821541233282</v>
      </c>
      <c r="N63" s="125"/>
      <c r="O63" s="125">
        <f>M63-K63</f>
        <v>-19.631784587667198</v>
      </c>
      <c r="P63" s="126"/>
      <c r="Q63" s="90"/>
      <c r="R63" s="89"/>
      <c r="S63" s="89"/>
    </row>
    <row r="64" spans="1:19">
      <c r="A64" s="60">
        <f>MAX(A$12:A63)+1</f>
        <v>33</v>
      </c>
      <c r="C64" s="4" t="s">
        <v>78</v>
      </c>
      <c r="D64" s="9"/>
      <c r="E64" s="112"/>
      <c r="F64" s="60"/>
      <c r="G64" s="110"/>
      <c r="H64" s="79"/>
      <c r="I64" s="110"/>
      <c r="J64" s="20"/>
      <c r="K64" s="130">
        <f>SUM(K62:K63)</f>
        <v>2708.6400000000003</v>
      </c>
      <c r="L64" s="125"/>
      <c r="M64" s="130">
        <f>SUM(M62:M63)</f>
        <v>2221.3094033002744</v>
      </c>
      <c r="N64" s="125"/>
      <c r="O64" s="130">
        <f>SUM(O62:O63)</f>
        <v>-487.33059669972567</v>
      </c>
      <c r="P64" s="126"/>
      <c r="Q64" s="96">
        <f>O64/K64</f>
        <v>-0.17991707893988335</v>
      </c>
      <c r="R64" s="89"/>
      <c r="S64" s="131">
        <f>Q64</f>
        <v>-0.17991707893988335</v>
      </c>
    </row>
    <row r="65" spans="1:21">
      <c r="C65" s="4"/>
      <c r="D65" s="9"/>
      <c r="E65" s="112"/>
      <c r="F65" s="60"/>
      <c r="G65" s="110"/>
      <c r="H65" s="79"/>
      <c r="I65" s="110"/>
      <c r="J65" s="20"/>
      <c r="K65" s="125"/>
      <c r="L65" s="124"/>
      <c r="M65" s="125"/>
      <c r="N65" s="124"/>
      <c r="O65" s="125"/>
      <c r="P65" s="91"/>
      <c r="Q65" s="90"/>
      <c r="R65" s="89"/>
      <c r="S65" s="89"/>
    </row>
    <row r="66" spans="1:21">
      <c r="A66" s="60">
        <f>MAX(A$12:A65)+1</f>
        <v>34</v>
      </c>
      <c r="C66" s="4" t="s">
        <v>86</v>
      </c>
      <c r="D66" s="9"/>
      <c r="E66" s="112">
        <f>$E$45</f>
        <v>40000</v>
      </c>
      <c r="F66" s="60"/>
      <c r="G66" s="110">
        <f>G34</f>
        <v>18.274100000000001</v>
      </c>
      <c r="H66" s="79"/>
      <c r="I66" s="110">
        <f>I34</f>
        <v>20.903604607530845</v>
      </c>
      <c r="J66" s="20"/>
      <c r="K66" s="125">
        <f>E66*$G66/100</f>
        <v>7309.64</v>
      </c>
      <c r="L66" s="125"/>
      <c r="M66" s="125">
        <f>E66*$I66/100</f>
        <v>8361.4418430123387</v>
      </c>
      <c r="N66" s="125"/>
      <c r="O66" s="125">
        <f>M66-K66</f>
        <v>1051.8018430123384</v>
      </c>
      <c r="P66" s="126"/>
      <c r="Q66" s="87">
        <f>O66/K66</f>
        <v>0.14389242739893324</v>
      </c>
      <c r="R66" s="90"/>
      <c r="S66" s="89">
        <f>Q66</f>
        <v>0.14389242739893324</v>
      </c>
    </row>
    <row r="67" spans="1:21">
      <c r="C67" s="4"/>
      <c r="D67" s="8"/>
      <c r="E67" s="112"/>
      <c r="F67" s="60"/>
      <c r="G67" s="110"/>
      <c r="H67" s="79"/>
      <c r="I67" s="110"/>
      <c r="J67" s="20"/>
      <c r="K67" s="125"/>
      <c r="L67" s="124"/>
      <c r="M67" s="125"/>
      <c r="N67" s="125"/>
      <c r="O67" s="125"/>
      <c r="P67" s="91"/>
      <c r="Q67" s="90"/>
      <c r="R67" s="90"/>
      <c r="S67" s="89"/>
    </row>
    <row r="68" spans="1:21" ht="13.5" thickBot="1">
      <c r="A68" s="60">
        <f>MAX(A$12:A67)+1</f>
        <v>35</v>
      </c>
      <c r="C68" s="4" t="s">
        <v>46</v>
      </c>
      <c r="D68" s="8"/>
      <c r="E68" s="112"/>
      <c r="F68" s="60"/>
      <c r="G68" s="110"/>
      <c r="H68" s="79"/>
      <c r="I68" s="110"/>
      <c r="J68" s="20"/>
      <c r="K68" s="133">
        <f>K57+K59+K64+K66</f>
        <v>18172.691326560001</v>
      </c>
      <c r="L68" s="125"/>
      <c r="M68" s="133">
        <f>M57+M59+M64+M66</f>
        <v>17373.215402346479</v>
      </c>
      <c r="N68" s="125"/>
      <c r="O68" s="133">
        <f>M68-K68</f>
        <v>-799.47592421352238</v>
      </c>
      <c r="P68" s="126"/>
      <c r="Q68" s="102">
        <f>O68/K68</f>
        <v>-4.3993259437861101E-2</v>
      </c>
      <c r="R68" s="90"/>
      <c r="S68" s="134">
        <f>(O57+O64+O66)/(K57+K64+K66)</f>
        <v>-5.6077241619456999E-2</v>
      </c>
    </row>
    <row r="69" spans="1:21" ht="13.5" thickTop="1">
      <c r="C69" s="4"/>
      <c r="D69" s="8"/>
      <c r="E69" s="112"/>
      <c r="F69" s="60"/>
      <c r="G69" s="110"/>
      <c r="H69" s="79"/>
      <c r="I69" s="110"/>
      <c r="J69" s="20"/>
      <c r="K69" s="125"/>
      <c r="L69" s="124"/>
      <c r="M69" s="125"/>
      <c r="N69" s="125"/>
      <c r="O69" s="125"/>
      <c r="P69" s="91"/>
      <c r="Q69" s="90"/>
      <c r="R69" s="90"/>
      <c r="S69" s="89"/>
    </row>
    <row r="70" spans="1:21">
      <c r="A70" s="60">
        <f>MAX(A$13:A69)+1</f>
        <v>36</v>
      </c>
      <c r="C70" s="4" t="s">
        <v>80</v>
      </c>
      <c r="E70" s="112">
        <f>$E$45</f>
        <v>40000</v>
      </c>
      <c r="F70" s="60"/>
      <c r="G70" s="110">
        <f>G38</f>
        <v>4.4904000000000011</v>
      </c>
      <c r="H70" s="79"/>
      <c r="I70" s="110">
        <f>I38</f>
        <v>5.1831198752128635</v>
      </c>
      <c r="J70" s="60"/>
      <c r="K70" s="75">
        <f>$E70*G70/100</f>
        <v>1796.1600000000003</v>
      </c>
      <c r="L70" s="75"/>
      <c r="M70" s="75">
        <f>$E70*I70/100</f>
        <v>2073.2479500851455</v>
      </c>
      <c r="N70" s="75"/>
      <c r="O70" s="84">
        <f t="shared" ref="O70" si="5">M70-K70</f>
        <v>277.08795008514517</v>
      </c>
      <c r="P70" s="60"/>
      <c r="Q70" s="103"/>
      <c r="R70" s="89"/>
      <c r="S70" s="103"/>
    </row>
    <row r="71" spans="1:21">
      <c r="E71" s="82"/>
      <c r="F71" s="60"/>
      <c r="G71" s="79"/>
      <c r="H71" s="79"/>
      <c r="I71" s="79"/>
      <c r="J71" s="20"/>
      <c r="K71" s="135"/>
      <c r="L71" s="136"/>
      <c r="M71" s="135"/>
      <c r="N71" s="125"/>
      <c r="O71" s="125"/>
      <c r="P71" s="91"/>
      <c r="Q71" s="90"/>
      <c r="R71" s="90"/>
      <c r="S71" s="89"/>
    </row>
    <row r="72" spans="1:21">
      <c r="A72" s="60">
        <f>MAX(A$12:A71)+1</f>
        <v>37</v>
      </c>
      <c r="C72" s="4" t="s">
        <v>81</v>
      </c>
      <c r="D72" s="9"/>
      <c r="E72" s="88"/>
      <c r="F72" s="60"/>
      <c r="G72" s="79"/>
      <c r="H72" s="79"/>
      <c r="I72" s="79"/>
      <c r="J72" s="20"/>
      <c r="K72" s="94">
        <f>K57+K59+K70+K63+M66</f>
        <v>19224.493169572339</v>
      </c>
      <c r="L72" s="84"/>
      <c r="M72" s="94">
        <f>M57+M59+M70+M63+M66</f>
        <v>18118.002164543683</v>
      </c>
      <c r="N72" s="84"/>
      <c r="O72" s="94">
        <f>M72-K72</f>
        <v>-1106.4910050286562</v>
      </c>
      <c r="P72" s="91"/>
      <c r="Q72" s="96">
        <f>O72/K72</f>
        <v>-5.7556316063508001E-2</v>
      </c>
      <c r="R72" s="90"/>
      <c r="S72" s="96">
        <f>(O72-O59)/(K72-K59)</f>
        <v>-7.2279550493444644E-2</v>
      </c>
    </row>
    <row r="73" spans="1:21">
      <c r="A73" s="60">
        <f>MAX(A$12:A72)+1</f>
        <v>38</v>
      </c>
      <c r="C73" s="11" t="s">
        <v>82</v>
      </c>
      <c r="E73" s="88"/>
      <c r="F73" s="60"/>
      <c r="G73" s="79"/>
      <c r="H73" s="79"/>
      <c r="I73" s="79"/>
      <c r="J73" s="20"/>
      <c r="K73" s="84"/>
      <c r="L73" s="104"/>
      <c r="M73" s="84"/>
      <c r="N73" s="84"/>
      <c r="O73" s="84"/>
      <c r="P73" s="91"/>
      <c r="Q73" s="87">
        <f>(O57+O59+O70+O63)/(K57+K59+K70+K63)</f>
        <v>-0.1018582138448801</v>
      </c>
      <c r="R73" s="90"/>
      <c r="S73" s="87">
        <f>(O57+O70+O63)/(K57+K70+K63)</f>
        <v>-0.15927491435082899</v>
      </c>
    </row>
    <row r="74" spans="1:21">
      <c r="A74" s="60"/>
      <c r="C74" s="11"/>
      <c r="E74" s="88"/>
      <c r="F74" s="60"/>
      <c r="G74" s="79"/>
      <c r="H74" s="79"/>
      <c r="I74" s="79"/>
      <c r="J74" s="20"/>
      <c r="K74" s="84"/>
      <c r="L74" s="104"/>
      <c r="M74" s="84"/>
      <c r="N74" s="84"/>
      <c r="O74" s="84"/>
      <c r="P74" s="91"/>
      <c r="Q74" s="87"/>
      <c r="R74" s="90"/>
      <c r="S74" s="87"/>
    </row>
    <row r="75" spans="1:21">
      <c r="E75" s="88"/>
      <c r="F75" s="60"/>
      <c r="G75" s="79"/>
      <c r="H75" s="79"/>
      <c r="I75" s="79"/>
      <c r="J75" s="20"/>
      <c r="K75" s="124"/>
      <c r="L75" s="124"/>
      <c r="M75" s="124"/>
      <c r="N75" s="125"/>
      <c r="O75" s="125"/>
      <c r="P75" s="20"/>
      <c r="Q75" s="90"/>
      <c r="R75" s="90"/>
      <c r="S75" s="89"/>
    </row>
    <row r="76" spans="1:21">
      <c r="C76" s="69" t="s">
        <v>87</v>
      </c>
      <c r="D76" s="69"/>
      <c r="E76" s="82"/>
      <c r="F76" s="60"/>
      <c r="G76" s="79"/>
      <c r="H76" s="86"/>
      <c r="I76" s="86"/>
      <c r="J76" s="20"/>
      <c r="K76" s="125"/>
      <c r="L76" s="125"/>
      <c r="M76" s="125"/>
      <c r="N76" s="125"/>
      <c r="O76" s="125"/>
      <c r="P76" s="23"/>
      <c r="Q76" s="90"/>
      <c r="R76" s="90"/>
      <c r="S76" s="89"/>
      <c r="U76" t="s">
        <v>88</v>
      </c>
    </row>
    <row r="77" spans="1:21">
      <c r="A77" s="60">
        <f>MAX(A$12:A76)+1</f>
        <v>39</v>
      </c>
      <c r="C77" s="4" t="s">
        <v>31</v>
      </c>
      <c r="D77" s="4"/>
      <c r="E77" s="112">
        <v>60000</v>
      </c>
      <c r="F77" s="60"/>
      <c r="G77" s="110"/>
      <c r="H77" s="79"/>
      <c r="I77" s="110"/>
      <c r="J77" s="20"/>
      <c r="K77" s="124"/>
      <c r="L77" s="124"/>
      <c r="M77" s="124"/>
      <c r="N77" s="124"/>
      <c r="O77" s="124"/>
      <c r="P77" s="60"/>
      <c r="Q77" s="89"/>
      <c r="R77" s="89"/>
      <c r="S77" s="89"/>
    </row>
    <row r="78" spans="1:21">
      <c r="C78" s="117"/>
      <c r="D78" s="117"/>
      <c r="E78" s="88"/>
      <c r="F78" s="60"/>
      <c r="G78" s="86"/>
      <c r="H78" s="86"/>
      <c r="I78" s="86"/>
      <c r="J78" s="20"/>
      <c r="K78" s="124"/>
      <c r="L78" s="124"/>
      <c r="M78" s="124"/>
      <c r="N78" s="124"/>
      <c r="O78" s="124"/>
      <c r="P78" s="60"/>
      <c r="Q78" s="89"/>
      <c r="R78" s="89"/>
      <c r="S78" s="89"/>
    </row>
    <row r="79" spans="1:21">
      <c r="C79" s="8" t="s">
        <v>32</v>
      </c>
      <c r="D79" s="5"/>
      <c r="E79" s="20"/>
      <c r="F79" s="60"/>
      <c r="G79" s="20"/>
      <c r="H79" s="20"/>
      <c r="I79" s="20"/>
      <c r="J79" s="20"/>
      <c r="K79" s="125"/>
      <c r="L79" s="125"/>
      <c r="M79" s="125"/>
      <c r="N79" s="125"/>
      <c r="O79" s="125"/>
      <c r="P79" s="20"/>
      <c r="Q79" s="90"/>
      <c r="R79" s="90"/>
      <c r="S79" s="89"/>
    </row>
    <row r="80" spans="1:21">
      <c r="A80" s="60">
        <f>MAX(A$12:A79)+1</f>
        <v>40</v>
      </c>
      <c r="C80" s="4" t="s">
        <v>84</v>
      </c>
      <c r="D80" s="6"/>
      <c r="E80" s="91" t="s">
        <v>34</v>
      </c>
      <c r="F80" s="60"/>
      <c r="G80" s="92">
        <v>76.58</v>
      </c>
      <c r="H80" s="92"/>
      <c r="I80" s="92">
        <v>80</v>
      </c>
      <c r="J80" s="92"/>
      <c r="K80" s="125">
        <f>G80*12</f>
        <v>918.96</v>
      </c>
      <c r="L80" s="125"/>
      <c r="M80" s="125">
        <f>I80*12</f>
        <v>960</v>
      </c>
      <c r="N80" s="125"/>
      <c r="O80" s="125">
        <f>M80-K80</f>
        <v>41.039999999999964</v>
      </c>
      <c r="P80" s="126"/>
      <c r="Q80" s="106"/>
      <c r="R80" s="90"/>
      <c r="S80" s="89"/>
    </row>
    <row r="81" spans="1:19">
      <c r="C81" s="4" t="s">
        <v>85</v>
      </c>
      <c r="D81" s="6"/>
      <c r="E81" s="91"/>
      <c r="F81" s="60"/>
      <c r="G81" s="92"/>
      <c r="H81" s="92"/>
      <c r="I81" s="92"/>
      <c r="J81" s="92"/>
      <c r="K81" s="125"/>
      <c r="L81" s="125"/>
      <c r="M81" s="125"/>
      <c r="N81" s="125"/>
      <c r="O81" s="125"/>
      <c r="P81" s="126"/>
      <c r="Q81" s="90"/>
      <c r="R81" s="90"/>
      <c r="S81" s="89"/>
    </row>
    <row r="82" spans="1:19">
      <c r="A82" s="60">
        <f>MAX(A$12:A81)+1</f>
        <v>41</v>
      </c>
      <c r="C82" s="11" t="s">
        <v>89</v>
      </c>
      <c r="D82" s="11"/>
      <c r="E82" s="112">
        <f>'Attachment 2'!P119</f>
        <v>12000</v>
      </c>
      <c r="F82" s="60"/>
      <c r="G82" s="110">
        <v>10.1913</v>
      </c>
      <c r="H82" s="79"/>
      <c r="I82" s="110">
        <v>6.7010673944326804</v>
      </c>
      <c r="J82" s="20"/>
      <c r="K82" s="125">
        <f>$E82*G82/100</f>
        <v>1222.9560000000001</v>
      </c>
      <c r="L82" s="125"/>
      <c r="M82" s="125">
        <f>$E82*I82/100</f>
        <v>804.12808733192173</v>
      </c>
      <c r="N82" s="125"/>
      <c r="O82" s="125">
        <f>M82-K82</f>
        <v>-418.8279126680784</v>
      </c>
      <c r="P82" s="126"/>
      <c r="Q82" s="90"/>
      <c r="R82" s="127"/>
      <c r="S82" s="89"/>
    </row>
    <row r="83" spans="1:19">
      <c r="A83" s="60">
        <f>MAX(A$12:A82)+1</f>
        <v>42</v>
      </c>
      <c r="C83" s="11" t="s">
        <v>90</v>
      </c>
      <c r="D83" s="11"/>
      <c r="E83" s="112">
        <f>'Attachment 2'!P120</f>
        <v>48000</v>
      </c>
      <c r="F83" s="60"/>
      <c r="G83" s="110">
        <v>8.3182000000000009</v>
      </c>
      <c r="H83" s="79"/>
      <c r="I83" s="110">
        <v>5.3579628354469531</v>
      </c>
      <c r="J83" s="20"/>
      <c r="K83" s="125">
        <f>$E83*G83/100</f>
        <v>3992.7360000000003</v>
      </c>
      <c r="L83" s="125"/>
      <c r="M83" s="125">
        <f>$E83*I83/100</f>
        <v>2571.8221610145374</v>
      </c>
      <c r="N83" s="125"/>
      <c r="O83" s="125">
        <f t="shared" ref="O83:O86" si="6">M83-K83</f>
        <v>-1420.9138389854629</v>
      </c>
      <c r="P83" s="126"/>
      <c r="Q83" s="90"/>
      <c r="R83" s="127"/>
      <c r="S83" s="89"/>
    </row>
    <row r="84" spans="1:19">
      <c r="A84" s="60">
        <f>MAX(A$12:A83)+1</f>
        <v>43</v>
      </c>
      <c r="C84" s="11" t="s">
        <v>91</v>
      </c>
      <c r="D84" s="11"/>
      <c r="E84" s="112">
        <f>'Attachment 2'!P121</f>
        <v>0</v>
      </c>
      <c r="F84" s="60"/>
      <c r="G84" s="110">
        <v>7.2328000000000001</v>
      </c>
      <c r="H84" s="79"/>
      <c r="I84" s="110">
        <v>4.5796778061783021</v>
      </c>
      <c r="J84" s="20"/>
      <c r="K84" s="125">
        <f>$E84*G84/100</f>
        <v>0</v>
      </c>
      <c r="L84" s="125"/>
      <c r="M84" s="125">
        <f>$E84*I84/100</f>
        <v>0</v>
      </c>
      <c r="N84" s="125"/>
      <c r="O84" s="125">
        <f t="shared" si="6"/>
        <v>0</v>
      </c>
      <c r="P84" s="126"/>
      <c r="Q84" s="90"/>
      <c r="R84" s="127"/>
      <c r="S84" s="89"/>
    </row>
    <row r="85" spans="1:19">
      <c r="A85" s="60">
        <f>MAX(A$12:A84)+1</f>
        <v>44</v>
      </c>
      <c r="C85" s="11" t="s">
        <v>92</v>
      </c>
      <c r="D85" s="11"/>
      <c r="E85" s="112">
        <f>'Attachment 2'!P122</f>
        <v>0</v>
      </c>
      <c r="F85" s="60"/>
      <c r="G85" s="110">
        <v>6.5511999999999997</v>
      </c>
      <c r="H85" s="79"/>
      <c r="I85" s="110">
        <v>4.0909371797276739</v>
      </c>
      <c r="J85" s="20"/>
      <c r="K85" s="125">
        <f>$E85*G85/100</f>
        <v>0</v>
      </c>
      <c r="L85" s="125"/>
      <c r="M85" s="125">
        <f>$E85*I85/100</f>
        <v>0</v>
      </c>
      <c r="N85" s="125"/>
      <c r="O85" s="125">
        <f t="shared" si="6"/>
        <v>0</v>
      </c>
      <c r="P85" s="126"/>
      <c r="Q85" s="90"/>
      <c r="R85" s="127"/>
      <c r="S85" s="89"/>
    </row>
    <row r="86" spans="1:19">
      <c r="A86" s="60">
        <f>MAX(A$12:A85)+1</f>
        <v>45</v>
      </c>
      <c r="C86" s="11" t="s">
        <v>93</v>
      </c>
      <c r="D86" s="11"/>
      <c r="E86" s="113">
        <f>'Attachment 2'!P123</f>
        <v>0</v>
      </c>
      <c r="F86" s="60"/>
      <c r="G86" s="110">
        <v>3.9687000000000001</v>
      </c>
      <c r="H86" s="79"/>
      <c r="I86" s="110">
        <v>2.2391580309472348</v>
      </c>
      <c r="J86" s="20"/>
      <c r="K86" s="125">
        <f>$E86*G86/100</f>
        <v>0</v>
      </c>
      <c r="L86" s="125"/>
      <c r="M86" s="125">
        <f>$E86*I86/100</f>
        <v>0</v>
      </c>
      <c r="N86" s="125"/>
      <c r="O86" s="125">
        <f t="shared" si="6"/>
        <v>0</v>
      </c>
      <c r="P86" s="97"/>
      <c r="Q86" s="89"/>
      <c r="R86" s="90"/>
      <c r="S86" s="89"/>
    </row>
    <row r="87" spans="1:19">
      <c r="A87" s="60">
        <f>MAX(A$12:A86)+1</f>
        <v>46</v>
      </c>
      <c r="C87" s="4" t="s">
        <v>40</v>
      </c>
      <c r="D87" s="6"/>
      <c r="E87" s="112">
        <f>SUM(E82:E86)</f>
        <v>60000</v>
      </c>
      <c r="F87" s="60"/>
      <c r="G87" s="110"/>
      <c r="H87" s="79"/>
      <c r="I87" s="110"/>
      <c r="J87" s="20"/>
      <c r="K87" s="128">
        <f>SUM(K82:K86)</f>
        <v>5215.6920000000009</v>
      </c>
      <c r="L87" s="125"/>
      <c r="M87" s="128">
        <f>SUM(M82:M86)</f>
        <v>3375.9502483464594</v>
      </c>
      <c r="N87" s="125"/>
      <c r="O87" s="128">
        <f>SUM(O82:O86)</f>
        <v>-1839.7417516535413</v>
      </c>
      <c r="P87" s="126"/>
      <c r="Q87" s="87"/>
      <c r="R87" s="90"/>
      <c r="S87" s="89"/>
    </row>
    <row r="88" spans="1:19">
      <c r="A88" s="60">
        <f>MAX(A$12:A87)+1</f>
        <v>47</v>
      </c>
      <c r="C88" s="4" t="s">
        <v>41</v>
      </c>
      <c r="D88" s="4"/>
      <c r="E88" s="112">
        <f>$E$77</f>
        <v>60000</v>
      </c>
      <c r="F88" s="60"/>
      <c r="G88" s="110">
        <v>1.41E-2</v>
      </c>
      <c r="H88" s="79"/>
      <c r="I88" s="110">
        <v>1.41E-2</v>
      </c>
      <c r="J88" s="129"/>
      <c r="K88" s="125">
        <f>$G$88*E88/100</f>
        <v>8.4600000000000009</v>
      </c>
      <c r="L88" s="125"/>
      <c r="M88" s="125">
        <f>$I$88*E88/100</f>
        <v>8.4600000000000009</v>
      </c>
      <c r="N88" s="125"/>
      <c r="O88" s="125">
        <f>M88-K88</f>
        <v>0</v>
      </c>
      <c r="P88" s="126"/>
      <c r="Q88" s="90"/>
      <c r="R88" s="90"/>
      <c r="S88" s="89"/>
    </row>
    <row r="89" spans="1:19">
      <c r="A89" s="60">
        <f>MAX(A$12:A88)+1</f>
        <v>48</v>
      </c>
      <c r="C89" s="4" t="s">
        <v>42</v>
      </c>
      <c r="D89" s="9"/>
      <c r="E89" s="112"/>
      <c r="F89" s="60"/>
      <c r="G89" s="110"/>
      <c r="H89" s="79"/>
      <c r="I89" s="110"/>
      <c r="J89" s="20"/>
      <c r="K89" s="130">
        <f>K87+K80+K88</f>
        <v>6143.112000000001</v>
      </c>
      <c r="L89" s="125"/>
      <c r="M89" s="130">
        <f>M87+M80+M88</f>
        <v>4344.4102483464594</v>
      </c>
      <c r="N89" s="125"/>
      <c r="O89" s="130">
        <f>O87+O80+O88</f>
        <v>-1798.7017516535414</v>
      </c>
      <c r="P89" s="126"/>
      <c r="Q89" s="96">
        <f>O89/K89</f>
        <v>-0.29279976527426832</v>
      </c>
      <c r="R89" s="90"/>
      <c r="S89" s="131">
        <f>Q89</f>
        <v>-0.29279976527426832</v>
      </c>
    </row>
    <row r="90" spans="1:19">
      <c r="C90" s="9"/>
      <c r="D90" s="9"/>
      <c r="E90" s="112"/>
      <c r="F90" s="60"/>
      <c r="G90" s="110"/>
      <c r="H90" s="79"/>
      <c r="I90" s="110"/>
      <c r="J90" s="20"/>
      <c r="K90" s="124"/>
      <c r="L90" s="124"/>
      <c r="M90" s="124"/>
      <c r="N90" s="124"/>
      <c r="O90" s="124"/>
      <c r="P90" s="97"/>
      <c r="Q90" s="89"/>
      <c r="R90" s="89"/>
      <c r="S90" s="89"/>
    </row>
    <row r="91" spans="1:19">
      <c r="A91" s="60">
        <f>MAX(A$12:A90)+1</f>
        <v>49</v>
      </c>
      <c r="C91" s="4" t="s">
        <v>43</v>
      </c>
      <c r="D91" s="4"/>
      <c r="E91" s="112">
        <f>$E$77</f>
        <v>60000</v>
      </c>
      <c r="F91" s="60"/>
      <c r="G91" s="110">
        <v>9.7899999999999991</v>
      </c>
      <c r="H91" s="79"/>
      <c r="I91" s="110">
        <v>9.7899999999999991</v>
      </c>
      <c r="J91" s="129"/>
      <c r="K91" s="125">
        <f>$G$91*E91/100</f>
        <v>5874</v>
      </c>
      <c r="L91" s="125"/>
      <c r="M91" s="125">
        <f>$I$91*E91/100</f>
        <v>5874</v>
      </c>
      <c r="N91" s="125"/>
      <c r="O91" s="125">
        <f>M91-K91</f>
        <v>0</v>
      </c>
      <c r="P91" s="126"/>
      <c r="Q91" s="87">
        <f>O91/K91</f>
        <v>0</v>
      </c>
      <c r="R91" s="90"/>
      <c r="S91" s="89">
        <f>Q91</f>
        <v>0</v>
      </c>
    </row>
    <row r="92" spans="1:19">
      <c r="C92" s="8"/>
      <c r="D92" s="8"/>
      <c r="E92" s="112"/>
      <c r="F92" s="60"/>
      <c r="G92" s="110"/>
      <c r="H92" s="79"/>
      <c r="I92" s="110"/>
      <c r="J92" s="132"/>
      <c r="K92" s="125"/>
      <c r="L92" s="125"/>
      <c r="M92" s="125"/>
      <c r="N92" s="125"/>
      <c r="O92" s="125"/>
      <c r="P92" s="126"/>
      <c r="Q92" s="90"/>
      <c r="R92" s="90"/>
      <c r="S92" s="89"/>
    </row>
    <row r="93" spans="1:19">
      <c r="C93" s="8" t="s">
        <v>44</v>
      </c>
      <c r="D93" s="5"/>
      <c r="E93" s="112"/>
      <c r="F93" s="60"/>
      <c r="G93" s="110"/>
      <c r="H93" s="79"/>
      <c r="I93" s="110"/>
      <c r="J93" s="20"/>
      <c r="K93" s="125"/>
      <c r="L93" s="125"/>
      <c r="M93" s="125"/>
      <c r="N93" s="125"/>
      <c r="O93" s="125"/>
      <c r="P93" s="91"/>
      <c r="Q93" s="90"/>
      <c r="R93" s="90"/>
      <c r="S93" s="89"/>
    </row>
    <row r="94" spans="1:19">
      <c r="A94" s="60">
        <f>MAX(A$12:A93)+1</f>
        <v>50</v>
      </c>
      <c r="C94" s="4" t="s">
        <v>44</v>
      </c>
      <c r="D94" s="6"/>
      <c r="E94" s="112">
        <f>$E$77</f>
        <v>60000</v>
      </c>
      <c r="F94" s="60"/>
      <c r="G94" s="110">
        <v>3.9398999999999997</v>
      </c>
      <c r="H94" s="79"/>
      <c r="I94" s="110">
        <v>3.0486237145335942</v>
      </c>
      <c r="J94" s="20"/>
      <c r="K94" s="125">
        <f>E94*$G94/100</f>
        <v>2363.9399999999996</v>
      </c>
      <c r="L94" s="125"/>
      <c r="M94" s="125">
        <f>E94*$I94/100</f>
        <v>1829.1742287201566</v>
      </c>
      <c r="N94" s="125"/>
      <c r="O94" s="125">
        <f>M94-K94</f>
        <v>-534.76577127984297</v>
      </c>
      <c r="P94" s="126"/>
      <c r="Q94" s="90"/>
      <c r="R94" s="89"/>
      <c r="S94" s="89"/>
    </row>
    <row r="95" spans="1:19">
      <c r="A95" s="60">
        <f>MAX(A$12:A94)+1</f>
        <v>51</v>
      </c>
      <c r="C95" s="4" t="s">
        <v>77</v>
      </c>
      <c r="D95" s="9"/>
      <c r="E95" s="112">
        <f>$E$77</f>
        <v>60000</v>
      </c>
      <c r="F95" s="60"/>
      <c r="G95" s="110">
        <v>1.8104</v>
      </c>
      <c r="H95" s="79"/>
      <c r="I95" s="110">
        <v>1.8857001088278693</v>
      </c>
      <c r="J95" s="20"/>
      <c r="K95" s="125">
        <f>E95*$G95/100</f>
        <v>1086.24</v>
      </c>
      <c r="L95" s="125"/>
      <c r="M95" s="125">
        <f>E95*$I95/100</f>
        <v>1131.4200652967215</v>
      </c>
      <c r="N95" s="125"/>
      <c r="O95" s="125">
        <f>M95-K95</f>
        <v>45.180065296721523</v>
      </c>
      <c r="P95" s="126"/>
      <c r="Q95" s="90"/>
      <c r="R95" s="89"/>
      <c r="S95" s="89"/>
    </row>
    <row r="96" spans="1:19">
      <c r="A96" s="60">
        <f>MAX(A$12:A95)+1</f>
        <v>52</v>
      </c>
      <c r="C96" s="4" t="s">
        <v>78</v>
      </c>
      <c r="D96" s="9"/>
      <c r="E96" s="112"/>
      <c r="F96" s="60"/>
      <c r="G96" s="110"/>
      <c r="H96" s="79"/>
      <c r="I96" s="110"/>
      <c r="J96" s="20"/>
      <c r="K96" s="130">
        <f>SUM(K94:K95)</f>
        <v>3450.1799999999994</v>
      </c>
      <c r="L96" s="125"/>
      <c r="M96" s="130">
        <f>SUM(M94:M95)</f>
        <v>2960.5942940168779</v>
      </c>
      <c r="N96" s="125"/>
      <c r="O96" s="130">
        <f>SUM(O93:O95)</f>
        <v>-489.58570598312144</v>
      </c>
      <c r="P96" s="126"/>
      <c r="Q96" s="96">
        <f>O96/K96</f>
        <v>-0.14190149672861171</v>
      </c>
      <c r="R96" s="89"/>
      <c r="S96" s="131">
        <f>Q96</f>
        <v>-0.14190149672861171</v>
      </c>
    </row>
    <row r="97" spans="1:19">
      <c r="C97" s="4"/>
      <c r="D97" s="9"/>
      <c r="E97" s="112"/>
      <c r="F97" s="60"/>
      <c r="G97" s="110"/>
      <c r="H97" s="79"/>
      <c r="I97" s="110"/>
      <c r="J97" s="20"/>
      <c r="K97" s="125"/>
      <c r="L97" s="124"/>
      <c r="M97" s="125"/>
      <c r="N97" s="124"/>
      <c r="O97" s="125"/>
      <c r="P97" s="91"/>
      <c r="Q97" s="90"/>
      <c r="R97" s="89"/>
      <c r="S97" s="89"/>
    </row>
    <row r="98" spans="1:19">
      <c r="A98" s="60">
        <f>MAX(A$12:A97)+1</f>
        <v>53</v>
      </c>
      <c r="C98" s="4" t="s">
        <v>86</v>
      </c>
      <c r="D98" s="9"/>
      <c r="E98" s="112">
        <f>$E$77</f>
        <v>60000</v>
      </c>
      <c r="F98" s="60"/>
      <c r="G98" s="110">
        <v>18.274100000000001</v>
      </c>
      <c r="H98" s="79"/>
      <c r="I98" s="110">
        <v>20.903604607530845</v>
      </c>
      <c r="J98" s="20"/>
      <c r="K98" s="125">
        <f>E98*$G98/100</f>
        <v>10964.46</v>
      </c>
      <c r="L98" s="125"/>
      <c r="M98" s="125">
        <f>E98*$I98/100</f>
        <v>12542.162764518507</v>
      </c>
      <c r="N98" s="125"/>
      <c r="O98" s="125">
        <f>M98-K98</f>
        <v>1577.702764518508</v>
      </c>
      <c r="P98" s="126"/>
      <c r="Q98" s="87">
        <f>O98/K98</f>
        <v>0.14389242739893329</v>
      </c>
      <c r="R98" s="90"/>
      <c r="S98" s="89">
        <f>Q98</f>
        <v>0.14389242739893329</v>
      </c>
    </row>
    <row r="99" spans="1:19">
      <c r="C99" s="4"/>
      <c r="D99" s="8"/>
      <c r="E99" s="112"/>
      <c r="F99" s="60"/>
      <c r="G99" s="110"/>
      <c r="H99" s="79"/>
      <c r="I99" s="110"/>
      <c r="J99" s="20"/>
      <c r="K99" s="125"/>
      <c r="L99" s="124"/>
      <c r="M99" s="125"/>
      <c r="N99" s="125"/>
      <c r="O99" s="125"/>
      <c r="P99" s="91"/>
      <c r="Q99" s="90"/>
      <c r="R99" s="90"/>
      <c r="S99" s="89"/>
    </row>
    <row r="100" spans="1:19" ht="13.5" thickBot="1">
      <c r="A100" s="60">
        <f>MAX(A$12:A99)+1</f>
        <v>54</v>
      </c>
      <c r="C100" s="4" t="s">
        <v>46</v>
      </c>
      <c r="D100" s="8"/>
      <c r="E100" s="112"/>
      <c r="F100" s="60"/>
      <c r="G100" s="110"/>
      <c r="H100" s="79"/>
      <c r="I100" s="110"/>
      <c r="J100" s="20"/>
      <c r="K100" s="133">
        <f>K89+K91+K96+K98</f>
        <v>26431.752</v>
      </c>
      <c r="L100" s="125"/>
      <c r="M100" s="133">
        <f>M89+M91+M96+M98</f>
        <v>25721.167306881845</v>
      </c>
      <c r="N100" s="125"/>
      <c r="O100" s="133">
        <f>M100-K100</f>
        <v>-710.58469311815497</v>
      </c>
      <c r="P100" s="126"/>
      <c r="Q100" s="102">
        <f>O100/K100</f>
        <v>-2.6883753037564628E-2</v>
      </c>
      <c r="R100" s="90"/>
      <c r="S100" s="134">
        <f>(O89+O96+O98)/(K89+K96+K98)</f>
        <v>-3.456529162907282E-2</v>
      </c>
    </row>
    <row r="101" spans="1:19" ht="13.5" thickTop="1">
      <c r="C101" s="4"/>
      <c r="D101" s="8"/>
      <c r="E101" s="112"/>
      <c r="F101" s="60"/>
      <c r="G101" s="110"/>
      <c r="H101" s="79"/>
      <c r="I101" s="110"/>
      <c r="J101" s="20"/>
      <c r="K101" s="125"/>
      <c r="L101" s="124"/>
      <c r="M101" s="125"/>
      <c r="N101" s="125"/>
      <c r="O101" s="125"/>
      <c r="P101" s="91"/>
      <c r="Q101" s="90"/>
      <c r="R101" s="90"/>
      <c r="S101" s="89"/>
    </row>
    <row r="102" spans="1:19">
      <c r="A102" s="60">
        <f>MAX(A$13:A101)+1</f>
        <v>55</v>
      </c>
      <c r="C102" s="4" t="s">
        <v>80</v>
      </c>
      <c r="E102" s="112">
        <f>$E$45</f>
        <v>40000</v>
      </c>
      <c r="F102" s="60"/>
      <c r="G102" s="110">
        <v>3.9398999999999997</v>
      </c>
      <c r="H102" s="79"/>
      <c r="I102" s="110">
        <v>4.9105906200266034</v>
      </c>
      <c r="J102" s="60"/>
      <c r="K102" s="75">
        <f>$E102*G102/100</f>
        <v>1575.96</v>
      </c>
      <c r="L102" s="75"/>
      <c r="M102" s="75">
        <f>$E102*I102/100</f>
        <v>1964.2362480106415</v>
      </c>
      <c r="N102" s="75"/>
      <c r="O102" s="84">
        <f t="shared" ref="O102" si="7">M102-K102</f>
        <v>388.27624801064144</v>
      </c>
      <c r="P102" s="60"/>
      <c r="Q102" s="103"/>
      <c r="R102" s="89"/>
      <c r="S102" s="103"/>
    </row>
    <row r="103" spans="1:19">
      <c r="E103" s="82"/>
      <c r="F103" s="60"/>
      <c r="G103" s="79"/>
      <c r="H103" s="79"/>
      <c r="I103" s="79"/>
      <c r="J103" s="20"/>
      <c r="K103" s="135"/>
      <c r="L103" s="136"/>
      <c r="M103" s="135"/>
      <c r="N103" s="125"/>
      <c r="O103" s="125"/>
      <c r="P103" s="91"/>
      <c r="Q103" s="90"/>
      <c r="R103" s="90"/>
      <c r="S103" s="89"/>
    </row>
    <row r="104" spans="1:19">
      <c r="A104" s="60">
        <f>MAX(A$12:A103)+1</f>
        <v>56</v>
      </c>
      <c r="C104" s="4" t="s">
        <v>81</v>
      </c>
      <c r="D104" s="9"/>
      <c r="E104" s="88"/>
      <c r="F104" s="60"/>
      <c r="G104" s="79"/>
      <c r="H104" s="79"/>
      <c r="I104" s="79"/>
      <c r="J104" s="20"/>
      <c r="K104" s="94">
        <f>K89+K91+K102+K95+M98</f>
        <v>27221.474764518505</v>
      </c>
      <c r="L104" s="84"/>
      <c r="M104" s="94">
        <f>M89+M91+M102+M95+M98</f>
        <v>25856.229326172332</v>
      </c>
      <c r="N104" s="84"/>
      <c r="O104" s="94">
        <f>M104-K104</f>
        <v>-1365.2454383461736</v>
      </c>
      <c r="P104" s="91"/>
      <c r="Q104" s="96">
        <f>O104/K104</f>
        <v>-5.0153250334757246E-2</v>
      </c>
      <c r="R104" s="90"/>
      <c r="S104" s="96">
        <f>(O104-O91)/(K104-K91)</f>
        <v>-6.3953486461796355E-2</v>
      </c>
    </row>
    <row r="105" spans="1:19">
      <c r="A105" s="60">
        <f>MAX(A$12:A104)+1</f>
        <v>57</v>
      </c>
      <c r="C105" s="11" t="s">
        <v>82</v>
      </c>
      <c r="E105" s="88"/>
      <c r="F105" s="60"/>
      <c r="G105" s="79"/>
      <c r="H105" s="79"/>
      <c r="I105" s="79"/>
      <c r="J105" s="20"/>
      <c r="K105" s="84"/>
      <c r="L105" s="104"/>
      <c r="M105" s="84"/>
      <c r="N105" s="84"/>
      <c r="O105" s="84"/>
      <c r="P105" s="91"/>
      <c r="Q105" s="87">
        <f>(O89+O91+O102+O95)/(K89+K91+K102+K95)</f>
        <v>-9.3004729264299202E-2</v>
      </c>
      <c r="R105" s="90"/>
      <c r="S105" s="87">
        <f>(O89+O102+O95)/(K89+K102+K95)</f>
        <v>-0.15504793451341395</v>
      </c>
    </row>
    <row r="106" spans="1:19">
      <c r="C106" s="4"/>
      <c r="E106" s="82"/>
      <c r="F106" s="60"/>
      <c r="G106" s="81"/>
      <c r="H106" s="81"/>
      <c r="I106" s="81"/>
      <c r="J106" s="20"/>
      <c r="K106" s="135"/>
      <c r="L106" s="136"/>
      <c r="M106" s="135"/>
      <c r="N106" s="125"/>
      <c r="O106" s="125"/>
      <c r="P106" s="91"/>
      <c r="Q106" s="90"/>
      <c r="R106" s="90"/>
      <c r="S106" s="89"/>
    </row>
    <row r="107" spans="1:19">
      <c r="E107" s="137"/>
      <c r="F107" s="60"/>
      <c r="G107" s="20"/>
      <c r="H107" s="20"/>
      <c r="I107" s="20"/>
      <c r="J107" s="20"/>
      <c r="K107" s="124"/>
      <c r="L107" s="124"/>
      <c r="M107" s="124"/>
      <c r="N107" s="125"/>
      <c r="O107" s="125"/>
      <c r="P107" s="20"/>
      <c r="Q107" s="90"/>
      <c r="R107" s="90"/>
      <c r="S107" s="89"/>
    </row>
    <row r="108" spans="1:19">
      <c r="C108" s="69" t="s">
        <v>94</v>
      </c>
      <c r="D108" s="69"/>
      <c r="E108" s="82"/>
      <c r="F108" s="60"/>
      <c r="G108" s="20"/>
      <c r="H108" s="83"/>
      <c r="I108" s="83"/>
      <c r="J108" s="20"/>
      <c r="K108" s="125"/>
      <c r="L108" s="125"/>
      <c r="M108" s="125"/>
      <c r="N108" s="125"/>
      <c r="O108" s="125"/>
      <c r="P108" s="23"/>
      <c r="Q108" s="90"/>
      <c r="R108" s="90"/>
      <c r="S108" s="89"/>
    </row>
    <row r="109" spans="1:19">
      <c r="A109" s="60">
        <f>MAX(A$12:A108)+1</f>
        <v>58</v>
      </c>
      <c r="C109" s="4" t="s">
        <v>31</v>
      </c>
      <c r="D109" s="4"/>
      <c r="E109" s="112">
        <f>'Attachment 2'!P128</f>
        <v>93000</v>
      </c>
      <c r="F109" s="60"/>
      <c r="G109" s="110"/>
      <c r="H109" s="79"/>
      <c r="I109" s="110"/>
      <c r="J109" s="20"/>
      <c r="K109" s="124"/>
      <c r="L109" s="124"/>
      <c r="M109" s="124"/>
      <c r="N109" s="124"/>
      <c r="O109" s="124"/>
      <c r="P109" s="60"/>
      <c r="Q109" s="89"/>
      <c r="R109" s="89"/>
      <c r="S109" s="89"/>
    </row>
    <row r="110" spans="1:19">
      <c r="C110" s="117"/>
      <c r="D110" s="117"/>
      <c r="E110" s="60"/>
      <c r="F110" s="60"/>
      <c r="G110" s="83"/>
      <c r="H110" s="83"/>
      <c r="I110" s="83"/>
      <c r="J110" s="20"/>
      <c r="K110" s="124"/>
      <c r="L110" s="124"/>
      <c r="M110" s="124"/>
      <c r="N110" s="124"/>
      <c r="O110" s="124"/>
      <c r="P110" s="60"/>
      <c r="Q110" s="89"/>
      <c r="R110" s="89"/>
      <c r="S110" s="89"/>
    </row>
    <row r="111" spans="1:19">
      <c r="C111" s="8" t="s">
        <v>32</v>
      </c>
      <c r="D111" s="5"/>
      <c r="E111" s="20"/>
      <c r="F111" s="60"/>
      <c r="G111" s="20"/>
      <c r="H111" s="20"/>
      <c r="I111" s="20"/>
      <c r="J111" s="20"/>
      <c r="K111" s="125"/>
      <c r="L111" s="125"/>
      <c r="M111" s="125"/>
      <c r="N111" s="125"/>
      <c r="O111" s="125"/>
      <c r="P111" s="20"/>
      <c r="Q111" s="90"/>
      <c r="R111" s="90"/>
      <c r="S111" s="89"/>
    </row>
    <row r="112" spans="1:19">
      <c r="A112" s="60">
        <f>MAX(A$12:A111)+1</f>
        <v>59</v>
      </c>
      <c r="C112" s="4" t="s">
        <v>84</v>
      </c>
      <c r="D112" s="6"/>
      <c r="E112" s="91" t="s">
        <v>34</v>
      </c>
      <c r="F112" s="60"/>
      <c r="G112" s="92">
        <f>G80</f>
        <v>76.58</v>
      </c>
      <c r="H112" s="92"/>
      <c r="I112" s="92">
        <f>I80</f>
        <v>80</v>
      </c>
      <c r="J112" s="92"/>
      <c r="K112" s="125">
        <f>G112*12</f>
        <v>918.96</v>
      </c>
      <c r="L112" s="125"/>
      <c r="M112" s="125">
        <f>I112*12</f>
        <v>960</v>
      </c>
      <c r="N112" s="125"/>
      <c r="O112" s="125">
        <f>M112-K112</f>
        <v>41.039999999999964</v>
      </c>
      <c r="P112" s="126"/>
      <c r="Q112" s="106"/>
      <c r="R112" s="90"/>
      <c r="S112" s="89"/>
    </row>
    <row r="113" spans="1:19">
      <c r="C113" s="4" t="s">
        <v>85</v>
      </c>
      <c r="D113" s="6"/>
      <c r="E113" s="91"/>
      <c r="F113" s="60"/>
      <c r="G113" s="79"/>
      <c r="H113" s="79"/>
      <c r="I113" s="79"/>
      <c r="J113" s="92"/>
      <c r="K113" s="125"/>
      <c r="L113" s="125"/>
      <c r="M113" s="125"/>
      <c r="N113" s="125"/>
      <c r="O113" s="125"/>
      <c r="P113" s="126"/>
      <c r="Q113" s="90"/>
      <c r="R113" s="90"/>
      <c r="S113" s="89"/>
    </row>
    <row r="114" spans="1:19">
      <c r="A114" s="60">
        <f>MAX(A$12:A113)+1</f>
        <v>60</v>
      </c>
      <c r="C114" s="11" t="s">
        <v>89</v>
      </c>
      <c r="D114" s="11"/>
      <c r="E114" s="112">
        <f>'Attachment 2'!P133</f>
        <v>12000</v>
      </c>
      <c r="F114" s="60"/>
      <c r="G114" s="110">
        <f>G82</f>
        <v>10.1913</v>
      </c>
      <c r="H114" s="79"/>
      <c r="I114" s="110">
        <f>I82</f>
        <v>6.7010673944326804</v>
      </c>
      <c r="J114" s="20"/>
      <c r="K114" s="125">
        <f>$E114*G114/100</f>
        <v>1222.9560000000001</v>
      </c>
      <c r="L114" s="125"/>
      <c r="M114" s="125">
        <f>$E114*I114/100</f>
        <v>804.12808733192173</v>
      </c>
      <c r="N114" s="125"/>
      <c r="O114" s="125">
        <f>M114-K114</f>
        <v>-418.8279126680784</v>
      </c>
      <c r="P114" s="126"/>
      <c r="Q114" s="90"/>
      <c r="R114" s="127"/>
      <c r="S114" s="89"/>
    </row>
    <row r="115" spans="1:19">
      <c r="A115" s="60">
        <f>MAX(A$12:A114)+1</f>
        <v>61</v>
      </c>
      <c r="C115" s="11" t="s">
        <v>90</v>
      </c>
      <c r="D115" s="11"/>
      <c r="E115" s="112">
        <f>'Attachment 2'!P134</f>
        <v>69264.73</v>
      </c>
      <c r="F115" s="60"/>
      <c r="G115" s="110">
        <f>G83</f>
        <v>8.3182000000000009</v>
      </c>
      <c r="H115" s="79"/>
      <c r="I115" s="110">
        <f>I83</f>
        <v>5.3579628354469531</v>
      </c>
      <c r="J115" s="20"/>
      <c r="K115" s="125">
        <f>$E115*G115/100</f>
        <v>5761.5787708600001</v>
      </c>
      <c r="L115" s="125"/>
      <c r="M115" s="125">
        <f>$E115*I115/100</f>
        <v>3711.1784914726763</v>
      </c>
      <c r="N115" s="125"/>
      <c r="O115" s="125">
        <f t="shared" ref="O115:O118" si="8">M115-K115</f>
        <v>-2050.4002793873237</v>
      </c>
      <c r="P115" s="126"/>
      <c r="Q115" s="90"/>
      <c r="R115" s="127"/>
      <c r="S115" s="89"/>
    </row>
    <row r="116" spans="1:19">
      <c r="A116" s="60">
        <f>MAX(A$12:A115)+1</f>
        <v>62</v>
      </c>
      <c r="C116" s="11" t="s">
        <v>91</v>
      </c>
      <c r="D116" s="11"/>
      <c r="E116" s="112">
        <f>'Attachment 2'!P135</f>
        <v>11735.279999999999</v>
      </c>
      <c r="F116" s="60"/>
      <c r="G116" s="110">
        <f>G84</f>
        <v>7.2328000000000001</v>
      </c>
      <c r="H116" s="79"/>
      <c r="I116" s="110">
        <f>I84</f>
        <v>4.5796778061783021</v>
      </c>
      <c r="J116" s="20"/>
      <c r="K116" s="125">
        <f>$E116*G116/100</f>
        <v>848.78933183999993</v>
      </c>
      <c r="L116" s="125"/>
      <c r="M116" s="125">
        <f>$E116*I116/100</f>
        <v>537.43801365288095</v>
      </c>
      <c r="N116" s="125"/>
      <c r="O116" s="125">
        <f t="shared" si="8"/>
        <v>-311.35131818711898</v>
      </c>
      <c r="P116" s="126"/>
      <c r="Q116" s="90"/>
      <c r="R116" s="127"/>
      <c r="S116" s="89"/>
    </row>
    <row r="117" spans="1:19">
      <c r="A117" s="60">
        <f>MAX(A$12:A116)+1</f>
        <v>63</v>
      </c>
      <c r="C117" s="11" t="s">
        <v>92</v>
      </c>
      <c r="D117" s="11"/>
      <c r="E117" s="112">
        <f>'Attachment 2'!P136</f>
        <v>0</v>
      </c>
      <c r="F117" s="60"/>
      <c r="G117" s="110">
        <f>G85</f>
        <v>6.5511999999999997</v>
      </c>
      <c r="H117" s="79"/>
      <c r="I117" s="110">
        <f>I85</f>
        <v>4.0909371797276739</v>
      </c>
      <c r="J117" s="20"/>
      <c r="K117" s="125">
        <f>$E117*G117/100</f>
        <v>0</v>
      </c>
      <c r="L117" s="125"/>
      <c r="M117" s="125">
        <f>$E117*I117/100</f>
        <v>0</v>
      </c>
      <c r="N117" s="125"/>
      <c r="O117" s="125">
        <f t="shared" si="8"/>
        <v>0</v>
      </c>
      <c r="P117" s="126"/>
      <c r="Q117" s="90"/>
      <c r="R117" s="127"/>
      <c r="S117" s="89"/>
    </row>
    <row r="118" spans="1:19">
      <c r="A118" s="60">
        <f>MAX(A$12:A117)+1</f>
        <v>64</v>
      </c>
      <c r="C118" s="11" t="s">
        <v>93</v>
      </c>
      <c r="D118" s="11"/>
      <c r="E118" s="113">
        <f>'Attachment 2'!P137</f>
        <v>0</v>
      </c>
      <c r="F118" s="60"/>
      <c r="G118" s="110">
        <f>G86</f>
        <v>3.9687000000000001</v>
      </c>
      <c r="H118" s="79"/>
      <c r="I118" s="110">
        <f>I86</f>
        <v>2.2391580309472348</v>
      </c>
      <c r="J118" s="20"/>
      <c r="K118" s="125">
        <f>$E118*G118/100</f>
        <v>0</v>
      </c>
      <c r="L118" s="125"/>
      <c r="M118" s="125">
        <f>$E118*I118/100</f>
        <v>0</v>
      </c>
      <c r="N118" s="125"/>
      <c r="O118" s="125">
        <f t="shared" si="8"/>
        <v>0</v>
      </c>
      <c r="P118" s="97"/>
      <c r="Q118" s="89"/>
      <c r="R118" s="90"/>
      <c r="S118" s="89"/>
    </row>
    <row r="119" spans="1:19">
      <c r="A119" s="60">
        <f>MAX(A$12:A118)+1</f>
        <v>65</v>
      </c>
      <c r="C119" s="4" t="s">
        <v>40</v>
      </c>
      <c r="D119" s="6"/>
      <c r="E119" s="112">
        <f>SUM(E114:E118)</f>
        <v>93000.01</v>
      </c>
      <c r="F119" s="60"/>
      <c r="G119" s="110"/>
      <c r="H119" s="79"/>
      <c r="I119" s="110"/>
      <c r="J119" s="20"/>
      <c r="K119" s="128">
        <f>SUM(K114:K118)</f>
        <v>7833.3241027000004</v>
      </c>
      <c r="L119" s="125"/>
      <c r="M119" s="128">
        <f>SUM(M114:M118)</f>
        <v>5052.7445924574786</v>
      </c>
      <c r="N119" s="125"/>
      <c r="O119" s="128">
        <f>SUM(O114:O118)</f>
        <v>-2780.5795102425213</v>
      </c>
      <c r="P119" s="126"/>
      <c r="Q119" s="87"/>
      <c r="R119" s="90"/>
      <c r="S119" s="89"/>
    </row>
    <row r="120" spans="1:19">
      <c r="A120" s="60">
        <f>MAX(A$12:A119)+1</f>
        <v>66</v>
      </c>
      <c r="C120" s="4" t="s">
        <v>41</v>
      </c>
      <c r="D120" s="4"/>
      <c r="E120" s="112">
        <f>$E$109</f>
        <v>93000</v>
      </c>
      <c r="F120" s="60"/>
      <c r="G120" s="110">
        <f>G88</f>
        <v>1.41E-2</v>
      </c>
      <c r="H120" s="79"/>
      <c r="I120" s="110">
        <f>I88</f>
        <v>1.41E-2</v>
      </c>
      <c r="J120" s="129"/>
      <c r="K120" s="125">
        <f>G120*E120/100</f>
        <v>13.113</v>
      </c>
      <c r="L120" s="125"/>
      <c r="M120" s="125">
        <f>I120*E120/100</f>
        <v>13.113</v>
      </c>
      <c r="N120" s="125"/>
      <c r="O120" s="125">
        <f>M120-K120</f>
        <v>0</v>
      </c>
      <c r="P120" s="126"/>
      <c r="Q120" s="90"/>
      <c r="R120" s="90"/>
      <c r="S120" s="89"/>
    </row>
    <row r="121" spans="1:19">
      <c r="A121" s="60">
        <f>MAX(A$12:A120)+1</f>
        <v>67</v>
      </c>
      <c r="C121" s="4" t="s">
        <v>42</v>
      </c>
      <c r="D121" s="9"/>
      <c r="E121" s="112"/>
      <c r="F121" s="60"/>
      <c r="G121" s="110"/>
      <c r="H121" s="79"/>
      <c r="I121" s="110"/>
      <c r="J121" s="20"/>
      <c r="K121" s="130">
        <f>K119+K112+K120</f>
        <v>8765.3971026999989</v>
      </c>
      <c r="L121" s="125"/>
      <c r="M121" s="130">
        <f>M119+M112+M120</f>
        <v>6025.8575924574789</v>
      </c>
      <c r="N121" s="125"/>
      <c r="O121" s="130">
        <f>O119+O112+O120</f>
        <v>-2739.5395102425214</v>
      </c>
      <c r="P121" s="126"/>
      <c r="Q121" s="96">
        <f>O121/K121</f>
        <v>-0.31254026236856547</v>
      </c>
      <c r="R121" s="90"/>
      <c r="S121" s="131">
        <f>Q121</f>
        <v>-0.31254026236856547</v>
      </c>
    </row>
    <row r="122" spans="1:19">
      <c r="C122" s="4"/>
      <c r="D122" s="9"/>
      <c r="E122" s="112"/>
      <c r="F122" s="60"/>
      <c r="G122" s="110"/>
      <c r="H122" s="79"/>
      <c r="I122" s="110"/>
      <c r="J122" s="20"/>
      <c r="K122" s="124"/>
      <c r="L122" s="124"/>
      <c r="M122" s="124"/>
      <c r="N122" s="124"/>
      <c r="O122" s="124"/>
      <c r="P122" s="97"/>
      <c r="Q122" s="89"/>
      <c r="R122" s="89"/>
      <c r="S122" s="89"/>
    </row>
    <row r="123" spans="1:19">
      <c r="A123" s="60">
        <f>MAX(A$12:A122)+1</f>
        <v>68</v>
      </c>
      <c r="C123" s="4" t="s">
        <v>43</v>
      </c>
      <c r="D123" s="4"/>
      <c r="E123" s="112">
        <f>$E$109</f>
        <v>93000</v>
      </c>
      <c r="F123" s="60"/>
      <c r="G123" s="110">
        <f>G91</f>
        <v>9.7899999999999991</v>
      </c>
      <c r="H123" s="79"/>
      <c r="I123" s="110">
        <f>I91</f>
        <v>9.7899999999999991</v>
      </c>
      <c r="J123" s="129"/>
      <c r="K123" s="125">
        <f>$G$91*E123/100</f>
        <v>9104.6999999999989</v>
      </c>
      <c r="L123" s="125"/>
      <c r="M123" s="125">
        <f>$I$91*E123/100</f>
        <v>9104.6999999999989</v>
      </c>
      <c r="N123" s="125"/>
      <c r="O123" s="125">
        <f>M123-K123</f>
        <v>0</v>
      </c>
      <c r="P123" s="126"/>
      <c r="Q123" s="87">
        <f>O123/K123</f>
        <v>0</v>
      </c>
      <c r="R123" s="90"/>
      <c r="S123" s="89">
        <f>Q123</f>
        <v>0</v>
      </c>
    </row>
    <row r="124" spans="1:19">
      <c r="C124" s="8"/>
      <c r="D124" s="8"/>
      <c r="E124" s="112"/>
      <c r="F124" s="60"/>
      <c r="G124" s="110"/>
      <c r="H124" s="79"/>
      <c r="I124" s="110"/>
      <c r="J124" s="132"/>
      <c r="K124" s="125"/>
      <c r="L124" s="125"/>
      <c r="M124" s="125"/>
      <c r="N124" s="125"/>
      <c r="O124" s="125"/>
      <c r="P124" s="126"/>
      <c r="Q124" s="90"/>
      <c r="R124" s="90"/>
      <c r="S124" s="89"/>
    </row>
    <row r="125" spans="1:19">
      <c r="C125" s="8" t="s">
        <v>44</v>
      </c>
      <c r="D125" s="5"/>
      <c r="E125" s="112"/>
      <c r="F125" s="60"/>
      <c r="G125" s="110"/>
      <c r="H125" s="79"/>
      <c r="I125" s="110"/>
      <c r="J125" s="20"/>
      <c r="K125" s="125"/>
      <c r="L125" s="125"/>
      <c r="M125" s="125"/>
      <c r="N125" s="125"/>
      <c r="O125" s="125"/>
      <c r="P125" s="91"/>
      <c r="Q125" s="90"/>
      <c r="R125" s="90"/>
      <c r="S125" s="89"/>
    </row>
    <row r="126" spans="1:19">
      <c r="A126" s="60">
        <f>MAX(A$12:A125)+1</f>
        <v>69</v>
      </c>
      <c r="C126" s="4" t="s">
        <v>44</v>
      </c>
      <c r="D126" s="6"/>
      <c r="E126" s="112">
        <f>$E$109</f>
        <v>93000</v>
      </c>
      <c r="F126" s="60"/>
      <c r="G126" s="110">
        <f>G94</f>
        <v>3.9398999999999997</v>
      </c>
      <c r="H126" s="79"/>
      <c r="I126" s="110">
        <f>I94</f>
        <v>3.0486237145335942</v>
      </c>
      <c r="J126" s="20"/>
      <c r="K126" s="125">
        <f>E126*$G126/100</f>
        <v>3664.1069999999995</v>
      </c>
      <c r="L126" s="125"/>
      <c r="M126" s="125">
        <f>E126*$I126/100</f>
        <v>2835.2200545162427</v>
      </c>
      <c r="N126" s="125"/>
      <c r="O126" s="125">
        <f>M126-K126</f>
        <v>-828.88694548375679</v>
      </c>
      <c r="P126" s="126"/>
      <c r="Q126" s="90"/>
      <c r="R126" s="89"/>
      <c r="S126" s="89"/>
    </row>
    <row r="127" spans="1:19">
      <c r="A127" s="60">
        <f>MAX(A$12:A126)+1</f>
        <v>70</v>
      </c>
      <c r="C127" s="4" t="s">
        <v>77</v>
      </c>
      <c r="D127" s="9"/>
      <c r="E127" s="112">
        <f>$E$109</f>
        <v>93000</v>
      </c>
      <c r="F127" s="60"/>
      <c r="G127" s="110">
        <f>G95</f>
        <v>1.8104</v>
      </c>
      <c r="H127" s="79"/>
      <c r="I127" s="110">
        <f>I95</f>
        <v>1.8857001088278693</v>
      </c>
      <c r="J127" s="20"/>
      <c r="K127" s="125">
        <f>E127*$G127/100</f>
        <v>1683.672</v>
      </c>
      <c r="L127" s="125"/>
      <c r="M127" s="125">
        <f>E127*$I127/100</f>
        <v>1753.7011012099185</v>
      </c>
      <c r="N127" s="125"/>
      <c r="O127" s="125">
        <f>M127-K127</f>
        <v>70.029101209918508</v>
      </c>
      <c r="P127" s="126"/>
      <c r="Q127" s="90"/>
      <c r="R127" s="89"/>
      <c r="S127" s="89"/>
    </row>
    <row r="128" spans="1:19">
      <c r="A128" s="60">
        <f>MAX(A$12:A127)+1</f>
        <v>71</v>
      </c>
      <c r="C128" s="4" t="s">
        <v>78</v>
      </c>
      <c r="D128" s="9"/>
      <c r="E128" s="112"/>
      <c r="F128" s="60"/>
      <c r="G128" s="110"/>
      <c r="H128" s="79"/>
      <c r="I128" s="110"/>
      <c r="J128" s="20"/>
      <c r="K128" s="130">
        <f>SUM(K126:K127)</f>
        <v>5347.7789999999995</v>
      </c>
      <c r="L128" s="125"/>
      <c r="M128" s="130">
        <f>SUM(M126:M127)</f>
        <v>4588.9211557261615</v>
      </c>
      <c r="N128" s="125"/>
      <c r="O128" s="130">
        <f>SUM(O125:O127)</f>
        <v>-758.85784427383828</v>
      </c>
      <c r="P128" s="126"/>
      <c r="Q128" s="96">
        <f>O128/K128</f>
        <v>-0.14190149672861169</v>
      </c>
      <c r="R128" s="89"/>
      <c r="S128" s="131">
        <f>Q128</f>
        <v>-0.14190149672861169</v>
      </c>
    </row>
    <row r="129" spans="1:19">
      <c r="C129" s="4"/>
      <c r="D129" s="9"/>
      <c r="E129" s="112"/>
      <c r="F129" s="60"/>
      <c r="G129" s="110"/>
      <c r="H129" s="79"/>
      <c r="I129" s="110"/>
      <c r="J129" s="20"/>
      <c r="K129" s="125"/>
      <c r="L129" s="124"/>
      <c r="M129" s="125"/>
      <c r="N129" s="124"/>
      <c r="O129" s="125"/>
      <c r="P129" s="91"/>
      <c r="Q129" s="90"/>
      <c r="R129" s="89"/>
      <c r="S129" s="89"/>
    </row>
    <row r="130" spans="1:19">
      <c r="A130" s="60">
        <f>MAX(A$12:A129)+1</f>
        <v>72</v>
      </c>
      <c r="C130" s="4" t="s">
        <v>86</v>
      </c>
      <c r="D130" s="9"/>
      <c r="E130" s="112">
        <f>$E$109</f>
        <v>93000</v>
      </c>
      <c r="F130" s="60"/>
      <c r="G130" s="110">
        <f>G98</f>
        <v>18.274100000000001</v>
      </c>
      <c r="H130" s="79"/>
      <c r="I130" s="110">
        <f>I98</f>
        <v>20.903604607530845</v>
      </c>
      <c r="J130" s="20"/>
      <c r="K130" s="125">
        <f>E130*$G130/100</f>
        <v>16994.913</v>
      </c>
      <c r="L130" s="125"/>
      <c r="M130" s="125">
        <f>E130*$I130/100</f>
        <v>19440.352285003686</v>
      </c>
      <c r="N130" s="125"/>
      <c r="O130" s="125">
        <f>M130-K130</f>
        <v>2445.4392850036857</v>
      </c>
      <c r="P130" s="126"/>
      <c r="Q130" s="87">
        <f>O130/K130</f>
        <v>0.14389242739893318</v>
      </c>
      <c r="R130" s="90"/>
      <c r="S130" s="89"/>
    </row>
    <row r="131" spans="1:19">
      <c r="C131" s="4"/>
      <c r="D131" s="8"/>
      <c r="E131" s="112"/>
      <c r="F131" s="60"/>
      <c r="G131" s="110"/>
      <c r="H131" s="79"/>
      <c r="I131" s="110"/>
      <c r="J131" s="20"/>
      <c r="K131" s="125"/>
      <c r="L131" s="124"/>
      <c r="M131" s="125"/>
      <c r="N131" s="125"/>
      <c r="O131" s="125"/>
      <c r="P131" s="91"/>
      <c r="Q131" s="90"/>
      <c r="R131" s="90"/>
      <c r="S131" s="89"/>
    </row>
    <row r="132" spans="1:19" ht="13.5" thickBot="1">
      <c r="A132" s="60">
        <f>MAX(A$12:A131)+1</f>
        <v>73</v>
      </c>
      <c r="C132" s="4" t="s">
        <v>46</v>
      </c>
      <c r="D132" s="8"/>
      <c r="E132" s="112"/>
      <c r="F132" s="60"/>
      <c r="G132" s="110"/>
      <c r="H132" s="79"/>
      <c r="I132" s="110"/>
      <c r="J132" s="20"/>
      <c r="K132" s="133">
        <f>K121+K123+K128+K130</f>
        <v>40212.789102700001</v>
      </c>
      <c r="L132" s="125"/>
      <c r="M132" s="133">
        <f>M121+M123+M128+M130</f>
        <v>39159.831033187322</v>
      </c>
      <c r="N132" s="125"/>
      <c r="O132" s="133">
        <f>M132-K132</f>
        <v>-1052.9580695126788</v>
      </c>
      <c r="P132" s="126"/>
      <c r="Q132" s="102">
        <f>O132/K132</f>
        <v>-2.6184656498794812E-2</v>
      </c>
      <c r="R132" s="90"/>
      <c r="S132" s="134">
        <f>(O121+O128+O130)/(K121+K128+K130)</f>
        <v>-3.3848368700386794E-2</v>
      </c>
    </row>
    <row r="133" spans="1:19" ht="13.5" thickTop="1">
      <c r="C133" s="4"/>
      <c r="D133" s="8"/>
      <c r="E133" s="112"/>
      <c r="F133" s="60"/>
      <c r="G133" s="110"/>
      <c r="H133" s="79"/>
      <c r="I133" s="110"/>
      <c r="J133" s="20"/>
      <c r="K133" s="125"/>
      <c r="L133" s="124"/>
      <c r="M133" s="125"/>
      <c r="N133" s="125"/>
      <c r="O133" s="125"/>
      <c r="P133" s="91"/>
      <c r="Q133" s="90"/>
      <c r="R133" s="90"/>
      <c r="S133" s="89"/>
    </row>
    <row r="134" spans="1:19">
      <c r="A134" s="60">
        <f>MAX(A$13:A133)+1</f>
        <v>74</v>
      </c>
      <c r="C134" s="4" t="s">
        <v>80</v>
      </c>
      <c r="E134" s="112">
        <f>$E$45</f>
        <v>40000</v>
      </c>
      <c r="F134" s="60"/>
      <c r="G134" s="110">
        <f>G102</f>
        <v>3.9398999999999997</v>
      </c>
      <c r="H134" s="79"/>
      <c r="I134" s="110">
        <f>I102</f>
        <v>4.9105906200266034</v>
      </c>
      <c r="J134" s="60"/>
      <c r="K134" s="75">
        <f>$E134*G134/100</f>
        <v>1575.96</v>
      </c>
      <c r="L134" s="75"/>
      <c r="M134" s="75">
        <f>$E134*I134/100</f>
        <v>1964.2362480106415</v>
      </c>
      <c r="N134" s="75"/>
      <c r="O134" s="84">
        <f t="shared" ref="O134" si="9">M134-K134</f>
        <v>388.27624801064144</v>
      </c>
      <c r="P134" s="60"/>
      <c r="Q134" s="103"/>
      <c r="R134" s="89"/>
      <c r="S134" s="103"/>
    </row>
    <row r="135" spans="1:19">
      <c r="E135" s="82"/>
      <c r="F135" s="60"/>
      <c r="G135" s="79"/>
      <c r="H135" s="79"/>
      <c r="I135" s="79"/>
      <c r="J135" s="20"/>
      <c r="K135" s="135"/>
      <c r="L135" s="136"/>
      <c r="M135" s="135"/>
      <c r="N135" s="125"/>
      <c r="O135" s="125"/>
      <c r="P135" s="91"/>
      <c r="Q135" s="90"/>
      <c r="R135" s="90"/>
      <c r="S135" s="89"/>
    </row>
    <row r="136" spans="1:19">
      <c r="A136" s="60">
        <f>MAX(A$12:A135)+1</f>
        <v>75</v>
      </c>
      <c r="C136" s="4" t="s">
        <v>81</v>
      </c>
      <c r="D136" s="9"/>
      <c r="E136" s="88"/>
      <c r="F136" s="60"/>
      <c r="G136" s="79"/>
      <c r="H136" s="79"/>
      <c r="I136" s="79"/>
      <c r="J136" s="20"/>
      <c r="K136" s="94">
        <f>K121+K123+K134+K127+M130</f>
        <v>40570.081387703685</v>
      </c>
      <c r="L136" s="84"/>
      <c r="M136" s="94">
        <f>M121+M123+M134+M127+M130</f>
        <v>38288.847226681726</v>
      </c>
      <c r="N136" s="84"/>
      <c r="O136" s="94">
        <f>M136-K136</f>
        <v>-2281.2341610219592</v>
      </c>
      <c r="P136" s="91"/>
      <c r="Q136" s="96">
        <f>O136/K136</f>
        <v>-5.6229469673022996E-2</v>
      </c>
      <c r="R136" s="90"/>
      <c r="S136" s="96">
        <f>(O136-O123)/(K136-K123)</f>
        <v>-7.2499809645194369E-2</v>
      </c>
    </row>
    <row r="137" spans="1:19">
      <c r="A137" s="60">
        <f>MAX(A$12:A136)+1</f>
        <v>76</v>
      </c>
      <c r="C137" s="11" t="s">
        <v>82</v>
      </c>
      <c r="E137" s="88"/>
      <c r="F137" s="60"/>
      <c r="G137" s="79"/>
      <c r="H137" s="79"/>
      <c r="I137" s="79"/>
      <c r="J137" s="20"/>
      <c r="K137" s="84"/>
      <c r="L137" s="104"/>
      <c r="M137" s="84"/>
      <c r="N137" s="84"/>
      <c r="O137" s="84"/>
      <c r="P137" s="91"/>
      <c r="Q137" s="87">
        <f>(O121+O123+O134+O127)/(K121+K123+K134+K127)</f>
        <v>-0.10796324694624033</v>
      </c>
      <c r="R137" s="90"/>
      <c r="S137" s="87">
        <f>(O121+O134+O127)/(K121+K134+K127)</f>
        <v>-0.18970716341216601</v>
      </c>
    </row>
    <row r="138" spans="1:19">
      <c r="C138" s="4"/>
      <c r="E138" s="82"/>
      <c r="F138" s="60"/>
      <c r="G138" s="81"/>
      <c r="H138" s="81"/>
      <c r="I138" s="81"/>
      <c r="J138" s="20"/>
      <c r="K138" s="135"/>
      <c r="L138" s="136"/>
      <c r="M138" s="135"/>
      <c r="N138" s="125"/>
      <c r="O138" s="125"/>
      <c r="P138" s="91"/>
      <c r="Q138" s="90"/>
      <c r="R138" s="90"/>
      <c r="S138" s="89"/>
    </row>
    <row r="139" spans="1:19">
      <c r="E139" s="137"/>
      <c r="F139" s="60"/>
      <c r="G139" s="60"/>
      <c r="H139" s="60"/>
      <c r="I139" s="60"/>
      <c r="J139" s="60"/>
      <c r="K139" s="124"/>
      <c r="L139" s="124"/>
      <c r="M139" s="124"/>
      <c r="N139" s="124"/>
      <c r="O139" s="124"/>
      <c r="P139" s="60"/>
      <c r="Q139" s="89"/>
      <c r="R139" s="89"/>
      <c r="S139" s="89"/>
    </row>
    <row r="140" spans="1:19">
      <c r="C140" s="69" t="s">
        <v>95</v>
      </c>
      <c r="D140" s="69"/>
      <c r="E140" s="82"/>
      <c r="F140" s="60"/>
      <c r="G140" s="20"/>
      <c r="H140" s="83"/>
      <c r="I140" s="83"/>
      <c r="J140" s="20"/>
      <c r="K140" s="125"/>
      <c r="L140" s="125"/>
      <c r="M140" s="125"/>
      <c r="N140" s="125"/>
      <c r="O140" s="125"/>
      <c r="P140" s="23"/>
      <c r="Q140" s="90"/>
      <c r="R140" s="90"/>
      <c r="S140" s="89"/>
    </row>
    <row r="141" spans="1:19">
      <c r="A141" s="60">
        <f>MAX(A$12:A140)+1</f>
        <v>77</v>
      </c>
      <c r="C141" s="4" t="s">
        <v>31</v>
      </c>
      <c r="D141" s="4"/>
      <c r="E141" s="112">
        <f>'Attachment 2'!P142</f>
        <v>250000</v>
      </c>
      <c r="F141" s="60"/>
      <c r="G141" s="110"/>
      <c r="H141" s="79"/>
      <c r="I141" s="110"/>
      <c r="J141" s="20"/>
      <c r="K141" s="124"/>
      <c r="L141" s="124"/>
      <c r="M141" s="124"/>
      <c r="N141" s="124"/>
      <c r="O141" s="124"/>
      <c r="P141" s="60"/>
      <c r="Q141" s="89"/>
      <c r="R141" s="89"/>
      <c r="S141" s="89"/>
    </row>
    <row r="142" spans="1:19">
      <c r="C142" s="117"/>
      <c r="D142" s="117"/>
      <c r="E142" s="60"/>
      <c r="F142" s="60"/>
      <c r="G142" s="83"/>
      <c r="H142" s="83"/>
      <c r="I142" s="83"/>
      <c r="J142" s="20"/>
      <c r="K142" s="124"/>
      <c r="L142" s="124"/>
      <c r="M142" s="124"/>
      <c r="N142" s="124"/>
      <c r="O142" s="124"/>
      <c r="P142" s="60"/>
      <c r="Q142" s="89"/>
      <c r="R142" s="89"/>
      <c r="S142" s="89"/>
    </row>
    <row r="143" spans="1:19">
      <c r="C143" s="8" t="s">
        <v>32</v>
      </c>
      <c r="D143" s="5"/>
      <c r="E143" s="20"/>
      <c r="F143" s="60"/>
      <c r="G143" s="20"/>
      <c r="H143" s="20"/>
      <c r="I143" s="20"/>
      <c r="J143" s="20"/>
      <c r="K143" s="125"/>
      <c r="L143" s="125"/>
      <c r="M143" s="125"/>
      <c r="N143" s="125"/>
      <c r="O143" s="125"/>
      <c r="P143" s="20"/>
      <c r="Q143" s="90"/>
      <c r="R143" s="90"/>
      <c r="S143" s="89"/>
    </row>
    <row r="144" spans="1:19">
      <c r="A144" s="60">
        <f>MAX(A$12:A143)+1</f>
        <v>78</v>
      </c>
      <c r="C144" s="4" t="s">
        <v>84</v>
      </c>
      <c r="D144" s="6"/>
      <c r="E144" s="91" t="s">
        <v>34</v>
      </c>
      <c r="F144" s="60"/>
      <c r="G144" s="92">
        <f>G80</f>
        <v>76.58</v>
      </c>
      <c r="H144" s="92"/>
      <c r="I144" s="92">
        <f>I80</f>
        <v>80</v>
      </c>
      <c r="J144" s="92"/>
      <c r="K144" s="125">
        <f>G144*12</f>
        <v>918.96</v>
      </c>
      <c r="L144" s="125"/>
      <c r="M144" s="125">
        <f>I144*12</f>
        <v>960</v>
      </c>
      <c r="N144" s="125"/>
      <c r="O144" s="125">
        <f>M144-K144</f>
        <v>41.039999999999964</v>
      </c>
      <c r="P144" s="126"/>
      <c r="Q144" s="106"/>
      <c r="R144" s="90"/>
      <c r="S144" s="89"/>
    </row>
    <row r="145" spans="1:19">
      <c r="C145" s="4" t="s">
        <v>85</v>
      </c>
      <c r="D145" s="6"/>
      <c r="E145" s="91"/>
      <c r="F145" s="60"/>
      <c r="G145" s="79"/>
      <c r="H145" s="79"/>
      <c r="I145" s="79"/>
      <c r="J145" s="92"/>
      <c r="K145" s="125"/>
      <c r="L145" s="125"/>
      <c r="M145" s="125"/>
      <c r="N145" s="125"/>
      <c r="O145" s="125"/>
      <c r="P145" s="126"/>
      <c r="Q145" s="90"/>
      <c r="R145" s="90"/>
      <c r="S145" s="89"/>
    </row>
    <row r="146" spans="1:19">
      <c r="A146" s="60">
        <f>MAX(A$12:A145)+1</f>
        <v>79</v>
      </c>
      <c r="C146" s="11" t="s">
        <v>89</v>
      </c>
      <c r="D146" s="11"/>
      <c r="E146" s="112">
        <f>'Attachment 2'!P147</f>
        <v>12000</v>
      </c>
      <c r="F146" s="60"/>
      <c r="G146" s="110">
        <f>G82</f>
        <v>10.1913</v>
      </c>
      <c r="H146" s="79"/>
      <c r="I146" s="110">
        <f>I82</f>
        <v>6.7010673944326804</v>
      </c>
      <c r="J146" s="20"/>
      <c r="K146" s="125">
        <f>$E146*G146/100</f>
        <v>1222.9560000000001</v>
      </c>
      <c r="L146" s="125"/>
      <c r="M146" s="125">
        <f>$E146*I146/100</f>
        <v>804.12808733192173</v>
      </c>
      <c r="N146" s="125"/>
      <c r="O146" s="125">
        <f>M146-K146</f>
        <v>-418.8279126680784</v>
      </c>
      <c r="P146" s="126"/>
      <c r="Q146" s="90"/>
      <c r="R146" s="127"/>
      <c r="S146" s="89"/>
    </row>
    <row r="147" spans="1:19">
      <c r="A147" s="60">
        <f>MAX(A$12:A146)+1</f>
        <v>80</v>
      </c>
      <c r="C147" s="11" t="s">
        <v>90</v>
      </c>
      <c r="D147" s="11"/>
      <c r="E147" s="112">
        <f>'Attachment 2'!P148</f>
        <v>102951.74</v>
      </c>
      <c r="F147" s="60"/>
      <c r="G147" s="110">
        <f>G83</f>
        <v>8.3182000000000009</v>
      </c>
      <c r="H147" s="79"/>
      <c r="I147" s="110">
        <f>I83</f>
        <v>5.3579628354469531</v>
      </c>
      <c r="J147" s="20"/>
      <c r="K147" s="125">
        <f>$E147*G147/100</f>
        <v>8563.7316366800005</v>
      </c>
      <c r="L147" s="125"/>
      <c r="M147" s="125">
        <f>$E147*I147/100</f>
        <v>5516.1159676459756</v>
      </c>
      <c r="N147" s="125"/>
      <c r="O147" s="125">
        <f t="shared" ref="O147:O150" si="10">M147-K147</f>
        <v>-3047.6156690340249</v>
      </c>
      <c r="P147" s="126"/>
      <c r="Q147" s="90"/>
      <c r="R147" s="127"/>
      <c r="S147" s="89"/>
    </row>
    <row r="148" spans="1:19">
      <c r="A148" s="60">
        <f>MAX(A$12:A147)+1</f>
        <v>81</v>
      </c>
      <c r="C148" s="11" t="s">
        <v>91</v>
      </c>
      <c r="D148" s="11"/>
      <c r="E148" s="112">
        <f>'Attachment 2'!P149</f>
        <v>118632.28</v>
      </c>
      <c r="F148" s="60"/>
      <c r="G148" s="110">
        <f>G84</f>
        <v>7.2328000000000001</v>
      </c>
      <c r="H148" s="79"/>
      <c r="I148" s="110">
        <f>I84</f>
        <v>4.5796778061783021</v>
      </c>
      <c r="J148" s="20"/>
      <c r="K148" s="125">
        <f>$E148*G148/100</f>
        <v>8580.4355478400012</v>
      </c>
      <c r="L148" s="125"/>
      <c r="M148" s="125">
        <f>$E148*I148/100</f>
        <v>5432.9761981233014</v>
      </c>
      <c r="N148" s="125"/>
      <c r="O148" s="125">
        <f t="shared" si="10"/>
        <v>-3147.4593497166998</v>
      </c>
      <c r="P148" s="126"/>
      <c r="Q148" s="90"/>
      <c r="R148" s="127"/>
      <c r="S148" s="89"/>
    </row>
    <row r="149" spans="1:19">
      <c r="A149" s="60">
        <f>MAX(A$12:A148)+1</f>
        <v>82</v>
      </c>
      <c r="C149" s="11" t="s">
        <v>92</v>
      </c>
      <c r="D149" s="11"/>
      <c r="E149" s="112">
        <f>'Attachment 2'!P150</f>
        <v>16415.990000000002</v>
      </c>
      <c r="F149" s="60"/>
      <c r="G149" s="110">
        <f>G85</f>
        <v>6.5511999999999997</v>
      </c>
      <c r="H149" s="79"/>
      <c r="I149" s="110">
        <f>I85</f>
        <v>4.0909371797276739</v>
      </c>
      <c r="J149" s="20"/>
      <c r="K149" s="125">
        <f>$E149*G149/100</f>
        <v>1075.44433688</v>
      </c>
      <c r="L149" s="125"/>
      <c r="M149" s="125">
        <f>$E149*I149/100</f>
        <v>671.56783833037696</v>
      </c>
      <c r="N149" s="125"/>
      <c r="O149" s="125">
        <f t="shared" si="10"/>
        <v>-403.87649854962308</v>
      </c>
      <c r="P149" s="126"/>
      <c r="Q149" s="90"/>
      <c r="R149" s="127"/>
      <c r="S149" s="89"/>
    </row>
    <row r="150" spans="1:19">
      <c r="A150" s="60">
        <f>MAX(A$12:A149)+1</f>
        <v>83</v>
      </c>
      <c r="C150" s="11" t="s">
        <v>93</v>
      </c>
      <c r="D150" s="11"/>
      <c r="E150" s="113">
        <f>'Attachment 2'!P151</f>
        <v>0</v>
      </c>
      <c r="F150" s="60"/>
      <c r="G150" s="110">
        <f>G86</f>
        <v>3.9687000000000001</v>
      </c>
      <c r="H150" s="79"/>
      <c r="I150" s="110">
        <f>I86</f>
        <v>2.2391580309472348</v>
      </c>
      <c r="J150" s="20"/>
      <c r="K150" s="125">
        <f>$E150*G150/100</f>
        <v>0</v>
      </c>
      <c r="L150" s="125"/>
      <c r="M150" s="125">
        <f>$E150*I150/100</f>
        <v>0</v>
      </c>
      <c r="N150" s="125"/>
      <c r="O150" s="125">
        <f t="shared" si="10"/>
        <v>0</v>
      </c>
      <c r="P150" s="97"/>
      <c r="Q150" s="89"/>
      <c r="R150" s="90"/>
      <c r="S150" s="89"/>
    </row>
    <row r="151" spans="1:19">
      <c r="A151" s="60">
        <f>MAX(A$12:A150)+1</f>
        <v>84</v>
      </c>
      <c r="C151" s="4" t="s">
        <v>40</v>
      </c>
      <c r="D151" s="6"/>
      <c r="E151" s="112">
        <f>SUM(E146:E150)</f>
        <v>250000.01</v>
      </c>
      <c r="F151" s="60"/>
      <c r="G151" s="110"/>
      <c r="H151" s="79"/>
      <c r="I151" s="110"/>
      <c r="J151" s="20"/>
      <c r="K151" s="128">
        <f>SUM(K146:K150)</f>
        <v>19442.5675214</v>
      </c>
      <c r="L151" s="125"/>
      <c r="M151" s="128">
        <f>SUM(M146:M150)</f>
        <v>12424.788091431576</v>
      </c>
      <c r="N151" s="125"/>
      <c r="O151" s="128">
        <f>SUM(O146:O150)</f>
        <v>-7017.7794299684256</v>
      </c>
      <c r="P151" s="126"/>
      <c r="Q151" s="87"/>
      <c r="R151" s="90"/>
      <c r="S151" s="89"/>
    </row>
    <row r="152" spans="1:19">
      <c r="A152" s="60">
        <f>MAX(A$12:A151)+1</f>
        <v>85</v>
      </c>
      <c r="C152" s="4" t="s">
        <v>41</v>
      </c>
      <c r="D152" s="4"/>
      <c r="E152" s="112">
        <f>$E$141</f>
        <v>250000</v>
      </c>
      <c r="F152" s="60"/>
      <c r="G152" s="110">
        <f>G88</f>
        <v>1.41E-2</v>
      </c>
      <c r="H152" s="79"/>
      <c r="I152" s="110">
        <f>I88</f>
        <v>1.41E-2</v>
      </c>
      <c r="J152" s="129"/>
      <c r="K152" s="125">
        <f>$G$88*E152/100</f>
        <v>35.25</v>
      </c>
      <c r="L152" s="125"/>
      <c r="M152" s="125">
        <f>$I$88*E152/100</f>
        <v>35.25</v>
      </c>
      <c r="N152" s="125"/>
      <c r="O152" s="125">
        <f>M152-K152</f>
        <v>0</v>
      </c>
      <c r="P152" s="126"/>
      <c r="Q152" s="90"/>
      <c r="R152" s="90"/>
      <c r="S152" s="89"/>
    </row>
    <row r="153" spans="1:19">
      <c r="A153" s="60">
        <f>MAX(A$12:A152)+1</f>
        <v>86</v>
      </c>
      <c r="C153" s="4" t="s">
        <v>42</v>
      </c>
      <c r="D153" s="9"/>
      <c r="E153" s="112"/>
      <c r="F153" s="60"/>
      <c r="G153" s="110"/>
      <c r="H153" s="79"/>
      <c r="I153" s="110"/>
      <c r="J153" s="20"/>
      <c r="K153" s="130">
        <f>K151+K144+K152</f>
        <v>20396.777521399999</v>
      </c>
      <c r="L153" s="125"/>
      <c r="M153" s="130">
        <f>M151+M144+M152</f>
        <v>13420.038091431576</v>
      </c>
      <c r="N153" s="125"/>
      <c r="O153" s="130">
        <f>O151+O144+O152</f>
        <v>-6976.7394299684256</v>
      </c>
      <c r="P153" s="126"/>
      <c r="Q153" s="96">
        <f>O153/K153</f>
        <v>-0.3420510628528714</v>
      </c>
      <c r="R153" s="90"/>
      <c r="S153" s="131">
        <f>Q153</f>
        <v>-0.3420510628528714</v>
      </c>
    </row>
    <row r="154" spans="1:19">
      <c r="C154" s="4"/>
      <c r="D154" s="9"/>
      <c r="E154" s="112"/>
      <c r="F154" s="60"/>
      <c r="G154" s="110"/>
      <c r="H154" s="79"/>
      <c r="I154" s="110"/>
      <c r="J154" s="20"/>
      <c r="K154" s="124"/>
      <c r="L154" s="124"/>
      <c r="M154" s="124"/>
      <c r="N154" s="124"/>
      <c r="O154" s="124"/>
      <c r="P154" s="97"/>
      <c r="Q154" s="89"/>
      <c r="R154" s="89"/>
      <c r="S154" s="89"/>
    </row>
    <row r="155" spans="1:19">
      <c r="A155" s="60">
        <f>MAX(A$12:A154)+1</f>
        <v>87</v>
      </c>
      <c r="C155" s="4" t="s">
        <v>43</v>
      </c>
      <c r="D155" s="4"/>
      <c r="E155" s="112">
        <f>$E$141</f>
        <v>250000</v>
      </c>
      <c r="F155" s="60"/>
      <c r="G155" s="110">
        <f>G91</f>
        <v>9.7899999999999991</v>
      </c>
      <c r="H155" s="79"/>
      <c r="I155" s="110">
        <f>I91</f>
        <v>9.7899999999999991</v>
      </c>
      <c r="J155" s="129"/>
      <c r="K155" s="125">
        <f>$G$91*E155/100</f>
        <v>24475</v>
      </c>
      <c r="L155" s="125"/>
      <c r="M155" s="125">
        <f>$I$91*E155/100</f>
        <v>24475</v>
      </c>
      <c r="N155" s="125"/>
      <c r="O155" s="125">
        <f>M155-K155</f>
        <v>0</v>
      </c>
      <c r="P155" s="126"/>
      <c r="Q155" s="87">
        <f>O155/K155</f>
        <v>0</v>
      </c>
      <c r="R155" s="90"/>
      <c r="S155" s="89">
        <f>Q155</f>
        <v>0</v>
      </c>
    </row>
    <row r="156" spans="1:19">
      <c r="C156" s="8"/>
      <c r="D156" s="8"/>
      <c r="E156" s="112"/>
      <c r="F156" s="60"/>
      <c r="G156" s="110"/>
      <c r="H156" s="79"/>
      <c r="I156" s="110"/>
      <c r="J156" s="132"/>
      <c r="K156" s="125"/>
      <c r="L156" s="125"/>
      <c r="M156" s="125"/>
      <c r="N156" s="125"/>
      <c r="O156" s="125"/>
      <c r="P156" s="126"/>
      <c r="Q156" s="90"/>
      <c r="R156" s="90"/>
      <c r="S156" s="89"/>
    </row>
    <row r="157" spans="1:19">
      <c r="C157" s="8" t="s">
        <v>44</v>
      </c>
      <c r="D157" s="5"/>
      <c r="E157" s="112"/>
      <c r="F157" s="60"/>
      <c r="G157" s="110"/>
      <c r="H157" s="79"/>
      <c r="I157" s="110"/>
      <c r="J157" s="20"/>
      <c r="K157" s="125"/>
      <c r="L157" s="125"/>
      <c r="M157" s="125"/>
      <c r="N157" s="125"/>
      <c r="O157" s="125"/>
      <c r="P157" s="91"/>
      <c r="Q157" s="90"/>
      <c r="R157" s="90"/>
      <c r="S157" s="89"/>
    </row>
    <row r="158" spans="1:19">
      <c r="A158" s="60">
        <f>MAX(A$12:A157)+1</f>
        <v>88</v>
      </c>
      <c r="C158" s="4" t="s">
        <v>44</v>
      </c>
      <c r="D158" s="6"/>
      <c r="E158" s="112">
        <f>$E$141</f>
        <v>250000</v>
      </c>
      <c r="F158" s="60"/>
      <c r="G158" s="110">
        <f>G94</f>
        <v>3.9398999999999997</v>
      </c>
      <c r="H158" s="79"/>
      <c r="I158" s="110">
        <f>I94</f>
        <v>3.0486237145335942</v>
      </c>
      <c r="J158" s="20"/>
      <c r="K158" s="125">
        <f>E158*$G158/100</f>
        <v>9849.7499999999982</v>
      </c>
      <c r="L158" s="125"/>
      <c r="M158" s="125">
        <f>E158*$I158/100</f>
        <v>7621.5592863339853</v>
      </c>
      <c r="N158" s="125"/>
      <c r="O158" s="125">
        <f>M158-K158</f>
        <v>-2228.1907136660129</v>
      </c>
      <c r="P158" s="126"/>
      <c r="Q158" s="90"/>
      <c r="R158" s="89"/>
      <c r="S158" s="89"/>
    </row>
    <row r="159" spans="1:19">
      <c r="A159" s="60">
        <f>MAX(A$12:A158)+1</f>
        <v>89</v>
      </c>
      <c r="C159" s="4" t="s">
        <v>77</v>
      </c>
      <c r="D159" s="9"/>
      <c r="E159" s="112">
        <f>$E$141</f>
        <v>250000</v>
      </c>
      <c r="F159" s="60"/>
      <c r="G159" s="110">
        <f>G95</f>
        <v>1.8104</v>
      </c>
      <c r="H159" s="79"/>
      <c r="I159" s="110">
        <f>I95</f>
        <v>1.8857001088278693</v>
      </c>
      <c r="J159" s="20"/>
      <c r="K159" s="125">
        <f>E159*$G159/100</f>
        <v>4526</v>
      </c>
      <c r="L159" s="125"/>
      <c r="M159" s="125">
        <f>E159*$I159/100</f>
        <v>4714.2502720696739</v>
      </c>
      <c r="N159" s="125"/>
      <c r="O159" s="125">
        <f>M159-K159</f>
        <v>188.25027206967388</v>
      </c>
      <c r="P159" s="126"/>
      <c r="Q159" s="90"/>
      <c r="R159" s="89"/>
      <c r="S159" s="89"/>
    </row>
    <row r="160" spans="1:19">
      <c r="A160" s="60">
        <f>MAX(A$12:A159)+1</f>
        <v>90</v>
      </c>
      <c r="C160" s="4" t="s">
        <v>78</v>
      </c>
      <c r="D160" s="9"/>
      <c r="E160" s="112"/>
      <c r="F160" s="60"/>
      <c r="G160" s="110"/>
      <c r="H160" s="79"/>
      <c r="I160" s="110"/>
      <c r="J160" s="20"/>
      <c r="K160" s="130">
        <f>SUM(K158:K159)</f>
        <v>14375.749999999998</v>
      </c>
      <c r="L160" s="125"/>
      <c r="M160" s="130">
        <f>SUM(M158:M159)</f>
        <v>12335.80955840366</v>
      </c>
      <c r="N160" s="125"/>
      <c r="O160" s="130">
        <f>SUM(O157:O159)</f>
        <v>-2039.940441596339</v>
      </c>
      <c r="P160" s="126"/>
      <c r="Q160" s="96">
        <f>O160/K160</f>
        <v>-0.14190149672861169</v>
      </c>
      <c r="R160" s="89"/>
      <c r="S160" s="131">
        <f>Q160</f>
        <v>-0.14190149672861169</v>
      </c>
    </row>
    <row r="161" spans="1:19">
      <c r="C161" s="4"/>
      <c r="D161" s="9"/>
      <c r="E161" s="112"/>
      <c r="F161" s="60"/>
      <c r="G161" s="110"/>
      <c r="H161" s="79"/>
      <c r="I161" s="110"/>
      <c r="J161" s="20"/>
      <c r="K161" s="125"/>
      <c r="L161" s="124"/>
      <c r="M161" s="125"/>
      <c r="N161" s="124"/>
      <c r="O161" s="125"/>
      <c r="P161" s="91"/>
      <c r="Q161" s="90"/>
      <c r="R161" s="89"/>
      <c r="S161" s="89"/>
    </row>
    <row r="162" spans="1:19">
      <c r="A162" s="60">
        <f>MAX(A$12:A161)+1</f>
        <v>91</v>
      </c>
      <c r="C162" s="4" t="s">
        <v>86</v>
      </c>
      <c r="D162" s="9"/>
      <c r="E162" s="112">
        <f>$E$141</f>
        <v>250000</v>
      </c>
      <c r="F162" s="60"/>
      <c r="G162" s="110">
        <f>G98</f>
        <v>18.274100000000001</v>
      </c>
      <c r="H162" s="79"/>
      <c r="I162" s="110">
        <f>I98</f>
        <v>20.903604607530845</v>
      </c>
      <c r="J162" s="20"/>
      <c r="K162" s="125">
        <f>E162*$G162/100</f>
        <v>45685.25</v>
      </c>
      <c r="L162" s="125"/>
      <c r="M162" s="125">
        <f>E162*$I162/100</f>
        <v>52259.011518827108</v>
      </c>
      <c r="N162" s="125"/>
      <c r="O162" s="125">
        <f>M162-K162</f>
        <v>6573.7615188271084</v>
      </c>
      <c r="P162" s="126"/>
      <c r="Q162" s="87">
        <f>O162/K162</f>
        <v>0.1438924273989331</v>
      </c>
      <c r="R162" s="90"/>
      <c r="S162" s="89"/>
    </row>
    <row r="163" spans="1:19">
      <c r="C163" s="4"/>
      <c r="D163" s="8"/>
      <c r="E163" s="112"/>
      <c r="F163" s="60"/>
      <c r="G163" s="110"/>
      <c r="H163" s="79"/>
      <c r="I163" s="110"/>
      <c r="J163" s="20"/>
      <c r="K163" s="125"/>
      <c r="L163" s="124"/>
      <c r="M163" s="125"/>
      <c r="N163" s="125"/>
      <c r="O163" s="125"/>
      <c r="P163" s="91"/>
      <c r="Q163" s="90"/>
      <c r="R163" s="90"/>
      <c r="S163" s="89"/>
    </row>
    <row r="164" spans="1:19" ht="13.5" thickBot="1">
      <c r="A164" s="60">
        <f>MAX(A$12:A163)+1</f>
        <v>92</v>
      </c>
      <c r="C164" s="4" t="s">
        <v>46</v>
      </c>
      <c r="D164" s="8"/>
      <c r="E164" s="112"/>
      <c r="F164" s="60"/>
      <c r="G164" s="110"/>
      <c r="H164" s="79"/>
      <c r="I164" s="110"/>
      <c r="J164" s="20"/>
      <c r="K164" s="133">
        <f>K153+K155+K160+K162</f>
        <v>104932.7775214</v>
      </c>
      <c r="L164" s="125"/>
      <c r="M164" s="133">
        <f>M153+M155+M160+M162</f>
        <v>102489.85916866234</v>
      </c>
      <c r="N164" s="125"/>
      <c r="O164" s="133">
        <f>M164-K164</f>
        <v>-2442.918352737659</v>
      </c>
      <c r="P164" s="126"/>
      <c r="Q164" s="102">
        <f>O164/K164</f>
        <v>-2.328079376569871E-2</v>
      </c>
      <c r="R164" s="90"/>
      <c r="S164" s="134">
        <f>(O153+O160+O162)/(K153+K160+K162)</f>
        <v>-3.0362737177122408E-2</v>
      </c>
    </row>
    <row r="165" spans="1:19" ht="13.5" thickTop="1">
      <c r="C165" s="4"/>
      <c r="D165" s="8"/>
      <c r="E165" s="82"/>
      <c r="F165" s="60"/>
      <c r="G165" s="81"/>
      <c r="H165" s="81"/>
      <c r="I165" s="81"/>
      <c r="J165" s="20"/>
      <c r="K165" s="125"/>
      <c r="L165" s="124"/>
      <c r="M165" s="125"/>
      <c r="N165" s="125"/>
      <c r="O165" s="125"/>
      <c r="P165" s="91"/>
      <c r="Q165" s="90"/>
      <c r="R165" s="90"/>
      <c r="S165" s="89"/>
    </row>
    <row r="166" spans="1:19">
      <c r="A166" s="60">
        <f>MAX(A$13:A165)+1</f>
        <v>93</v>
      </c>
      <c r="C166" s="4" t="s">
        <v>80</v>
      </c>
      <c r="E166" s="112">
        <f>$E$45</f>
        <v>40000</v>
      </c>
      <c r="F166" s="60"/>
      <c r="G166" s="110">
        <f>G102</f>
        <v>3.9398999999999997</v>
      </c>
      <c r="H166" s="79"/>
      <c r="I166" s="110">
        <f>I102</f>
        <v>4.9105906200266034</v>
      </c>
      <c r="J166" s="60"/>
      <c r="K166" s="75">
        <f>$E166*G166/100</f>
        <v>1575.96</v>
      </c>
      <c r="L166" s="75"/>
      <c r="M166" s="75">
        <f>$E166*I166/100</f>
        <v>1964.2362480106415</v>
      </c>
      <c r="N166" s="75"/>
      <c r="O166" s="84">
        <f t="shared" ref="O166" si="11">M166-K166</f>
        <v>388.27624801064144</v>
      </c>
      <c r="P166" s="60"/>
      <c r="Q166" s="103"/>
      <c r="R166" s="89"/>
      <c r="S166" s="103"/>
    </row>
    <row r="167" spans="1:19">
      <c r="E167" s="82"/>
      <c r="F167" s="60"/>
      <c r="G167" s="79"/>
      <c r="H167" s="79"/>
      <c r="I167" s="79"/>
      <c r="J167" s="20"/>
      <c r="K167" s="135"/>
      <c r="L167" s="136"/>
      <c r="M167" s="135"/>
      <c r="N167" s="125"/>
      <c r="O167" s="125"/>
      <c r="P167" s="91"/>
      <c r="Q167" s="90"/>
      <c r="R167" s="90"/>
      <c r="S167" s="89"/>
    </row>
    <row r="168" spans="1:19">
      <c r="A168" s="60">
        <f>MAX(A$12:A167)+1</f>
        <v>94</v>
      </c>
      <c r="C168" s="4" t="s">
        <v>81</v>
      </c>
      <c r="D168" s="9"/>
      <c r="E168" s="88"/>
      <c r="F168" s="60"/>
      <c r="G168" s="79"/>
      <c r="H168" s="79"/>
      <c r="I168" s="79"/>
      <c r="J168" s="20"/>
      <c r="K168" s="94">
        <f>K153+K155+K166+K159+M162</f>
        <v>103232.74904022711</v>
      </c>
      <c r="L168" s="84"/>
      <c r="M168" s="94">
        <f>M153+M155+M166+M159+M162</f>
        <v>96832.536130338995</v>
      </c>
      <c r="N168" s="84"/>
      <c r="O168" s="94">
        <f>M168-K168</f>
        <v>-6400.2129098881123</v>
      </c>
      <c r="P168" s="91"/>
      <c r="Q168" s="96">
        <f>O168/K168</f>
        <v>-6.1997892813976274E-2</v>
      </c>
      <c r="R168" s="90"/>
      <c r="S168" s="96">
        <f>(O168-O155)/(K168-K155)</f>
        <v>-8.1264548414392526E-2</v>
      </c>
    </row>
    <row r="169" spans="1:19">
      <c r="A169" s="60">
        <f>MAX(A$12:A168)+1</f>
        <v>95</v>
      </c>
      <c r="C169" s="11" t="s">
        <v>82</v>
      </c>
      <c r="E169" s="88"/>
      <c r="F169" s="60"/>
      <c r="G169" s="79"/>
      <c r="H169" s="79"/>
      <c r="I169" s="79"/>
      <c r="J169" s="20"/>
      <c r="K169" s="84"/>
      <c r="L169" s="104"/>
      <c r="M169" s="84"/>
      <c r="N169" s="84"/>
      <c r="O169" s="84"/>
      <c r="P169" s="91"/>
      <c r="Q169" s="87">
        <f>(O153+O155+O166+O159)/(K153+K155+K166+K159)</f>
        <v>-0.12555902747372893</v>
      </c>
      <c r="R169" s="90"/>
      <c r="S169" s="87">
        <f>(O153+O166+O159)/(K153+K166+K159)</f>
        <v>-0.24152897490755515</v>
      </c>
    </row>
    <row r="170" spans="1:19">
      <c r="E170" s="123"/>
      <c r="J170" s="12"/>
      <c r="K170" s="62"/>
      <c r="L170" s="62"/>
      <c r="M170" s="62"/>
      <c r="N170" s="62"/>
      <c r="P170" s="62"/>
      <c r="Q170" s="122"/>
      <c r="R170" s="122"/>
      <c r="S170" s="122"/>
    </row>
    <row r="171" spans="1:19">
      <c r="A171" s="24" t="s">
        <v>64</v>
      </c>
      <c r="J171" s="12"/>
      <c r="K171" s="62"/>
      <c r="L171" s="62"/>
      <c r="M171" s="62"/>
      <c r="N171" s="62"/>
      <c r="P171" s="62"/>
      <c r="Q171" s="62"/>
      <c r="R171" s="62"/>
    </row>
    <row r="172" spans="1:19">
      <c r="A172" s="77" t="s">
        <v>65</v>
      </c>
      <c r="C172" t="s">
        <v>66</v>
      </c>
      <c r="J172" s="12"/>
      <c r="K172" s="62"/>
      <c r="L172" s="62"/>
      <c r="M172" s="62"/>
      <c r="N172" s="62"/>
      <c r="P172" s="62"/>
      <c r="Q172" s="62"/>
      <c r="R172" s="62"/>
    </row>
    <row r="173" spans="1:19">
      <c r="A173" s="77" t="s">
        <v>67</v>
      </c>
      <c r="C173" t="s">
        <v>68</v>
      </c>
      <c r="J173" s="12"/>
      <c r="K173" s="62"/>
      <c r="L173" s="62"/>
      <c r="M173" s="62"/>
      <c r="N173" s="62"/>
      <c r="P173" s="62"/>
      <c r="Q173" s="62"/>
      <c r="R173" s="62"/>
    </row>
    <row r="174" spans="1:19">
      <c r="Q174" s="122"/>
      <c r="R174" s="122"/>
      <c r="S174" s="122"/>
    </row>
    <row r="175" spans="1:19">
      <c r="Q175" s="122"/>
      <c r="R175" s="122"/>
      <c r="S175" s="122"/>
    </row>
    <row r="176" spans="1:19">
      <c r="Q176" s="122"/>
      <c r="R176" s="122"/>
      <c r="S176" s="122"/>
    </row>
    <row r="177" spans="17:19">
      <c r="Q177" s="122"/>
      <c r="R177" s="122"/>
      <c r="S177" s="122"/>
    </row>
    <row r="178" spans="17:19">
      <c r="Q178" s="122"/>
      <c r="R178" s="122"/>
      <c r="S178" s="122"/>
    </row>
    <row r="179" spans="17:19">
      <c r="Q179" s="122"/>
      <c r="R179" s="122"/>
      <c r="S179" s="122"/>
    </row>
    <row r="180" spans="17:19">
      <c r="Q180" s="122"/>
      <c r="R180" s="122"/>
      <c r="S180" s="122"/>
    </row>
    <row r="181" spans="17:19">
      <c r="Q181" s="122"/>
      <c r="R181" s="122"/>
      <c r="S181" s="122"/>
    </row>
    <row r="182" spans="17:19">
      <c r="Q182" s="122"/>
      <c r="R182" s="122"/>
      <c r="S182" s="122"/>
    </row>
    <row r="183" spans="17:19">
      <c r="Q183" s="122"/>
      <c r="R183" s="122"/>
      <c r="S183" s="122"/>
    </row>
    <row r="184" spans="17:19">
      <c r="Q184" s="122"/>
      <c r="R184" s="122"/>
      <c r="S184" s="122"/>
    </row>
    <row r="185" spans="17:19">
      <c r="Q185" s="122"/>
      <c r="R185" s="122"/>
      <c r="S185" s="122"/>
    </row>
    <row r="186" spans="17:19">
      <c r="Q186" s="122"/>
      <c r="R186" s="122"/>
      <c r="S186" s="122"/>
    </row>
    <row r="187" spans="17:19">
      <c r="Q187" s="122"/>
      <c r="R187" s="122"/>
      <c r="S187" s="122"/>
    </row>
    <row r="188" spans="17:19">
      <c r="Q188" s="122"/>
      <c r="R188" s="122"/>
      <c r="S188" s="122"/>
    </row>
    <row r="189" spans="17:19">
      <c r="Q189" s="122"/>
      <c r="R189" s="122"/>
      <c r="S189" s="122"/>
    </row>
    <row r="190" spans="17:19">
      <c r="Q190" s="122"/>
      <c r="R190" s="122"/>
      <c r="S190" s="122"/>
    </row>
    <row r="191" spans="17:19">
      <c r="Q191" s="122"/>
      <c r="R191" s="122"/>
      <c r="S191" s="122"/>
    </row>
    <row r="192" spans="17:19">
      <c r="Q192" s="122"/>
      <c r="R192" s="122"/>
      <c r="S192" s="122"/>
    </row>
    <row r="193" spans="17:19">
      <c r="Q193" s="122"/>
      <c r="R193" s="122"/>
      <c r="S193" s="122"/>
    </row>
    <row r="194" spans="17:19">
      <c r="Q194" s="122"/>
      <c r="R194" s="122"/>
      <c r="S194" s="122"/>
    </row>
    <row r="195" spans="17:19">
      <c r="Q195" s="122"/>
      <c r="R195" s="122"/>
      <c r="S195" s="122"/>
    </row>
    <row r="196" spans="17:19">
      <c r="Q196" s="122"/>
      <c r="R196" s="122"/>
      <c r="S196" s="122"/>
    </row>
    <row r="197" spans="17:19">
      <c r="Q197" s="122"/>
      <c r="R197" s="122"/>
      <c r="S197" s="122"/>
    </row>
    <row r="198" spans="17:19">
      <c r="Q198" s="122"/>
      <c r="R198" s="122"/>
      <c r="S198" s="122"/>
    </row>
    <row r="199" spans="17:19">
      <c r="Q199" s="122"/>
      <c r="R199" s="122"/>
      <c r="S199" s="122"/>
    </row>
    <row r="200" spans="17:19">
      <c r="Q200" s="122"/>
      <c r="R200" s="122"/>
      <c r="S200" s="122"/>
    </row>
    <row r="201" spans="17:19">
      <c r="Q201" s="122"/>
      <c r="R201" s="122"/>
      <c r="S201" s="122"/>
    </row>
    <row r="202" spans="17:19">
      <c r="Q202" s="122"/>
      <c r="R202" s="122"/>
      <c r="S202" s="122"/>
    </row>
    <row r="1048493" spans="3:4">
      <c r="C1048493" s="9"/>
      <c r="D1048493" s="9"/>
    </row>
  </sheetData>
  <mergeCells count="5">
    <mergeCell ref="G7:I7"/>
    <mergeCell ref="K7:M7"/>
    <mergeCell ref="O7:S7"/>
    <mergeCell ref="A4:S4"/>
    <mergeCell ref="A5:S5"/>
  </mergeCells>
  <printOptions horizontalCentered="1"/>
  <pageMargins left="0.5" right="0.5" top="0.75" bottom="0.5" header="0.31496062992126" footer="0.31496062992126"/>
  <pageSetup scale="50" firstPageNumber="3" fitToHeight="0" orientation="portrait" useFirstPageNumber="1" r:id="rId1"/>
  <headerFooter>
    <oddHeader>&amp;RFiled: 2023-04-06
EB-2022-0200
Exhibit JT8.7
Attachment 1
Page &amp;P of 8</oddHeader>
  </headerFooter>
  <rowBreaks count="1" manualBreakCount="1">
    <brk id="75" max="1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85AD4-9489-45A1-9C7F-11D64CCE669A}">
  <dimension ref="A1:U1048484"/>
  <sheetViews>
    <sheetView view="pageLayout" zoomScaleNormal="80" zoomScaleSheetLayoutView="80" workbookViewId="0">
      <selection activeCell="G23" sqref="G23"/>
    </sheetView>
  </sheetViews>
  <sheetFormatPr defaultColWidth="9.140625" defaultRowHeight="12.75"/>
  <cols>
    <col min="1" max="1" width="5.42578125" customWidth="1"/>
    <col min="2" max="2" width="1.7109375" customWidth="1"/>
    <col min="3" max="3" width="36.7109375" customWidth="1"/>
    <col min="4" max="4" width="1.7109375" customWidth="1"/>
    <col min="5" max="5" width="15.7109375" customWidth="1"/>
    <col min="6" max="6" width="1.7109375" customWidth="1"/>
    <col min="7" max="7" width="15.7109375" customWidth="1"/>
    <col min="8" max="8" width="1.7109375" customWidth="1"/>
    <col min="9" max="9" width="15.7109375" customWidth="1"/>
    <col min="10" max="10" width="1.7109375" customWidth="1"/>
    <col min="11" max="11" width="15.7109375" customWidth="1"/>
    <col min="12" max="12" width="1.7109375" customWidth="1"/>
    <col min="13" max="13" width="15.7109375" customWidth="1"/>
    <col min="14" max="14" width="1.7109375" customWidth="1"/>
    <col min="15" max="15" width="15.7109375" style="59" customWidth="1"/>
    <col min="16" max="16" width="1.7109375" customWidth="1"/>
    <col min="17" max="17" width="15.7109375" customWidth="1"/>
    <col min="18" max="18" width="1.7109375" customWidth="1"/>
    <col min="19" max="19" width="15.7109375" customWidth="1"/>
    <col min="20" max="20" width="1.7109375" customWidth="1"/>
  </cols>
  <sheetData>
    <row r="1" spans="1:21">
      <c r="U1" t="s">
        <v>96</v>
      </c>
    </row>
    <row r="4" spans="1:21">
      <c r="A4" s="149" t="s">
        <v>1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</row>
    <row r="5" spans="1:21">
      <c r="A5" s="149" t="s">
        <v>97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</row>
    <row r="6" spans="1:21">
      <c r="A6" s="116"/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</row>
    <row r="7" spans="1:21">
      <c r="G7" s="150" t="s">
        <v>3</v>
      </c>
      <c r="H7" s="150"/>
      <c r="I7" s="150"/>
      <c r="K7" s="148" t="s">
        <v>4</v>
      </c>
      <c r="L7" s="148"/>
      <c r="M7" s="148"/>
      <c r="O7" s="151" t="s">
        <v>5</v>
      </c>
      <c r="P7" s="151"/>
      <c r="Q7" s="151"/>
      <c r="R7" s="151"/>
      <c r="S7" s="151"/>
    </row>
    <row r="8" spans="1:21">
      <c r="E8" s="60"/>
      <c r="G8" s="1"/>
      <c r="I8" s="1"/>
      <c r="K8" s="1"/>
      <c r="M8" s="1"/>
      <c r="N8" s="2"/>
      <c r="O8" s="22" t="s">
        <v>4</v>
      </c>
      <c r="P8" s="3"/>
      <c r="Q8" s="23" t="s">
        <v>6</v>
      </c>
      <c r="R8" s="3"/>
      <c r="S8" s="23" t="s">
        <v>7</v>
      </c>
    </row>
    <row r="9" spans="1:21">
      <c r="A9" s="60" t="s">
        <v>8</v>
      </c>
      <c r="E9" s="60" t="s">
        <v>9</v>
      </c>
      <c r="G9" s="1" t="s">
        <v>10</v>
      </c>
      <c r="I9" s="1" t="s">
        <v>11</v>
      </c>
      <c r="K9" s="1" t="s">
        <v>12</v>
      </c>
      <c r="M9" s="1" t="s">
        <v>13</v>
      </c>
      <c r="N9" s="62"/>
      <c r="O9" s="61" t="s">
        <v>14</v>
      </c>
      <c r="P9" s="62"/>
      <c r="Q9" s="63" t="s">
        <v>15</v>
      </c>
      <c r="R9" s="62"/>
      <c r="S9" s="63" t="s">
        <v>15</v>
      </c>
    </row>
    <row r="10" spans="1:21" ht="14.25">
      <c r="A10" s="64" t="s">
        <v>16</v>
      </c>
      <c r="C10" s="65" t="s">
        <v>17</v>
      </c>
      <c r="D10" s="65"/>
      <c r="E10" s="66" t="s">
        <v>18</v>
      </c>
      <c r="G10" s="29" t="s">
        <v>19</v>
      </c>
      <c r="I10" s="29" t="s">
        <v>19</v>
      </c>
      <c r="K10" s="67" t="s">
        <v>20</v>
      </c>
      <c r="L10" s="63"/>
      <c r="M10" s="67" t="s">
        <v>20</v>
      </c>
      <c r="N10" s="62"/>
      <c r="O10" s="68" t="s">
        <v>20</v>
      </c>
      <c r="P10" s="62"/>
      <c r="Q10" s="67" t="s">
        <v>21</v>
      </c>
      <c r="R10" s="62"/>
      <c r="S10" s="67" t="s">
        <v>21</v>
      </c>
    </row>
    <row r="11" spans="1:21">
      <c r="E11" s="60" t="s">
        <v>22</v>
      </c>
      <c r="F11" s="60"/>
      <c r="G11" s="20" t="s">
        <v>23</v>
      </c>
      <c r="I11" s="20" t="s">
        <v>24</v>
      </c>
      <c r="K11" s="63" t="s">
        <v>25</v>
      </c>
      <c r="L11" s="63"/>
      <c r="M11" s="63" t="s">
        <v>26</v>
      </c>
      <c r="N11" s="63"/>
      <c r="O11" s="61" t="s">
        <v>27</v>
      </c>
      <c r="P11" s="63"/>
      <c r="Q11" s="63" t="s">
        <v>28</v>
      </c>
      <c r="R11" s="63"/>
      <c r="S11" s="60" t="s">
        <v>29</v>
      </c>
    </row>
    <row r="12" spans="1:21">
      <c r="C12" s="69" t="s">
        <v>71</v>
      </c>
      <c r="D12" s="69"/>
      <c r="E12" s="4"/>
      <c r="H12" s="10"/>
      <c r="I12" s="10"/>
      <c r="K12" s="3"/>
      <c r="L12" s="3"/>
      <c r="M12" s="3"/>
      <c r="N12" s="3"/>
      <c r="O12" s="21"/>
      <c r="P12" s="3"/>
      <c r="Q12" s="3"/>
      <c r="R12" s="3"/>
      <c r="S12" s="4"/>
    </row>
    <row r="13" spans="1:21">
      <c r="A13" s="60">
        <v>1</v>
      </c>
      <c r="C13" s="4" t="s">
        <v>31</v>
      </c>
      <c r="D13" s="4"/>
      <c r="E13" s="112">
        <f>'Attachment 2'!P86</f>
        <v>2200</v>
      </c>
      <c r="F13" s="60"/>
      <c r="G13" s="60"/>
      <c r="H13" s="78"/>
      <c r="I13" s="60"/>
      <c r="J13" s="60"/>
      <c r="K13" s="60"/>
      <c r="L13" s="60"/>
      <c r="M13" s="60"/>
      <c r="N13" s="60"/>
      <c r="O13" s="22"/>
      <c r="P13" s="20"/>
      <c r="Q13" s="20"/>
      <c r="R13" s="20"/>
      <c r="S13" s="20"/>
    </row>
    <row r="14" spans="1:21">
      <c r="A14" s="60"/>
      <c r="C14" s="117"/>
      <c r="D14" s="117"/>
      <c r="E14" s="60"/>
      <c r="F14" s="60"/>
      <c r="G14" s="83"/>
      <c r="H14" s="83"/>
      <c r="I14" s="83"/>
      <c r="J14" s="20"/>
      <c r="K14" s="124"/>
      <c r="L14" s="124"/>
      <c r="M14" s="124"/>
      <c r="N14" s="124"/>
      <c r="O14" s="124"/>
      <c r="P14" s="60"/>
      <c r="Q14" s="89"/>
      <c r="R14" s="89"/>
      <c r="S14" s="89"/>
    </row>
    <row r="15" spans="1:21">
      <c r="A15" s="60"/>
      <c r="C15" s="8" t="s">
        <v>32</v>
      </c>
      <c r="D15" s="5"/>
      <c r="E15" s="20"/>
      <c r="F15" s="60"/>
      <c r="G15" s="20"/>
      <c r="H15" s="20"/>
      <c r="I15" s="20"/>
      <c r="J15" s="20"/>
      <c r="K15" s="125"/>
      <c r="L15" s="125"/>
      <c r="M15" s="125"/>
      <c r="N15" s="125"/>
      <c r="O15" s="125"/>
      <c r="P15" s="20"/>
      <c r="Q15" s="90"/>
      <c r="R15" s="90"/>
      <c r="S15" s="89"/>
    </row>
    <row r="16" spans="1:21">
      <c r="A16" s="60">
        <f>MAX(A$12:A15)+1</f>
        <v>2</v>
      </c>
      <c r="C16" s="4" t="s">
        <v>33</v>
      </c>
      <c r="D16" s="6"/>
      <c r="E16" s="91" t="s">
        <v>34</v>
      </c>
      <c r="F16" s="60"/>
      <c r="G16" s="92">
        <v>22.98</v>
      </c>
      <c r="H16" s="92"/>
      <c r="I16" s="92">
        <v>23</v>
      </c>
      <c r="J16" s="92"/>
      <c r="K16" s="125">
        <f>G16*12</f>
        <v>275.76</v>
      </c>
      <c r="L16" s="125"/>
      <c r="M16" s="125">
        <f>I16*12</f>
        <v>276</v>
      </c>
      <c r="N16" s="125"/>
      <c r="O16" s="125">
        <f>M16-K16</f>
        <v>0.24000000000000909</v>
      </c>
      <c r="P16" s="126"/>
      <c r="Q16" s="106"/>
      <c r="R16" s="90"/>
      <c r="S16" s="89"/>
    </row>
    <row r="17" spans="1:19">
      <c r="C17" s="4" t="s">
        <v>35</v>
      </c>
      <c r="D17" s="6"/>
      <c r="E17" s="91"/>
      <c r="F17" s="60"/>
      <c r="G17" s="92"/>
      <c r="H17" s="92"/>
      <c r="I17" s="92"/>
      <c r="J17" s="92"/>
      <c r="K17" s="125"/>
      <c r="L17" s="125"/>
      <c r="M17" s="125"/>
      <c r="N17" s="125"/>
      <c r="O17" s="125"/>
      <c r="P17" s="126"/>
      <c r="Q17" s="90"/>
      <c r="R17" s="90"/>
      <c r="S17" s="89"/>
    </row>
    <row r="18" spans="1:19">
      <c r="A18" s="60">
        <f>MAX(A$12:A17)+1</f>
        <v>3</v>
      </c>
      <c r="C18" s="11" t="s">
        <v>72</v>
      </c>
      <c r="D18" s="11"/>
      <c r="E18" s="112">
        <f>'Attachment 2'!P91</f>
        <v>1006.8</v>
      </c>
      <c r="F18" s="60"/>
      <c r="G18" s="110">
        <v>11.1409</v>
      </c>
      <c r="H18" s="79"/>
      <c r="I18" s="110">
        <v>7.3968214140421704</v>
      </c>
      <c r="J18" s="20"/>
      <c r="K18" s="125">
        <f>$E$18*G18/100</f>
        <v>112.1665812</v>
      </c>
      <c r="L18" s="125"/>
      <c r="M18" s="125">
        <f>$E$18*I18/100</f>
        <v>74.471197996576564</v>
      </c>
      <c r="N18" s="125"/>
      <c r="O18" s="125">
        <f>M18-K18</f>
        <v>-37.695383203423432</v>
      </c>
      <c r="P18" s="126"/>
      <c r="Q18" s="90"/>
      <c r="R18" s="127"/>
      <c r="S18" s="89"/>
    </row>
    <row r="19" spans="1:19">
      <c r="A19" s="60">
        <f>MAX(A$12:A18)+1</f>
        <v>4</v>
      </c>
      <c r="C19" s="11" t="s">
        <v>73</v>
      </c>
      <c r="D19" s="11"/>
      <c r="E19" s="112">
        <f>'Attachment 2'!P92</f>
        <v>973.40000000000009</v>
      </c>
      <c r="F19" s="60"/>
      <c r="G19" s="110">
        <v>10.862900000000002</v>
      </c>
      <c r="H19" s="79"/>
      <c r="I19" s="110">
        <v>7.193113030409811</v>
      </c>
      <c r="J19" s="20"/>
      <c r="K19" s="125">
        <f>$E$19*G19/100</f>
        <v>105.73946860000002</v>
      </c>
      <c r="L19" s="125"/>
      <c r="M19" s="125">
        <f>$E$19*I19/100</f>
        <v>70.017762238009112</v>
      </c>
      <c r="N19" s="125"/>
      <c r="O19" s="125">
        <f>M19-K19</f>
        <v>-35.721706361990911</v>
      </c>
      <c r="P19" s="126"/>
      <c r="Q19" s="90"/>
      <c r="R19" s="127"/>
      <c r="S19" s="89"/>
    </row>
    <row r="20" spans="1:19">
      <c r="A20" s="60">
        <f>MAX(A$12:A19)+1</f>
        <v>5</v>
      </c>
      <c r="C20" s="11" t="s">
        <v>74</v>
      </c>
      <c r="D20" s="11"/>
      <c r="E20" s="112">
        <f>'Attachment 2'!P93</f>
        <v>219.8</v>
      </c>
      <c r="F20" s="60"/>
      <c r="G20" s="110">
        <v>10.4222</v>
      </c>
      <c r="H20" s="79"/>
      <c r="I20" s="110">
        <v>6.8701839488746241</v>
      </c>
      <c r="J20" s="20"/>
      <c r="K20" s="125">
        <f>$E$20*G20/100</f>
        <v>22.9079956</v>
      </c>
      <c r="L20" s="125"/>
      <c r="M20" s="125">
        <f>$E$20*I20/100</f>
        <v>15.100664319626423</v>
      </c>
      <c r="N20" s="125"/>
      <c r="O20" s="125">
        <f t="shared" ref="O20:O22" si="0">M20-K20</f>
        <v>-7.8073312803735764</v>
      </c>
      <c r="P20" s="126"/>
      <c r="Q20" s="90"/>
      <c r="R20" s="127"/>
      <c r="S20" s="89"/>
    </row>
    <row r="21" spans="1:19">
      <c r="A21" s="60">
        <f>MAX(A$12:A20)+1</f>
        <v>6</v>
      </c>
      <c r="C21" s="11" t="s">
        <v>75</v>
      </c>
      <c r="D21" s="11"/>
      <c r="E21" s="112">
        <f>'Attachment 2'!P94</f>
        <v>0</v>
      </c>
      <c r="F21" s="60"/>
      <c r="G21" s="110">
        <v>10.017900000000001</v>
      </c>
      <c r="H21" s="79"/>
      <c r="I21" s="110">
        <v>6.5739274758438215</v>
      </c>
      <c r="J21" s="20"/>
      <c r="K21" s="125">
        <f>$E$21*G21/100</f>
        <v>0</v>
      </c>
      <c r="L21" s="125"/>
      <c r="M21" s="125">
        <f>$E$21*I21/100</f>
        <v>0</v>
      </c>
      <c r="N21" s="125"/>
      <c r="O21" s="125">
        <f t="shared" si="0"/>
        <v>0</v>
      </c>
      <c r="P21" s="126"/>
      <c r="Q21" s="90"/>
      <c r="R21" s="127"/>
      <c r="S21" s="89"/>
    </row>
    <row r="22" spans="1:19">
      <c r="A22" s="60">
        <f>MAX(A$12:A21)+1</f>
        <v>7</v>
      </c>
      <c r="C22" s="11" t="s">
        <v>76</v>
      </c>
      <c r="D22" s="11"/>
      <c r="E22" s="113">
        <f>'Attachment 2'!P95</f>
        <v>0</v>
      </c>
      <c r="F22" s="60"/>
      <c r="G22" s="110">
        <v>9.6836000000000002</v>
      </c>
      <c r="H22" s="79"/>
      <c r="I22" s="110">
        <v>6.3289644807060581</v>
      </c>
      <c r="J22" s="20"/>
      <c r="K22" s="125">
        <f>$E$22*G22/100</f>
        <v>0</v>
      </c>
      <c r="L22" s="125"/>
      <c r="M22" s="125">
        <f>$E$22*I22/100</f>
        <v>0</v>
      </c>
      <c r="N22" s="125"/>
      <c r="O22" s="125">
        <f t="shared" si="0"/>
        <v>0</v>
      </c>
      <c r="P22" s="126"/>
      <c r="Q22" s="90"/>
      <c r="R22" s="90"/>
      <c r="S22" s="89"/>
    </row>
    <row r="23" spans="1:19">
      <c r="A23" s="60">
        <f>MAX(A$12:A22)+1</f>
        <v>8</v>
      </c>
      <c r="C23" s="4" t="s">
        <v>40</v>
      </c>
      <c r="D23" s="6"/>
      <c r="E23" s="112">
        <f>SUM(E18:E22)</f>
        <v>2200</v>
      </c>
      <c r="F23" s="60"/>
      <c r="G23" s="110"/>
      <c r="H23" s="79"/>
      <c r="I23" s="110"/>
      <c r="J23" s="20"/>
      <c r="K23" s="128">
        <f>SUM(K18:K22)</f>
        <v>240.8140454</v>
      </c>
      <c r="L23" s="125"/>
      <c r="M23" s="128">
        <f>SUM(M18:M22)</f>
        <v>159.58962455421209</v>
      </c>
      <c r="N23" s="125"/>
      <c r="O23" s="128">
        <f>SUM(O18:O22)</f>
        <v>-81.224420845787918</v>
      </c>
      <c r="P23" s="126"/>
      <c r="Q23" s="87"/>
      <c r="R23" s="90"/>
      <c r="S23" s="89"/>
    </row>
    <row r="24" spans="1:19">
      <c r="A24" s="60">
        <f>MAX(A$12:A23)+1</f>
        <v>9</v>
      </c>
      <c r="C24" s="4" t="s">
        <v>41</v>
      </c>
      <c r="D24" s="4"/>
      <c r="E24" s="112">
        <f>$E$13</f>
        <v>2200</v>
      </c>
      <c r="F24" s="60"/>
      <c r="G24" s="110">
        <v>1.41E-2</v>
      </c>
      <c r="H24" s="79"/>
      <c r="I24" s="110">
        <v>1.41E-2</v>
      </c>
      <c r="J24" s="129"/>
      <c r="K24" s="125">
        <f>$G$84*E24/100</f>
        <v>0.31019999999999998</v>
      </c>
      <c r="L24" s="125"/>
      <c r="M24" s="125">
        <f>$I$84*E24/100</f>
        <v>0.31019999999999998</v>
      </c>
      <c r="N24" s="125"/>
      <c r="O24" s="125">
        <f>M24-K24</f>
        <v>0</v>
      </c>
      <c r="P24" s="126"/>
      <c r="Q24" s="90"/>
      <c r="R24" s="90"/>
      <c r="S24" s="89"/>
    </row>
    <row r="25" spans="1:19">
      <c r="A25" s="60">
        <f>MAX(A$12:A24)+1</f>
        <v>10</v>
      </c>
      <c r="C25" s="4" t="s">
        <v>42</v>
      </c>
      <c r="D25" s="9"/>
      <c r="E25" s="112"/>
      <c r="F25" s="60"/>
      <c r="G25" s="110"/>
      <c r="H25" s="79"/>
      <c r="I25" s="110"/>
      <c r="J25" s="20"/>
      <c r="K25" s="130">
        <f>K23+K16+K24</f>
        <v>516.88424539999994</v>
      </c>
      <c r="L25" s="125"/>
      <c r="M25" s="130">
        <f>M23+M16+M24</f>
        <v>435.8998245542121</v>
      </c>
      <c r="N25" s="125"/>
      <c r="O25" s="130">
        <f>O23+O16+O24</f>
        <v>-80.984420845787909</v>
      </c>
      <c r="P25" s="126"/>
      <c r="Q25" s="96">
        <f>O25/K25</f>
        <v>-0.15667806006181653</v>
      </c>
      <c r="R25" s="90"/>
      <c r="S25" s="131">
        <f>Q25</f>
        <v>-0.15667806006181653</v>
      </c>
    </row>
    <row r="26" spans="1:19">
      <c r="C26" s="9"/>
      <c r="D26" s="9"/>
      <c r="E26" s="112"/>
      <c r="F26" s="60"/>
      <c r="G26" s="110"/>
      <c r="H26" s="79"/>
      <c r="I26" s="110"/>
      <c r="J26" s="20"/>
      <c r="K26" s="124"/>
      <c r="L26" s="124"/>
      <c r="M26" s="124"/>
      <c r="N26" s="124"/>
      <c r="O26" s="124"/>
      <c r="P26" s="97"/>
      <c r="Q26" s="89"/>
      <c r="R26" s="89"/>
      <c r="S26" s="89"/>
    </row>
    <row r="27" spans="1:19">
      <c r="A27" s="60">
        <f>MAX(A$12:A26)+1</f>
        <v>11</v>
      </c>
      <c r="C27" s="4" t="s">
        <v>43</v>
      </c>
      <c r="D27" s="4"/>
      <c r="E27" s="112">
        <f>$E$13</f>
        <v>2200</v>
      </c>
      <c r="F27" s="60"/>
      <c r="G27" s="110">
        <v>9.7899999999999991</v>
      </c>
      <c r="H27" s="79"/>
      <c r="I27" s="110">
        <v>9.7899999999999991</v>
      </c>
      <c r="J27" s="129"/>
      <c r="K27" s="125">
        <f>$G$87*E27/100</f>
        <v>215.37999999999997</v>
      </c>
      <c r="L27" s="125"/>
      <c r="M27" s="125">
        <f>$I$87*E27/100</f>
        <v>215.37999999999997</v>
      </c>
      <c r="N27" s="125"/>
      <c r="O27" s="125">
        <f>M27-K27</f>
        <v>0</v>
      </c>
      <c r="P27" s="126"/>
      <c r="Q27" s="87">
        <f>O27/K27</f>
        <v>0</v>
      </c>
      <c r="R27" s="90"/>
      <c r="S27" s="89">
        <f>Q27</f>
        <v>0</v>
      </c>
    </row>
    <row r="28" spans="1:19">
      <c r="C28" s="8"/>
      <c r="D28" s="8"/>
      <c r="E28" s="112"/>
      <c r="F28" s="60"/>
      <c r="G28" s="110"/>
      <c r="H28" s="79"/>
      <c r="I28" s="110"/>
      <c r="J28" s="132"/>
      <c r="K28" s="125"/>
      <c r="L28" s="125"/>
      <c r="M28" s="125"/>
      <c r="N28" s="125"/>
      <c r="O28" s="125"/>
      <c r="P28" s="126"/>
      <c r="Q28" s="90"/>
      <c r="R28" s="90"/>
      <c r="S28" s="89"/>
    </row>
    <row r="29" spans="1:19">
      <c r="C29" s="8" t="s">
        <v>44</v>
      </c>
      <c r="D29" s="8"/>
      <c r="E29" s="112"/>
      <c r="F29" s="60"/>
      <c r="G29" s="110"/>
      <c r="H29" s="79"/>
      <c r="I29" s="110"/>
      <c r="J29" s="132"/>
      <c r="K29" s="125"/>
      <c r="L29" s="125"/>
      <c r="M29" s="125"/>
      <c r="N29" s="125"/>
      <c r="O29" s="125"/>
      <c r="P29" s="126"/>
      <c r="Q29" s="90"/>
      <c r="R29" s="90"/>
      <c r="S29" s="89"/>
    </row>
    <row r="30" spans="1:19">
      <c r="A30" s="60">
        <f>MAX(A$12:A29)+1</f>
        <v>12</v>
      </c>
      <c r="C30" s="4" t="s">
        <v>44</v>
      </c>
      <c r="D30" s="6"/>
      <c r="E30" s="112">
        <f>$E$13</f>
        <v>2200</v>
      </c>
      <c r="F30" s="60"/>
      <c r="G30" s="110">
        <v>2.2974999999999999</v>
      </c>
      <c r="H30" s="79"/>
      <c r="I30" s="110">
        <v>3.3211529697198543</v>
      </c>
      <c r="J30" s="20"/>
      <c r="K30" s="125">
        <f>E30*$G30/100</f>
        <v>50.545000000000002</v>
      </c>
      <c r="L30" s="125"/>
      <c r="M30" s="125">
        <f>E30*$I30/100</f>
        <v>73.065365333836795</v>
      </c>
      <c r="N30" s="125"/>
      <c r="O30" s="125">
        <f>M30-K30</f>
        <v>22.520365333836793</v>
      </c>
      <c r="P30" s="126"/>
      <c r="Q30" s="90"/>
      <c r="R30" s="89"/>
      <c r="S30" s="89"/>
    </row>
    <row r="31" spans="1:19">
      <c r="A31" s="60">
        <f>MAX(A$12:A30)+1</f>
        <v>13</v>
      </c>
      <c r="C31" s="4" t="s">
        <v>77</v>
      </c>
      <c r="D31" s="9"/>
      <c r="E31" s="112">
        <f>$E$13</f>
        <v>2200</v>
      </c>
      <c r="F31" s="60"/>
      <c r="G31" s="110">
        <v>6.2597999999999994</v>
      </c>
      <c r="H31" s="79"/>
      <c r="I31" s="110">
        <v>2.232120538530832</v>
      </c>
      <c r="J31" s="20"/>
      <c r="K31" s="125">
        <f>E31*$G31/100</f>
        <v>137.71559999999999</v>
      </c>
      <c r="L31" s="125"/>
      <c r="M31" s="125">
        <f>E31*$I31/100</f>
        <v>49.106651847678307</v>
      </c>
      <c r="N31" s="125"/>
      <c r="O31" s="125">
        <f>M31-K31</f>
        <v>-88.608948152321688</v>
      </c>
      <c r="P31" s="126"/>
      <c r="Q31" s="90"/>
      <c r="R31" s="89"/>
      <c r="S31" s="89"/>
    </row>
    <row r="32" spans="1:19">
      <c r="A32" s="60">
        <f>MAX(A$12:A31)+1</f>
        <v>14</v>
      </c>
      <c r="C32" s="4" t="s">
        <v>78</v>
      </c>
      <c r="D32" s="9"/>
      <c r="E32" s="112"/>
      <c r="F32" s="60"/>
      <c r="G32" s="110"/>
      <c r="H32" s="79"/>
      <c r="I32" s="110"/>
      <c r="J32" s="20"/>
      <c r="K32" s="130">
        <f>SUM(K30:K31)</f>
        <v>188.26060000000001</v>
      </c>
      <c r="L32" s="125"/>
      <c r="M32" s="130">
        <f>SUM(M30:M31)</f>
        <v>122.1720171815151</v>
      </c>
      <c r="N32" s="125"/>
      <c r="O32" s="130">
        <f>SUM(O30:O31)</f>
        <v>-66.088582818484895</v>
      </c>
      <c r="P32" s="126"/>
      <c r="Q32" s="96">
        <f>O32/K32</f>
        <v>-0.35104840215363647</v>
      </c>
      <c r="R32" s="89"/>
      <c r="S32" s="131">
        <f>Q32</f>
        <v>-0.35104840215363647</v>
      </c>
    </row>
    <row r="33" spans="1:19">
      <c r="C33" s="9"/>
      <c r="D33" s="9"/>
      <c r="E33" s="112"/>
      <c r="F33" s="60"/>
      <c r="G33" s="110"/>
      <c r="H33" s="79"/>
      <c r="I33" s="110"/>
      <c r="J33" s="20"/>
      <c r="K33" s="125"/>
      <c r="L33" s="124"/>
      <c r="M33" s="125"/>
      <c r="N33" s="124"/>
      <c r="O33" s="125"/>
      <c r="P33" s="91"/>
      <c r="Q33" s="90"/>
      <c r="R33" s="89"/>
      <c r="S33" s="89"/>
    </row>
    <row r="34" spans="1:19">
      <c r="A34" s="60">
        <f>MAX(A$12:A33)+1</f>
        <v>15</v>
      </c>
      <c r="C34" s="4" t="s">
        <v>45</v>
      </c>
      <c r="D34" s="9"/>
      <c r="E34" s="112">
        <f>$E$13</f>
        <v>2200</v>
      </c>
      <c r="F34" s="60"/>
      <c r="G34" s="110">
        <v>22.315125896711042</v>
      </c>
      <c r="H34" s="79"/>
      <c r="I34" s="110">
        <v>20.903604607530845</v>
      </c>
      <c r="J34" s="20"/>
      <c r="K34" s="125">
        <f>E34*$G34/100</f>
        <v>490.93276972764289</v>
      </c>
      <c r="L34" s="125"/>
      <c r="M34" s="125">
        <f>E34*$I34/100</f>
        <v>459.8793013656786</v>
      </c>
      <c r="N34" s="125"/>
      <c r="O34" s="125">
        <f>M34-K34</f>
        <v>-31.053468361964292</v>
      </c>
      <c r="P34" s="126"/>
      <c r="Q34" s="87">
        <f>O34/K34</f>
        <v>-6.3254014147786405E-2</v>
      </c>
      <c r="R34" s="90"/>
      <c r="S34" s="89">
        <f>Q34</f>
        <v>-6.3254014147786405E-2</v>
      </c>
    </row>
    <row r="35" spans="1:19">
      <c r="C35" s="8"/>
      <c r="D35" s="8"/>
      <c r="E35" s="112"/>
      <c r="F35" s="60"/>
      <c r="G35" s="110"/>
      <c r="H35" s="79"/>
      <c r="I35" s="110"/>
      <c r="J35" s="20"/>
      <c r="K35" s="125"/>
      <c r="L35" s="124"/>
      <c r="M35" s="125"/>
      <c r="N35" s="125"/>
      <c r="O35" s="125"/>
      <c r="P35" s="91"/>
      <c r="Q35" s="90"/>
      <c r="R35" s="90"/>
      <c r="S35" s="89"/>
    </row>
    <row r="36" spans="1:19" ht="13.5" thickBot="1">
      <c r="A36" s="60">
        <f>MAX(A$12:A35)+1</f>
        <v>16</v>
      </c>
      <c r="C36" s="4" t="s">
        <v>46</v>
      </c>
      <c r="D36" s="8"/>
      <c r="E36" s="112"/>
      <c r="F36" s="60"/>
      <c r="G36" s="110"/>
      <c r="H36" s="79"/>
      <c r="I36" s="110"/>
      <c r="J36" s="20"/>
      <c r="K36" s="133">
        <f>K25+K27+K32+K34</f>
        <v>1411.4576151276428</v>
      </c>
      <c r="L36" s="125"/>
      <c r="M36" s="133">
        <f>M25+M27+M32+M34</f>
        <v>1233.3311431014058</v>
      </c>
      <c r="N36" s="125"/>
      <c r="O36" s="133">
        <f>M36-K36</f>
        <v>-178.12647202623702</v>
      </c>
      <c r="P36" s="126"/>
      <c r="Q36" s="102">
        <f>O36/K36</f>
        <v>-0.12620036911992463</v>
      </c>
      <c r="R36" s="90"/>
      <c r="S36" s="134">
        <f>(O25+O32+O34)/(K25+K32+K34)</f>
        <v>-0.14892551267020226</v>
      </c>
    </row>
    <row r="37" spans="1:19" ht="13.5" thickTop="1">
      <c r="C37" s="8"/>
      <c r="D37" s="8"/>
      <c r="E37" s="112"/>
      <c r="F37" s="60"/>
      <c r="G37" s="110"/>
      <c r="H37" s="79"/>
      <c r="I37" s="110"/>
      <c r="J37" s="20"/>
      <c r="K37" s="125"/>
      <c r="L37" s="124"/>
      <c r="M37" s="125"/>
      <c r="N37" s="125"/>
      <c r="O37" s="125"/>
      <c r="P37" s="91"/>
      <c r="Q37" s="90"/>
      <c r="R37" s="90"/>
      <c r="S37" s="89"/>
    </row>
    <row r="38" spans="1:19">
      <c r="A38" s="60">
        <f>MAX(A$12:A37)+1</f>
        <v>17</v>
      </c>
      <c r="C38" s="4" t="s">
        <v>81</v>
      </c>
      <c r="D38" s="9"/>
      <c r="E38" s="112"/>
      <c r="F38" s="60"/>
      <c r="G38" s="110"/>
      <c r="H38" s="79"/>
      <c r="I38" s="110"/>
      <c r="J38" s="20"/>
      <c r="K38" s="94">
        <f>K25+K27+K30+K31+M34</f>
        <v>1380.4041467656784</v>
      </c>
      <c r="L38" s="84"/>
      <c r="M38" s="94">
        <f>M25+M27+M30+M31+M34</f>
        <v>1233.3311431014058</v>
      </c>
      <c r="N38" s="84"/>
      <c r="O38" s="94">
        <f>M38-K38</f>
        <v>-147.07300366427262</v>
      </c>
      <c r="P38" s="91"/>
      <c r="Q38" s="96">
        <f>O38/K38</f>
        <v>-0.10654343802781842</v>
      </c>
      <c r="R38" s="90"/>
      <c r="S38" s="96">
        <f>(O38-O27)/(K38-K27)</f>
        <v>-0.1262403050379465</v>
      </c>
    </row>
    <row r="39" spans="1:19">
      <c r="A39" s="60">
        <f>MAX(A$12:A38)+1</f>
        <v>18</v>
      </c>
      <c r="C39" s="11" t="s">
        <v>82</v>
      </c>
      <c r="E39" s="112"/>
      <c r="F39" s="60"/>
      <c r="G39" s="110"/>
      <c r="H39" s="79"/>
      <c r="I39" s="110"/>
      <c r="J39" s="20"/>
      <c r="K39" s="84"/>
      <c r="L39" s="104"/>
      <c r="M39" s="84"/>
      <c r="N39" s="84"/>
      <c r="O39" s="84"/>
      <c r="P39" s="91"/>
      <c r="Q39" s="87">
        <f>(O25+O27+O32)/(K25+K27+K32)</f>
        <v>-0.15977081379086999</v>
      </c>
      <c r="R39" s="90"/>
      <c r="S39" s="87">
        <f>(O25+O32)/(K25+K32)</f>
        <v>-0.20857133768147207</v>
      </c>
    </row>
    <row r="40" spans="1:19">
      <c r="A40" s="60"/>
      <c r="C40" s="11"/>
      <c r="E40" s="112"/>
      <c r="F40" s="60"/>
      <c r="G40" s="110"/>
      <c r="H40" s="79"/>
      <c r="I40" s="110"/>
      <c r="J40" s="20"/>
      <c r="K40" s="84"/>
      <c r="L40" s="104"/>
      <c r="M40" s="84"/>
      <c r="N40" s="84"/>
      <c r="O40" s="84"/>
      <c r="P40" s="91"/>
      <c r="Q40" s="87"/>
      <c r="R40" s="90"/>
      <c r="S40" s="87"/>
    </row>
    <row r="41" spans="1:19">
      <c r="E41" s="112"/>
      <c r="F41" s="60"/>
      <c r="G41" s="110"/>
      <c r="H41" s="79"/>
      <c r="I41" s="110"/>
      <c r="J41" s="20"/>
      <c r="K41" s="124"/>
      <c r="L41" s="124"/>
      <c r="M41" s="124"/>
      <c r="N41" s="124"/>
      <c r="O41" s="124"/>
      <c r="P41" s="60"/>
      <c r="Q41" s="87"/>
      <c r="R41" s="89"/>
      <c r="S41" s="87"/>
    </row>
    <row r="42" spans="1:19">
      <c r="C42" s="69" t="s">
        <v>83</v>
      </c>
      <c r="D42" s="69"/>
      <c r="E42" s="112"/>
      <c r="F42" s="60"/>
      <c r="G42" s="110"/>
      <c r="H42" s="79"/>
      <c r="I42" s="110"/>
      <c r="J42" s="60"/>
      <c r="K42" s="125"/>
      <c r="L42" s="125"/>
      <c r="M42" s="125"/>
      <c r="N42" s="125"/>
      <c r="O42" s="125"/>
      <c r="P42" s="23"/>
      <c r="Q42" s="90"/>
      <c r="R42" s="90"/>
      <c r="S42" s="89"/>
    </row>
    <row r="43" spans="1:19">
      <c r="A43" s="60">
        <f>MAX(A$12:A42)+1</f>
        <v>19</v>
      </c>
      <c r="C43" s="4" t="s">
        <v>31</v>
      </c>
      <c r="D43" s="4"/>
      <c r="E43" s="112">
        <f>'Attachment 2'!P100</f>
        <v>40000</v>
      </c>
      <c r="F43" s="60"/>
      <c r="G43" s="110"/>
      <c r="H43" s="79"/>
      <c r="I43" s="110"/>
      <c r="J43" s="60"/>
      <c r="K43" s="124"/>
      <c r="L43" s="124"/>
      <c r="M43" s="124"/>
      <c r="N43" s="124"/>
      <c r="O43" s="124"/>
      <c r="P43" s="60"/>
      <c r="Q43" s="89"/>
      <c r="R43" s="89"/>
      <c r="S43" s="89"/>
    </row>
    <row r="44" spans="1:19">
      <c r="C44" s="117"/>
      <c r="D44" s="117"/>
      <c r="E44" s="60"/>
      <c r="F44" s="60"/>
      <c r="G44" s="83"/>
      <c r="H44" s="83"/>
      <c r="I44" s="83"/>
      <c r="J44" s="20"/>
      <c r="K44" s="124"/>
      <c r="L44" s="124"/>
      <c r="M44" s="124"/>
      <c r="N44" s="124"/>
      <c r="O44" s="124"/>
      <c r="P44" s="60"/>
      <c r="Q44" s="89"/>
      <c r="R44" s="89"/>
      <c r="S44" s="89"/>
    </row>
    <row r="45" spans="1:19">
      <c r="C45" s="8" t="s">
        <v>32</v>
      </c>
      <c r="D45" s="5"/>
      <c r="E45" s="20"/>
      <c r="F45" s="60"/>
      <c r="G45" s="20"/>
      <c r="H45" s="20"/>
      <c r="I45" s="20"/>
      <c r="J45" s="20"/>
      <c r="K45" s="125"/>
      <c r="L45" s="125"/>
      <c r="M45" s="125"/>
      <c r="N45" s="125"/>
      <c r="O45" s="125"/>
      <c r="P45" s="20"/>
      <c r="Q45" s="90"/>
      <c r="R45" s="90"/>
      <c r="S45" s="89"/>
    </row>
    <row r="46" spans="1:19">
      <c r="A46" s="60">
        <f>MAX(A$12:A45)+1</f>
        <v>20</v>
      </c>
      <c r="C46" s="4" t="s">
        <v>84</v>
      </c>
      <c r="D46" s="6"/>
      <c r="E46" s="91" t="s">
        <v>34</v>
      </c>
      <c r="F46" s="60"/>
      <c r="G46" s="92">
        <f>G16</f>
        <v>22.98</v>
      </c>
      <c r="H46" s="92"/>
      <c r="I46" s="92">
        <f>I16</f>
        <v>23</v>
      </c>
      <c r="J46" s="92"/>
      <c r="K46" s="125">
        <f>G46*12</f>
        <v>275.76</v>
      </c>
      <c r="L46" s="125"/>
      <c r="M46" s="125">
        <f>I46*12</f>
        <v>276</v>
      </c>
      <c r="N46" s="125"/>
      <c r="O46" s="125">
        <f>M46-K46</f>
        <v>0.24000000000000909</v>
      </c>
      <c r="P46" s="126"/>
      <c r="Q46" s="106"/>
      <c r="R46" s="90"/>
      <c r="S46" s="89"/>
    </row>
    <row r="47" spans="1:19">
      <c r="C47" s="4" t="s">
        <v>85</v>
      </c>
      <c r="D47" s="6"/>
      <c r="E47" s="91"/>
      <c r="F47" s="60"/>
      <c r="G47" s="92"/>
      <c r="H47" s="92"/>
      <c r="I47" s="92"/>
      <c r="J47" s="92"/>
      <c r="K47" s="125"/>
      <c r="L47" s="125"/>
      <c r="M47" s="125"/>
      <c r="N47" s="125"/>
      <c r="O47" s="125"/>
      <c r="P47" s="126"/>
      <c r="Q47" s="90"/>
      <c r="R47" s="90"/>
      <c r="S47" s="89"/>
    </row>
    <row r="48" spans="1:19">
      <c r="A48" s="60">
        <f>MAX(A$12:A47)+1</f>
        <v>21</v>
      </c>
      <c r="C48" s="11" t="s">
        <v>72</v>
      </c>
      <c r="D48" s="11"/>
      <c r="E48" s="112">
        <f>'Attachment 2'!P105</f>
        <v>1200</v>
      </c>
      <c r="F48" s="60"/>
      <c r="G48" s="110">
        <f>G18</f>
        <v>11.1409</v>
      </c>
      <c r="H48" s="79"/>
      <c r="I48" s="110">
        <f>I18</f>
        <v>7.3968214140421704</v>
      </c>
      <c r="J48" s="20"/>
      <c r="K48" s="125">
        <f>E48*G48/100</f>
        <v>133.6908</v>
      </c>
      <c r="L48" s="125"/>
      <c r="M48" s="125">
        <f>E48*I48/100</f>
        <v>88.761856968506052</v>
      </c>
      <c r="N48" s="125"/>
      <c r="O48" s="125">
        <f>M48-K48</f>
        <v>-44.928943031493944</v>
      </c>
      <c r="P48" s="126"/>
      <c r="Q48" s="90"/>
      <c r="R48" s="127"/>
      <c r="S48" s="89"/>
    </row>
    <row r="49" spans="1:19">
      <c r="A49" s="60">
        <f>MAX(A$12:A48)+1</f>
        <v>22</v>
      </c>
      <c r="C49" s="11" t="s">
        <v>73</v>
      </c>
      <c r="D49" s="11"/>
      <c r="E49" s="112">
        <f>'Attachment 2'!P106</f>
        <v>2400</v>
      </c>
      <c r="F49" s="60"/>
      <c r="G49" s="110">
        <f>G19</f>
        <v>10.862900000000002</v>
      </c>
      <c r="H49" s="79"/>
      <c r="I49" s="110">
        <f>I19</f>
        <v>7.193113030409811</v>
      </c>
      <c r="J49" s="20"/>
      <c r="K49" s="125">
        <f t="shared" ref="K49:K52" si="1">E49*G49/100</f>
        <v>260.70960000000002</v>
      </c>
      <c r="L49" s="125"/>
      <c r="M49" s="125">
        <f t="shared" ref="M49:M52" si="2">E49*I49/100</f>
        <v>172.63471272983546</v>
      </c>
      <c r="N49" s="125"/>
      <c r="O49" s="125">
        <f>M49-K49</f>
        <v>-88.074887270164567</v>
      </c>
      <c r="P49" s="126"/>
      <c r="Q49" s="90"/>
      <c r="R49" s="127"/>
      <c r="S49" s="89"/>
    </row>
    <row r="50" spans="1:19">
      <c r="A50" s="60">
        <f>MAX(A$12:A49)+1</f>
        <v>23</v>
      </c>
      <c r="C50" s="11" t="s">
        <v>74</v>
      </c>
      <c r="D50" s="11"/>
      <c r="E50" s="112">
        <f>'Attachment 2'!P107</f>
        <v>2400</v>
      </c>
      <c r="F50" s="60"/>
      <c r="G50" s="110">
        <f>G20</f>
        <v>10.4222</v>
      </c>
      <c r="H50" s="79"/>
      <c r="I50" s="110">
        <f>I20</f>
        <v>6.8701839488746241</v>
      </c>
      <c r="J50" s="20"/>
      <c r="K50" s="125">
        <f t="shared" si="1"/>
        <v>250.13279999999997</v>
      </c>
      <c r="L50" s="125"/>
      <c r="M50" s="125">
        <f t="shared" si="2"/>
        <v>164.88441477299097</v>
      </c>
      <c r="N50" s="125"/>
      <c r="O50" s="125">
        <f t="shared" ref="O50:O52" si="3">M50-K50</f>
        <v>-85.24838522700901</v>
      </c>
      <c r="P50" s="126"/>
      <c r="Q50" s="90"/>
      <c r="R50" s="127"/>
      <c r="S50" s="89"/>
    </row>
    <row r="51" spans="1:19">
      <c r="A51" s="60">
        <f>MAX(A$12:A50)+1</f>
        <v>24</v>
      </c>
      <c r="C51" s="11" t="s">
        <v>75</v>
      </c>
      <c r="D51" s="11"/>
      <c r="E51" s="112">
        <f>'Attachment 2'!P108</f>
        <v>6000</v>
      </c>
      <c r="F51" s="60"/>
      <c r="G51" s="110">
        <f>G21</f>
        <v>10.017900000000001</v>
      </c>
      <c r="H51" s="79"/>
      <c r="I51" s="110">
        <f>I21</f>
        <v>6.5739274758438215</v>
      </c>
      <c r="J51" s="20"/>
      <c r="K51" s="125">
        <f t="shared" si="1"/>
        <v>601.07400000000007</v>
      </c>
      <c r="L51" s="125"/>
      <c r="M51" s="125">
        <f t="shared" si="2"/>
        <v>394.43564855062925</v>
      </c>
      <c r="N51" s="125"/>
      <c r="O51" s="125">
        <f t="shared" si="3"/>
        <v>-206.63835144937082</v>
      </c>
      <c r="P51" s="126"/>
      <c r="Q51" s="90"/>
      <c r="R51" s="127"/>
      <c r="S51" s="89"/>
    </row>
    <row r="52" spans="1:19">
      <c r="A52" s="60">
        <f>MAX(A$12:A51)+1</f>
        <v>25</v>
      </c>
      <c r="C52" s="11" t="s">
        <v>76</v>
      </c>
      <c r="D52" s="11"/>
      <c r="E52" s="113">
        <f>'Attachment 2'!P109</f>
        <v>27999.960000000006</v>
      </c>
      <c r="F52" s="60"/>
      <c r="G52" s="110">
        <f>G22</f>
        <v>9.6836000000000002</v>
      </c>
      <c r="H52" s="79"/>
      <c r="I52" s="110">
        <f>I22</f>
        <v>6.3289644807060581</v>
      </c>
      <c r="J52" s="20"/>
      <c r="K52" s="125">
        <f t="shared" si="1"/>
        <v>2711.4041265600008</v>
      </c>
      <c r="L52" s="125"/>
      <c r="M52" s="125">
        <f t="shared" si="2"/>
        <v>1772.1075230119043</v>
      </c>
      <c r="N52" s="125"/>
      <c r="O52" s="125">
        <f t="shared" si="3"/>
        <v>-939.29660354809653</v>
      </c>
      <c r="P52" s="126"/>
      <c r="Q52" s="90"/>
      <c r="R52" s="90"/>
      <c r="S52" s="89"/>
    </row>
    <row r="53" spans="1:19">
      <c r="A53" s="60">
        <f>MAX(A$12:A52)+1</f>
        <v>26</v>
      </c>
      <c r="C53" s="4" t="s">
        <v>40</v>
      </c>
      <c r="D53" s="6"/>
      <c r="E53" s="112">
        <f>SUM(E48:E52)</f>
        <v>39999.960000000006</v>
      </c>
      <c r="F53" s="60"/>
      <c r="G53" s="110"/>
      <c r="H53" s="79"/>
      <c r="I53" s="110"/>
      <c r="J53" s="20"/>
      <c r="K53" s="128">
        <f>SUM(K48:K52)</f>
        <v>3957.0113265600007</v>
      </c>
      <c r="L53" s="125"/>
      <c r="M53" s="128">
        <f>SUM(M48:M52)</f>
        <v>2592.8241560338661</v>
      </c>
      <c r="N53" s="125"/>
      <c r="O53" s="128">
        <f>SUM(O48:O52)</f>
        <v>-1364.1871705261349</v>
      </c>
      <c r="P53" s="126"/>
      <c r="Q53" s="87"/>
      <c r="R53" s="90"/>
      <c r="S53" s="89"/>
    </row>
    <row r="54" spans="1:19">
      <c r="A54" s="60">
        <f>MAX(A$12:A53)+1</f>
        <v>27</v>
      </c>
      <c r="C54" s="4" t="s">
        <v>41</v>
      </c>
      <c r="D54" s="4"/>
      <c r="E54" s="112">
        <f>$E$43</f>
        <v>40000</v>
      </c>
      <c r="F54" s="60"/>
      <c r="G54" s="110">
        <f>G24</f>
        <v>1.41E-2</v>
      </c>
      <c r="H54" s="79"/>
      <c r="I54" s="110">
        <f>I24</f>
        <v>1.41E-2</v>
      </c>
      <c r="J54" s="129"/>
      <c r="K54" s="125">
        <f>G54*E54/100</f>
        <v>5.64</v>
      </c>
      <c r="L54" s="125"/>
      <c r="M54" s="125">
        <f>I54*E54/100</f>
        <v>5.64</v>
      </c>
      <c r="N54" s="125"/>
      <c r="O54" s="125">
        <f>M54-K54</f>
        <v>0</v>
      </c>
      <c r="P54" s="126"/>
      <c r="Q54" s="90"/>
      <c r="R54" s="90"/>
      <c r="S54" s="89"/>
    </row>
    <row r="55" spans="1:19">
      <c r="A55" s="60">
        <f>MAX(A$12:A54)+1</f>
        <v>28</v>
      </c>
      <c r="C55" s="4" t="s">
        <v>42</v>
      </c>
      <c r="D55" s="9"/>
      <c r="E55" s="112"/>
      <c r="F55" s="60"/>
      <c r="G55" s="110"/>
      <c r="H55" s="79"/>
      <c r="I55" s="110"/>
      <c r="J55" s="20"/>
      <c r="K55" s="130">
        <f>K53+K46+K54</f>
        <v>4238.4113265600008</v>
      </c>
      <c r="L55" s="125"/>
      <c r="M55" s="130">
        <f>M53+M46+M54</f>
        <v>2874.4641560338659</v>
      </c>
      <c r="N55" s="125"/>
      <c r="O55" s="130">
        <f>O53+O46+O54</f>
        <v>-1363.9471705261349</v>
      </c>
      <c r="P55" s="126"/>
      <c r="Q55" s="96">
        <f>O55/K55</f>
        <v>-0.32180623007940762</v>
      </c>
      <c r="R55" s="90"/>
      <c r="S55" s="131">
        <f>Q55</f>
        <v>-0.32180623007940762</v>
      </c>
    </row>
    <row r="56" spans="1:19">
      <c r="C56" s="4"/>
      <c r="D56" s="9"/>
      <c r="E56" s="112"/>
      <c r="F56" s="60"/>
      <c r="G56" s="110"/>
      <c r="H56" s="79"/>
      <c r="I56" s="110"/>
      <c r="J56" s="20"/>
      <c r="K56" s="124"/>
      <c r="L56" s="124"/>
      <c r="M56" s="124"/>
      <c r="N56" s="124"/>
      <c r="O56" s="124"/>
      <c r="P56" s="97"/>
      <c r="Q56" s="89"/>
      <c r="R56" s="89"/>
      <c r="S56" s="89"/>
    </row>
    <row r="57" spans="1:19">
      <c r="A57" s="60">
        <f>MAX(A$12:A56)+1</f>
        <v>29</v>
      </c>
      <c r="C57" s="4" t="s">
        <v>43</v>
      </c>
      <c r="D57" s="4"/>
      <c r="E57" s="112">
        <f>$E$43</f>
        <v>40000</v>
      </c>
      <c r="F57" s="60"/>
      <c r="G57" s="110">
        <f>G27</f>
        <v>9.7899999999999991</v>
      </c>
      <c r="H57" s="79"/>
      <c r="I57" s="110">
        <f>I27</f>
        <v>9.7899999999999991</v>
      </c>
      <c r="J57" s="129"/>
      <c r="K57" s="125">
        <f>$G$87*E57/100</f>
        <v>3915.9999999999995</v>
      </c>
      <c r="L57" s="125"/>
      <c r="M57" s="125">
        <f>$I$87*E57/100</f>
        <v>3915.9999999999995</v>
      </c>
      <c r="N57" s="125"/>
      <c r="O57" s="125">
        <f>M57-K57</f>
        <v>0</v>
      </c>
      <c r="P57" s="126"/>
      <c r="Q57" s="87">
        <f>O57/K57</f>
        <v>0</v>
      </c>
      <c r="R57" s="90"/>
      <c r="S57" s="89">
        <f>Q57</f>
        <v>0</v>
      </c>
    </row>
    <row r="58" spans="1:19">
      <c r="C58" s="8"/>
      <c r="D58" s="8"/>
      <c r="E58" s="112"/>
      <c r="F58" s="60"/>
      <c r="G58" s="110"/>
      <c r="H58" s="79"/>
      <c r="I58" s="110"/>
      <c r="J58" s="132"/>
      <c r="K58" s="125"/>
      <c r="L58" s="125"/>
      <c r="M58" s="125"/>
      <c r="N58" s="125"/>
      <c r="O58" s="125"/>
      <c r="P58" s="126"/>
      <c r="Q58" s="90"/>
      <c r="R58" s="90"/>
      <c r="S58" s="89"/>
    </row>
    <row r="59" spans="1:19">
      <c r="C59" s="8" t="s">
        <v>44</v>
      </c>
      <c r="D59" s="8"/>
      <c r="E59" s="112"/>
      <c r="F59" s="60"/>
      <c r="G59" s="110"/>
      <c r="H59" s="79"/>
      <c r="I59" s="110"/>
      <c r="J59" s="132"/>
      <c r="K59" s="125"/>
      <c r="L59" s="125"/>
      <c r="M59" s="125"/>
      <c r="N59" s="125"/>
      <c r="O59" s="125"/>
      <c r="P59" s="126"/>
      <c r="Q59" s="90"/>
      <c r="R59" s="90"/>
      <c r="S59" s="89"/>
    </row>
    <row r="60" spans="1:19">
      <c r="A60" s="60">
        <f>MAX(A$12:A59)+1</f>
        <v>30</v>
      </c>
      <c r="C60" s="4" t="s">
        <v>44</v>
      </c>
      <c r="D60" s="6"/>
      <c r="E60" s="112">
        <f>$E$43</f>
        <v>40000</v>
      </c>
      <c r="F60" s="60"/>
      <c r="G60" s="110">
        <f>G30</f>
        <v>2.2974999999999999</v>
      </c>
      <c r="H60" s="79"/>
      <c r="I60" s="110">
        <f>I30</f>
        <v>3.3211529697198543</v>
      </c>
      <c r="J60" s="20"/>
      <c r="K60" s="125">
        <f>E60*$G60/100</f>
        <v>919</v>
      </c>
      <c r="L60" s="125"/>
      <c r="M60" s="125">
        <f>E60*$I60/100</f>
        <v>1328.4611878879418</v>
      </c>
      <c r="N60" s="125"/>
      <c r="O60" s="125">
        <f>M60-K60</f>
        <v>409.46118788794183</v>
      </c>
      <c r="P60" s="126"/>
      <c r="Q60" s="90"/>
      <c r="R60" s="89"/>
      <c r="S60" s="89"/>
    </row>
    <row r="61" spans="1:19">
      <c r="A61" s="60">
        <f>MAX(A$12:A60)+1</f>
        <v>31</v>
      </c>
      <c r="C61" s="4" t="s">
        <v>77</v>
      </c>
      <c r="D61" s="9"/>
      <c r="E61" s="112">
        <f>$E$43</f>
        <v>40000</v>
      </c>
      <c r="F61" s="60"/>
      <c r="G61" s="110">
        <f>G31</f>
        <v>6.2597999999999994</v>
      </c>
      <c r="H61" s="79"/>
      <c r="I61" s="110">
        <f>I31</f>
        <v>2.232120538530832</v>
      </c>
      <c r="J61" s="20"/>
      <c r="K61" s="125">
        <f>E61*$G61/100</f>
        <v>2503.9199999999996</v>
      </c>
      <c r="L61" s="125"/>
      <c r="M61" s="125">
        <f>E61*$I61/100</f>
        <v>892.84821541233282</v>
      </c>
      <c r="N61" s="125"/>
      <c r="O61" s="125">
        <f>M61-K61</f>
        <v>-1611.0717845876668</v>
      </c>
      <c r="P61" s="126"/>
      <c r="Q61" s="90"/>
      <c r="R61" s="89"/>
      <c r="S61" s="89"/>
    </row>
    <row r="62" spans="1:19">
      <c r="A62" s="60">
        <f>MAX(A$12:A61)+1</f>
        <v>32</v>
      </c>
      <c r="C62" s="4" t="s">
        <v>78</v>
      </c>
      <c r="D62" s="9"/>
      <c r="E62" s="112"/>
      <c r="F62" s="60"/>
      <c r="G62" s="110"/>
      <c r="H62" s="79"/>
      <c r="I62" s="110"/>
      <c r="J62" s="20"/>
      <c r="K62" s="130">
        <f>SUM(K60:K61)</f>
        <v>3422.9199999999996</v>
      </c>
      <c r="L62" s="125"/>
      <c r="M62" s="130">
        <f>SUM(M60:M61)</f>
        <v>2221.3094033002744</v>
      </c>
      <c r="N62" s="125"/>
      <c r="O62" s="130">
        <f>SUM(O60:O61)</f>
        <v>-1201.610596699725</v>
      </c>
      <c r="P62" s="126"/>
      <c r="Q62" s="96">
        <f>O62/K62</f>
        <v>-0.35104840215363642</v>
      </c>
      <c r="R62" s="89"/>
      <c r="S62" s="131">
        <f>Q62</f>
        <v>-0.35104840215363642</v>
      </c>
    </row>
    <row r="63" spans="1:19">
      <c r="C63" s="4"/>
      <c r="D63" s="9"/>
      <c r="E63" s="112"/>
      <c r="F63" s="60"/>
      <c r="G63" s="110"/>
      <c r="H63" s="79"/>
      <c r="I63" s="110"/>
      <c r="J63" s="20"/>
      <c r="K63" s="125"/>
      <c r="L63" s="124"/>
      <c r="M63" s="125"/>
      <c r="N63" s="124"/>
      <c r="O63" s="125"/>
      <c r="P63" s="91"/>
      <c r="Q63" s="90"/>
      <c r="R63" s="89"/>
      <c r="S63" s="89"/>
    </row>
    <row r="64" spans="1:19">
      <c r="A64" s="60">
        <f>MAX(A$12:A63)+1</f>
        <v>33</v>
      </c>
      <c r="C64" s="4" t="s">
        <v>45</v>
      </c>
      <c r="D64" s="9"/>
      <c r="E64" s="112">
        <f>$E$43</f>
        <v>40000</v>
      </c>
      <c r="F64" s="60"/>
      <c r="G64" s="110">
        <f>G34</f>
        <v>22.315125896711042</v>
      </c>
      <c r="H64" s="79"/>
      <c r="I64" s="110">
        <f>I34</f>
        <v>20.903604607530845</v>
      </c>
      <c r="J64" s="20"/>
      <c r="K64" s="125">
        <f>E64*$G64/100</f>
        <v>8926.050358684417</v>
      </c>
      <c r="L64" s="125"/>
      <c r="M64" s="125">
        <f>E64*$I64/100</f>
        <v>8361.4418430123387</v>
      </c>
      <c r="N64" s="125"/>
      <c r="O64" s="125">
        <f>M64-K64</f>
        <v>-564.60851567207828</v>
      </c>
      <c r="P64" s="126"/>
      <c r="Q64" s="87">
        <f>O64/K64</f>
        <v>-6.3254014147786433E-2</v>
      </c>
      <c r="R64" s="90"/>
      <c r="S64" s="89">
        <f>Q64</f>
        <v>-6.3254014147786433E-2</v>
      </c>
    </row>
    <row r="65" spans="1:21">
      <c r="C65" s="4"/>
      <c r="D65" s="8"/>
      <c r="E65" s="112"/>
      <c r="F65" s="60"/>
      <c r="G65" s="110"/>
      <c r="H65" s="79"/>
      <c r="I65" s="110"/>
      <c r="J65" s="20"/>
      <c r="K65" s="125"/>
      <c r="L65" s="124"/>
      <c r="M65" s="125"/>
      <c r="N65" s="125"/>
      <c r="O65" s="125"/>
      <c r="P65" s="91"/>
      <c r="Q65" s="90"/>
      <c r="R65" s="90"/>
      <c r="S65" s="89"/>
    </row>
    <row r="66" spans="1:21" ht="13.5" thickBot="1">
      <c r="A66" s="60">
        <f>MAX(A$12:A65)+1</f>
        <v>34</v>
      </c>
      <c r="C66" s="4" t="s">
        <v>46</v>
      </c>
      <c r="D66" s="8"/>
      <c r="E66" s="112"/>
      <c r="F66" s="60"/>
      <c r="G66" s="110"/>
      <c r="H66" s="79"/>
      <c r="I66" s="110"/>
      <c r="J66" s="20"/>
      <c r="K66" s="133">
        <f>K55+K57+K62+K64</f>
        <v>20503.381685244418</v>
      </c>
      <c r="L66" s="125"/>
      <c r="M66" s="133">
        <f>M55+M57+M62+M64</f>
        <v>17373.215402346479</v>
      </c>
      <c r="N66" s="125"/>
      <c r="O66" s="133">
        <f>M66-K66</f>
        <v>-3130.1662828979388</v>
      </c>
      <c r="P66" s="126"/>
      <c r="Q66" s="102">
        <f>O66/K66</f>
        <v>-0.15266585439174712</v>
      </c>
      <c r="R66" s="90"/>
      <c r="S66" s="134">
        <f>(O55+O62+O64)/(K55+K62+K64)</f>
        <v>-0.18870767805882405</v>
      </c>
    </row>
    <row r="67" spans="1:21" ht="13.5" thickTop="1">
      <c r="C67" s="4"/>
      <c r="D67" s="8"/>
      <c r="E67" s="112"/>
      <c r="F67" s="60"/>
      <c r="G67" s="110"/>
      <c r="H67" s="79"/>
      <c r="I67" s="110"/>
      <c r="J67" s="20"/>
      <c r="K67" s="125"/>
      <c r="L67" s="124"/>
      <c r="M67" s="125"/>
      <c r="N67" s="125"/>
      <c r="O67" s="125"/>
      <c r="P67" s="91"/>
      <c r="Q67" s="90"/>
      <c r="R67" s="90"/>
      <c r="S67" s="89"/>
    </row>
    <row r="68" spans="1:21">
      <c r="A68" s="60">
        <f>MAX(A$12:A67)+1</f>
        <v>35</v>
      </c>
      <c r="C68" s="4" t="s">
        <v>81</v>
      </c>
      <c r="D68" s="9"/>
      <c r="E68" s="112"/>
      <c r="F68" s="60"/>
      <c r="G68" s="110"/>
      <c r="H68" s="79"/>
      <c r="I68" s="110"/>
      <c r="J68" s="20"/>
      <c r="K68" s="94">
        <f>K55+K57+K60+K61+M64</f>
        <v>19938.773169572341</v>
      </c>
      <c r="L68" s="84"/>
      <c r="M68" s="94">
        <f>M55+M57+M60+M61+M64</f>
        <v>17373.215402346479</v>
      </c>
      <c r="N68" s="84"/>
      <c r="O68" s="94">
        <f>M68-K68</f>
        <v>-2565.5577672258623</v>
      </c>
      <c r="P68" s="91"/>
      <c r="Q68" s="96">
        <f>O68/K68</f>
        <v>-0.12867179667508549</v>
      </c>
      <c r="R68" s="90"/>
      <c r="S68" s="96">
        <f>(O68-O57)/(K68-K57)</f>
        <v>-0.16011945872752681</v>
      </c>
    </row>
    <row r="69" spans="1:21">
      <c r="A69" s="60">
        <f>MAX(A$12:A68)+1</f>
        <v>36</v>
      </c>
      <c r="C69" s="11" t="s">
        <v>82</v>
      </c>
      <c r="E69" s="112"/>
      <c r="F69" s="60"/>
      <c r="G69" s="110"/>
      <c r="H69" s="79"/>
      <c r="I69" s="110"/>
      <c r="J69" s="20"/>
      <c r="K69" s="84"/>
      <c r="L69" s="104"/>
      <c r="M69" s="84"/>
      <c r="N69" s="84"/>
      <c r="O69" s="84"/>
      <c r="P69" s="91"/>
      <c r="Q69" s="87">
        <f>(O55+O57+O62)/(K55+K57+K62)</f>
        <v>-0.22160182643647028</v>
      </c>
      <c r="R69" s="90"/>
      <c r="S69" s="87">
        <f>(O55+O62)/(K55+K62)</f>
        <v>-0.33487101103847122</v>
      </c>
    </row>
    <row r="70" spans="1:21">
      <c r="A70" s="60"/>
      <c r="C70" s="11"/>
      <c r="E70" s="112"/>
      <c r="F70" s="60"/>
      <c r="G70" s="110"/>
      <c r="H70" s="79"/>
      <c r="I70" s="110"/>
      <c r="J70" s="20"/>
      <c r="K70" s="84"/>
      <c r="L70" s="104"/>
      <c r="M70" s="84"/>
      <c r="N70" s="84"/>
      <c r="O70" s="84"/>
      <c r="P70" s="91"/>
      <c r="Q70" s="87"/>
      <c r="R70" s="90"/>
      <c r="S70" s="87"/>
    </row>
    <row r="71" spans="1:21">
      <c r="E71" s="112"/>
      <c r="F71" s="60"/>
      <c r="G71" s="110"/>
      <c r="H71" s="79"/>
      <c r="I71" s="110"/>
      <c r="J71" s="20"/>
      <c r="K71" s="124"/>
      <c r="L71" s="124"/>
      <c r="M71" s="124"/>
      <c r="N71" s="125"/>
      <c r="O71" s="125"/>
      <c r="P71" s="20"/>
      <c r="Q71" s="90"/>
      <c r="R71" s="90"/>
      <c r="S71" s="89"/>
    </row>
    <row r="72" spans="1:21">
      <c r="C72" s="69" t="s">
        <v>87</v>
      </c>
      <c r="D72" s="69"/>
      <c r="E72" s="112"/>
      <c r="F72" s="60"/>
      <c r="G72" s="110"/>
      <c r="H72" s="79"/>
      <c r="I72" s="110"/>
      <c r="J72" s="20"/>
      <c r="K72" s="125"/>
      <c r="L72" s="125"/>
      <c r="M72" s="125"/>
      <c r="N72" s="125"/>
      <c r="O72" s="125"/>
      <c r="P72" s="23"/>
      <c r="Q72" s="90"/>
      <c r="R72" s="90"/>
      <c r="S72" s="89"/>
      <c r="U72" t="s">
        <v>98</v>
      </c>
    </row>
    <row r="73" spans="1:21">
      <c r="A73" s="60">
        <f>MAX(A$12:A72)+1</f>
        <v>37</v>
      </c>
      <c r="C73" s="4" t="s">
        <v>31</v>
      </c>
      <c r="D73" s="4"/>
      <c r="E73" s="112">
        <v>60000</v>
      </c>
      <c r="F73" s="60"/>
      <c r="G73" s="110"/>
      <c r="H73" s="79"/>
      <c r="I73" s="110"/>
      <c r="J73" s="20"/>
      <c r="K73" s="124"/>
      <c r="L73" s="124"/>
      <c r="M73" s="124"/>
      <c r="N73" s="124"/>
      <c r="O73" s="124"/>
      <c r="P73" s="60"/>
      <c r="Q73" s="89"/>
      <c r="R73" s="89"/>
      <c r="S73" s="89"/>
    </row>
    <row r="74" spans="1:21">
      <c r="C74" s="117"/>
      <c r="D74" s="117"/>
      <c r="E74" s="88"/>
      <c r="F74" s="60"/>
      <c r="G74" s="86"/>
      <c r="H74" s="86"/>
      <c r="I74" s="86"/>
      <c r="J74" s="20"/>
      <c r="K74" s="124"/>
      <c r="L74" s="124"/>
      <c r="M74" s="124"/>
      <c r="N74" s="124"/>
      <c r="O74" s="124"/>
      <c r="P74" s="60"/>
      <c r="Q74" s="89"/>
      <c r="R74" s="89"/>
      <c r="S74" s="89"/>
    </row>
    <row r="75" spans="1:21">
      <c r="C75" s="8" t="s">
        <v>32</v>
      </c>
      <c r="D75" s="5"/>
      <c r="E75" s="20"/>
      <c r="F75" s="60"/>
      <c r="G75" s="20"/>
      <c r="H75" s="20"/>
      <c r="I75" s="20"/>
      <c r="J75" s="20"/>
      <c r="K75" s="125"/>
      <c r="L75" s="125"/>
      <c r="M75" s="125"/>
      <c r="N75" s="125"/>
      <c r="O75" s="125"/>
      <c r="P75" s="20"/>
      <c r="Q75" s="90"/>
      <c r="R75" s="90"/>
      <c r="S75" s="89"/>
    </row>
    <row r="76" spans="1:21">
      <c r="A76" s="60">
        <f>MAX(A$12:A75)+1</f>
        <v>38</v>
      </c>
      <c r="C76" s="4" t="s">
        <v>84</v>
      </c>
      <c r="D76" s="6"/>
      <c r="E76" s="91" t="s">
        <v>34</v>
      </c>
      <c r="F76" s="60"/>
      <c r="G76" s="92">
        <v>76.58</v>
      </c>
      <c r="H76" s="92"/>
      <c r="I76" s="92">
        <v>80</v>
      </c>
      <c r="J76" s="92"/>
      <c r="K76" s="125">
        <f>G76*12</f>
        <v>918.96</v>
      </c>
      <c r="L76" s="125"/>
      <c r="M76" s="125">
        <f>I76*12</f>
        <v>960</v>
      </c>
      <c r="N76" s="125"/>
      <c r="O76" s="125">
        <f>M76-K76</f>
        <v>41.039999999999964</v>
      </c>
      <c r="P76" s="126"/>
      <c r="Q76" s="106"/>
      <c r="R76" s="90"/>
      <c r="S76" s="89"/>
    </row>
    <row r="77" spans="1:21">
      <c r="C77" s="4" t="s">
        <v>85</v>
      </c>
      <c r="D77" s="6"/>
      <c r="E77" s="91"/>
      <c r="F77" s="60"/>
      <c r="G77" s="92"/>
      <c r="H77" s="92"/>
      <c r="I77" s="92"/>
      <c r="J77" s="92"/>
      <c r="K77" s="125"/>
      <c r="L77" s="125"/>
      <c r="M77" s="125"/>
      <c r="N77" s="125"/>
      <c r="O77" s="125"/>
      <c r="P77" s="126"/>
      <c r="Q77" s="90"/>
      <c r="R77" s="90"/>
      <c r="S77" s="89"/>
    </row>
    <row r="78" spans="1:21">
      <c r="A78" s="60">
        <f>MAX(A$12:A77)+1</f>
        <v>39</v>
      </c>
      <c r="C78" s="11" t="s">
        <v>89</v>
      </c>
      <c r="D78" s="11"/>
      <c r="E78" s="112">
        <f>'Attachment 2'!P119</f>
        <v>12000</v>
      </c>
      <c r="F78" s="60"/>
      <c r="G78" s="110">
        <v>10.1913</v>
      </c>
      <c r="H78" s="79"/>
      <c r="I78" s="110">
        <v>6.7010673944326804</v>
      </c>
      <c r="J78" s="20"/>
      <c r="K78" s="125">
        <f>$E78*G78/100</f>
        <v>1222.9560000000001</v>
      </c>
      <c r="L78" s="125"/>
      <c r="M78" s="125">
        <f>$E78*I78/100</f>
        <v>804.12808733192173</v>
      </c>
      <c r="N78" s="125"/>
      <c r="O78" s="125">
        <f>M78-K78</f>
        <v>-418.8279126680784</v>
      </c>
      <c r="P78" s="126"/>
      <c r="Q78" s="90"/>
      <c r="R78" s="127"/>
      <c r="S78" s="89"/>
    </row>
    <row r="79" spans="1:21">
      <c r="A79" s="60">
        <f>MAX(A$12:A78)+1</f>
        <v>40</v>
      </c>
      <c r="C79" s="11" t="s">
        <v>90</v>
      </c>
      <c r="D79" s="11"/>
      <c r="E79" s="112">
        <f>'Attachment 2'!P120</f>
        <v>48000</v>
      </c>
      <c r="F79" s="60"/>
      <c r="G79" s="110">
        <v>8.3182000000000009</v>
      </c>
      <c r="H79" s="79"/>
      <c r="I79" s="110">
        <v>5.3579628354469531</v>
      </c>
      <c r="J79" s="20"/>
      <c r="K79" s="125">
        <f>$E79*G79/100</f>
        <v>3992.7360000000003</v>
      </c>
      <c r="L79" s="125"/>
      <c r="M79" s="125">
        <f>$E79*I79/100</f>
        <v>2571.8221610145374</v>
      </c>
      <c r="N79" s="125"/>
      <c r="O79" s="125">
        <f t="shared" ref="O79:O82" si="4">M79-K79</f>
        <v>-1420.9138389854629</v>
      </c>
      <c r="P79" s="126"/>
      <c r="Q79" s="90"/>
      <c r="R79" s="127"/>
      <c r="S79" s="89"/>
    </row>
    <row r="80" spans="1:21">
      <c r="A80" s="60">
        <f>MAX(A$12:A79)+1</f>
        <v>41</v>
      </c>
      <c r="C80" s="11" t="s">
        <v>91</v>
      </c>
      <c r="D80" s="11"/>
      <c r="E80" s="112">
        <f>'Attachment 2'!P121</f>
        <v>0</v>
      </c>
      <c r="F80" s="60"/>
      <c r="G80" s="110">
        <v>7.2328000000000001</v>
      </c>
      <c r="H80" s="79"/>
      <c r="I80" s="110">
        <v>4.5796778061783021</v>
      </c>
      <c r="J80" s="20"/>
      <c r="K80" s="125">
        <f>$E80*G80/100</f>
        <v>0</v>
      </c>
      <c r="L80" s="125"/>
      <c r="M80" s="125">
        <f>$E80*I80/100</f>
        <v>0</v>
      </c>
      <c r="N80" s="125"/>
      <c r="O80" s="125">
        <f t="shared" si="4"/>
        <v>0</v>
      </c>
      <c r="P80" s="126"/>
      <c r="Q80" s="90"/>
      <c r="R80" s="127"/>
      <c r="S80" s="89"/>
    </row>
    <row r="81" spans="1:19">
      <c r="A81" s="60">
        <f>MAX(A$12:A80)+1</f>
        <v>42</v>
      </c>
      <c r="C81" s="11" t="s">
        <v>92</v>
      </c>
      <c r="D81" s="11"/>
      <c r="E81" s="112">
        <f>'Attachment 2'!P122</f>
        <v>0</v>
      </c>
      <c r="F81" s="60"/>
      <c r="G81" s="110">
        <v>6.5511999999999997</v>
      </c>
      <c r="H81" s="79"/>
      <c r="I81" s="110">
        <v>4.0909371797276739</v>
      </c>
      <c r="J81" s="20"/>
      <c r="K81" s="125">
        <f>$E81*G81/100</f>
        <v>0</v>
      </c>
      <c r="L81" s="125"/>
      <c r="M81" s="125">
        <f>$E81*I81/100</f>
        <v>0</v>
      </c>
      <c r="N81" s="125"/>
      <c r="O81" s="125">
        <f t="shared" si="4"/>
        <v>0</v>
      </c>
      <c r="P81" s="126"/>
      <c r="Q81" s="90"/>
      <c r="R81" s="127"/>
      <c r="S81" s="89"/>
    </row>
    <row r="82" spans="1:19">
      <c r="A82" s="60">
        <f>MAX(A$12:A81)+1</f>
        <v>43</v>
      </c>
      <c r="C82" s="11" t="s">
        <v>93</v>
      </c>
      <c r="D82" s="11"/>
      <c r="E82" s="113">
        <f>'Attachment 2'!P123</f>
        <v>0</v>
      </c>
      <c r="F82" s="60"/>
      <c r="G82" s="110">
        <v>3.9687000000000001</v>
      </c>
      <c r="H82" s="79"/>
      <c r="I82" s="110">
        <v>2.2391580309472348</v>
      </c>
      <c r="J82" s="20"/>
      <c r="K82" s="125">
        <f>$E82*G82/100</f>
        <v>0</v>
      </c>
      <c r="L82" s="125"/>
      <c r="M82" s="125">
        <f>$E82*I82/100</f>
        <v>0</v>
      </c>
      <c r="N82" s="125"/>
      <c r="O82" s="125">
        <f t="shared" si="4"/>
        <v>0</v>
      </c>
      <c r="P82" s="97"/>
      <c r="Q82" s="89"/>
      <c r="R82" s="90"/>
      <c r="S82" s="89"/>
    </row>
    <row r="83" spans="1:19">
      <c r="A83" s="60">
        <f>MAX(A$12:A82)+1</f>
        <v>44</v>
      </c>
      <c r="C83" s="4" t="s">
        <v>40</v>
      </c>
      <c r="D83" s="6"/>
      <c r="E83" s="112">
        <f>SUM(E78:E82)</f>
        <v>60000</v>
      </c>
      <c r="F83" s="60"/>
      <c r="G83" s="110"/>
      <c r="H83" s="79"/>
      <c r="I83" s="110"/>
      <c r="J83" s="20"/>
      <c r="K83" s="128">
        <f>SUM(K78:K82)</f>
        <v>5215.6920000000009</v>
      </c>
      <c r="L83" s="125"/>
      <c r="M83" s="128">
        <f>SUM(M78:M82)</f>
        <v>3375.9502483464594</v>
      </c>
      <c r="N83" s="125"/>
      <c r="O83" s="128">
        <f>SUM(O78:O82)</f>
        <v>-1839.7417516535413</v>
      </c>
      <c r="P83" s="126"/>
      <c r="Q83" s="87"/>
      <c r="R83" s="90"/>
      <c r="S83" s="89"/>
    </row>
    <row r="84" spans="1:19">
      <c r="A84" s="60">
        <f>MAX(A$12:A83)+1</f>
        <v>45</v>
      </c>
      <c r="C84" s="4" t="s">
        <v>41</v>
      </c>
      <c r="D84" s="4"/>
      <c r="E84" s="112">
        <f>$E$73</f>
        <v>60000</v>
      </c>
      <c r="F84" s="60"/>
      <c r="G84" s="110">
        <v>1.41E-2</v>
      </c>
      <c r="H84" s="79"/>
      <c r="I84" s="110">
        <v>1.41E-2</v>
      </c>
      <c r="J84" s="129"/>
      <c r="K84" s="125">
        <f>$G$84*E84/100</f>
        <v>8.4600000000000009</v>
      </c>
      <c r="L84" s="125"/>
      <c r="M84" s="125">
        <f>$I$84*E84/100</f>
        <v>8.4600000000000009</v>
      </c>
      <c r="N84" s="125"/>
      <c r="O84" s="125">
        <f>M84-K84</f>
        <v>0</v>
      </c>
      <c r="P84" s="126"/>
      <c r="Q84" s="90"/>
      <c r="R84" s="90"/>
      <c r="S84" s="89"/>
    </row>
    <row r="85" spans="1:19">
      <c r="A85" s="60">
        <f>MAX(A$12:A84)+1</f>
        <v>46</v>
      </c>
      <c r="C85" s="4" t="s">
        <v>42</v>
      </c>
      <c r="D85" s="9"/>
      <c r="E85" s="112"/>
      <c r="F85" s="60"/>
      <c r="G85" s="110"/>
      <c r="H85" s="79"/>
      <c r="I85" s="110"/>
      <c r="J85" s="20"/>
      <c r="K85" s="130">
        <f>K83+K76+K84</f>
        <v>6143.112000000001</v>
      </c>
      <c r="L85" s="125"/>
      <c r="M85" s="130">
        <f>M83+M76+M84</f>
        <v>4344.4102483464594</v>
      </c>
      <c r="N85" s="125"/>
      <c r="O85" s="130">
        <f>O83+O76+O84</f>
        <v>-1798.7017516535414</v>
      </c>
      <c r="P85" s="126"/>
      <c r="Q85" s="96">
        <f>O85/K85</f>
        <v>-0.29279976527426832</v>
      </c>
      <c r="R85" s="90"/>
      <c r="S85" s="131">
        <f>Q85</f>
        <v>-0.29279976527426832</v>
      </c>
    </row>
    <row r="86" spans="1:19">
      <c r="C86" s="9"/>
      <c r="D86" s="9"/>
      <c r="E86" s="112"/>
      <c r="F86" s="60"/>
      <c r="G86" s="110"/>
      <c r="H86" s="79"/>
      <c r="I86" s="110"/>
      <c r="J86" s="20"/>
      <c r="K86" s="124"/>
      <c r="L86" s="124"/>
      <c r="M86" s="124"/>
      <c r="N86" s="124"/>
      <c r="O86" s="124"/>
      <c r="P86" s="97"/>
      <c r="Q86" s="89"/>
      <c r="R86" s="89"/>
      <c r="S86" s="89"/>
    </row>
    <row r="87" spans="1:19">
      <c r="A87" s="60">
        <f>MAX(A$12:A86)+1</f>
        <v>47</v>
      </c>
      <c r="C87" s="4" t="s">
        <v>43</v>
      </c>
      <c r="D87" s="4"/>
      <c r="E87" s="112">
        <f>$E$73</f>
        <v>60000</v>
      </c>
      <c r="F87" s="60"/>
      <c r="G87" s="110">
        <v>9.7899999999999991</v>
      </c>
      <c r="H87" s="79"/>
      <c r="I87" s="110">
        <v>9.7899999999999991</v>
      </c>
      <c r="J87" s="129"/>
      <c r="K87" s="125">
        <f>$G$87*E87/100</f>
        <v>5874</v>
      </c>
      <c r="L87" s="125"/>
      <c r="M87" s="125">
        <f>$I$87*E87/100</f>
        <v>5874</v>
      </c>
      <c r="N87" s="125"/>
      <c r="O87" s="125">
        <f>M87-K87</f>
        <v>0</v>
      </c>
      <c r="P87" s="126"/>
      <c r="Q87" s="87">
        <f>O87/K87</f>
        <v>0</v>
      </c>
      <c r="R87" s="90"/>
      <c r="S87" s="89">
        <f>Q87</f>
        <v>0</v>
      </c>
    </row>
    <row r="88" spans="1:19">
      <c r="C88" s="8"/>
      <c r="D88" s="8"/>
      <c r="E88" s="112"/>
      <c r="F88" s="60"/>
      <c r="G88" s="110"/>
      <c r="H88" s="79"/>
      <c r="I88" s="110"/>
      <c r="J88" s="132"/>
      <c r="K88" s="125"/>
      <c r="L88" s="125"/>
      <c r="M88" s="125"/>
      <c r="N88" s="125"/>
      <c r="O88" s="125"/>
      <c r="P88" s="126"/>
      <c r="Q88" s="90"/>
      <c r="R88" s="90"/>
      <c r="S88" s="89"/>
    </row>
    <row r="89" spans="1:19">
      <c r="C89" s="8" t="s">
        <v>44</v>
      </c>
      <c r="D89" s="5"/>
      <c r="E89" s="112"/>
      <c r="F89" s="60"/>
      <c r="G89" s="110"/>
      <c r="H89" s="79"/>
      <c r="I89" s="110"/>
      <c r="J89" s="20"/>
      <c r="K89" s="125"/>
      <c r="L89" s="125"/>
      <c r="M89" s="125"/>
      <c r="N89" s="125"/>
      <c r="O89" s="125"/>
      <c r="P89" s="91"/>
      <c r="Q89" s="90"/>
      <c r="R89" s="90"/>
      <c r="S89" s="89"/>
    </row>
    <row r="90" spans="1:19">
      <c r="A90" s="60">
        <f>MAX(A$12:A89)+1</f>
        <v>48</v>
      </c>
      <c r="C90" s="4" t="s">
        <v>44</v>
      </c>
      <c r="D90" s="6"/>
      <c r="E90" s="112">
        <f>$E$73</f>
        <v>60000</v>
      </c>
      <c r="F90" s="60"/>
      <c r="G90" s="110">
        <v>2.1114999999999999</v>
      </c>
      <c r="H90" s="79"/>
      <c r="I90" s="110">
        <v>3.0486237145335942</v>
      </c>
      <c r="J90" s="20"/>
      <c r="K90" s="125">
        <f>E90*$G90/100</f>
        <v>1266.9000000000001</v>
      </c>
      <c r="L90" s="125"/>
      <c r="M90" s="125">
        <f>E90*$I90/100</f>
        <v>1829.1742287201566</v>
      </c>
      <c r="N90" s="125"/>
      <c r="O90" s="125">
        <f>M90-K90</f>
        <v>562.27422872015654</v>
      </c>
      <c r="P90" s="126"/>
      <c r="Q90" s="90"/>
      <c r="R90" s="89"/>
      <c r="S90" s="89"/>
    </row>
    <row r="91" spans="1:19">
      <c r="A91" s="60">
        <f>MAX(A$12:A90)+1</f>
        <v>49</v>
      </c>
      <c r="C91" s="4" t="s">
        <v>77</v>
      </c>
      <c r="D91" s="9"/>
      <c r="E91" s="112">
        <f>$E$73</f>
        <v>60000</v>
      </c>
      <c r="F91" s="60"/>
      <c r="G91" s="110">
        <v>4.6779999999999999</v>
      </c>
      <c r="H91" s="79"/>
      <c r="I91" s="110">
        <v>1.8857001088278693</v>
      </c>
      <c r="J91" s="20"/>
      <c r="K91" s="125">
        <f>E91*$G91/100</f>
        <v>2806.8</v>
      </c>
      <c r="L91" s="125"/>
      <c r="M91" s="125">
        <f>E91*$I91/100</f>
        <v>1131.4200652967215</v>
      </c>
      <c r="N91" s="125"/>
      <c r="O91" s="125">
        <f>M91-K91</f>
        <v>-1675.3799347032786</v>
      </c>
      <c r="P91" s="126"/>
      <c r="Q91" s="90"/>
      <c r="R91" s="89"/>
      <c r="S91" s="89"/>
    </row>
    <row r="92" spans="1:19">
      <c r="A92" s="60">
        <f>MAX(A$12:A91)+1</f>
        <v>50</v>
      </c>
      <c r="C92" s="4" t="s">
        <v>78</v>
      </c>
      <c r="D92" s="9"/>
      <c r="E92" s="112"/>
      <c r="F92" s="60"/>
      <c r="G92" s="110"/>
      <c r="H92" s="79"/>
      <c r="I92" s="110"/>
      <c r="J92" s="20"/>
      <c r="K92" s="130">
        <f>SUM(K90:K91)</f>
        <v>4073.7000000000003</v>
      </c>
      <c r="L92" s="125"/>
      <c r="M92" s="130">
        <f>SUM(M90:M91)</f>
        <v>2960.5942940168779</v>
      </c>
      <c r="N92" s="125"/>
      <c r="O92" s="130">
        <f>SUM(O89:O91)</f>
        <v>-1113.1057059831221</v>
      </c>
      <c r="P92" s="126"/>
      <c r="Q92" s="96">
        <f>O92/K92</f>
        <v>-0.27324194368341359</v>
      </c>
      <c r="R92" s="89"/>
      <c r="S92" s="131">
        <f>Q92</f>
        <v>-0.27324194368341359</v>
      </c>
    </row>
    <row r="93" spans="1:19">
      <c r="C93" s="4"/>
      <c r="D93" s="9"/>
      <c r="E93" s="112"/>
      <c r="F93" s="60"/>
      <c r="G93" s="110"/>
      <c r="H93" s="79"/>
      <c r="I93" s="110"/>
      <c r="J93" s="20"/>
      <c r="K93" s="125"/>
      <c r="L93" s="124"/>
      <c r="M93" s="125"/>
      <c r="N93" s="124"/>
      <c r="O93" s="125"/>
      <c r="P93" s="91"/>
      <c r="Q93" s="90"/>
      <c r="R93" s="89"/>
      <c r="S93" s="89"/>
    </row>
    <row r="94" spans="1:19">
      <c r="A94" s="60">
        <f>MAX(A$12:A93)+1</f>
        <v>51</v>
      </c>
      <c r="C94" s="4" t="s">
        <v>45</v>
      </c>
      <c r="D94" s="9"/>
      <c r="E94" s="112">
        <f>$E$73</f>
        <v>60000</v>
      </c>
      <c r="F94" s="60"/>
      <c r="G94" s="110">
        <v>22.315125896711042</v>
      </c>
      <c r="H94" s="79"/>
      <c r="I94" s="110">
        <v>20.903604607530845</v>
      </c>
      <c r="J94" s="20"/>
      <c r="K94" s="125">
        <f>E94*$G94/100</f>
        <v>13389.075538026626</v>
      </c>
      <c r="L94" s="125"/>
      <c r="M94" s="125">
        <f>E94*$I94/100</f>
        <v>12542.162764518507</v>
      </c>
      <c r="N94" s="125"/>
      <c r="O94" s="125">
        <f>M94-K94</f>
        <v>-846.91277350811833</v>
      </c>
      <c r="P94" s="126"/>
      <c r="Q94" s="87">
        <f>O94/K94</f>
        <v>-6.3254014147786503E-2</v>
      </c>
      <c r="R94" s="90"/>
      <c r="S94" s="89">
        <f>Q94</f>
        <v>-6.3254014147786503E-2</v>
      </c>
    </row>
    <row r="95" spans="1:19">
      <c r="C95" s="4"/>
      <c r="D95" s="8"/>
      <c r="E95" s="112"/>
      <c r="F95" s="60"/>
      <c r="G95" s="110"/>
      <c r="H95" s="79"/>
      <c r="I95" s="110"/>
      <c r="J95" s="20"/>
      <c r="K95" s="125"/>
      <c r="L95" s="124"/>
      <c r="M95" s="125"/>
      <c r="N95" s="125"/>
      <c r="O95" s="125"/>
      <c r="P95" s="91"/>
      <c r="Q95" s="90"/>
      <c r="R95" s="90"/>
      <c r="S95" s="89"/>
    </row>
    <row r="96" spans="1:19" ht="13.5" thickBot="1">
      <c r="A96" s="60">
        <f>MAX(A$12:A95)+1</f>
        <v>52</v>
      </c>
      <c r="C96" s="4" t="s">
        <v>46</v>
      </c>
      <c r="D96" s="8"/>
      <c r="E96" s="112"/>
      <c r="F96" s="60"/>
      <c r="G96" s="110"/>
      <c r="H96" s="79"/>
      <c r="I96" s="110"/>
      <c r="J96" s="20"/>
      <c r="K96" s="133">
        <f>K85+K87+K92+K94</f>
        <v>29479.887538026625</v>
      </c>
      <c r="L96" s="125"/>
      <c r="M96" s="133">
        <f>M85+M87+M92+M94</f>
        <v>25721.167306881845</v>
      </c>
      <c r="N96" s="125"/>
      <c r="O96" s="133">
        <f>M96-K96</f>
        <v>-3758.72023114478</v>
      </c>
      <c r="P96" s="126"/>
      <c r="Q96" s="102">
        <f>O96/K96</f>
        <v>-0.12750117266547711</v>
      </c>
      <c r="R96" s="90"/>
      <c r="S96" s="134">
        <f>(O85+O92+O94)/(K85+K92+K94)</f>
        <v>-0.1592280834639187</v>
      </c>
    </row>
    <row r="97" spans="1:19" ht="13.5" thickTop="1">
      <c r="C97" s="4"/>
      <c r="D97" s="8"/>
      <c r="E97" s="112"/>
      <c r="F97" s="60"/>
      <c r="G97" s="110"/>
      <c r="H97" s="79"/>
      <c r="I97" s="110"/>
      <c r="J97" s="20"/>
      <c r="K97" s="125"/>
      <c r="L97" s="124"/>
      <c r="M97" s="125"/>
      <c r="N97" s="125"/>
      <c r="O97" s="125"/>
      <c r="P97" s="91"/>
      <c r="Q97" s="90"/>
      <c r="R97" s="90"/>
      <c r="S97" s="89"/>
    </row>
    <row r="98" spans="1:19">
      <c r="A98" s="60">
        <f>MAX(A$12:A97)+1</f>
        <v>53</v>
      </c>
      <c r="C98" s="4" t="s">
        <v>81</v>
      </c>
      <c r="D98" s="9"/>
      <c r="E98" s="112"/>
      <c r="F98" s="60"/>
      <c r="G98" s="110"/>
      <c r="H98" s="79"/>
      <c r="I98" s="110"/>
      <c r="J98" s="20"/>
      <c r="K98" s="94">
        <f>K85+K87+K90+K91+M94</f>
        <v>28632.974764518509</v>
      </c>
      <c r="L98" s="84"/>
      <c r="M98" s="94">
        <f>M85+M87+M90+M91+M94</f>
        <v>25721.167306881842</v>
      </c>
      <c r="N98" s="84"/>
      <c r="O98" s="94">
        <f>M98-K98</f>
        <v>-2911.8074576366671</v>
      </c>
      <c r="P98" s="91"/>
      <c r="Q98" s="96">
        <f>O98/K98</f>
        <v>-0.10169419983720759</v>
      </c>
      <c r="R98" s="90"/>
      <c r="S98" s="96">
        <f>(O98-O87)/(K98-K87)</f>
        <v>-0.12794106447080414</v>
      </c>
    </row>
    <row r="99" spans="1:19">
      <c r="A99" s="60">
        <f>MAX(A$12:A98)+1</f>
        <v>54</v>
      </c>
      <c r="C99" s="11" t="s">
        <v>82</v>
      </c>
      <c r="E99" s="112"/>
      <c r="F99" s="60"/>
      <c r="G99" s="110"/>
      <c r="H99" s="79"/>
      <c r="I99" s="110"/>
      <c r="J99" s="20"/>
      <c r="K99" s="84"/>
      <c r="L99" s="104"/>
      <c r="M99" s="84"/>
      <c r="N99" s="84"/>
      <c r="O99" s="84"/>
      <c r="P99" s="91"/>
      <c r="Q99" s="87">
        <f>(O85+O87+O92)/(K85+K87+K92)</f>
        <v>-0.1809608774023749</v>
      </c>
      <c r="R99" s="90"/>
      <c r="S99" s="87">
        <f>(O85+O92)/(K85+K92)</f>
        <v>-0.28500156973003543</v>
      </c>
    </row>
    <row r="100" spans="1:19">
      <c r="C100" s="4"/>
      <c r="E100" s="112"/>
      <c r="F100" s="60"/>
      <c r="G100" s="110"/>
      <c r="H100" s="79"/>
      <c r="I100" s="110"/>
      <c r="J100" s="20"/>
      <c r="K100" s="124"/>
      <c r="L100" s="124"/>
      <c r="M100" s="124"/>
      <c r="N100" s="125"/>
      <c r="O100" s="125"/>
      <c r="P100" s="91"/>
      <c r="Q100" s="90"/>
      <c r="R100" s="90"/>
      <c r="S100" s="89"/>
    </row>
    <row r="101" spans="1:19">
      <c r="E101" s="112"/>
      <c r="F101" s="60"/>
      <c r="G101" s="110"/>
      <c r="H101" s="79"/>
      <c r="I101" s="110"/>
      <c r="J101" s="20"/>
      <c r="K101" s="124"/>
      <c r="L101" s="124"/>
      <c r="M101" s="124"/>
      <c r="N101" s="125"/>
      <c r="O101" s="125"/>
      <c r="P101" s="20"/>
      <c r="Q101" s="90"/>
      <c r="R101" s="90"/>
      <c r="S101" s="89"/>
    </row>
    <row r="102" spans="1:19">
      <c r="C102" s="69" t="s">
        <v>94</v>
      </c>
      <c r="D102" s="69"/>
      <c r="E102" s="112"/>
      <c r="F102" s="60"/>
      <c r="G102" s="110"/>
      <c r="H102" s="79"/>
      <c r="I102" s="110"/>
      <c r="J102" s="20"/>
      <c r="K102" s="125"/>
      <c r="L102" s="125"/>
      <c r="M102" s="125"/>
      <c r="N102" s="125"/>
      <c r="O102" s="125"/>
      <c r="P102" s="23"/>
      <c r="Q102" s="90"/>
      <c r="R102" s="90"/>
      <c r="S102" s="89"/>
    </row>
    <row r="103" spans="1:19">
      <c r="A103" s="60">
        <f>MAX(A$12:A102)+1</f>
        <v>55</v>
      </c>
      <c r="C103" s="4" t="s">
        <v>31</v>
      </c>
      <c r="D103" s="4"/>
      <c r="E103" s="112">
        <f>'Attachment 2'!P128</f>
        <v>93000</v>
      </c>
      <c r="F103" s="60"/>
      <c r="G103" s="110"/>
      <c r="H103" s="79"/>
      <c r="I103" s="110"/>
      <c r="J103" s="20"/>
      <c r="K103" s="124"/>
      <c r="L103" s="124"/>
      <c r="M103" s="124"/>
      <c r="N103" s="124"/>
      <c r="O103" s="124"/>
      <c r="P103" s="60"/>
      <c r="Q103" s="89"/>
      <c r="R103" s="89"/>
      <c r="S103" s="89"/>
    </row>
    <row r="104" spans="1:19">
      <c r="C104" s="117"/>
      <c r="D104" s="117"/>
      <c r="E104" s="60"/>
      <c r="F104" s="60"/>
      <c r="G104" s="83"/>
      <c r="H104" s="83"/>
      <c r="I104" s="83"/>
      <c r="J104" s="20"/>
      <c r="K104" s="124"/>
      <c r="L104" s="124"/>
      <c r="M104" s="124"/>
      <c r="N104" s="124"/>
      <c r="O104" s="124"/>
      <c r="P104" s="60"/>
      <c r="Q104" s="89"/>
      <c r="R104" s="89"/>
      <c r="S104" s="89"/>
    </row>
    <row r="105" spans="1:19">
      <c r="C105" s="8" t="s">
        <v>32</v>
      </c>
      <c r="D105" s="5"/>
      <c r="E105" s="20"/>
      <c r="F105" s="60"/>
      <c r="G105" s="20"/>
      <c r="H105" s="20"/>
      <c r="I105" s="20"/>
      <c r="J105" s="20"/>
      <c r="K105" s="125"/>
      <c r="L105" s="125"/>
      <c r="M105" s="125"/>
      <c r="N105" s="125"/>
      <c r="O105" s="125"/>
      <c r="P105" s="20"/>
      <c r="Q105" s="90"/>
      <c r="R105" s="90"/>
      <c r="S105" s="89"/>
    </row>
    <row r="106" spans="1:19">
      <c r="A106" s="60">
        <f>MAX(A$12:A105)+1</f>
        <v>56</v>
      </c>
      <c r="C106" s="4" t="s">
        <v>84</v>
      </c>
      <c r="D106" s="6"/>
      <c r="E106" s="91" t="s">
        <v>34</v>
      </c>
      <c r="F106" s="60"/>
      <c r="G106" s="92">
        <f>G76</f>
        <v>76.58</v>
      </c>
      <c r="H106" s="92"/>
      <c r="I106" s="92">
        <f>I76</f>
        <v>80</v>
      </c>
      <c r="J106" s="92"/>
      <c r="K106" s="125">
        <f>G106*12</f>
        <v>918.96</v>
      </c>
      <c r="L106" s="125"/>
      <c r="M106" s="125">
        <f>I106*12</f>
        <v>960</v>
      </c>
      <c r="N106" s="125"/>
      <c r="O106" s="125">
        <f>M106-K106</f>
        <v>41.039999999999964</v>
      </c>
      <c r="P106" s="126"/>
      <c r="Q106" s="106"/>
      <c r="R106" s="90"/>
      <c r="S106" s="89"/>
    </row>
    <row r="107" spans="1:19">
      <c r="C107" s="4" t="s">
        <v>85</v>
      </c>
      <c r="D107" s="6"/>
      <c r="E107" s="91"/>
      <c r="F107" s="60"/>
      <c r="G107" s="79"/>
      <c r="H107" s="79"/>
      <c r="I107" s="79"/>
      <c r="J107" s="92"/>
      <c r="K107" s="125"/>
      <c r="L107" s="125"/>
      <c r="M107" s="125"/>
      <c r="N107" s="125"/>
      <c r="O107" s="125"/>
      <c r="P107" s="126"/>
      <c r="Q107" s="90"/>
      <c r="R107" s="90"/>
      <c r="S107" s="89"/>
    </row>
    <row r="108" spans="1:19">
      <c r="A108" s="60">
        <f>MAX(A$12:A107)+1</f>
        <v>57</v>
      </c>
      <c r="C108" s="11" t="s">
        <v>89</v>
      </c>
      <c r="D108" s="11"/>
      <c r="E108" s="112">
        <f>'Attachment 2'!P133</f>
        <v>12000</v>
      </c>
      <c r="F108" s="60"/>
      <c r="G108" s="110">
        <f>G78</f>
        <v>10.1913</v>
      </c>
      <c r="H108" s="79"/>
      <c r="I108" s="110">
        <f>I78</f>
        <v>6.7010673944326804</v>
      </c>
      <c r="J108" s="20"/>
      <c r="K108" s="125">
        <f>$E108*G108/100</f>
        <v>1222.9560000000001</v>
      </c>
      <c r="L108" s="125"/>
      <c r="M108" s="125">
        <f>$E108*I108/100</f>
        <v>804.12808733192173</v>
      </c>
      <c r="N108" s="125"/>
      <c r="O108" s="125">
        <f>M108-K108</f>
        <v>-418.8279126680784</v>
      </c>
      <c r="P108" s="126"/>
      <c r="Q108" s="90"/>
      <c r="R108" s="127"/>
      <c r="S108" s="89"/>
    </row>
    <row r="109" spans="1:19">
      <c r="A109" s="60">
        <f>MAX(A$12:A108)+1</f>
        <v>58</v>
      </c>
      <c r="C109" s="11" t="s">
        <v>90</v>
      </c>
      <c r="D109" s="11"/>
      <c r="E109" s="112">
        <f>'Attachment 2'!P134</f>
        <v>69264.73</v>
      </c>
      <c r="F109" s="60"/>
      <c r="G109" s="110">
        <f>G79</f>
        <v>8.3182000000000009</v>
      </c>
      <c r="H109" s="79"/>
      <c r="I109" s="110">
        <f>I79</f>
        <v>5.3579628354469531</v>
      </c>
      <c r="J109" s="20"/>
      <c r="K109" s="125">
        <f>$E109*G109/100</f>
        <v>5761.5787708600001</v>
      </c>
      <c r="L109" s="125"/>
      <c r="M109" s="125">
        <f>$E109*I109/100</f>
        <v>3711.1784914726763</v>
      </c>
      <c r="N109" s="125"/>
      <c r="O109" s="125">
        <f t="shared" ref="O109:O112" si="5">M109-K109</f>
        <v>-2050.4002793873237</v>
      </c>
      <c r="P109" s="126"/>
      <c r="Q109" s="90"/>
      <c r="R109" s="127"/>
      <c r="S109" s="89"/>
    </row>
    <row r="110" spans="1:19">
      <c r="A110" s="60">
        <f>MAX(A$12:A109)+1</f>
        <v>59</v>
      </c>
      <c r="C110" s="11" t="s">
        <v>91</v>
      </c>
      <c r="D110" s="11"/>
      <c r="E110" s="112">
        <f>'Attachment 2'!P135</f>
        <v>11735.279999999999</v>
      </c>
      <c r="F110" s="60"/>
      <c r="G110" s="110">
        <f>G80</f>
        <v>7.2328000000000001</v>
      </c>
      <c r="H110" s="79"/>
      <c r="I110" s="110">
        <f>I80</f>
        <v>4.5796778061783021</v>
      </c>
      <c r="J110" s="20"/>
      <c r="K110" s="125">
        <f>$E110*G110/100</f>
        <v>848.78933183999993</v>
      </c>
      <c r="L110" s="125"/>
      <c r="M110" s="125">
        <f>$E110*I110/100</f>
        <v>537.43801365288095</v>
      </c>
      <c r="N110" s="125"/>
      <c r="O110" s="125">
        <f t="shared" si="5"/>
        <v>-311.35131818711898</v>
      </c>
      <c r="P110" s="126"/>
      <c r="Q110" s="90"/>
      <c r="R110" s="127"/>
      <c r="S110" s="89"/>
    </row>
    <row r="111" spans="1:19">
      <c r="A111" s="60">
        <f>MAX(A$12:A110)+1</f>
        <v>60</v>
      </c>
      <c r="C111" s="11" t="s">
        <v>92</v>
      </c>
      <c r="D111" s="11"/>
      <c r="E111" s="112">
        <f>'Attachment 2'!P136</f>
        <v>0</v>
      </c>
      <c r="F111" s="60"/>
      <c r="G111" s="110">
        <f>G81</f>
        <v>6.5511999999999997</v>
      </c>
      <c r="H111" s="79"/>
      <c r="I111" s="110">
        <f>I81</f>
        <v>4.0909371797276739</v>
      </c>
      <c r="J111" s="20"/>
      <c r="K111" s="125">
        <f>$E111*G111/100</f>
        <v>0</v>
      </c>
      <c r="L111" s="125"/>
      <c r="M111" s="125">
        <f>$E111*I111/100</f>
        <v>0</v>
      </c>
      <c r="N111" s="125"/>
      <c r="O111" s="125">
        <f t="shared" si="5"/>
        <v>0</v>
      </c>
      <c r="P111" s="126"/>
      <c r="Q111" s="90"/>
      <c r="R111" s="127"/>
      <c r="S111" s="89"/>
    </row>
    <row r="112" spans="1:19">
      <c r="A112" s="60">
        <f>MAX(A$12:A111)+1</f>
        <v>61</v>
      </c>
      <c r="C112" s="11" t="s">
        <v>93</v>
      </c>
      <c r="D112" s="11"/>
      <c r="E112" s="113">
        <f>'Attachment 2'!P137</f>
        <v>0</v>
      </c>
      <c r="F112" s="60"/>
      <c r="G112" s="110">
        <f>G82</f>
        <v>3.9687000000000001</v>
      </c>
      <c r="H112" s="79"/>
      <c r="I112" s="110">
        <f>I82</f>
        <v>2.2391580309472348</v>
      </c>
      <c r="J112" s="20"/>
      <c r="K112" s="125">
        <f>$E112*G112/100</f>
        <v>0</v>
      </c>
      <c r="L112" s="125"/>
      <c r="M112" s="125">
        <f>$E112*I112/100</f>
        <v>0</v>
      </c>
      <c r="N112" s="125"/>
      <c r="O112" s="125">
        <f t="shared" si="5"/>
        <v>0</v>
      </c>
      <c r="P112" s="97"/>
      <c r="Q112" s="89"/>
      <c r="R112" s="90"/>
      <c r="S112" s="89"/>
    </row>
    <row r="113" spans="1:19">
      <c r="A113" s="60">
        <f>MAX(A$12:A112)+1</f>
        <v>62</v>
      </c>
      <c r="C113" s="4" t="s">
        <v>40</v>
      </c>
      <c r="D113" s="6"/>
      <c r="E113" s="112">
        <f>SUM(E108:E112)</f>
        <v>93000.01</v>
      </c>
      <c r="F113" s="60"/>
      <c r="G113" s="110"/>
      <c r="H113" s="79"/>
      <c r="I113" s="110"/>
      <c r="J113" s="20"/>
      <c r="K113" s="128">
        <f>SUM(K108:K112)</f>
        <v>7833.3241027000004</v>
      </c>
      <c r="L113" s="125"/>
      <c r="M113" s="128">
        <f>SUM(M108:M112)</f>
        <v>5052.7445924574786</v>
      </c>
      <c r="N113" s="125"/>
      <c r="O113" s="128">
        <f>SUM(O108:O112)</f>
        <v>-2780.5795102425213</v>
      </c>
      <c r="P113" s="126"/>
      <c r="Q113" s="87"/>
      <c r="R113" s="90"/>
      <c r="S113" s="89"/>
    </row>
    <row r="114" spans="1:19">
      <c r="A114" s="60">
        <f>MAX(A$12:A113)+1</f>
        <v>63</v>
      </c>
      <c r="C114" s="4" t="s">
        <v>41</v>
      </c>
      <c r="D114" s="4"/>
      <c r="E114" s="112">
        <f>$E$103</f>
        <v>93000</v>
      </c>
      <c r="F114" s="60"/>
      <c r="G114" s="110">
        <f>G84</f>
        <v>1.41E-2</v>
      </c>
      <c r="H114" s="79"/>
      <c r="I114" s="110">
        <f>I84</f>
        <v>1.41E-2</v>
      </c>
      <c r="J114" s="129"/>
      <c r="K114" s="125">
        <f>G114*E114/100</f>
        <v>13.113</v>
      </c>
      <c r="L114" s="125"/>
      <c r="M114" s="125">
        <f>I114*E114/100</f>
        <v>13.113</v>
      </c>
      <c r="N114" s="125"/>
      <c r="O114" s="125">
        <f>M114-K114</f>
        <v>0</v>
      </c>
      <c r="P114" s="126"/>
      <c r="Q114" s="90"/>
      <c r="R114" s="90"/>
      <c r="S114" s="89"/>
    </row>
    <row r="115" spans="1:19">
      <c r="A115" s="60">
        <f>MAX(A$12:A114)+1</f>
        <v>64</v>
      </c>
      <c r="C115" s="4" t="s">
        <v>42</v>
      </c>
      <c r="D115" s="9"/>
      <c r="E115" s="112"/>
      <c r="F115" s="60"/>
      <c r="G115" s="110"/>
      <c r="H115" s="79"/>
      <c r="I115" s="110"/>
      <c r="J115" s="20"/>
      <c r="K115" s="130">
        <f>K113+K106+K114</f>
        <v>8765.3971026999989</v>
      </c>
      <c r="L115" s="125"/>
      <c r="M115" s="130">
        <f>M113+M106+M114</f>
        <v>6025.8575924574789</v>
      </c>
      <c r="N115" s="125"/>
      <c r="O115" s="130">
        <f>O113+O106+O114</f>
        <v>-2739.5395102425214</v>
      </c>
      <c r="P115" s="126"/>
      <c r="Q115" s="96">
        <f>O115/K115</f>
        <v>-0.31254026236856547</v>
      </c>
      <c r="R115" s="90"/>
      <c r="S115" s="131">
        <f>Q115</f>
        <v>-0.31254026236856547</v>
      </c>
    </row>
    <row r="116" spans="1:19">
      <c r="C116" s="4"/>
      <c r="D116" s="9"/>
      <c r="E116" s="112"/>
      <c r="F116" s="60"/>
      <c r="G116" s="110"/>
      <c r="H116" s="79"/>
      <c r="I116" s="110"/>
      <c r="J116" s="20"/>
      <c r="K116" s="124"/>
      <c r="L116" s="124"/>
      <c r="M116" s="124"/>
      <c r="N116" s="124"/>
      <c r="O116" s="124"/>
      <c r="P116" s="97"/>
      <c r="Q116" s="89"/>
      <c r="R116" s="89"/>
      <c r="S116" s="89"/>
    </row>
    <row r="117" spans="1:19">
      <c r="A117" s="60">
        <f>MAX(A$12:A116)+1</f>
        <v>65</v>
      </c>
      <c r="C117" s="4" t="s">
        <v>43</v>
      </c>
      <c r="D117" s="4"/>
      <c r="E117" s="112">
        <f>$E$103</f>
        <v>93000</v>
      </c>
      <c r="F117" s="60"/>
      <c r="G117" s="110">
        <f>G87</f>
        <v>9.7899999999999991</v>
      </c>
      <c r="H117" s="79"/>
      <c r="I117" s="110">
        <f>I87</f>
        <v>9.7899999999999991</v>
      </c>
      <c r="J117" s="129"/>
      <c r="K117" s="125">
        <f>$G$87*E117/100</f>
        <v>9104.6999999999989</v>
      </c>
      <c r="L117" s="125"/>
      <c r="M117" s="125">
        <f>$I$87*E117/100</f>
        <v>9104.6999999999989</v>
      </c>
      <c r="N117" s="125"/>
      <c r="O117" s="125">
        <f>M117-K117</f>
        <v>0</v>
      </c>
      <c r="P117" s="126"/>
      <c r="Q117" s="87">
        <f>O117/K117</f>
        <v>0</v>
      </c>
      <c r="R117" s="90"/>
      <c r="S117" s="89">
        <f>Q117</f>
        <v>0</v>
      </c>
    </row>
    <row r="118" spans="1:19">
      <c r="C118" s="8"/>
      <c r="D118" s="8"/>
      <c r="E118" s="112"/>
      <c r="F118" s="60"/>
      <c r="G118" s="110"/>
      <c r="H118" s="79"/>
      <c r="I118" s="110"/>
      <c r="J118" s="132"/>
      <c r="K118" s="125"/>
      <c r="L118" s="125"/>
      <c r="M118" s="125"/>
      <c r="N118" s="125"/>
      <c r="O118" s="125"/>
      <c r="P118" s="126"/>
      <c r="Q118" s="90"/>
      <c r="R118" s="90"/>
      <c r="S118" s="89"/>
    </row>
    <row r="119" spans="1:19">
      <c r="C119" s="8" t="s">
        <v>44</v>
      </c>
      <c r="D119" s="5"/>
      <c r="E119" s="112"/>
      <c r="F119" s="60"/>
      <c r="G119" s="110"/>
      <c r="H119" s="79"/>
      <c r="I119" s="110"/>
      <c r="J119" s="20"/>
      <c r="K119" s="125"/>
      <c r="L119" s="125"/>
      <c r="M119" s="125"/>
      <c r="N119" s="125"/>
      <c r="O119" s="125"/>
      <c r="P119" s="91"/>
      <c r="Q119" s="90"/>
      <c r="R119" s="90"/>
      <c r="S119" s="89"/>
    </row>
    <row r="120" spans="1:19">
      <c r="A120" s="60">
        <f>MAX(A$12:A119)+1</f>
        <v>66</v>
      </c>
      <c r="C120" s="4" t="s">
        <v>44</v>
      </c>
      <c r="D120" s="6"/>
      <c r="E120" s="112">
        <f>$E$103</f>
        <v>93000</v>
      </c>
      <c r="F120" s="60"/>
      <c r="G120" s="110">
        <f>G90</f>
        <v>2.1114999999999999</v>
      </c>
      <c r="H120" s="79"/>
      <c r="I120" s="110">
        <f>I90</f>
        <v>3.0486237145335942</v>
      </c>
      <c r="J120" s="20"/>
      <c r="K120" s="125">
        <f>E120*$G120/100</f>
        <v>1963.6949999999999</v>
      </c>
      <c r="L120" s="125"/>
      <c r="M120" s="125">
        <f>E120*$I120/100</f>
        <v>2835.2200545162427</v>
      </c>
      <c r="N120" s="125"/>
      <c r="O120" s="125">
        <f>M120-K120</f>
        <v>871.52505451624279</v>
      </c>
      <c r="P120" s="126"/>
      <c r="Q120" s="90"/>
      <c r="R120" s="89"/>
      <c r="S120" s="89"/>
    </row>
    <row r="121" spans="1:19">
      <c r="A121" s="60">
        <f>MAX(A$12:A120)+1</f>
        <v>67</v>
      </c>
      <c r="C121" s="4" t="s">
        <v>77</v>
      </c>
      <c r="D121" s="9"/>
      <c r="E121" s="112">
        <f>$E$103</f>
        <v>93000</v>
      </c>
      <c r="F121" s="60"/>
      <c r="G121" s="110">
        <f>G91</f>
        <v>4.6779999999999999</v>
      </c>
      <c r="H121" s="79"/>
      <c r="I121" s="110">
        <f>I91</f>
        <v>1.8857001088278693</v>
      </c>
      <c r="J121" s="20"/>
      <c r="K121" s="125">
        <f>E121*$G121/100</f>
        <v>4350.54</v>
      </c>
      <c r="L121" s="125"/>
      <c r="M121" s="125">
        <f>E121*$I121/100</f>
        <v>1753.7011012099185</v>
      </c>
      <c r="N121" s="125"/>
      <c r="O121" s="125">
        <f>M121-K121</f>
        <v>-2596.8388987900817</v>
      </c>
      <c r="P121" s="126"/>
      <c r="Q121" s="90"/>
      <c r="R121" s="89"/>
      <c r="S121" s="89"/>
    </row>
    <row r="122" spans="1:19">
      <c r="A122" s="60">
        <f>MAX(A$12:A121)+1</f>
        <v>68</v>
      </c>
      <c r="C122" s="4" t="s">
        <v>78</v>
      </c>
      <c r="D122" s="9"/>
      <c r="E122" s="112"/>
      <c r="F122" s="60"/>
      <c r="G122" s="110"/>
      <c r="H122" s="79"/>
      <c r="I122" s="110"/>
      <c r="J122" s="20"/>
      <c r="K122" s="130">
        <f>SUM(K120:K121)</f>
        <v>6314.2349999999997</v>
      </c>
      <c r="L122" s="125"/>
      <c r="M122" s="130">
        <f>SUM(M120:M121)</f>
        <v>4588.9211557261615</v>
      </c>
      <c r="N122" s="125"/>
      <c r="O122" s="130">
        <f>SUM(O119:O121)</f>
        <v>-1725.3138442738389</v>
      </c>
      <c r="P122" s="126"/>
      <c r="Q122" s="96">
        <f>O122/K122</f>
        <v>-0.27324194368341359</v>
      </c>
      <c r="R122" s="89"/>
      <c r="S122" s="131">
        <f>Q122</f>
        <v>-0.27324194368341359</v>
      </c>
    </row>
    <row r="123" spans="1:19">
      <c r="C123" s="4"/>
      <c r="D123" s="9"/>
      <c r="E123" s="112"/>
      <c r="F123" s="60"/>
      <c r="G123" s="110"/>
      <c r="H123" s="79"/>
      <c r="I123" s="110"/>
      <c r="J123" s="20"/>
      <c r="K123" s="125"/>
      <c r="L123" s="124"/>
      <c r="M123" s="125"/>
      <c r="N123" s="124"/>
      <c r="O123" s="125"/>
      <c r="P123" s="91"/>
      <c r="Q123" s="90"/>
      <c r="R123" s="89"/>
      <c r="S123" s="89"/>
    </row>
    <row r="124" spans="1:19">
      <c r="A124" s="60">
        <f>MAX(A$12:A123)+1</f>
        <v>69</v>
      </c>
      <c r="C124" s="4" t="s">
        <v>45</v>
      </c>
      <c r="D124" s="9"/>
      <c r="E124" s="112">
        <f>$E$103</f>
        <v>93000</v>
      </c>
      <c r="F124" s="60"/>
      <c r="G124" s="110">
        <f>G94</f>
        <v>22.315125896711042</v>
      </c>
      <c r="H124" s="79"/>
      <c r="I124" s="110">
        <f>I94</f>
        <v>20.903604607530845</v>
      </c>
      <c r="J124" s="20"/>
      <c r="K124" s="125">
        <f>E124*$G124/100</f>
        <v>20753.067083941271</v>
      </c>
      <c r="L124" s="125"/>
      <c r="M124" s="125">
        <f>E124*$I124/100</f>
        <v>19440.352285003686</v>
      </c>
      <c r="N124" s="125"/>
      <c r="O124" s="125">
        <f>M124-K124</f>
        <v>-1312.7147989375844</v>
      </c>
      <c r="P124" s="126"/>
      <c r="Q124" s="87">
        <f>O124/K124</f>
        <v>-6.3254014147786544E-2</v>
      </c>
      <c r="R124" s="90"/>
      <c r="S124" s="89">
        <f>Q124</f>
        <v>-6.3254014147786544E-2</v>
      </c>
    </row>
    <row r="125" spans="1:19">
      <c r="C125" s="4"/>
      <c r="D125" s="8"/>
      <c r="E125" s="112"/>
      <c r="F125" s="60"/>
      <c r="G125" s="110"/>
      <c r="H125" s="79"/>
      <c r="I125" s="110"/>
      <c r="J125" s="20"/>
      <c r="K125" s="125"/>
      <c r="L125" s="124"/>
      <c r="M125" s="125"/>
      <c r="N125" s="125"/>
      <c r="O125" s="125"/>
      <c r="P125" s="91"/>
      <c r="Q125" s="90"/>
      <c r="R125" s="90"/>
      <c r="S125" s="89"/>
    </row>
    <row r="126" spans="1:19" ht="13.5" thickBot="1">
      <c r="A126" s="60">
        <f>MAX(A$12:A125)+1</f>
        <v>70</v>
      </c>
      <c r="C126" s="4" t="s">
        <v>46</v>
      </c>
      <c r="D126" s="8"/>
      <c r="E126" s="112"/>
      <c r="F126" s="60"/>
      <c r="G126" s="110"/>
      <c r="H126" s="79"/>
      <c r="I126" s="110"/>
      <c r="J126" s="20"/>
      <c r="K126" s="133">
        <f>K115+K117+K122+K124</f>
        <v>44937.399186641269</v>
      </c>
      <c r="L126" s="125"/>
      <c r="M126" s="133">
        <f>M115+M117+M122+M124</f>
        <v>39159.831033187322</v>
      </c>
      <c r="N126" s="125"/>
      <c r="O126" s="133">
        <f>M126-K126</f>
        <v>-5777.5681534539472</v>
      </c>
      <c r="P126" s="126"/>
      <c r="Q126" s="102">
        <f>O126/K126</f>
        <v>-0.128569259859869</v>
      </c>
      <c r="R126" s="90"/>
      <c r="S126" s="134">
        <f>(O115+O122+O124)/(K115+K122+K124)</f>
        <v>-0.16123731353198953</v>
      </c>
    </row>
    <row r="127" spans="1:19" ht="13.5" thickTop="1">
      <c r="C127" s="4"/>
      <c r="D127" s="8"/>
      <c r="E127" s="112"/>
      <c r="F127" s="60"/>
      <c r="G127" s="110"/>
      <c r="H127" s="79"/>
      <c r="I127" s="110"/>
      <c r="J127" s="20"/>
      <c r="K127" s="125"/>
      <c r="L127" s="124"/>
      <c r="M127" s="125"/>
      <c r="N127" s="125"/>
      <c r="O127" s="125"/>
      <c r="P127" s="91"/>
      <c r="Q127" s="90"/>
      <c r="R127" s="90"/>
      <c r="S127" s="89"/>
    </row>
    <row r="128" spans="1:19">
      <c r="A128" s="60">
        <f>MAX(A$12:A127)+1</f>
        <v>71</v>
      </c>
      <c r="C128" s="4" t="s">
        <v>81</v>
      </c>
      <c r="D128" s="9"/>
      <c r="E128" s="112"/>
      <c r="F128" s="60"/>
      <c r="G128" s="110"/>
      <c r="H128" s="79"/>
      <c r="I128" s="110"/>
      <c r="J128" s="20"/>
      <c r="K128" s="94">
        <f>K115+K117+K120+K121+M124</f>
        <v>43624.684387703688</v>
      </c>
      <c r="L128" s="84"/>
      <c r="M128" s="94">
        <f>M115+M117+M120+M121+M124</f>
        <v>39159.831033187322</v>
      </c>
      <c r="N128" s="84"/>
      <c r="O128" s="94">
        <f>M128-K128</f>
        <v>-4464.8533545163664</v>
      </c>
      <c r="P128" s="91"/>
      <c r="Q128" s="96">
        <f>O128/K128</f>
        <v>-0.10234694914549013</v>
      </c>
      <c r="R128" s="90"/>
      <c r="S128" s="96">
        <f>(O128-O117)/(K128-K117)</f>
        <v>-0.12934111743418936</v>
      </c>
    </row>
    <row r="129" spans="1:19">
      <c r="A129" s="60">
        <f>MAX(A$12:A128)+1</f>
        <v>72</v>
      </c>
      <c r="C129" s="11" t="s">
        <v>82</v>
      </c>
      <c r="E129" s="112"/>
      <c r="F129" s="60"/>
      <c r="G129" s="110"/>
      <c r="H129" s="79"/>
      <c r="I129" s="110"/>
      <c r="J129" s="20"/>
      <c r="K129" s="84"/>
      <c r="L129" s="104"/>
      <c r="M129" s="84"/>
      <c r="N129" s="84"/>
      <c r="O129" s="84"/>
      <c r="P129" s="91"/>
      <c r="Q129" s="87">
        <f>(O115+O117+O122)/(K115+K117+K122)</f>
        <v>-0.18461760017006601</v>
      </c>
      <c r="R129" s="90"/>
      <c r="S129" s="87">
        <f>(O115+O122)/(K115+K122)</f>
        <v>-0.29608503205571779</v>
      </c>
    </row>
    <row r="130" spans="1:19">
      <c r="C130" s="4"/>
      <c r="E130" s="112"/>
      <c r="F130" s="60"/>
      <c r="G130" s="110"/>
      <c r="H130" s="79"/>
      <c r="I130" s="110"/>
      <c r="J130" s="20"/>
      <c r="K130" s="135"/>
      <c r="L130" s="136"/>
      <c r="M130" s="135"/>
      <c r="N130" s="125"/>
      <c r="O130" s="125"/>
      <c r="P130" s="91"/>
      <c r="Q130" s="90"/>
      <c r="R130" s="90"/>
      <c r="S130" s="89"/>
    </row>
    <row r="131" spans="1:19">
      <c r="E131" s="112"/>
      <c r="F131" s="60"/>
      <c r="G131" s="110"/>
      <c r="H131" s="79"/>
      <c r="I131" s="110"/>
      <c r="J131" s="60"/>
      <c r="K131" s="124"/>
      <c r="L131" s="124"/>
      <c r="M131" s="124"/>
      <c r="N131" s="124"/>
      <c r="O131" s="124"/>
      <c r="P131" s="60"/>
      <c r="Q131" s="89"/>
      <c r="R131" s="89"/>
      <c r="S131" s="89"/>
    </row>
    <row r="132" spans="1:19">
      <c r="C132" s="69" t="s">
        <v>95</v>
      </c>
      <c r="D132" s="69"/>
      <c r="E132" s="112"/>
      <c r="F132" s="60"/>
      <c r="G132" s="110"/>
      <c r="H132" s="79"/>
      <c r="I132" s="110"/>
      <c r="J132" s="20"/>
      <c r="K132" s="125"/>
      <c r="L132" s="125"/>
      <c r="M132" s="125"/>
      <c r="N132" s="125"/>
      <c r="O132" s="125"/>
      <c r="P132" s="23"/>
      <c r="Q132" s="90"/>
      <c r="R132" s="90"/>
      <c r="S132" s="89"/>
    </row>
    <row r="133" spans="1:19">
      <c r="A133" s="60">
        <f>MAX(A$12:A132)+1</f>
        <v>73</v>
      </c>
      <c r="C133" s="4" t="s">
        <v>31</v>
      </c>
      <c r="D133" s="4"/>
      <c r="E133" s="112">
        <f>'Attachment 2'!P142</f>
        <v>250000</v>
      </c>
      <c r="F133" s="60"/>
      <c r="G133" s="110"/>
      <c r="H133" s="79"/>
      <c r="I133" s="110"/>
      <c r="J133" s="20"/>
      <c r="K133" s="124"/>
      <c r="L133" s="124"/>
      <c r="M133" s="124"/>
      <c r="N133" s="124"/>
      <c r="O133" s="124"/>
      <c r="P133" s="60"/>
      <c r="Q133" s="89"/>
      <c r="R133" s="89"/>
      <c r="S133" s="89"/>
    </row>
    <row r="134" spans="1:19">
      <c r="C134" s="117"/>
      <c r="D134" s="117"/>
      <c r="E134" s="60"/>
      <c r="F134" s="60"/>
      <c r="G134" s="83"/>
      <c r="H134" s="83"/>
      <c r="I134" s="83"/>
      <c r="J134" s="20"/>
      <c r="K134" s="124"/>
      <c r="L134" s="124"/>
      <c r="M134" s="124"/>
      <c r="N134" s="124"/>
      <c r="O134" s="124"/>
      <c r="P134" s="60"/>
      <c r="Q134" s="89"/>
      <c r="R134" s="89"/>
      <c r="S134" s="89"/>
    </row>
    <row r="135" spans="1:19">
      <c r="C135" s="8" t="s">
        <v>32</v>
      </c>
      <c r="D135" s="5"/>
      <c r="E135" s="20"/>
      <c r="F135" s="60"/>
      <c r="G135" s="20"/>
      <c r="H135" s="20"/>
      <c r="I135" s="20"/>
      <c r="J135" s="20"/>
      <c r="K135" s="125"/>
      <c r="L135" s="125"/>
      <c r="M135" s="125"/>
      <c r="N135" s="125"/>
      <c r="O135" s="125"/>
      <c r="P135" s="20"/>
      <c r="Q135" s="90"/>
      <c r="R135" s="90"/>
      <c r="S135" s="89"/>
    </row>
    <row r="136" spans="1:19">
      <c r="A136" s="60">
        <f>MAX(A$12:A135)+1</f>
        <v>74</v>
      </c>
      <c r="C136" s="4" t="s">
        <v>84</v>
      </c>
      <c r="D136" s="6"/>
      <c r="E136" s="91" t="s">
        <v>34</v>
      </c>
      <c r="F136" s="60"/>
      <c r="G136" s="92">
        <f>G76</f>
        <v>76.58</v>
      </c>
      <c r="H136" s="92"/>
      <c r="I136" s="92">
        <f>I76</f>
        <v>80</v>
      </c>
      <c r="J136" s="92"/>
      <c r="K136" s="125">
        <f>G136*12</f>
        <v>918.96</v>
      </c>
      <c r="L136" s="125"/>
      <c r="M136" s="125">
        <f>I136*12</f>
        <v>960</v>
      </c>
      <c r="N136" s="125"/>
      <c r="O136" s="125">
        <f>M136-K136</f>
        <v>41.039999999999964</v>
      </c>
      <c r="P136" s="126"/>
      <c r="Q136" s="106"/>
      <c r="R136" s="90"/>
      <c r="S136" s="89"/>
    </row>
    <row r="137" spans="1:19">
      <c r="C137" s="4" t="s">
        <v>85</v>
      </c>
      <c r="D137" s="6"/>
      <c r="E137" s="91"/>
      <c r="F137" s="60"/>
      <c r="G137" s="79"/>
      <c r="H137" s="79"/>
      <c r="I137" s="79"/>
      <c r="J137" s="92"/>
      <c r="K137" s="125"/>
      <c r="L137" s="125"/>
      <c r="M137" s="125"/>
      <c r="N137" s="125"/>
      <c r="O137" s="125"/>
      <c r="P137" s="126"/>
      <c r="Q137" s="90"/>
      <c r="R137" s="90"/>
      <c r="S137" s="89"/>
    </row>
    <row r="138" spans="1:19">
      <c r="A138" s="60">
        <f>MAX(A$12:A137)+1</f>
        <v>75</v>
      </c>
      <c r="C138" s="11" t="s">
        <v>89</v>
      </c>
      <c r="D138" s="11"/>
      <c r="E138" s="112">
        <f>'Attachment 2'!P147</f>
        <v>12000</v>
      </c>
      <c r="F138" s="60"/>
      <c r="G138" s="110">
        <f>G78</f>
        <v>10.1913</v>
      </c>
      <c r="H138" s="79"/>
      <c r="I138" s="110">
        <f>I78</f>
        <v>6.7010673944326804</v>
      </c>
      <c r="J138" s="20"/>
      <c r="K138" s="125">
        <f>$E138*G138/100</f>
        <v>1222.9560000000001</v>
      </c>
      <c r="L138" s="125"/>
      <c r="M138" s="125">
        <f>$E138*I138/100</f>
        <v>804.12808733192173</v>
      </c>
      <c r="N138" s="125"/>
      <c r="O138" s="125">
        <f>M138-K138</f>
        <v>-418.8279126680784</v>
      </c>
      <c r="P138" s="126"/>
      <c r="Q138" s="90"/>
      <c r="R138" s="127"/>
      <c r="S138" s="89"/>
    </row>
    <row r="139" spans="1:19">
      <c r="A139" s="60">
        <f>MAX(A$12:A138)+1</f>
        <v>76</v>
      </c>
      <c r="C139" s="11" t="s">
        <v>90</v>
      </c>
      <c r="D139" s="11"/>
      <c r="E139" s="112">
        <f>'Attachment 2'!P148</f>
        <v>102951.74</v>
      </c>
      <c r="F139" s="60"/>
      <c r="G139" s="110">
        <f>G79</f>
        <v>8.3182000000000009</v>
      </c>
      <c r="H139" s="79"/>
      <c r="I139" s="110">
        <f>I79</f>
        <v>5.3579628354469531</v>
      </c>
      <c r="J139" s="20"/>
      <c r="K139" s="125">
        <f>$E139*G139/100</f>
        <v>8563.7316366800005</v>
      </c>
      <c r="L139" s="125"/>
      <c r="M139" s="125">
        <f>$E139*I139/100</f>
        <v>5516.1159676459756</v>
      </c>
      <c r="N139" s="125"/>
      <c r="O139" s="125">
        <f t="shared" ref="O139:O142" si="6">M139-K139</f>
        <v>-3047.6156690340249</v>
      </c>
      <c r="P139" s="126"/>
      <c r="Q139" s="90"/>
      <c r="R139" s="127"/>
      <c r="S139" s="89"/>
    </row>
    <row r="140" spans="1:19">
      <c r="A140" s="60">
        <f>MAX(A$12:A139)+1</f>
        <v>77</v>
      </c>
      <c r="C140" s="11" t="s">
        <v>91</v>
      </c>
      <c r="D140" s="11"/>
      <c r="E140" s="112">
        <f>'Attachment 2'!P149</f>
        <v>118632.28</v>
      </c>
      <c r="F140" s="60"/>
      <c r="G140" s="110">
        <f>G80</f>
        <v>7.2328000000000001</v>
      </c>
      <c r="H140" s="79"/>
      <c r="I140" s="110">
        <f>I80</f>
        <v>4.5796778061783021</v>
      </c>
      <c r="J140" s="20"/>
      <c r="K140" s="125">
        <f>$E140*G140/100</f>
        <v>8580.4355478400012</v>
      </c>
      <c r="L140" s="125"/>
      <c r="M140" s="125">
        <f>$E140*I140/100</f>
        <v>5432.9761981233014</v>
      </c>
      <c r="N140" s="125"/>
      <c r="O140" s="125">
        <f t="shared" si="6"/>
        <v>-3147.4593497166998</v>
      </c>
      <c r="P140" s="126"/>
      <c r="Q140" s="90"/>
      <c r="R140" s="127"/>
      <c r="S140" s="89"/>
    </row>
    <row r="141" spans="1:19">
      <c r="A141" s="60">
        <f>MAX(A$12:A140)+1</f>
        <v>78</v>
      </c>
      <c r="C141" s="11" t="s">
        <v>92</v>
      </c>
      <c r="D141" s="11"/>
      <c r="E141" s="112">
        <f>'Attachment 2'!P150</f>
        <v>16415.990000000002</v>
      </c>
      <c r="F141" s="60"/>
      <c r="G141" s="110">
        <f>G81</f>
        <v>6.5511999999999997</v>
      </c>
      <c r="H141" s="79"/>
      <c r="I141" s="110">
        <f>I81</f>
        <v>4.0909371797276739</v>
      </c>
      <c r="J141" s="20"/>
      <c r="K141" s="125">
        <f>$E141*G141/100</f>
        <v>1075.44433688</v>
      </c>
      <c r="L141" s="125"/>
      <c r="M141" s="125">
        <f>$E141*I141/100</f>
        <v>671.56783833037696</v>
      </c>
      <c r="N141" s="125"/>
      <c r="O141" s="125">
        <f t="shared" si="6"/>
        <v>-403.87649854962308</v>
      </c>
      <c r="P141" s="126"/>
      <c r="Q141" s="90"/>
      <c r="R141" s="127"/>
      <c r="S141" s="89"/>
    </row>
    <row r="142" spans="1:19">
      <c r="A142" s="60">
        <f>MAX(A$12:A141)+1</f>
        <v>79</v>
      </c>
      <c r="C142" s="11" t="s">
        <v>93</v>
      </c>
      <c r="D142" s="11"/>
      <c r="E142" s="113">
        <f>'Attachment 2'!P151</f>
        <v>0</v>
      </c>
      <c r="F142" s="60"/>
      <c r="G142" s="110">
        <f>G82</f>
        <v>3.9687000000000001</v>
      </c>
      <c r="H142" s="79"/>
      <c r="I142" s="110">
        <f>I82</f>
        <v>2.2391580309472348</v>
      </c>
      <c r="J142" s="20"/>
      <c r="K142" s="125">
        <f>$E142*G142/100</f>
        <v>0</v>
      </c>
      <c r="L142" s="125"/>
      <c r="M142" s="125">
        <f>$E142*I142/100</f>
        <v>0</v>
      </c>
      <c r="N142" s="125"/>
      <c r="O142" s="125">
        <f t="shared" si="6"/>
        <v>0</v>
      </c>
      <c r="P142" s="97"/>
      <c r="Q142" s="89"/>
      <c r="R142" s="90"/>
      <c r="S142" s="89"/>
    </row>
    <row r="143" spans="1:19">
      <c r="A143" s="60">
        <f>MAX(A$12:A142)+1</f>
        <v>80</v>
      </c>
      <c r="C143" s="4" t="s">
        <v>40</v>
      </c>
      <c r="D143" s="6"/>
      <c r="E143" s="112">
        <f>SUM(E138:E142)</f>
        <v>250000.01</v>
      </c>
      <c r="F143" s="60"/>
      <c r="G143" s="110"/>
      <c r="H143" s="79"/>
      <c r="I143" s="110"/>
      <c r="J143" s="20"/>
      <c r="K143" s="128">
        <f>SUM(K138:K142)</f>
        <v>19442.5675214</v>
      </c>
      <c r="L143" s="125"/>
      <c r="M143" s="128">
        <f>SUM(M138:M142)</f>
        <v>12424.788091431576</v>
      </c>
      <c r="N143" s="125"/>
      <c r="O143" s="128">
        <f>SUM(O138:O142)</f>
        <v>-7017.7794299684256</v>
      </c>
      <c r="P143" s="126"/>
      <c r="Q143" s="87"/>
      <c r="R143" s="90"/>
      <c r="S143" s="89"/>
    </row>
    <row r="144" spans="1:19">
      <c r="A144" s="60">
        <f>MAX(A$12:A143)+1</f>
        <v>81</v>
      </c>
      <c r="C144" s="4" t="s">
        <v>41</v>
      </c>
      <c r="D144" s="4"/>
      <c r="E144" s="112">
        <f>$E$133</f>
        <v>250000</v>
      </c>
      <c r="F144" s="60"/>
      <c r="G144" s="110">
        <f>G84</f>
        <v>1.41E-2</v>
      </c>
      <c r="H144" s="79"/>
      <c r="I144" s="110">
        <f>I84</f>
        <v>1.41E-2</v>
      </c>
      <c r="J144" s="129"/>
      <c r="K144" s="125">
        <f>$G$84*E144/100</f>
        <v>35.25</v>
      </c>
      <c r="L144" s="125"/>
      <c r="M144" s="125">
        <f>$I$84*E144/100</f>
        <v>35.25</v>
      </c>
      <c r="N144" s="125"/>
      <c r="O144" s="125">
        <f>M144-K144</f>
        <v>0</v>
      </c>
      <c r="P144" s="126"/>
      <c r="Q144" s="90"/>
      <c r="R144" s="90"/>
      <c r="S144" s="89"/>
    </row>
    <row r="145" spans="1:19">
      <c r="A145" s="60">
        <f>MAX(A$12:A144)+1</f>
        <v>82</v>
      </c>
      <c r="C145" s="4" t="s">
        <v>42</v>
      </c>
      <c r="D145" s="9"/>
      <c r="E145" s="112"/>
      <c r="F145" s="60"/>
      <c r="G145" s="110"/>
      <c r="H145" s="79"/>
      <c r="I145" s="110"/>
      <c r="J145" s="20"/>
      <c r="K145" s="130">
        <f>K143+K136+K144</f>
        <v>20396.777521399999</v>
      </c>
      <c r="L145" s="125"/>
      <c r="M145" s="130">
        <f>M143+M136+M144</f>
        <v>13420.038091431576</v>
      </c>
      <c r="N145" s="125"/>
      <c r="O145" s="130">
        <f>O143+O136+O144</f>
        <v>-6976.7394299684256</v>
      </c>
      <c r="P145" s="126"/>
      <c r="Q145" s="96">
        <f>O145/K145</f>
        <v>-0.3420510628528714</v>
      </c>
      <c r="R145" s="90"/>
      <c r="S145" s="131">
        <f>Q145</f>
        <v>-0.3420510628528714</v>
      </c>
    </row>
    <row r="146" spans="1:19">
      <c r="C146" s="4"/>
      <c r="D146" s="9"/>
      <c r="E146" s="112"/>
      <c r="F146" s="60"/>
      <c r="G146" s="110"/>
      <c r="H146" s="79"/>
      <c r="I146" s="110"/>
      <c r="J146" s="20"/>
      <c r="K146" s="124"/>
      <c r="L146" s="124"/>
      <c r="M146" s="124"/>
      <c r="N146" s="124"/>
      <c r="O146" s="124"/>
      <c r="P146" s="97"/>
      <c r="Q146" s="89"/>
      <c r="R146" s="89"/>
      <c r="S146" s="89"/>
    </row>
    <row r="147" spans="1:19">
      <c r="A147" s="60">
        <f>MAX(A$12:A146)+1</f>
        <v>83</v>
      </c>
      <c r="C147" s="4" t="s">
        <v>43</v>
      </c>
      <c r="D147" s="4"/>
      <c r="E147" s="112">
        <f>$E$133</f>
        <v>250000</v>
      </c>
      <c r="F147" s="60"/>
      <c r="G147" s="110">
        <f>G87</f>
        <v>9.7899999999999991</v>
      </c>
      <c r="H147" s="79"/>
      <c r="I147" s="110">
        <f>I87</f>
        <v>9.7899999999999991</v>
      </c>
      <c r="J147" s="129"/>
      <c r="K147" s="125">
        <f>$G$87*E147/100</f>
        <v>24475</v>
      </c>
      <c r="L147" s="125"/>
      <c r="M147" s="125">
        <f>$I$87*E147/100</f>
        <v>24475</v>
      </c>
      <c r="N147" s="125"/>
      <c r="O147" s="125">
        <f>M147-K147</f>
        <v>0</v>
      </c>
      <c r="P147" s="126"/>
      <c r="Q147" s="87">
        <f>O147/K147</f>
        <v>0</v>
      </c>
      <c r="R147" s="90"/>
      <c r="S147" s="89">
        <f>Q147</f>
        <v>0</v>
      </c>
    </row>
    <row r="148" spans="1:19">
      <c r="C148" s="8"/>
      <c r="D148" s="8"/>
      <c r="E148" s="112"/>
      <c r="F148" s="60"/>
      <c r="G148" s="110"/>
      <c r="H148" s="79"/>
      <c r="I148" s="110"/>
      <c r="J148" s="132"/>
      <c r="K148" s="125"/>
      <c r="L148" s="125"/>
      <c r="M148" s="125"/>
      <c r="N148" s="125"/>
      <c r="O148" s="125"/>
      <c r="P148" s="126"/>
      <c r="Q148" s="90"/>
      <c r="R148" s="90"/>
      <c r="S148" s="89"/>
    </row>
    <row r="149" spans="1:19">
      <c r="C149" s="8" t="s">
        <v>44</v>
      </c>
      <c r="D149" s="5"/>
      <c r="E149" s="112"/>
      <c r="F149" s="60"/>
      <c r="G149" s="110"/>
      <c r="H149" s="79"/>
      <c r="I149" s="110"/>
      <c r="J149" s="20"/>
      <c r="K149" s="125"/>
      <c r="L149" s="125"/>
      <c r="M149" s="125"/>
      <c r="N149" s="125"/>
      <c r="O149" s="125"/>
      <c r="P149" s="91"/>
      <c r="Q149" s="90"/>
      <c r="R149" s="90"/>
      <c r="S149" s="89"/>
    </row>
    <row r="150" spans="1:19">
      <c r="A150" s="60">
        <f>MAX(A$12:A149)+1</f>
        <v>84</v>
      </c>
      <c r="C150" s="4" t="s">
        <v>44</v>
      </c>
      <c r="D150" s="6"/>
      <c r="E150" s="112">
        <f>$E$133</f>
        <v>250000</v>
      </c>
      <c r="F150" s="60"/>
      <c r="G150" s="110">
        <f>G90</f>
        <v>2.1114999999999999</v>
      </c>
      <c r="H150" s="79"/>
      <c r="I150" s="110">
        <f>I90</f>
        <v>3.0486237145335942</v>
      </c>
      <c r="J150" s="20"/>
      <c r="K150" s="125">
        <f>E150*$G150/100</f>
        <v>5278.75</v>
      </c>
      <c r="L150" s="125"/>
      <c r="M150" s="125">
        <f>E150*$I150/100</f>
        <v>7621.5592863339853</v>
      </c>
      <c r="N150" s="125"/>
      <c r="O150" s="125">
        <f>M150-K150</f>
        <v>2342.8092863339853</v>
      </c>
      <c r="P150" s="126"/>
      <c r="Q150" s="90"/>
      <c r="R150" s="89"/>
      <c r="S150" s="89"/>
    </row>
    <row r="151" spans="1:19">
      <c r="A151" s="60">
        <f>MAX(A$12:A150)+1</f>
        <v>85</v>
      </c>
      <c r="C151" s="4" t="s">
        <v>77</v>
      </c>
      <c r="D151" s="9"/>
      <c r="E151" s="112">
        <f>$E$133</f>
        <v>250000</v>
      </c>
      <c r="F151" s="60"/>
      <c r="G151" s="110">
        <f>G91</f>
        <v>4.6779999999999999</v>
      </c>
      <c r="H151" s="79"/>
      <c r="I151" s="110">
        <f>I91</f>
        <v>1.8857001088278693</v>
      </c>
      <c r="J151" s="20"/>
      <c r="K151" s="125">
        <f>E151*$G151/100</f>
        <v>11695</v>
      </c>
      <c r="L151" s="125"/>
      <c r="M151" s="125">
        <f>E151*$I151/100</f>
        <v>4714.2502720696739</v>
      </c>
      <c r="N151" s="125"/>
      <c r="O151" s="125">
        <f>M151-K151</f>
        <v>-6980.7497279303261</v>
      </c>
      <c r="P151" s="126"/>
      <c r="Q151" s="90"/>
      <c r="R151" s="89"/>
      <c r="S151" s="89"/>
    </row>
    <row r="152" spans="1:19">
      <c r="A152" s="60">
        <f>MAX(A$12:A151)+1</f>
        <v>86</v>
      </c>
      <c r="C152" s="4" t="s">
        <v>78</v>
      </c>
      <c r="D152" s="9"/>
      <c r="E152" s="112"/>
      <c r="F152" s="60"/>
      <c r="G152" s="110"/>
      <c r="H152" s="79"/>
      <c r="I152" s="110"/>
      <c r="J152" s="20"/>
      <c r="K152" s="130">
        <f>SUM(K150:K151)</f>
        <v>16973.75</v>
      </c>
      <c r="L152" s="125"/>
      <c r="M152" s="130">
        <f>SUM(M150:M151)</f>
        <v>12335.80955840366</v>
      </c>
      <c r="N152" s="125"/>
      <c r="O152" s="130">
        <f>SUM(O149:O151)</f>
        <v>-4637.9404415963409</v>
      </c>
      <c r="P152" s="126"/>
      <c r="Q152" s="96">
        <f>O152/K152</f>
        <v>-0.27324194368341354</v>
      </c>
      <c r="R152" s="89"/>
      <c r="S152" s="131">
        <f>Q152</f>
        <v>-0.27324194368341354</v>
      </c>
    </row>
    <row r="153" spans="1:19">
      <c r="C153" s="4"/>
      <c r="D153" s="9"/>
      <c r="E153" s="112"/>
      <c r="F153" s="60"/>
      <c r="G153" s="110"/>
      <c r="H153" s="79"/>
      <c r="I153" s="110"/>
      <c r="J153" s="20"/>
      <c r="K153" s="125"/>
      <c r="L153" s="124"/>
      <c r="M153" s="125"/>
      <c r="N153" s="124"/>
      <c r="O153" s="125"/>
      <c r="P153" s="91"/>
      <c r="Q153" s="90"/>
      <c r="R153" s="89"/>
      <c r="S153" s="89"/>
    </row>
    <row r="154" spans="1:19">
      <c r="A154" s="60">
        <f>MAX(A$12:A153)+1</f>
        <v>87</v>
      </c>
      <c r="C154" s="4" t="s">
        <v>45</v>
      </c>
      <c r="D154" s="9"/>
      <c r="E154" s="112">
        <f>$E$133</f>
        <v>250000</v>
      </c>
      <c r="F154" s="60"/>
      <c r="G154" s="110">
        <f>G94</f>
        <v>22.315125896711042</v>
      </c>
      <c r="H154" s="79"/>
      <c r="I154" s="110">
        <f>I94</f>
        <v>20.903604607530845</v>
      </c>
      <c r="J154" s="20"/>
      <c r="K154" s="125">
        <f>E154*$G154/100</f>
        <v>55787.814741777598</v>
      </c>
      <c r="L154" s="125"/>
      <c r="M154" s="125">
        <f>E154*$I154/100</f>
        <v>52259.011518827108</v>
      </c>
      <c r="N154" s="125"/>
      <c r="O154" s="125">
        <f>M154-K154</f>
        <v>-3528.8032229504897</v>
      </c>
      <c r="P154" s="126"/>
      <c r="Q154" s="87">
        <f>O154/K154</f>
        <v>-6.3254014147786447E-2</v>
      </c>
      <c r="R154" s="90"/>
      <c r="S154" s="89">
        <f>Q154</f>
        <v>-6.3254014147786447E-2</v>
      </c>
    </row>
    <row r="155" spans="1:19">
      <c r="C155" s="4"/>
      <c r="D155" s="8"/>
      <c r="E155" s="82"/>
      <c r="F155" s="60"/>
      <c r="G155" s="79"/>
      <c r="H155" s="79"/>
      <c r="I155" s="79"/>
      <c r="J155" s="20"/>
      <c r="K155" s="125"/>
      <c r="L155" s="124"/>
      <c r="M155" s="125"/>
      <c r="N155" s="125"/>
      <c r="O155" s="125"/>
      <c r="P155" s="91"/>
      <c r="Q155" s="90"/>
      <c r="R155" s="90"/>
      <c r="S155" s="89"/>
    </row>
    <row r="156" spans="1:19" ht="13.5" thickBot="1">
      <c r="A156" s="60">
        <f>MAX(A$12:A155)+1</f>
        <v>88</v>
      </c>
      <c r="C156" s="4" t="s">
        <v>46</v>
      </c>
      <c r="D156" s="8"/>
      <c r="E156" s="82"/>
      <c r="F156" s="60"/>
      <c r="G156" s="81"/>
      <c r="H156" s="81"/>
      <c r="I156" s="81"/>
      <c r="J156" s="20"/>
      <c r="K156" s="133">
        <f>K145+K147+K152+K154</f>
        <v>117633.34226317759</v>
      </c>
      <c r="L156" s="125"/>
      <c r="M156" s="133">
        <f>M145+M147+M152+M154</f>
        <v>102489.85916866234</v>
      </c>
      <c r="N156" s="125"/>
      <c r="O156" s="133">
        <f>M156-K156</f>
        <v>-15143.48309451525</v>
      </c>
      <c r="P156" s="126"/>
      <c r="Q156" s="102">
        <f>O156/K156</f>
        <v>-0.12873461557043225</v>
      </c>
      <c r="R156" s="90"/>
      <c r="S156" s="134">
        <f>(O145+O152+O154)/(K145+K152+K154)</f>
        <v>-0.16255638224791572</v>
      </c>
    </row>
    <row r="157" spans="1:19" ht="13.5" thickTop="1">
      <c r="C157" s="4"/>
      <c r="D157" s="8"/>
      <c r="E157" s="82"/>
      <c r="F157" s="60"/>
      <c r="G157" s="81"/>
      <c r="H157" s="81"/>
      <c r="I157" s="81"/>
      <c r="J157" s="20"/>
      <c r="K157" s="125"/>
      <c r="L157" s="124"/>
      <c r="M157" s="125"/>
      <c r="N157" s="125"/>
      <c r="O157" s="125"/>
      <c r="P157" s="91"/>
      <c r="Q157" s="90"/>
      <c r="R157" s="90"/>
      <c r="S157" s="89"/>
    </row>
    <row r="158" spans="1:19">
      <c r="A158" s="60">
        <f>MAX(A$12:A157)+1</f>
        <v>89</v>
      </c>
      <c r="C158" s="4" t="s">
        <v>81</v>
      </c>
      <c r="D158" s="9"/>
      <c r="E158" s="88"/>
      <c r="F158" s="60"/>
      <c r="G158" s="79"/>
      <c r="H158" s="79"/>
      <c r="I158" s="79"/>
      <c r="J158" s="20"/>
      <c r="K158" s="94">
        <f>K145+K147+K150+K151+M154</f>
        <v>114104.5390402271</v>
      </c>
      <c r="L158" s="84"/>
      <c r="M158" s="94">
        <f>M145+M147+M150+M151+M154</f>
        <v>102489.85916866234</v>
      </c>
      <c r="N158" s="84"/>
      <c r="O158" s="94">
        <f>M158-K158</f>
        <v>-11614.67987156476</v>
      </c>
      <c r="P158" s="91"/>
      <c r="Q158" s="96">
        <f>O158/K158</f>
        <v>-0.10178981457933108</v>
      </c>
      <c r="R158" s="90"/>
      <c r="S158" s="96">
        <f>(O158-O147)/(K158-K147)</f>
        <v>-0.12958540226734755</v>
      </c>
    </row>
    <row r="159" spans="1:19">
      <c r="A159" s="60">
        <f>MAX(A$12:A158)+1</f>
        <v>90</v>
      </c>
      <c r="C159" s="11" t="s">
        <v>82</v>
      </c>
      <c r="E159" s="88"/>
      <c r="F159" s="60"/>
      <c r="G159" s="79"/>
      <c r="H159" s="79"/>
      <c r="I159" s="79"/>
      <c r="J159" s="20"/>
      <c r="K159" s="84"/>
      <c r="L159" s="104"/>
      <c r="M159" s="84"/>
      <c r="N159" s="84"/>
      <c r="O159" s="84"/>
      <c r="P159" s="91"/>
      <c r="Q159" s="87">
        <f>(O145+O147+O152)/(K145+K147+K152)</f>
        <v>-0.1878014520540037</v>
      </c>
      <c r="R159" s="90"/>
      <c r="S159" s="87">
        <f>(O145+O152)/(K145+K152)</f>
        <v>-0.31079785707904961</v>
      </c>
    </row>
    <row r="160" spans="1:19">
      <c r="E160" s="123"/>
      <c r="J160" s="12"/>
      <c r="K160" s="62"/>
      <c r="L160" s="62"/>
      <c r="M160" s="62"/>
      <c r="N160" s="62"/>
      <c r="P160" s="62"/>
      <c r="Q160" s="122"/>
      <c r="R160" s="122"/>
      <c r="S160" s="122"/>
    </row>
    <row r="161" spans="1:19">
      <c r="A161" s="24" t="s">
        <v>64</v>
      </c>
      <c r="J161" s="12"/>
      <c r="K161" s="62"/>
      <c r="L161" s="62"/>
      <c r="M161" s="62"/>
      <c r="N161" s="62"/>
      <c r="P161" s="62"/>
      <c r="Q161" s="62"/>
      <c r="R161" s="62"/>
    </row>
    <row r="162" spans="1:19">
      <c r="A162" s="77" t="s">
        <v>65</v>
      </c>
      <c r="C162" t="s">
        <v>66</v>
      </c>
      <c r="J162" s="12"/>
      <c r="K162" s="62"/>
      <c r="L162" s="62"/>
      <c r="M162" s="62"/>
      <c r="N162" s="62"/>
      <c r="P162" s="62"/>
      <c r="Q162" s="62"/>
      <c r="R162" s="62"/>
    </row>
    <row r="163" spans="1:19">
      <c r="A163" s="77" t="s">
        <v>67</v>
      </c>
      <c r="C163" t="s">
        <v>68</v>
      </c>
      <c r="J163" s="12"/>
      <c r="K163" s="62"/>
      <c r="L163" s="62"/>
      <c r="M163" s="62"/>
      <c r="N163" s="62"/>
      <c r="P163" s="62"/>
      <c r="Q163" s="62"/>
      <c r="R163" s="62"/>
    </row>
    <row r="164" spans="1:19">
      <c r="C164" s="4"/>
      <c r="E164" s="138"/>
      <c r="G164" s="19"/>
      <c r="H164" s="19"/>
      <c r="I164" s="19"/>
      <c r="J164" s="4"/>
      <c r="K164" s="120"/>
      <c r="L164" s="121"/>
      <c r="M164" s="120"/>
      <c r="N164" s="118"/>
      <c r="O164" s="118"/>
      <c r="P164" s="7"/>
      <c r="Q164" s="119"/>
      <c r="R164" s="119"/>
      <c r="S164" s="122"/>
    </row>
    <row r="165" spans="1:19">
      <c r="Q165" s="122"/>
      <c r="R165" s="122"/>
      <c r="S165" s="122"/>
    </row>
    <row r="166" spans="1:19">
      <c r="Q166" s="122"/>
      <c r="R166" s="122"/>
      <c r="S166" s="122"/>
    </row>
    <row r="167" spans="1:19">
      <c r="Q167" s="122"/>
      <c r="R167" s="122"/>
      <c r="S167" s="122"/>
    </row>
    <row r="168" spans="1:19">
      <c r="Q168" s="122"/>
      <c r="R168" s="122"/>
      <c r="S168" s="122"/>
    </row>
    <row r="169" spans="1:19">
      <c r="Q169" s="122"/>
      <c r="R169" s="122"/>
      <c r="S169" s="122"/>
    </row>
    <row r="170" spans="1:19">
      <c r="Q170" s="122"/>
      <c r="R170" s="122"/>
      <c r="S170" s="122"/>
    </row>
    <row r="171" spans="1:19">
      <c r="Q171" s="122"/>
      <c r="R171" s="122"/>
      <c r="S171" s="122"/>
    </row>
    <row r="172" spans="1:19">
      <c r="Q172" s="122"/>
      <c r="R172" s="122"/>
      <c r="S172" s="122"/>
    </row>
    <row r="173" spans="1:19">
      <c r="Q173" s="122"/>
      <c r="R173" s="122"/>
      <c r="S173" s="122"/>
    </row>
    <row r="174" spans="1:19">
      <c r="Q174" s="122"/>
      <c r="R174" s="122"/>
      <c r="S174" s="122"/>
    </row>
    <row r="175" spans="1:19">
      <c r="Q175" s="122"/>
      <c r="R175" s="122"/>
      <c r="S175" s="122"/>
    </row>
    <row r="176" spans="1:19">
      <c r="Q176" s="122"/>
      <c r="R176" s="122"/>
      <c r="S176" s="122"/>
    </row>
    <row r="177" spans="17:19">
      <c r="Q177" s="122"/>
      <c r="R177" s="122"/>
      <c r="S177" s="122"/>
    </row>
    <row r="178" spans="17:19">
      <c r="Q178" s="122"/>
      <c r="R178" s="122"/>
      <c r="S178" s="122"/>
    </row>
    <row r="179" spans="17:19">
      <c r="Q179" s="122"/>
      <c r="R179" s="122"/>
      <c r="S179" s="122"/>
    </row>
    <row r="180" spans="17:19">
      <c r="Q180" s="122"/>
      <c r="R180" s="122"/>
      <c r="S180" s="122"/>
    </row>
    <row r="181" spans="17:19">
      <c r="Q181" s="122"/>
      <c r="R181" s="122"/>
      <c r="S181" s="122"/>
    </row>
    <row r="182" spans="17:19">
      <c r="Q182" s="122"/>
      <c r="R182" s="122"/>
      <c r="S182" s="122"/>
    </row>
    <row r="183" spans="17:19">
      <c r="Q183" s="122"/>
      <c r="R183" s="122"/>
      <c r="S183" s="122"/>
    </row>
    <row r="184" spans="17:19">
      <c r="Q184" s="122"/>
      <c r="R184" s="122"/>
      <c r="S184" s="122"/>
    </row>
    <row r="185" spans="17:19">
      <c r="Q185" s="122"/>
      <c r="R185" s="122"/>
      <c r="S185" s="122"/>
    </row>
    <row r="186" spans="17:19">
      <c r="Q186" s="122"/>
      <c r="R186" s="122"/>
      <c r="S186" s="122"/>
    </row>
    <row r="187" spans="17:19">
      <c r="Q187" s="122"/>
      <c r="R187" s="122"/>
      <c r="S187" s="122"/>
    </row>
    <row r="188" spans="17:19">
      <c r="Q188" s="122"/>
      <c r="R188" s="122"/>
      <c r="S188" s="122"/>
    </row>
    <row r="189" spans="17:19">
      <c r="Q189" s="122"/>
      <c r="R189" s="122"/>
      <c r="S189" s="122"/>
    </row>
    <row r="190" spans="17:19">
      <c r="Q190" s="122"/>
      <c r="R190" s="122"/>
      <c r="S190" s="122"/>
    </row>
    <row r="191" spans="17:19">
      <c r="Q191" s="122"/>
      <c r="R191" s="122"/>
      <c r="S191" s="122"/>
    </row>
    <row r="192" spans="17:19">
      <c r="Q192" s="122"/>
      <c r="R192" s="122"/>
      <c r="S192" s="122"/>
    </row>
    <row r="193" spans="17:19">
      <c r="Q193" s="122"/>
      <c r="R193" s="122"/>
      <c r="S193" s="122"/>
    </row>
    <row r="1048484" spans="3:4">
      <c r="C1048484" s="9"/>
      <c r="D1048484" s="9"/>
    </row>
  </sheetData>
  <mergeCells count="5">
    <mergeCell ref="G7:I7"/>
    <mergeCell ref="K7:M7"/>
    <mergeCell ref="O7:S7"/>
    <mergeCell ref="A4:S4"/>
    <mergeCell ref="A5:S5"/>
  </mergeCells>
  <printOptions horizontalCentered="1"/>
  <pageMargins left="0.5" right="0.5" top="0.75" bottom="0.5" header="0.31496062992126" footer="0.31496062992126"/>
  <pageSetup scale="51" firstPageNumber="5" fitToHeight="0" orientation="portrait" useFirstPageNumber="1" r:id="rId1"/>
  <headerFooter>
    <oddHeader>&amp;RFiled: 2023-04-06
EB-2022-0200
Exhibit JT8.7
Attachment 1
Page &amp;P of 8</oddHeader>
  </headerFooter>
  <rowBreaks count="1" manualBreakCount="1">
    <brk id="71" max="1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2D86F-77BC-4E67-9863-0E6825E87D8C}">
  <dimension ref="A1:U126"/>
  <sheetViews>
    <sheetView view="pageLayout" zoomScaleNormal="80" zoomScaleSheetLayoutView="80" workbookViewId="0"/>
  </sheetViews>
  <sheetFormatPr defaultColWidth="9.140625" defaultRowHeight="12.75"/>
  <cols>
    <col min="1" max="1" width="5.42578125" customWidth="1"/>
    <col min="2" max="2" width="1.7109375" customWidth="1"/>
    <col min="3" max="3" width="36.7109375" customWidth="1"/>
    <col min="4" max="4" width="1.7109375" customWidth="1"/>
    <col min="5" max="5" width="15.7109375" customWidth="1"/>
    <col min="6" max="6" width="1.7109375" customWidth="1"/>
    <col min="7" max="7" width="15.7109375" customWidth="1"/>
    <col min="8" max="8" width="1.7109375" customWidth="1"/>
    <col min="9" max="9" width="15.7109375" customWidth="1"/>
    <col min="10" max="10" width="1.7109375" style="12" customWidth="1"/>
    <col min="11" max="11" width="15.7109375" style="62" customWidth="1"/>
    <col min="12" max="12" width="1.7109375" style="62" customWidth="1"/>
    <col min="13" max="13" width="15.7109375" style="62" customWidth="1"/>
    <col min="14" max="14" width="1.7109375" style="62" customWidth="1"/>
    <col min="15" max="15" width="15.7109375" style="59" customWidth="1"/>
    <col min="16" max="16" width="1.7109375" style="62" customWidth="1"/>
    <col min="17" max="17" width="15.7109375" style="62" customWidth="1"/>
    <col min="18" max="18" width="1.7109375" style="62" customWidth="1"/>
    <col min="19" max="19" width="15.7109375" customWidth="1"/>
    <col min="20" max="20" width="1.7109375" customWidth="1"/>
  </cols>
  <sheetData>
    <row r="1" spans="1:21">
      <c r="U1" t="s">
        <v>99</v>
      </c>
    </row>
    <row r="4" spans="1:21">
      <c r="A4" s="149" t="s">
        <v>1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</row>
    <row r="5" spans="1:21">
      <c r="A5" s="149" t="s">
        <v>100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</row>
    <row r="6" spans="1:21">
      <c r="A6" s="116"/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</row>
    <row r="7" spans="1:21">
      <c r="G7" s="148" t="s">
        <v>3</v>
      </c>
      <c r="H7" s="148"/>
      <c r="I7" s="148"/>
      <c r="K7" s="148" t="s">
        <v>4</v>
      </c>
      <c r="L7" s="148"/>
      <c r="M7" s="148"/>
      <c r="N7"/>
      <c r="O7" s="151" t="s">
        <v>5</v>
      </c>
      <c r="P7" s="151"/>
      <c r="Q7" s="151"/>
      <c r="R7" s="151"/>
      <c r="S7" s="151"/>
    </row>
    <row r="8" spans="1:21">
      <c r="E8" s="60"/>
      <c r="G8" s="1"/>
      <c r="I8" s="1"/>
      <c r="J8"/>
      <c r="K8" s="1"/>
      <c r="L8"/>
      <c r="M8" s="1"/>
      <c r="N8" s="2"/>
      <c r="O8" s="22" t="s">
        <v>4</v>
      </c>
      <c r="P8" s="3"/>
      <c r="Q8" s="23" t="s">
        <v>6</v>
      </c>
      <c r="R8" s="3"/>
      <c r="S8" s="23" t="s">
        <v>7</v>
      </c>
    </row>
    <row r="9" spans="1:21">
      <c r="A9" s="60" t="s">
        <v>8</v>
      </c>
      <c r="E9" s="60" t="s">
        <v>9</v>
      </c>
      <c r="G9" s="1" t="s">
        <v>10</v>
      </c>
      <c r="I9" s="1" t="s">
        <v>11</v>
      </c>
      <c r="J9"/>
      <c r="K9" s="1" t="s">
        <v>12</v>
      </c>
      <c r="L9"/>
      <c r="M9" s="1" t="s">
        <v>13</v>
      </c>
      <c r="O9" s="61" t="s">
        <v>14</v>
      </c>
      <c r="Q9" s="63" t="s">
        <v>15</v>
      </c>
      <c r="S9" s="63" t="s">
        <v>15</v>
      </c>
    </row>
    <row r="10" spans="1:21" ht="14.25">
      <c r="A10" s="64" t="s">
        <v>16</v>
      </c>
      <c r="B10" s="71"/>
      <c r="C10" s="65" t="s">
        <v>17</v>
      </c>
      <c r="D10" s="65"/>
      <c r="E10" s="66" t="s">
        <v>18</v>
      </c>
      <c r="G10" s="29" t="s">
        <v>19</v>
      </c>
      <c r="I10" s="29" t="s">
        <v>19</v>
      </c>
      <c r="J10"/>
      <c r="K10" s="67" t="s">
        <v>20</v>
      </c>
      <c r="L10" s="63"/>
      <c r="M10" s="67" t="s">
        <v>20</v>
      </c>
      <c r="O10" s="68" t="s">
        <v>20</v>
      </c>
      <c r="Q10" s="67" t="s">
        <v>21</v>
      </c>
      <c r="S10" s="67" t="s">
        <v>21</v>
      </c>
    </row>
    <row r="11" spans="1:21">
      <c r="E11" s="60" t="s">
        <v>22</v>
      </c>
      <c r="F11" s="60"/>
      <c r="G11" s="20" t="s">
        <v>23</v>
      </c>
      <c r="I11" s="20" t="s">
        <v>24</v>
      </c>
      <c r="J11"/>
      <c r="K11" s="63" t="s">
        <v>25</v>
      </c>
      <c r="L11" s="63"/>
      <c r="M11" s="63" t="s">
        <v>26</v>
      </c>
      <c r="N11" s="63"/>
      <c r="O11" s="61" t="s">
        <v>27</v>
      </c>
      <c r="P11" s="63"/>
      <c r="Q11" s="63" t="s">
        <v>28</v>
      </c>
      <c r="R11" s="63"/>
      <c r="S11" s="60" t="s">
        <v>29</v>
      </c>
    </row>
    <row r="12" spans="1:21">
      <c r="C12" s="8" t="s">
        <v>101</v>
      </c>
      <c r="D12" s="8"/>
      <c r="E12" s="4"/>
      <c r="G12" s="13"/>
      <c r="H12" s="70"/>
      <c r="I12" s="14"/>
      <c r="K12" s="3"/>
      <c r="L12" s="3"/>
      <c r="M12" s="3"/>
      <c r="N12" s="3"/>
      <c r="O12" s="21"/>
      <c r="P12" s="3"/>
      <c r="Q12" s="3"/>
      <c r="R12" s="3"/>
    </row>
    <row r="13" spans="1:21">
      <c r="A13" s="60">
        <v>1</v>
      </c>
      <c r="C13" s="4" t="s">
        <v>31</v>
      </c>
      <c r="D13" s="4"/>
      <c r="E13" s="112">
        <f>'Attachment 2'!P162</f>
        <v>2200</v>
      </c>
      <c r="F13" s="60"/>
      <c r="G13" s="110"/>
      <c r="H13" s="79"/>
      <c r="I13" s="110"/>
      <c r="J13" s="82"/>
      <c r="K13" s="23"/>
      <c r="L13" s="23"/>
      <c r="M13" s="23"/>
      <c r="N13" s="23"/>
      <c r="O13" s="22"/>
      <c r="P13" s="23"/>
      <c r="Q13" s="23"/>
      <c r="R13" s="23"/>
      <c r="S13" s="60"/>
    </row>
    <row r="14" spans="1:21">
      <c r="A14" s="60"/>
      <c r="E14" s="20"/>
      <c r="F14" s="60"/>
      <c r="G14" s="132"/>
      <c r="H14" s="85"/>
      <c r="I14" s="85"/>
      <c r="J14" s="82"/>
      <c r="K14" s="125"/>
      <c r="L14" s="125"/>
      <c r="M14" s="125"/>
      <c r="N14" s="125"/>
      <c r="O14" s="125"/>
      <c r="P14" s="23"/>
      <c r="Q14" s="90"/>
      <c r="R14" s="90"/>
      <c r="S14" s="89"/>
    </row>
    <row r="15" spans="1:21">
      <c r="A15" s="60"/>
      <c r="C15" s="8" t="s">
        <v>32</v>
      </c>
      <c r="D15" s="8"/>
      <c r="E15" s="20"/>
      <c r="F15" s="60"/>
      <c r="G15" s="132"/>
      <c r="H15" s="85"/>
      <c r="I15" s="85"/>
      <c r="J15" s="82"/>
      <c r="K15" s="125"/>
      <c r="L15" s="125"/>
      <c r="M15" s="125"/>
      <c r="N15" s="125"/>
      <c r="O15" s="125"/>
      <c r="P15" s="23"/>
      <c r="Q15" s="90"/>
      <c r="R15" s="90"/>
      <c r="S15" s="89"/>
    </row>
    <row r="16" spans="1:21">
      <c r="A16" s="60">
        <f>MAX(A$13:A15)+1</f>
        <v>2</v>
      </c>
      <c r="C16" s="4" t="s">
        <v>33</v>
      </c>
      <c r="D16" s="4"/>
      <c r="E16" s="91" t="s">
        <v>34</v>
      </c>
      <c r="F16" s="60"/>
      <c r="G16" s="92">
        <v>22.98</v>
      </c>
      <c r="H16" s="92"/>
      <c r="I16" s="92">
        <v>23</v>
      </c>
      <c r="J16" s="82"/>
      <c r="K16" s="98">
        <f>G16*12</f>
        <v>275.76</v>
      </c>
      <c r="L16" s="98"/>
      <c r="M16" s="98">
        <f>I16*12</f>
        <v>276</v>
      </c>
      <c r="N16" s="98"/>
      <c r="O16" s="98">
        <f>M16-K16</f>
        <v>0.24000000000000909</v>
      </c>
      <c r="P16" s="82"/>
      <c r="Q16" s="87"/>
      <c r="R16" s="127"/>
      <c r="S16" s="89"/>
    </row>
    <row r="17" spans="1:19">
      <c r="C17" s="4" t="s">
        <v>35</v>
      </c>
      <c r="D17" s="4"/>
      <c r="E17" s="82"/>
      <c r="F17" s="60"/>
      <c r="G17" s="132"/>
      <c r="H17" s="132"/>
      <c r="I17" s="132"/>
      <c r="J17" s="82"/>
      <c r="K17" s="98"/>
      <c r="L17" s="98"/>
      <c r="M17" s="98"/>
      <c r="N17" s="98"/>
      <c r="O17" s="98"/>
      <c r="P17" s="82"/>
      <c r="Q17" s="127"/>
      <c r="R17" s="127"/>
      <c r="S17" s="89"/>
    </row>
    <row r="18" spans="1:19" ht="14.25">
      <c r="A18" s="60">
        <f>MAX(A$13:A17)+1</f>
        <v>3</v>
      </c>
      <c r="C18" s="139" t="s">
        <v>102</v>
      </c>
      <c r="D18" s="139"/>
      <c r="E18" s="112">
        <f>'Attachment 2'!P167</f>
        <v>1006.8</v>
      </c>
      <c r="F18" s="60"/>
      <c r="G18" s="110">
        <v>7.4368999999999996</v>
      </c>
      <c r="H18" s="79"/>
      <c r="I18" s="110">
        <v>12.423173538867516</v>
      </c>
      <c r="J18" s="82"/>
      <c r="K18" s="98">
        <f>$E$18*G18/100</f>
        <v>74.874709199999984</v>
      </c>
      <c r="L18" s="98"/>
      <c r="M18" s="98">
        <f>$E$18*I18/100</f>
        <v>125.07651118931815</v>
      </c>
      <c r="N18" s="98"/>
      <c r="O18" s="98">
        <f>M18-K18</f>
        <v>50.20180198931817</v>
      </c>
      <c r="P18" s="82"/>
      <c r="Q18" s="127"/>
      <c r="R18" s="127"/>
      <c r="S18" s="89"/>
    </row>
    <row r="19" spans="1:19" ht="14.25">
      <c r="A19" s="60">
        <f>MAX(A$13:A18)+1</f>
        <v>4</v>
      </c>
      <c r="C19" s="139" t="s">
        <v>103</v>
      </c>
      <c r="D19" s="139"/>
      <c r="E19" s="112">
        <f>'Attachment 2'!P168</f>
        <v>778.6</v>
      </c>
      <c r="F19" s="60"/>
      <c r="G19" s="110">
        <v>7.1227999999999998</v>
      </c>
      <c r="H19" s="79"/>
      <c r="I19" s="110">
        <v>11.837815674459035</v>
      </c>
      <c r="J19" s="82"/>
      <c r="K19" s="98">
        <f>$E$19*G19/100</f>
        <v>55.458120799999996</v>
      </c>
      <c r="L19" s="98"/>
      <c r="M19" s="98">
        <f>$E$19*I19/100</f>
        <v>92.169232841338058</v>
      </c>
      <c r="N19" s="98"/>
      <c r="O19" s="98">
        <f>M19-K19</f>
        <v>36.711112041338062</v>
      </c>
      <c r="P19" s="82"/>
      <c r="Q19" s="127"/>
      <c r="R19" s="127"/>
      <c r="S19" s="89"/>
    </row>
    <row r="20" spans="1:19" ht="14.25">
      <c r="A20" s="60">
        <f>MAX(A$13:A19)+1</f>
        <v>5</v>
      </c>
      <c r="C20" s="139" t="s">
        <v>104</v>
      </c>
      <c r="D20" s="139"/>
      <c r="E20" s="113">
        <f>'Attachment 2'!P169</f>
        <v>414.6</v>
      </c>
      <c r="F20" s="60"/>
      <c r="G20" s="110">
        <v>6.3113000000000001</v>
      </c>
      <c r="H20" s="79"/>
      <c r="I20" s="110">
        <v>10.325501421140086</v>
      </c>
      <c r="J20" s="82"/>
      <c r="K20" s="98">
        <f>$E$20*G20/100</f>
        <v>26.166649800000002</v>
      </c>
      <c r="L20" s="98"/>
      <c r="M20" s="98">
        <f>$E$20*I20/100</f>
        <v>42.809528892046799</v>
      </c>
      <c r="N20" s="98"/>
      <c r="O20" s="98">
        <f>M20-K20</f>
        <v>16.642879092046797</v>
      </c>
      <c r="P20" s="82"/>
      <c r="Q20" s="127"/>
      <c r="R20" s="127"/>
      <c r="S20" s="89"/>
    </row>
    <row r="21" spans="1:19">
      <c r="A21" s="60">
        <f>MAX(A$13:A20)+1</f>
        <v>6</v>
      </c>
      <c r="C21" s="139" t="s">
        <v>40</v>
      </c>
      <c r="D21" s="140"/>
      <c r="E21" s="112">
        <f>SUM(E18:E20)</f>
        <v>2200</v>
      </c>
      <c r="F21" s="60"/>
      <c r="G21" s="110"/>
      <c r="H21" s="79"/>
      <c r="I21" s="110"/>
      <c r="J21" s="82"/>
      <c r="K21" s="105">
        <f>SUM(K18:K20)</f>
        <v>156.49947979999996</v>
      </c>
      <c r="L21" s="98"/>
      <c r="M21" s="105">
        <f>SUM(M18:M20)</f>
        <v>260.05527292270301</v>
      </c>
      <c r="N21" s="98"/>
      <c r="O21" s="105">
        <f>SUM(O18:O20)</f>
        <v>103.55579312270302</v>
      </c>
      <c r="P21" s="82"/>
      <c r="Q21" s="87"/>
      <c r="R21" s="127"/>
      <c r="S21" s="89"/>
    </row>
    <row r="22" spans="1:19">
      <c r="A22" s="60">
        <f>MAX(A$13:A21)+1</f>
        <v>7</v>
      </c>
      <c r="C22" s="4" t="s">
        <v>41</v>
      </c>
      <c r="D22" s="4"/>
      <c r="E22" s="112">
        <f>E13</f>
        <v>2200</v>
      </c>
      <c r="F22" s="60"/>
      <c r="G22" s="110">
        <v>1.41E-2</v>
      </c>
      <c r="H22" s="79"/>
      <c r="I22" s="110">
        <v>1.41E-2</v>
      </c>
      <c r="J22" s="82"/>
      <c r="K22" s="98">
        <f>$G$67*E22/100</f>
        <v>0.31019999999999998</v>
      </c>
      <c r="L22" s="98"/>
      <c r="M22" s="98">
        <f>$I$67*E22/100</f>
        <v>0.31019999999999998</v>
      </c>
      <c r="N22" s="98"/>
      <c r="O22" s="98">
        <f>M22-K22</f>
        <v>0</v>
      </c>
      <c r="P22" s="82"/>
      <c r="Q22" s="127"/>
      <c r="R22" s="127"/>
      <c r="S22" s="89"/>
    </row>
    <row r="23" spans="1:19">
      <c r="A23" s="60">
        <f>MAX(A$12:A22)+1</f>
        <v>8</v>
      </c>
      <c r="C23" s="4" t="s">
        <v>42</v>
      </c>
      <c r="D23" s="8"/>
      <c r="E23" s="112"/>
      <c r="F23" s="60"/>
      <c r="G23" s="110"/>
      <c r="H23" s="79"/>
      <c r="I23" s="110"/>
      <c r="J23" s="82"/>
      <c r="K23" s="94">
        <f>K16+K21+K22</f>
        <v>432.56967979999996</v>
      </c>
      <c r="L23" s="98"/>
      <c r="M23" s="94">
        <f>M16+M21+M22</f>
        <v>536.36547292270302</v>
      </c>
      <c r="N23" s="98"/>
      <c r="O23" s="94">
        <f>O16+O21+O22</f>
        <v>103.79579312270303</v>
      </c>
      <c r="P23" s="82"/>
      <c r="Q23" s="96">
        <f>O23/K23</f>
        <v>0.23995161466400827</v>
      </c>
      <c r="R23" s="127"/>
      <c r="S23" s="131">
        <f>Q23</f>
        <v>0.23995161466400827</v>
      </c>
    </row>
    <row r="24" spans="1:19">
      <c r="C24" s="4"/>
      <c r="D24" s="4"/>
      <c r="E24" s="112"/>
      <c r="F24" s="60"/>
      <c r="G24" s="110"/>
      <c r="H24" s="79"/>
      <c r="I24" s="110"/>
      <c r="J24" s="82"/>
      <c r="K24" s="98"/>
      <c r="L24" s="98"/>
      <c r="M24" s="98"/>
      <c r="N24" s="98"/>
      <c r="O24" s="98"/>
      <c r="P24" s="82"/>
      <c r="Q24" s="127"/>
      <c r="R24" s="127"/>
      <c r="S24" s="89"/>
    </row>
    <row r="25" spans="1:19">
      <c r="A25" s="60">
        <f>MAX(A$13:A24)+1</f>
        <v>9</v>
      </c>
      <c r="C25" s="4" t="s">
        <v>43</v>
      </c>
      <c r="D25" s="4"/>
      <c r="E25" s="112">
        <f>E13</f>
        <v>2200</v>
      </c>
      <c r="F25" s="60"/>
      <c r="G25" s="110">
        <v>9.7899999999999991</v>
      </c>
      <c r="H25" s="79"/>
      <c r="I25" s="110">
        <v>9.7899999999999991</v>
      </c>
      <c r="J25" s="82"/>
      <c r="K25" s="98">
        <f>$G25*E25/100</f>
        <v>215.37999999999997</v>
      </c>
      <c r="L25" s="98"/>
      <c r="M25" s="98">
        <f>$I$25*E25/100</f>
        <v>215.37999999999997</v>
      </c>
      <c r="N25" s="98"/>
      <c r="O25" s="98">
        <f>M25-K25</f>
        <v>0</v>
      </c>
      <c r="P25" s="82"/>
      <c r="Q25" s="106">
        <f>O25/K25</f>
        <v>0</v>
      </c>
      <c r="R25" s="127"/>
      <c r="S25" s="89">
        <f>Q25</f>
        <v>0</v>
      </c>
    </row>
    <row r="26" spans="1:19">
      <c r="A26" s="60">
        <f>MAX(A$13:A25)+1</f>
        <v>10</v>
      </c>
      <c r="C26" s="4" t="s">
        <v>44</v>
      </c>
      <c r="D26" s="8"/>
      <c r="E26" s="112">
        <f>E13</f>
        <v>2200</v>
      </c>
      <c r="F26" s="60"/>
      <c r="G26" s="110">
        <v>0</v>
      </c>
      <c r="H26" s="79"/>
      <c r="I26" s="110">
        <v>1.80692037835312</v>
      </c>
      <c r="J26" s="82"/>
      <c r="K26" s="98">
        <f>$G26*E26/100</f>
        <v>0</v>
      </c>
      <c r="L26" s="98"/>
      <c r="M26" s="98">
        <f>$I$26*E26/100</f>
        <v>39.75224832376864</v>
      </c>
      <c r="N26" s="98"/>
      <c r="O26" s="98">
        <f>M26-K26</f>
        <v>39.75224832376864</v>
      </c>
      <c r="P26" s="82"/>
      <c r="Q26" s="106">
        <f>1</f>
        <v>1</v>
      </c>
      <c r="R26" s="127"/>
      <c r="S26" s="89">
        <f>Q26</f>
        <v>1</v>
      </c>
    </row>
    <row r="27" spans="1:19">
      <c r="A27" s="60">
        <f>MAX(A$13:A26)+1</f>
        <v>11</v>
      </c>
      <c r="C27" s="4" t="s">
        <v>45</v>
      </c>
      <c r="D27" s="4"/>
      <c r="E27" s="112">
        <f>E13</f>
        <v>2200</v>
      </c>
      <c r="F27" s="60"/>
      <c r="G27" s="110">
        <v>22.290639639640929</v>
      </c>
      <c r="H27" s="79"/>
      <c r="I27" s="110">
        <v>20.903604607530845</v>
      </c>
      <c r="J27" s="82"/>
      <c r="K27" s="98">
        <f>G27*$E$27/100</f>
        <v>490.39407207210047</v>
      </c>
      <c r="L27" s="98"/>
      <c r="M27" s="98">
        <f>I27*$E$27/100</f>
        <v>459.8793013656786</v>
      </c>
      <c r="N27" s="98"/>
      <c r="O27" s="98">
        <f>M27-K27</f>
        <v>-30.514770706421871</v>
      </c>
      <c r="P27" s="82"/>
      <c r="Q27" s="106">
        <f>O27/K27</f>
        <v>-6.2224999126692992E-2</v>
      </c>
      <c r="R27" s="127"/>
      <c r="S27" s="89">
        <f>Q27</f>
        <v>-6.2224999126692992E-2</v>
      </c>
    </row>
    <row r="28" spans="1:19" ht="13.5" thickBot="1">
      <c r="A28" s="60">
        <f>MAX(A$13:A27)+1</f>
        <v>12</v>
      </c>
      <c r="C28" s="4" t="s">
        <v>46</v>
      </c>
      <c r="D28" s="8"/>
      <c r="E28" s="112"/>
      <c r="F28" s="60"/>
      <c r="G28" s="110"/>
      <c r="H28" s="79"/>
      <c r="I28" s="110"/>
      <c r="J28" s="20"/>
      <c r="K28" s="101">
        <f>K23+K25+K27+K26</f>
        <v>1138.3437518721003</v>
      </c>
      <c r="L28" s="98"/>
      <c r="M28" s="101">
        <f>M23+M25+M27+M26</f>
        <v>1251.3770226121501</v>
      </c>
      <c r="N28" s="98"/>
      <c r="O28" s="101">
        <f>M28-K28</f>
        <v>113.03327074004983</v>
      </c>
      <c r="P28" s="142"/>
      <c r="Q28" s="102">
        <f>O28/K28</f>
        <v>9.9296254364428391E-2</v>
      </c>
      <c r="R28" s="127"/>
      <c r="S28" s="134">
        <f>(O23+O26+O27)/(K23+K26+K27)</f>
        <v>0.12246772477334882</v>
      </c>
    </row>
    <row r="29" spans="1:19" ht="13.5" thickTop="1">
      <c r="E29" s="112"/>
      <c r="F29" s="60"/>
      <c r="G29" s="110"/>
      <c r="H29" s="79"/>
      <c r="I29" s="110"/>
      <c r="J29" s="82"/>
      <c r="K29" s="124"/>
      <c r="L29" s="124"/>
      <c r="M29" s="124"/>
      <c r="N29" s="124"/>
      <c r="O29" s="124"/>
      <c r="P29" s="143"/>
      <c r="Q29" s="89"/>
      <c r="R29" s="89"/>
      <c r="S29" s="89"/>
    </row>
    <row r="30" spans="1:19">
      <c r="A30" s="60">
        <f>MAX(A$13:A29)+1</f>
        <v>13</v>
      </c>
      <c r="C30" s="4" t="s">
        <v>81</v>
      </c>
      <c r="E30" s="112"/>
      <c r="F30" s="60"/>
      <c r="G30" s="110"/>
      <c r="H30" s="79"/>
      <c r="I30" s="110"/>
      <c r="J30" s="20"/>
      <c r="K30" s="94">
        <f>K23+K25+K26+M27</f>
        <v>1107.8289811656784</v>
      </c>
      <c r="L30" s="84"/>
      <c r="M30" s="94">
        <f>M23+M25+M26+M27</f>
        <v>1251.3770226121503</v>
      </c>
      <c r="N30" s="84"/>
      <c r="O30" s="94">
        <f>M30-K30</f>
        <v>143.54804144647187</v>
      </c>
      <c r="P30" s="91"/>
      <c r="Q30" s="96">
        <f>O30/K30</f>
        <v>0.12957599402700942</v>
      </c>
      <c r="R30" s="90"/>
      <c r="S30" s="96">
        <f>(O30-O25)/(K30-K25)</f>
        <v>0.16084733634742412</v>
      </c>
    </row>
    <row r="31" spans="1:19">
      <c r="A31" s="60">
        <f>MAX(A$13:A30)+1</f>
        <v>14</v>
      </c>
      <c r="C31" s="11" t="s">
        <v>82</v>
      </c>
      <c r="D31" s="4"/>
      <c r="E31" s="112"/>
      <c r="F31" s="60"/>
      <c r="G31" s="110"/>
      <c r="H31" s="79"/>
      <c r="I31" s="110"/>
      <c r="J31" s="82"/>
      <c r="K31" s="84"/>
      <c r="L31" s="104"/>
      <c r="M31" s="84"/>
      <c r="N31" s="84"/>
      <c r="O31" s="84"/>
      <c r="P31" s="91"/>
      <c r="Q31" s="87">
        <f>(O23+O25+O26)/(K23+K25+K26)</f>
        <v>0.22154195907740873</v>
      </c>
      <c r="R31" s="90"/>
      <c r="S31" s="87">
        <f>(O23+O26)/(K23+K26)</f>
        <v>0.33184952193792588</v>
      </c>
    </row>
    <row r="32" spans="1:19">
      <c r="C32" s="4"/>
      <c r="D32" s="4"/>
      <c r="E32" s="112"/>
      <c r="F32" s="60"/>
      <c r="G32" s="110"/>
      <c r="H32" s="79"/>
      <c r="I32" s="110"/>
      <c r="J32" s="82"/>
      <c r="K32" s="98"/>
      <c r="L32" s="98"/>
      <c r="M32" s="98"/>
      <c r="N32" s="98"/>
      <c r="O32" s="98"/>
      <c r="P32" s="82"/>
      <c r="Q32" s="127"/>
      <c r="R32" s="127"/>
      <c r="S32" s="89"/>
    </row>
    <row r="33" spans="1:19">
      <c r="C33" s="4"/>
      <c r="D33" s="4"/>
      <c r="E33" s="112"/>
      <c r="F33" s="60"/>
      <c r="G33" s="110"/>
      <c r="H33" s="79"/>
      <c r="I33" s="110"/>
      <c r="J33" s="82"/>
      <c r="K33" s="98"/>
      <c r="L33" s="98"/>
      <c r="M33" s="98"/>
      <c r="N33" s="98"/>
      <c r="O33" s="98"/>
      <c r="P33" s="82"/>
      <c r="Q33" s="127"/>
      <c r="R33" s="127"/>
      <c r="S33" s="89"/>
    </row>
    <row r="34" spans="1:19">
      <c r="C34" s="8" t="s">
        <v>105</v>
      </c>
      <c r="D34" s="8"/>
      <c r="E34" s="112"/>
      <c r="F34" s="60"/>
      <c r="G34" s="110"/>
      <c r="H34" s="79"/>
      <c r="I34" s="110"/>
      <c r="J34" s="82"/>
      <c r="K34" s="125"/>
      <c r="L34" s="125"/>
      <c r="M34" s="125"/>
      <c r="N34" s="125"/>
      <c r="O34" s="125"/>
      <c r="P34" s="23"/>
      <c r="Q34" s="90"/>
      <c r="R34" s="90"/>
      <c r="S34" s="89"/>
    </row>
    <row r="35" spans="1:19">
      <c r="A35" s="60">
        <f>MAX(A$13:A34)+1</f>
        <v>15</v>
      </c>
      <c r="C35" s="4" t="s">
        <v>31</v>
      </c>
      <c r="D35" s="4"/>
      <c r="E35" s="112">
        <f>'Attachment 2'!P174</f>
        <v>40000</v>
      </c>
      <c r="F35" s="60"/>
      <c r="G35" s="110"/>
      <c r="H35" s="79"/>
      <c r="I35" s="110"/>
      <c r="J35" s="82"/>
      <c r="K35" s="125"/>
      <c r="L35" s="125"/>
      <c r="M35" s="125"/>
      <c r="N35" s="125"/>
      <c r="O35" s="125"/>
      <c r="P35" s="23"/>
      <c r="Q35" s="90"/>
      <c r="R35" s="90"/>
      <c r="S35" s="89"/>
    </row>
    <row r="36" spans="1:19">
      <c r="E36" s="82"/>
      <c r="F36" s="60"/>
      <c r="G36" s="132"/>
      <c r="H36" s="85"/>
      <c r="I36" s="85"/>
      <c r="J36" s="82"/>
      <c r="K36" s="125"/>
      <c r="L36" s="125"/>
      <c r="M36" s="125"/>
      <c r="N36" s="125"/>
      <c r="O36" s="125"/>
      <c r="P36" s="23"/>
      <c r="Q36" s="90"/>
      <c r="R36" s="90"/>
      <c r="S36" s="89"/>
    </row>
    <row r="37" spans="1:19">
      <c r="C37" s="8" t="s">
        <v>32</v>
      </c>
      <c r="D37" s="8"/>
      <c r="E37" s="20"/>
      <c r="F37" s="60"/>
      <c r="G37" s="132"/>
      <c r="H37" s="85"/>
      <c r="I37" s="85"/>
      <c r="J37" s="82"/>
      <c r="K37" s="125"/>
      <c r="L37" s="125"/>
      <c r="M37" s="125"/>
      <c r="N37" s="125"/>
      <c r="O37" s="125"/>
      <c r="P37" s="23"/>
      <c r="Q37" s="90"/>
      <c r="R37" s="90"/>
      <c r="S37" s="89"/>
    </row>
    <row r="38" spans="1:19">
      <c r="A38" s="60">
        <f>MAX(A$13:A37)+1</f>
        <v>16</v>
      </c>
      <c r="C38" s="4" t="s">
        <v>33</v>
      </c>
      <c r="D38" s="4"/>
      <c r="E38" s="91" t="s">
        <v>34</v>
      </c>
      <c r="F38" s="60"/>
      <c r="G38" s="92">
        <f>G16</f>
        <v>22.98</v>
      </c>
      <c r="H38" s="92"/>
      <c r="I38" s="92">
        <f>I16</f>
        <v>23</v>
      </c>
      <c r="J38" s="82"/>
      <c r="K38" s="98">
        <f>G38*12</f>
        <v>275.76</v>
      </c>
      <c r="L38" s="98"/>
      <c r="M38" s="98">
        <f>I38*12</f>
        <v>276</v>
      </c>
      <c r="N38" s="98"/>
      <c r="O38" s="98">
        <f>M38-K38</f>
        <v>0.24000000000000909</v>
      </c>
      <c r="P38" s="82"/>
      <c r="Q38" s="87"/>
      <c r="R38" s="127"/>
      <c r="S38" s="89"/>
    </row>
    <row r="39" spans="1:19">
      <c r="C39" s="4" t="s">
        <v>35</v>
      </c>
      <c r="D39" s="4"/>
      <c r="E39" s="82"/>
      <c r="F39" s="60"/>
      <c r="G39" s="132"/>
      <c r="H39" s="132"/>
      <c r="I39" s="132"/>
      <c r="J39" s="82"/>
      <c r="K39" s="98"/>
      <c r="L39" s="98"/>
      <c r="M39" s="98"/>
      <c r="N39" s="98"/>
      <c r="O39" s="98"/>
      <c r="P39" s="82"/>
      <c r="Q39" s="127"/>
      <c r="R39" s="127"/>
      <c r="S39" s="89"/>
    </row>
    <row r="40" spans="1:19" ht="14.25">
      <c r="A40" s="60">
        <f>MAX(A$13:A39)+1</f>
        <v>17</v>
      </c>
      <c r="C40" s="139" t="s">
        <v>102</v>
      </c>
      <c r="D40" s="139"/>
      <c r="E40" s="112">
        <f>'Attachment 2'!P179</f>
        <v>1200</v>
      </c>
      <c r="F40" s="60"/>
      <c r="G40" s="110">
        <f>G18</f>
        <v>7.4368999999999996</v>
      </c>
      <c r="H40" s="79"/>
      <c r="I40" s="110">
        <f>I18</f>
        <v>12.423173538867516</v>
      </c>
      <c r="J40" s="82"/>
      <c r="K40" s="98">
        <f>$E40*G40/100</f>
        <v>89.242799999999988</v>
      </c>
      <c r="L40" s="98"/>
      <c r="M40" s="98">
        <f>$E40*I40/100</f>
        <v>149.07808246641019</v>
      </c>
      <c r="N40" s="98"/>
      <c r="O40" s="98">
        <f>M40-K40</f>
        <v>59.835282466410206</v>
      </c>
      <c r="P40" s="82"/>
      <c r="Q40" s="127"/>
      <c r="R40" s="127"/>
      <c r="S40" s="89"/>
    </row>
    <row r="41" spans="1:19" ht="14.25">
      <c r="A41" s="60">
        <f>MAX(A$13:A40)+1</f>
        <v>18</v>
      </c>
      <c r="C41" s="139" t="s">
        <v>103</v>
      </c>
      <c r="D41" s="139"/>
      <c r="E41" s="112">
        <f>'Attachment 2'!P180</f>
        <v>1800</v>
      </c>
      <c r="F41" s="60"/>
      <c r="G41" s="110">
        <f>G19</f>
        <v>7.1227999999999998</v>
      </c>
      <c r="H41" s="79"/>
      <c r="I41" s="110">
        <f>I19</f>
        <v>11.837815674459035</v>
      </c>
      <c r="J41" s="82"/>
      <c r="K41" s="98">
        <f t="shared" ref="K41:K42" si="0">$E41*G41/100</f>
        <v>128.21039999999999</v>
      </c>
      <c r="L41" s="98"/>
      <c r="M41" s="98">
        <f t="shared" ref="M41:M42" si="1">$E41*I41/100</f>
        <v>213.08068214026264</v>
      </c>
      <c r="N41" s="98"/>
      <c r="O41" s="98">
        <f>M41-K41</f>
        <v>84.870282140262645</v>
      </c>
      <c r="P41" s="82"/>
      <c r="Q41" s="127"/>
      <c r="R41" s="127"/>
      <c r="S41" s="89"/>
    </row>
    <row r="42" spans="1:19" ht="14.25">
      <c r="A42" s="60">
        <f>MAX(A$13:A41)+1</f>
        <v>19</v>
      </c>
      <c r="C42" s="139" t="s">
        <v>104</v>
      </c>
      <c r="D42" s="139"/>
      <c r="E42" s="113">
        <f>'Attachment 2'!P181</f>
        <v>37000</v>
      </c>
      <c r="F42" s="60"/>
      <c r="G42" s="110">
        <f>G20</f>
        <v>6.3113000000000001</v>
      </c>
      <c r="H42" s="79"/>
      <c r="I42" s="110">
        <f>I20</f>
        <v>10.325501421140086</v>
      </c>
      <c r="J42" s="82"/>
      <c r="K42" s="98">
        <f t="shared" si="0"/>
        <v>2335.181</v>
      </c>
      <c r="L42" s="98"/>
      <c r="M42" s="98">
        <f t="shared" si="1"/>
        <v>3820.4355258218316</v>
      </c>
      <c r="N42" s="98"/>
      <c r="O42" s="98">
        <f>M42-K42</f>
        <v>1485.2545258218315</v>
      </c>
      <c r="P42" s="82"/>
      <c r="Q42" s="127"/>
      <c r="R42" s="127"/>
      <c r="S42" s="89"/>
    </row>
    <row r="43" spans="1:19">
      <c r="A43" s="60">
        <f>MAX(A$13:A42)+1</f>
        <v>20</v>
      </c>
      <c r="C43" s="139" t="s">
        <v>40</v>
      </c>
      <c r="D43" s="140"/>
      <c r="E43" s="112">
        <f>SUM(E40:E42)</f>
        <v>40000</v>
      </c>
      <c r="F43" s="60"/>
      <c r="G43" s="110"/>
      <c r="H43" s="79"/>
      <c r="I43" s="110"/>
      <c r="J43" s="82"/>
      <c r="K43" s="105">
        <f>SUM(K40:K42)</f>
        <v>2552.6342</v>
      </c>
      <c r="L43" s="98"/>
      <c r="M43" s="105">
        <f>SUM(M40:M42)</f>
        <v>4182.5942904285048</v>
      </c>
      <c r="N43" s="98"/>
      <c r="O43" s="105">
        <f>SUM(O40:O42)</f>
        <v>1629.9600904285044</v>
      </c>
      <c r="P43" s="82"/>
      <c r="Q43" s="87"/>
      <c r="R43" s="127"/>
      <c r="S43" s="89"/>
    </row>
    <row r="44" spans="1:19">
      <c r="A44" s="60">
        <f>MAX(A$13:A43)+1</f>
        <v>21</v>
      </c>
      <c r="C44" s="4" t="s">
        <v>41</v>
      </c>
      <c r="D44" s="4"/>
      <c r="E44" s="112">
        <f>E35</f>
        <v>40000</v>
      </c>
      <c r="F44" s="60"/>
      <c r="G44" s="110">
        <f>G22</f>
        <v>1.41E-2</v>
      </c>
      <c r="H44" s="79"/>
      <c r="I44" s="110">
        <f>I22</f>
        <v>1.41E-2</v>
      </c>
      <c r="J44" s="82"/>
      <c r="K44" s="98">
        <f>$G$44*E44/100</f>
        <v>5.64</v>
      </c>
      <c r="L44" s="98"/>
      <c r="M44" s="98">
        <f>$I$44*E44/100</f>
        <v>5.64</v>
      </c>
      <c r="N44" s="98"/>
      <c r="O44" s="98">
        <f>M44-K44</f>
        <v>0</v>
      </c>
      <c r="P44" s="82"/>
      <c r="Q44" s="127"/>
      <c r="R44" s="127"/>
      <c r="S44" s="89"/>
    </row>
    <row r="45" spans="1:19">
      <c r="A45" s="60">
        <f>MAX(A$12:A44)+1</f>
        <v>22</v>
      </c>
      <c r="C45" s="4" t="s">
        <v>42</v>
      </c>
      <c r="D45" s="8"/>
      <c r="E45" s="112"/>
      <c r="F45" s="60"/>
      <c r="G45" s="110"/>
      <c r="H45" s="79"/>
      <c r="I45" s="110"/>
      <c r="J45" s="82"/>
      <c r="K45" s="94">
        <f>K38+K43+K44</f>
        <v>2834.0341999999996</v>
      </c>
      <c r="L45" s="98"/>
      <c r="M45" s="94">
        <f>M38+M43+M44</f>
        <v>4464.2342904285051</v>
      </c>
      <c r="N45" s="98"/>
      <c r="O45" s="94">
        <f>O38+O43+O44</f>
        <v>1630.2000904285044</v>
      </c>
      <c r="P45" s="82"/>
      <c r="Q45" s="96">
        <f>O45/K45</f>
        <v>0.57522244806661282</v>
      </c>
      <c r="R45" s="127"/>
      <c r="S45" s="131">
        <f>Q45</f>
        <v>0.57522244806661282</v>
      </c>
    </row>
    <row r="46" spans="1:19">
      <c r="C46" s="4"/>
      <c r="D46" s="4"/>
      <c r="E46" s="112"/>
      <c r="F46" s="60"/>
      <c r="G46" s="110"/>
      <c r="H46" s="79"/>
      <c r="I46" s="110"/>
      <c r="J46" s="82"/>
      <c r="K46" s="98"/>
      <c r="L46" s="98"/>
      <c r="M46" s="98"/>
      <c r="N46" s="98"/>
      <c r="O46" s="98"/>
      <c r="P46" s="82"/>
      <c r="Q46" s="127"/>
      <c r="R46" s="127"/>
      <c r="S46" s="89"/>
    </row>
    <row r="47" spans="1:19">
      <c r="A47" s="60">
        <f>MAX(A$13:A46)+1</f>
        <v>23</v>
      </c>
      <c r="C47" s="4" t="s">
        <v>43</v>
      </c>
      <c r="D47" s="4"/>
      <c r="E47" s="112">
        <f>E35</f>
        <v>40000</v>
      </c>
      <c r="F47" s="60"/>
      <c r="G47" s="110">
        <f>G25</f>
        <v>9.7899999999999991</v>
      </c>
      <c r="H47" s="79"/>
      <c r="I47" s="110">
        <f>I25</f>
        <v>9.7899999999999991</v>
      </c>
      <c r="J47" s="82"/>
      <c r="K47" s="98">
        <f>$G47*E47/100</f>
        <v>3915.9999999999995</v>
      </c>
      <c r="L47" s="98"/>
      <c r="M47" s="98">
        <f>$I$47*E47/100</f>
        <v>3915.9999999999995</v>
      </c>
      <c r="N47" s="98"/>
      <c r="O47" s="98">
        <f>M47-K47</f>
        <v>0</v>
      </c>
      <c r="P47" s="82"/>
      <c r="Q47" s="106">
        <f>O47/K47</f>
        <v>0</v>
      </c>
      <c r="R47" s="127"/>
      <c r="S47" s="89">
        <f>Q47</f>
        <v>0</v>
      </c>
    </row>
    <row r="48" spans="1:19">
      <c r="A48" s="60">
        <f>MAX(A$13:A47)+1</f>
        <v>24</v>
      </c>
      <c r="C48" s="4" t="s">
        <v>44</v>
      </c>
      <c r="D48" s="8"/>
      <c r="E48" s="112">
        <f>E35</f>
        <v>40000</v>
      </c>
      <c r="F48" s="60"/>
      <c r="G48" s="110">
        <f>G26</f>
        <v>0</v>
      </c>
      <c r="H48" s="79"/>
      <c r="I48" s="110">
        <f>I26</f>
        <v>1.80692037835312</v>
      </c>
      <c r="J48" s="82"/>
      <c r="K48" s="98">
        <f>$G48*E48/100</f>
        <v>0</v>
      </c>
      <c r="L48" s="98"/>
      <c r="M48" s="98">
        <f>$I$48*E48/100</f>
        <v>722.76815134124797</v>
      </c>
      <c r="N48" s="98"/>
      <c r="O48" s="98">
        <f>M48-K48</f>
        <v>722.76815134124797</v>
      </c>
      <c r="P48" s="82"/>
      <c r="Q48" s="106">
        <f>1</f>
        <v>1</v>
      </c>
      <c r="R48" s="127"/>
      <c r="S48" s="89">
        <f>Q48</f>
        <v>1</v>
      </c>
    </row>
    <row r="49" spans="1:21">
      <c r="A49" s="60">
        <f>MAX(A$13:A48)+1</f>
        <v>25</v>
      </c>
      <c r="C49" s="4" t="s">
        <v>45</v>
      </c>
      <c r="D49" s="4"/>
      <c r="E49" s="112">
        <f>E35</f>
        <v>40000</v>
      </c>
      <c r="F49" s="60"/>
      <c r="G49" s="110">
        <f>G27</f>
        <v>22.290639639640929</v>
      </c>
      <c r="H49" s="79"/>
      <c r="I49" s="110">
        <f>I27</f>
        <v>20.903604607530845</v>
      </c>
      <c r="J49" s="82"/>
      <c r="K49" s="98">
        <f>G49*$E$49/100</f>
        <v>8916.2558558563705</v>
      </c>
      <c r="L49" s="98"/>
      <c r="M49" s="98">
        <f>I49*E49/100</f>
        <v>8361.4418430123387</v>
      </c>
      <c r="N49" s="98"/>
      <c r="O49" s="98">
        <f>M49-K49</f>
        <v>-554.81401284403182</v>
      </c>
      <c r="P49" s="82"/>
      <c r="Q49" s="106">
        <f>O49/K49</f>
        <v>-6.2224999126692757E-2</v>
      </c>
      <c r="R49" s="127"/>
      <c r="S49" s="89">
        <f>Q49</f>
        <v>-6.2224999126692757E-2</v>
      </c>
    </row>
    <row r="50" spans="1:21" ht="13.5" thickBot="1">
      <c r="A50" s="60">
        <f>MAX(A$13:A49)+1</f>
        <v>26</v>
      </c>
      <c r="C50" s="4" t="s">
        <v>46</v>
      </c>
      <c r="D50" s="8"/>
      <c r="E50" s="82"/>
      <c r="F50" s="60"/>
      <c r="G50" s="79"/>
      <c r="H50" s="79"/>
      <c r="I50" s="79"/>
      <c r="J50" s="20"/>
      <c r="K50" s="101">
        <f>K45+K47+K49+K48</f>
        <v>15666.290055856371</v>
      </c>
      <c r="L50" s="98"/>
      <c r="M50" s="101">
        <f>M45+M47+M49+M48</f>
        <v>17464.44428478209</v>
      </c>
      <c r="N50" s="98"/>
      <c r="O50" s="101">
        <f>M50-K50</f>
        <v>1798.1542289257195</v>
      </c>
      <c r="P50" s="142"/>
      <c r="Q50" s="102">
        <f>O50/K50</f>
        <v>0.11477856100676073</v>
      </c>
      <c r="R50" s="127"/>
      <c r="S50" s="134">
        <f>(O45+O48+O49)/(K45+K48+K49)</f>
        <v>0.15303062480823751</v>
      </c>
    </row>
    <row r="51" spans="1:21" ht="13.5" thickTop="1">
      <c r="C51" s="8"/>
      <c r="D51" s="8"/>
      <c r="E51" s="82"/>
      <c r="F51" s="60"/>
      <c r="G51" s="79"/>
      <c r="H51" s="79"/>
      <c r="I51" s="79"/>
      <c r="J51" s="20"/>
      <c r="K51" s="98"/>
      <c r="L51" s="98"/>
      <c r="M51" s="98"/>
      <c r="N51" s="98"/>
      <c r="O51" s="98"/>
      <c r="P51" s="82"/>
      <c r="Q51" s="127"/>
      <c r="R51" s="127"/>
      <c r="S51" s="89"/>
    </row>
    <row r="52" spans="1:21">
      <c r="A52" s="60">
        <f>MAX(A$13:A51)+1</f>
        <v>27</v>
      </c>
      <c r="C52" s="4" t="s">
        <v>81</v>
      </c>
      <c r="E52" s="82"/>
      <c r="F52" s="60"/>
      <c r="G52" s="79"/>
      <c r="H52" s="79"/>
      <c r="I52" s="79"/>
      <c r="J52" s="20"/>
      <c r="K52" s="94">
        <f>K45+K47+K48+M49</f>
        <v>15111.476043012339</v>
      </c>
      <c r="L52" s="84"/>
      <c r="M52" s="94">
        <f>M45+M47+M48+M49</f>
        <v>17464.44428478209</v>
      </c>
      <c r="N52" s="84"/>
      <c r="O52" s="94">
        <f>M52-K52</f>
        <v>2352.9682417697513</v>
      </c>
      <c r="P52" s="91"/>
      <c r="Q52" s="96">
        <f>O52/K52</f>
        <v>0.15570737332821843</v>
      </c>
      <c r="R52" s="90"/>
      <c r="S52" s="96">
        <f>(O52-O47)/(K52-K47)</f>
        <v>0.21017134356143413</v>
      </c>
    </row>
    <row r="53" spans="1:21">
      <c r="A53" s="60">
        <f>MAX(A$13:A52)+1</f>
        <v>28</v>
      </c>
      <c r="C53" s="11" t="s">
        <v>82</v>
      </c>
      <c r="D53" s="4"/>
      <c r="E53" s="82"/>
      <c r="F53" s="60"/>
      <c r="G53" s="141"/>
      <c r="H53" s="79"/>
      <c r="I53" s="79"/>
      <c r="J53" s="82"/>
      <c r="K53" s="84"/>
      <c r="L53" s="104"/>
      <c r="M53" s="84"/>
      <c r="N53" s="84"/>
      <c r="O53" s="84"/>
      <c r="P53" s="91"/>
      <c r="Q53" s="87">
        <f>(O45+O47+O48)/(K45+K47+K48)</f>
        <v>0.34858612149991069</v>
      </c>
      <c r="R53" s="90"/>
      <c r="S53" s="87">
        <f>(O45+O48)/(K45+K48)</f>
        <v>0.83025400391066295</v>
      </c>
    </row>
    <row r="54" spans="1:21">
      <c r="C54" s="4"/>
      <c r="D54" s="4"/>
      <c r="E54" s="82"/>
      <c r="F54" s="60"/>
      <c r="G54" s="141"/>
      <c r="H54" s="79"/>
      <c r="I54" s="79"/>
      <c r="J54" s="82"/>
      <c r="K54" s="98"/>
      <c r="L54" s="98"/>
      <c r="M54" s="98"/>
      <c r="N54" s="98"/>
      <c r="O54" s="98"/>
      <c r="P54" s="82"/>
      <c r="Q54" s="127"/>
      <c r="R54" s="127"/>
      <c r="S54" s="89"/>
    </row>
    <row r="55" spans="1:21">
      <c r="C55" s="4"/>
      <c r="D55" s="4"/>
      <c r="E55" s="82"/>
      <c r="F55" s="60"/>
      <c r="G55" s="141"/>
      <c r="H55" s="79"/>
      <c r="I55" s="79"/>
      <c r="J55" s="82"/>
      <c r="K55" s="98"/>
      <c r="L55" s="98"/>
      <c r="M55" s="98"/>
      <c r="N55" s="98"/>
      <c r="O55" s="98"/>
      <c r="P55" s="82"/>
      <c r="Q55" s="127"/>
      <c r="R55" s="127"/>
      <c r="S55" s="89"/>
    </row>
    <row r="56" spans="1:21">
      <c r="C56" s="8" t="s">
        <v>106</v>
      </c>
      <c r="D56" s="8"/>
      <c r="E56" s="82"/>
      <c r="F56" s="60"/>
      <c r="G56" s="144"/>
      <c r="H56" s="85"/>
      <c r="I56" s="145"/>
      <c r="J56" s="82"/>
      <c r="K56" s="125"/>
      <c r="L56" s="125"/>
      <c r="M56" s="125"/>
      <c r="N56" s="125"/>
      <c r="O56" s="125"/>
      <c r="P56" s="23"/>
      <c r="Q56" s="90"/>
      <c r="R56" s="90"/>
      <c r="S56" s="89"/>
      <c r="U56" t="s">
        <v>107</v>
      </c>
    </row>
    <row r="57" spans="1:21">
      <c r="A57" s="60">
        <f>MAX(A$13:A56)+1</f>
        <v>29</v>
      </c>
      <c r="C57" s="4" t="s">
        <v>31</v>
      </c>
      <c r="D57" s="4"/>
      <c r="E57" s="112">
        <f>'Attachment 2'!P186</f>
        <v>60000</v>
      </c>
      <c r="F57" s="60"/>
      <c r="G57" s="110"/>
      <c r="H57" s="79"/>
      <c r="I57" s="110"/>
      <c r="J57" s="82"/>
      <c r="K57" s="125"/>
      <c r="L57" s="125"/>
      <c r="M57" s="125"/>
      <c r="N57" s="125"/>
      <c r="O57" s="125"/>
      <c r="P57" s="23"/>
      <c r="Q57" s="90"/>
      <c r="R57" s="90"/>
      <c r="S57" s="89"/>
    </row>
    <row r="58" spans="1:21">
      <c r="E58" s="82"/>
      <c r="F58" s="60"/>
      <c r="G58" s="132"/>
      <c r="H58" s="85"/>
      <c r="I58" s="85"/>
      <c r="J58" s="82"/>
      <c r="K58" s="125"/>
      <c r="L58" s="125"/>
      <c r="M58" s="125"/>
      <c r="N58" s="125"/>
      <c r="O58" s="125"/>
      <c r="P58" s="23"/>
      <c r="Q58" s="90"/>
      <c r="R58" s="90"/>
      <c r="S58" s="89"/>
    </row>
    <row r="59" spans="1:21">
      <c r="C59" s="8" t="s">
        <v>32</v>
      </c>
      <c r="D59" s="8"/>
      <c r="E59" s="20"/>
      <c r="F59" s="60"/>
      <c r="G59" s="132"/>
      <c r="H59" s="85"/>
      <c r="I59" s="85"/>
      <c r="J59" s="82"/>
      <c r="K59" s="125"/>
      <c r="L59" s="125"/>
      <c r="M59" s="125"/>
      <c r="N59" s="125"/>
      <c r="O59" s="125"/>
      <c r="P59" s="23"/>
      <c r="Q59" s="90"/>
      <c r="R59" s="90"/>
      <c r="S59" s="89"/>
    </row>
    <row r="60" spans="1:21">
      <c r="A60" s="60">
        <f>MAX(A$13:A59)+1</f>
        <v>30</v>
      </c>
      <c r="C60" s="4" t="s">
        <v>33</v>
      </c>
      <c r="D60" s="4"/>
      <c r="E60" s="91" t="s">
        <v>34</v>
      </c>
      <c r="F60" s="60"/>
      <c r="G60" s="92">
        <v>76.58</v>
      </c>
      <c r="H60" s="92"/>
      <c r="I60" s="92">
        <v>80</v>
      </c>
      <c r="J60" s="82"/>
      <c r="K60" s="98">
        <f>G60*12</f>
        <v>918.96</v>
      </c>
      <c r="L60" s="98"/>
      <c r="M60" s="98">
        <f>I60*12</f>
        <v>960</v>
      </c>
      <c r="N60" s="98"/>
      <c r="O60" s="98">
        <f>M60-K60</f>
        <v>41.039999999999964</v>
      </c>
      <c r="P60" s="82"/>
      <c r="Q60" s="106"/>
      <c r="R60" s="127"/>
      <c r="S60" s="89"/>
    </row>
    <row r="61" spans="1:21">
      <c r="C61" s="4" t="s">
        <v>35</v>
      </c>
      <c r="D61" s="4"/>
      <c r="E61" s="82"/>
      <c r="F61" s="60"/>
      <c r="G61" s="132"/>
      <c r="H61" s="132"/>
      <c r="I61" s="132"/>
      <c r="J61" s="82"/>
      <c r="K61" s="98"/>
      <c r="L61" s="98"/>
      <c r="M61" s="98"/>
      <c r="N61" s="98"/>
      <c r="O61" s="98"/>
      <c r="P61" s="82"/>
      <c r="Q61" s="127"/>
      <c r="R61" s="127"/>
      <c r="S61" s="89"/>
    </row>
    <row r="62" spans="1:21" ht="14.25">
      <c r="A62" s="60">
        <f>MAX(A$13:A61)+1</f>
        <v>31</v>
      </c>
      <c r="C62" s="139" t="s">
        <v>108</v>
      </c>
      <c r="D62" s="139"/>
      <c r="E62" s="112">
        <f>'Attachment 2'!P191</f>
        <v>12000</v>
      </c>
      <c r="F62" s="60"/>
      <c r="G62" s="110">
        <v>7.0914999999999999</v>
      </c>
      <c r="H62" s="79"/>
      <c r="I62" s="110">
        <v>8.7438911879855059</v>
      </c>
      <c r="J62" s="82"/>
      <c r="K62" s="98">
        <f>$E$62*G62/100</f>
        <v>850.98</v>
      </c>
      <c r="L62" s="98"/>
      <c r="M62" s="98">
        <f>$E$62*I62/100</f>
        <v>1049.2669425582608</v>
      </c>
      <c r="N62" s="98"/>
      <c r="O62" s="98">
        <f>M62-K62</f>
        <v>198.28694255826076</v>
      </c>
      <c r="P62" s="82"/>
      <c r="Q62" s="127"/>
      <c r="R62" s="127"/>
      <c r="S62" s="89"/>
    </row>
    <row r="63" spans="1:21" ht="14.25">
      <c r="A63" s="60">
        <f>MAX(A$13:A62)+1</f>
        <v>32</v>
      </c>
      <c r="C63" s="139" t="s">
        <v>109</v>
      </c>
      <c r="D63" s="139"/>
      <c r="E63" s="112">
        <f>'Attachment 2'!P192</f>
        <v>38260</v>
      </c>
      <c r="F63" s="60"/>
      <c r="G63" s="110">
        <v>6.9819000000000004</v>
      </c>
      <c r="H63" s="79"/>
      <c r="I63" s="110">
        <v>8.5963434827648868</v>
      </c>
      <c r="J63" s="82"/>
      <c r="K63" s="98">
        <f>$E$63*G63/100</f>
        <v>2671.2749400000002</v>
      </c>
      <c r="L63" s="98"/>
      <c r="M63" s="98">
        <f>$E$63*I63/100</f>
        <v>3288.9610165058457</v>
      </c>
      <c r="N63" s="98"/>
      <c r="O63" s="98">
        <f>M63-K63</f>
        <v>617.68607650584545</v>
      </c>
      <c r="P63" s="82"/>
      <c r="Q63" s="127"/>
      <c r="R63" s="127"/>
      <c r="S63" s="89"/>
    </row>
    <row r="64" spans="1:21" ht="14.25">
      <c r="A64" s="60">
        <f>MAX(A$13:A63)+1</f>
        <v>33</v>
      </c>
      <c r="C64" s="139" t="s">
        <v>110</v>
      </c>
      <c r="D64" s="139"/>
      <c r="E64" s="112">
        <f>'Attachment 2'!P193</f>
        <v>9740</v>
      </c>
      <c r="F64" s="60"/>
      <c r="G64" s="110">
        <v>6.6082000000000001</v>
      </c>
      <c r="H64" s="79"/>
      <c r="I64" s="110">
        <v>8.0932542725372727</v>
      </c>
      <c r="J64" s="82"/>
      <c r="K64" s="98">
        <f>$E$64*G64/100</f>
        <v>643.63868000000002</v>
      </c>
      <c r="L64" s="98"/>
      <c r="M64" s="98">
        <f>$E$64*I64/100</f>
        <v>788.28296614513033</v>
      </c>
      <c r="N64" s="98"/>
      <c r="O64" s="98">
        <f>M64-K64</f>
        <v>144.64428614513031</v>
      </c>
      <c r="P64" s="82"/>
      <c r="Q64" s="127"/>
      <c r="R64" s="127"/>
      <c r="S64" s="89"/>
    </row>
    <row r="65" spans="1:19" ht="14.25">
      <c r="A65" s="60">
        <f>MAX(A$13:A64)+1</f>
        <v>34</v>
      </c>
      <c r="C65" s="139" t="s">
        <v>111</v>
      </c>
      <c r="D65" s="139"/>
      <c r="E65" s="113">
        <f>'Attachment 2'!P194</f>
        <v>0</v>
      </c>
      <c r="F65" s="60"/>
      <c r="G65" s="110">
        <v>6.2183000000000002</v>
      </c>
      <c r="H65" s="79"/>
      <c r="I65" s="110">
        <v>7.5683560036912851</v>
      </c>
      <c r="J65" s="82"/>
      <c r="K65" s="98">
        <f>E65*G65</f>
        <v>0</v>
      </c>
      <c r="L65" s="98"/>
      <c r="M65" s="98">
        <f>I65*K65</f>
        <v>0</v>
      </c>
      <c r="N65" s="98"/>
      <c r="O65" s="98">
        <f>M65-K65</f>
        <v>0</v>
      </c>
      <c r="P65" s="82"/>
      <c r="Q65" s="127"/>
      <c r="R65" s="127"/>
      <c r="S65" s="89"/>
    </row>
    <row r="66" spans="1:19">
      <c r="A66" s="60">
        <f>MAX(A$13:A65)+1</f>
        <v>35</v>
      </c>
      <c r="C66" s="139" t="s">
        <v>40</v>
      </c>
      <c r="D66" s="140"/>
      <c r="E66" s="112">
        <f>SUM(E62:E65)</f>
        <v>60000</v>
      </c>
      <c r="F66" s="60"/>
      <c r="G66" s="110"/>
      <c r="H66" s="79"/>
      <c r="I66" s="110"/>
      <c r="J66" s="82"/>
      <c r="K66" s="105">
        <f>SUM(K62:K65)</f>
        <v>4165.8936200000007</v>
      </c>
      <c r="L66" s="98"/>
      <c r="M66" s="105">
        <f>SUM(M62:M65)</f>
        <v>5126.510925209237</v>
      </c>
      <c r="N66" s="98"/>
      <c r="O66" s="105">
        <f>SUM(O62:O65)</f>
        <v>960.61730520923652</v>
      </c>
      <c r="P66" s="82"/>
      <c r="Q66" s="106"/>
      <c r="R66" s="127"/>
      <c r="S66" s="89"/>
    </row>
    <row r="67" spans="1:19">
      <c r="A67" s="60">
        <f>MAX(A$13:A66)+1</f>
        <v>36</v>
      </c>
      <c r="C67" s="4" t="s">
        <v>41</v>
      </c>
      <c r="D67" s="4"/>
      <c r="E67" s="112">
        <f>E57</f>
        <v>60000</v>
      </c>
      <c r="F67" s="60"/>
      <c r="G67" s="110">
        <v>1.41E-2</v>
      </c>
      <c r="H67" s="79"/>
      <c r="I67" s="110">
        <v>1.41E-2</v>
      </c>
      <c r="J67" s="82"/>
      <c r="K67" s="98">
        <f>$G$67*E67/100</f>
        <v>8.4600000000000009</v>
      </c>
      <c r="L67" s="98"/>
      <c r="M67" s="98">
        <f>$I$67*E67/100</f>
        <v>8.4600000000000009</v>
      </c>
      <c r="N67" s="98"/>
      <c r="O67" s="98">
        <f>M67-K67</f>
        <v>0</v>
      </c>
      <c r="P67" s="82"/>
      <c r="Q67" s="127"/>
      <c r="R67" s="127"/>
      <c r="S67" s="89"/>
    </row>
    <row r="68" spans="1:19">
      <c r="A68" s="60">
        <f>MAX(A$12:A67)+1</f>
        <v>37</v>
      </c>
      <c r="C68" s="4" t="s">
        <v>42</v>
      </c>
      <c r="D68" s="8"/>
      <c r="E68" s="112"/>
      <c r="F68" s="60"/>
      <c r="G68" s="110"/>
      <c r="H68" s="79"/>
      <c r="I68" s="110"/>
      <c r="J68" s="82"/>
      <c r="K68" s="94">
        <f>K60+K66+K67</f>
        <v>5093.3136200000008</v>
      </c>
      <c r="L68" s="98"/>
      <c r="M68" s="94">
        <f>M60+M66+M67</f>
        <v>6094.9709252092371</v>
      </c>
      <c r="N68" s="98"/>
      <c r="O68" s="94">
        <f>O60+O66+O67</f>
        <v>1001.6573052092365</v>
      </c>
      <c r="P68" s="82"/>
      <c r="Q68" s="96">
        <f>O68/K68</f>
        <v>0.19666122684376078</v>
      </c>
      <c r="R68" s="127"/>
      <c r="S68" s="131">
        <f>Q68</f>
        <v>0.19666122684376078</v>
      </c>
    </row>
    <row r="69" spans="1:19">
      <c r="C69" s="4"/>
      <c r="D69" s="4"/>
      <c r="E69" s="112"/>
      <c r="F69" s="60"/>
      <c r="G69" s="110"/>
      <c r="H69" s="79"/>
      <c r="I69" s="110"/>
      <c r="J69" s="82"/>
      <c r="K69" s="98"/>
      <c r="L69" s="98"/>
      <c r="M69" s="98"/>
      <c r="N69" s="98"/>
      <c r="O69" s="98"/>
      <c r="P69" s="82"/>
      <c r="Q69" s="127"/>
      <c r="R69" s="127"/>
      <c r="S69" s="89"/>
    </row>
    <row r="70" spans="1:19">
      <c r="A70" s="60">
        <f>MAX(A$13:A69)+1</f>
        <v>38</v>
      </c>
      <c r="C70" s="4" t="s">
        <v>43</v>
      </c>
      <c r="D70" s="4"/>
      <c r="E70" s="112">
        <f>E57</f>
        <v>60000</v>
      </c>
      <c r="F70" s="60"/>
      <c r="G70" s="110">
        <v>9.7899999999999991</v>
      </c>
      <c r="H70" s="79"/>
      <c r="I70" s="110">
        <v>9.7899999999999991</v>
      </c>
      <c r="J70" s="82"/>
      <c r="K70" s="98">
        <f>$G$70*E70/100</f>
        <v>5874</v>
      </c>
      <c r="L70" s="98"/>
      <c r="M70" s="98">
        <f>$I$70*E70/100</f>
        <v>5874</v>
      </c>
      <c r="N70" s="98"/>
      <c r="O70" s="98">
        <f>M70-K70</f>
        <v>0</v>
      </c>
      <c r="P70" s="82"/>
      <c r="Q70" s="106">
        <f>O70/K70</f>
        <v>0</v>
      </c>
      <c r="R70" s="127"/>
      <c r="S70" s="89">
        <f>Q70</f>
        <v>0</v>
      </c>
    </row>
    <row r="71" spans="1:19">
      <c r="A71" s="60">
        <f>MAX(A$13:A70)+1</f>
        <v>39</v>
      </c>
      <c r="C71" s="4" t="s">
        <v>44</v>
      </c>
      <c r="D71" s="8"/>
      <c r="E71" s="112">
        <f>E57</f>
        <v>60000</v>
      </c>
      <c r="F71" s="60"/>
      <c r="G71" s="110">
        <v>0</v>
      </c>
      <c r="H71" s="79"/>
      <c r="I71" s="110">
        <v>1.6963356246993813</v>
      </c>
      <c r="J71" s="82"/>
      <c r="K71" s="98">
        <f>G71*$E$71/100</f>
        <v>0</v>
      </c>
      <c r="L71" s="98"/>
      <c r="M71" s="98">
        <f>I71*$E$71/100</f>
        <v>1017.8013748196287</v>
      </c>
      <c r="N71" s="98"/>
      <c r="O71" s="98">
        <f>M71-K71</f>
        <v>1017.8013748196287</v>
      </c>
      <c r="P71" s="82"/>
      <c r="Q71" s="87">
        <f>1</f>
        <v>1</v>
      </c>
      <c r="R71" s="127"/>
      <c r="S71" s="89">
        <f>Q71</f>
        <v>1</v>
      </c>
    </row>
    <row r="72" spans="1:19">
      <c r="A72" s="60">
        <f>MAX(A$13:A71)+1</f>
        <v>40</v>
      </c>
      <c r="C72" s="4" t="s">
        <v>45</v>
      </c>
      <c r="D72" s="4"/>
      <c r="E72" s="112">
        <f>E57</f>
        <v>60000</v>
      </c>
      <c r="F72" s="60"/>
      <c r="G72" s="110">
        <v>22.290639639640929</v>
      </c>
      <c r="H72" s="79"/>
      <c r="I72" s="110">
        <v>20.903604607530845</v>
      </c>
      <c r="J72" s="82"/>
      <c r="K72" s="98">
        <f>G72*$E$72/100</f>
        <v>13374.383783784557</v>
      </c>
      <c r="L72" s="98"/>
      <c r="M72" s="98">
        <f>I72*$E$72/100</f>
        <v>12542.162764518507</v>
      </c>
      <c r="N72" s="98"/>
      <c r="O72" s="98">
        <f>M72-K72</f>
        <v>-832.22101926604955</v>
      </c>
      <c r="P72" s="82"/>
      <c r="Q72" s="106">
        <f>O72/K72</f>
        <v>-6.2224999126692888E-2</v>
      </c>
      <c r="R72" s="127"/>
      <c r="S72" s="89">
        <f>Q72</f>
        <v>-6.2224999126692888E-2</v>
      </c>
    </row>
    <row r="73" spans="1:19" ht="13.5" thickBot="1">
      <c r="A73" s="60">
        <f>MAX(A$13:A72)+1</f>
        <v>41</v>
      </c>
      <c r="C73" s="4" t="s">
        <v>46</v>
      </c>
      <c r="D73" s="8"/>
      <c r="E73" s="112"/>
      <c r="F73" s="60"/>
      <c r="G73" s="110"/>
      <c r="H73" s="79"/>
      <c r="I73" s="110"/>
      <c r="J73" s="20"/>
      <c r="K73" s="101">
        <f>K68+K70+K72+K71</f>
        <v>24341.697403784558</v>
      </c>
      <c r="L73" s="98"/>
      <c r="M73" s="101">
        <f>M68+M70+M72+M71</f>
        <v>25528.935064547371</v>
      </c>
      <c r="N73" s="98"/>
      <c r="O73" s="101">
        <f>M73-K73</f>
        <v>1187.2376607628139</v>
      </c>
      <c r="P73" s="82"/>
      <c r="Q73" s="102">
        <f>O73/K73</f>
        <v>4.8773823824554918E-2</v>
      </c>
      <c r="R73" s="127"/>
      <c r="S73" s="134">
        <f>(O68+O71+O72)/(K68+K71+K72)</f>
        <v>6.4287259792307233E-2</v>
      </c>
    </row>
    <row r="74" spans="1:19" ht="13.5" thickTop="1">
      <c r="C74" s="8"/>
      <c r="D74" s="8"/>
      <c r="E74" s="112"/>
      <c r="F74" s="60"/>
      <c r="G74" s="110"/>
      <c r="H74" s="79"/>
      <c r="I74" s="110"/>
      <c r="J74" s="20"/>
      <c r="K74" s="98"/>
      <c r="L74" s="98"/>
      <c r="M74" s="98"/>
      <c r="N74" s="98"/>
      <c r="O74" s="98"/>
      <c r="P74" s="82"/>
      <c r="Q74" s="127"/>
      <c r="R74" s="127"/>
      <c r="S74" s="89"/>
    </row>
    <row r="75" spans="1:19">
      <c r="A75" s="60">
        <f>MAX(A$13:A74)+1</f>
        <v>42</v>
      </c>
      <c r="C75" s="4" t="s">
        <v>81</v>
      </c>
      <c r="E75" s="112"/>
      <c r="F75" s="60"/>
      <c r="G75" s="110"/>
      <c r="H75" s="79"/>
      <c r="I75" s="110"/>
      <c r="J75" s="20"/>
      <c r="K75" s="94">
        <f>K68+K70+K71+M72</f>
        <v>23509.476384518508</v>
      </c>
      <c r="L75" s="94"/>
      <c r="M75" s="94">
        <f>M68+M70+M71+M72</f>
        <v>25528.935064547371</v>
      </c>
      <c r="N75" s="94"/>
      <c r="O75" s="94">
        <f>M75-K75</f>
        <v>2019.4586800288635</v>
      </c>
      <c r="P75" s="82"/>
      <c r="Q75" s="146">
        <f>O75/K75</f>
        <v>8.5899772797947985E-2</v>
      </c>
      <c r="R75" s="89"/>
      <c r="S75" s="146">
        <f>(O75-O70)/(K75-K70)</f>
        <v>0.114511149911531</v>
      </c>
    </row>
    <row r="76" spans="1:19">
      <c r="A76" s="60">
        <f>MAX(A$13:A75)+1</f>
        <v>43</v>
      </c>
      <c r="C76" s="11" t="s">
        <v>82</v>
      </c>
      <c r="D76" s="4"/>
      <c r="E76" s="112"/>
      <c r="F76" s="60"/>
      <c r="G76" s="110"/>
      <c r="H76" s="79"/>
      <c r="I76" s="110"/>
      <c r="J76" s="20"/>
      <c r="K76" s="98"/>
      <c r="L76" s="98"/>
      <c r="M76" s="98"/>
      <c r="N76" s="98"/>
      <c r="O76" s="98"/>
      <c r="P76" s="82"/>
      <c r="Q76" s="87">
        <f>(O68+O70+O71)/(K68+K70+K71)</f>
        <v>0.18413430581087598</v>
      </c>
      <c r="R76" s="89"/>
      <c r="S76" s="87">
        <f>(O68+O71)/(K68+K71)</f>
        <v>0.3964921131302464</v>
      </c>
    </row>
    <row r="77" spans="1:19">
      <c r="C77" s="4"/>
      <c r="D77" s="4"/>
      <c r="E77" s="112"/>
      <c r="F77" s="60"/>
      <c r="G77" s="110"/>
      <c r="H77" s="79"/>
      <c r="I77" s="110"/>
      <c r="J77" s="82"/>
      <c r="K77" s="98"/>
      <c r="L77" s="98"/>
      <c r="M77" s="98"/>
      <c r="N77" s="98"/>
      <c r="O77" s="98"/>
      <c r="P77" s="82"/>
      <c r="Q77" s="127"/>
      <c r="R77" s="127"/>
      <c r="S77" s="89"/>
    </row>
    <row r="78" spans="1:19" s="12" customFormat="1">
      <c r="C78"/>
      <c r="D78"/>
      <c r="E78" s="112"/>
      <c r="F78" s="60"/>
      <c r="G78" s="110"/>
      <c r="H78" s="79"/>
      <c r="I78" s="110"/>
      <c r="J78" s="82"/>
      <c r="K78" s="124"/>
      <c r="L78" s="124"/>
      <c r="M78" s="124"/>
      <c r="N78" s="124"/>
      <c r="O78" s="124"/>
      <c r="P78" s="63"/>
      <c r="Q78" s="89"/>
      <c r="R78" s="89"/>
      <c r="S78" s="127"/>
    </row>
    <row r="79" spans="1:19" s="12" customFormat="1">
      <c r="C79" s="8" t="s">
        <v>112</v>
      </c>
      <c r="D79" s="8"/>
      <c r="E79" s="112"/>
      <c r="F79" s="60"/>
      <c r="G79" s="110"/>
      <c r="H79" s="79"/>
      <c r="I79" s="110"/>
      <c r="J79" s="82"/>
      <c r="K79" s="125"/>
      <c r="L79" s="125"/>
      <c r="M79" s="125"/>
      <c r="N79" s="125"/>
      <c r="O79" s="125"/>
      <c r="P79" s="23"/>
      <c r="Q79" s="90"/>
      <c r="R79" s="90"/>
      <c r="S79" s="89"/>
    </row>
    <row r="80" spans="1:19" s="12" customFormat="1">
      <c r="A80" s="60">
        <f>MAX(A$13:A79)+1</f>
        <v>44</v>
      </c>
      <c r="C80" s="4" t="s">
        <v>31</v>
      </c>
      <c r="D80" s="4"/>
      <c r="E80" s="112">
        <f>'Attachment 2'!P199</f>
        <v>73000</v>
      </c>
      <c r="F80" s="60"/>
      <c r="G80" s="110"/>
      <c r="H80" s="79"/>
      <c r="I80" s="110"/>
      <c r="J80" s="82"/>
      <c r="K80" s="125"/>
      <c r="L80" s="125"/>
      <c r="M80" s="125"/>
      <c r="N80" s="125"/>
      <c r="O80" s="125"/>
      <c r="P80" s="23"/>
      <c r="Q80" s="90"/>
      <c r="R80" s="90"/>
      <c r="S80" s="89"/>
    </row>
    <row r="81" spans="1:19" s="12" customFormat="1">
      <c r="C81"/>
      <c r="D81"/>
      <c r="E81" s="20"/>
      <c r="F81" s="60"/>
      <c r="G81" s="132"/>
      <c r="H81" s="85"/>
      <c r="I81" s="85"/>
      <c r="J81" s="82"/>
      <c r="K81" s="125"/>
      <c r="L81" s="125"/>
      <c r="M81" s="125"/>
      <c r="N81" s="125"/>
      <c r="O81" s="125"/>
      <c r="P81" s="23"/>
      <c r="Q81" s="90"/>
      <c r="R81" s="90"/>
      <c r="S81" s="89"/>
    </row>
    <row r="82" spans="1:19" s="12" customFormat="1">
      <c r="C82" s="8" t="s">
        <v>32</v>
      </c>
      <c r="D82" s="8"/>
      <c r="E82" s="20"/>
      <c r="F82" s="60"/>
      <c r="G82" s="132"/>
      <c r="H82" s="85"/>
      <c r="I82" s="85"/>
      <c r="J82" s="82"/>
      <c r="K82" s="125"/>
      <c r="L82" s="125"/>
      <c r="M82" s="125"/>
      <c r="N82" s="125"/>
      <c r="O82" s="125"/>
      <c r="P82" s="23"/>
      <c r="Q82" s="90"/>
      <c r="R82" s="90"/>
      <c r="S82" s="89"/>
    </row>
    <row r="83" spans="1:19" s="12" customFormat="1">
      <c r="A83" s="60">
        <f>MAX(A$13:A82)+1</f>
        <v>45</v>
      </c>
      <c r="C83" s="4" t="s">
        <v>33</v>
      </c>
      <c r="D83" s="4"/>
      <c r="E83" s="91" t="s">
        <v>34</v>
      </c>
      <c r="F83" s="60"/>
      <c r="G83" s="92">
        <f>G60</f>
        <v>76.58</v>
      </c>
      <c r="H83" s="92"/>
      <c r="I83" s="92">
        <f>I60</f>
        <v>80</v>
      </c>
      <c r="J83" s="82"/>
      <c r="K83" s="98">
        <f>G83*12</f>
        <v>918.96</v>
      </c>
      <c r="L83" s="98"/>
      <c r="M83" s="98">
        <f>I83*12</f>
        <v>960</v>
      </c>
      <c r="N83" s="98"/>
      <c r="O83" s="98">
        <f>M83-K83</f>
        <v>41.039999999999964</v>
      </c>
      <c r="P83" s="82"/>
      <c r="Q83" s="106"/>
      <c r="R83" s="127"/>
      <c r="S83" s="89"/>
    </row>
    <row r="84" spans="1:19" s="12" customFormat="1">
      <c r="C84" s="4" t="s">
        <v>35</v>
      </c>
      <c r="D84" s="4"/>
      <c r="E84" s="82"/>
      <c r="F84" s="60"/>
      <c r="G84" s="132"/>
      <c r="H84" s="132"/>
      <c r="I84" s="132"/>
      <c r="J84" s="82"/>
      <c r="K84" s="98"/>
      <c r="L84" s="98"/>
      <c r="M84" s="98"/>
      <c r="N84" s="98"/>
      <c r="O84" s="98"/>
      <c r="P84" s="82"/>
      <c r="Q84" s="127"/>
      <c r="R84" s="127"/>
      <c r="S84" s="89"/>
    </row>
    <row r="85" spans="1:19" s="12" customFormat="1" ht="14.25">
      <c r="A85" s="60">
        <f>MAX(A$13:A84)+1</f>
        <v>46</v>
      </c>
      <c r="C85" s="139" t="s">
        <v>108</v>
      </c>
      <c r="D85" s="139"/>
      <c r="E85" s="112">
        <f>'Attachment 2'!P204</f>
        <v>12000</v>
      </c>
      <c r="F85" s="60"/>
      <c r="G85" s="110">
        <f>G62</f>
        <v>7.0914999999999999</v>
      </c>
      <c r="H85" s="79"/>
      <c r="I85" s="110">
        <f>I62</f>
        <v>8.7438911879855059</v>
      </c>
      <c r="J85" s="82"/>
      <c r="K85" s="98">
        <f>$E85*G85/100</f>
        <v>850.98</v>
      </c>
      <c r="L85" s="98"/>
      <c r="M85" s="98">
        <f>$E85*I85/100</f>
        <v>1049.2669425582608</v>
      </c>
      <c r="N85" s="98"/>
      <c r="O85" s="98">
        <f>M85-K85</f>
        <v>198.28694255826076</v>
      </c>
      <c r="P85" s="82"/>
      <c r="Q85" s="127"/>
      <c r="R85" s="127"/>
      <c r="S85" s="89"/>
    </row>
    <row r="86" spans="1:19" s="12" customFormat="1" ht="14.25">
      <c r="A86" s="60">
        <f>MAX(A$13:A85)+1</f>
        <v>47</v>
      </c>
      <c r="C86" s="139" t="s">
        <v>109</v>
      </c>
      <c r="D86" s="139"/>
      <c r="E86" s="112">
        <f>'Attachment 2'!P205</f>
        <v>43083</v>
      </c>
      <c r="F86" s="60"/>
      <c r="G86" s="110">
        <f>G63</f>
        <v>6.9819000000000004</v>
      </c>
      <c r="H86" s="79"/>
      <c r="I86" s="110">
        <f>I63</f>
        <v>8.5963434827648868</v>
      </c>
      <c r="J86" s="82"/>
      <c r="K86" s="98">
        <f>$E86*G86/100</f>
        <v>3008.0119770000001</v>
      </c>
      <c r="L86" s="98"/>
      <c r="M86" s="98">
        <f>$E86*I86/100</f>
        <v>3703.5626626795961</v>
      </c>
      <c r="N86" s="98"/>
      <c r="O86" s="98">
        <f>M86-K86</f>
        <v>695.55068567959597</v>
      </c>
      <c r="P86" s="82"/>
      <c r="Q86" s="127"/>
      <c r="R86" s="127"/>
      <c r="S86" s="89"/>
    </row>
    <row r="87" spans="1:19" s="12" customFormat="1" ht="14.25">
      <c r="A87" s="60">
        <f>MAX(A$13:A86)+1</f>
        <v>48</v>
      </c>
      <c r="C87" s="139" t="s">
        <v>110</v>
      </c>
      <c r="D87" s="139"/>
      <c r="E87" s="112">
        <f>'Attachment 2'!P206</f>
        <v>17917</v>
      </c>
      <c r="F87" s="60"/>
      <c r="G87" s="110">
        <f>G64</f>
        <v>6.6082000000000001</v>
      </c>
      <c r="H87" s="79"/>
      <c r="I87" s="110">
        <f>I64</f>
        <v>8.0932542725372727</v>
      </c>
      <c r="J87" s="82"/>
      <c r="K87" s="98">
        <f t="shared" ref="K87:K88" si="2">$E87*G87/100</f>
        <v>1183.991194</v>
      </c>
      <c r="L87" s="98"/>
      <c r="M87" s="98">
        <f t="shared" ref="M87:M88" si="3">$E87*I87/100</f>
        <v>1450.0683680105033</v>
      </c>
      <c r="N87" s="98"/>
      <c r="O87" s="98">
        <f>M87-K87</f>
        <v>266.07717401050331</v>
      </c>
      <c r="P87" s="82"/>
      <c r="Q87" s="127"/>
      <c r="R87" s="127"/>
      <c r="S87" s="89"/>
    </row>
    <row r="88" spans="1:19" s="12" customFormat="1" ht="14.25">
      <c r="A88" s="60">
        <f>MAX(A$13:A87)+1</f>
        <v>49</v>
      </c>
      <c r="C88" s="139" t="s">
        <v>111</v>
      </c>
      <c r="D88" s="139"/>
      <c r="E88" s="113">
        <f>'Attachment 2'!P207</f>
        <v>0</v>
      </c>
      <c r="F88" s="60"/>
      <c r="G88" s="110">
        <f>G65</f>
        <v>6.2183000000000002</v>
      </c>
      <c r="H88" s="79"/>
      <c r="I88" s="110">
        <f>I65</f>
        <v>7.5683560036912851</v>
      </c>
      <c r="J88" s="82"/>
      <c r="K88" s="98">
        <f t="shared" si="2"/>
        <v>0</v>
      </c>
      <c r="L88" s="98"/>
      <c r="M88" s="98">
        <f t="shared" si="3"/>
        <v>0</v>
      </c>
      <c r="N88" s="98"/>
      <c r="O88" s="98">
        <f>M88-K88</f>
        <v>0</v>
      </c>
      <c r="P88" s="82"/>
      <c r="Q88" s="127"/>
      <c r="R88" s="127"/>
      <c r="S88" s="89"/>
    </row>
    <row r="89" spans="1:19" s="12" customFormat="1">
      <c r="A89" s="60">
        <f>MAX(A$13:A88)+1</f>
        <v>50</v>
      </c>
      <c r="C89" s="139" t="s">
        <v>40</v>
      </c>
      <c r="D89" s="140"/>
      <c r="E89" s="112">
        <f>SUM(E85:E88)</f>
        <v>73000</v>
      </c>
      <c r="F89" s="60"/>
      <c r="G89" s="110"/>
      <c r="H89" s="79"/>
      <c r="I89" s="110"/>
      <c r="J89" s="82"/>
      <c r="K89" s="105">
        <f>SUM(K85:K88)</f>
        <v>5042.9831709999999</v>
      </c>
      <c r="L89" s="98"/>
      <c r="M89" s="105">
        <f>SUM(M85:M88)</f>
        <v>6202.8979732483604</v>
      </c>
      <c r="N89" s="98"/>
      <c r="O89" s="105">
        <f>SUM(O85:O88)</f>
        <v>1159.91480224836</v>
      </c>
      <c r="P89" s="82"/>
      <c r="Q89" s="106"/>
      <c r="R89" s="127"/>
      <c r="S89" s="89"/>
    </row>
    <row r="90" spans="1:19" s="12" customFormat="1">
      <c r="A90" s="60">
        <f>MAX(A$13:A89)+1</f>
        <v>51</v>
      </c>
      <c r="C90" s="4" t="s">
        <v>41</v>
      </c>
      <c r="D90" s="4"/>
      <c r="E90" s="112">
        <f>E80</f>
        <v>73000</v>
      </c>
      <c r="F90" s="60"/>
      <c r="G90" s="110">
        <f>G67</f>
        <v>1.41E-2</v>
      </c>
      <c r="H90" s="79"/>
      <c r="I90" s="110">
        <f>I67</f>
        <v>1.41E-2</v>
      </c>
      <c r="J90" s="82"/>
      <c r="K90" s="98">
        <f>$G90*E90/100</f>
        <v>10.292999999999999</v>
      </c>
      <c r="L90" s="98"/>
      <c r="M90" s="98">
        <f>$I90*E90/100</f>
        <v>10.292999999999999</v>
      </c>
      <c r="N90" s="98"/>
      <c r="O90" s="98">
        <f>M90-K90</f>
        <v>0</v>
      </c>
      <c r="P90" s="82"/>
      <c r="Q90" s="127"/>
      <c r="R90" s="127"/>
      <c r="S90" s="89"/>
    </row>
    <row r="91" spans="1:19" s="12" customFormat="1">
      <c r="A91" s="60">
        <f>MAX(A$12:A90)+1</f>
        <v>52</v>
      </c>
      <c r="B91"/>
      <c r="C91" s="4" t="s">
        <v>42</v>
      </c>
      <c r="D91" s="8"/>
      <c r="E91" s="112"/>
      <c r="F91" s="60"/>
      <c r="G91" s="110"/>
      <c r="H91" s="79"/>
      <c r="I91" s="110"/>
      <c r="J91" s="82"/>
      <c r="K91" s="94">
        <f>K83+K89+K90</f>
        <v>5972.2361709999996</v>
      </c>
      <c r="L91" s="98"/>
      <c r="M91" s="94">
        <f>M83+M89+M90</f>
        <v>7173.19097324836</v>
      </c>
      <c r="N91" s="98"/>
      <c r="O91" s="94">
        <f>O83+O89+O90</f>
        <v>1200.95480224836</v>
      </c>
      <c r="P91" s="82"/>
      <c r="Q91" s="96">
        <f>O91/K91</f>
        <v>0.20108963675615502</v>
      </c>
      <c r="R91" s="127"/>
      <c r="S91" s="131">
        <f>Q91</f>
        <v>0.20108963675615502</v>
      </c>
    </row>
    <row r="92" spans="1:19" s="12" customFormat="1">
      <c r="C92" s="4"/>
      <c r="D92" s="4"/>
      <c r="E92" s="112"/>
      <c r="F92" s="60"/>
      <c r="G92" s="110"/>
      <c r="H92" s="79"/>
      <c r="I92" s="110"/>
      <c r="J92" s="82"/>
      <c r="K92" s="98"/>
      <c r="L92" s="98"/>
      <c r="M92" s="98"/>
      <c r="N92" s="98"/>
      <c r="O92" s="98"/>
      <c r="P92" s="82"/>
      <c r="Q92" s="127"/>
      <c r="R92" s="127"/>
      <c r="S92" s="89"/>
    </row>
    <row r="93" spans="1:19" s="12" customFormat="1">
      <c r="A93" s="60">
        <f>MAX(A$13:A92)+1</f>
        <v>53</v>
      </c>
      <c r="C93" s="4" t="s">
        <v>43</v>
      </c>
      <c r="D93" s="4"/>
      <c r="E93" s="112">
        <f>E80</f>
        <v>73000</v>
      </c>
      <c r="F93" s="60"/>
      <c r="G93" s="110">
        <f>G70</f>
        <v>9.7899999999999991</v>
      </c>
      <c r="H93" s="79"/>
      <c r="I93" s="110">
        <f>I70</f>
        <v>9.7899999999999991</v>
      </c>
      <c r="J93" s="82"/>
      <c r="K93" s="98">
        <f>$G93*E93/100</f>
        <v>7146.6999999999989</v>
      </c>
      <c r="L93" s="98"/>
      <c r="M93" s="98">
        <f>$I93*E93/100</f>
        <v>7146.6999999999989</v>
      </c>
      <c r="N93" s="98"/>
      <c r="O93" s="98">
        <f>M93-K93</f>
        <v>0</v>
      </c>
      <c r="P93" s="82"/>
      <c r="Q93" s="106">
        <f>O93/K93</f>
        <v>0</v>
      </c>
      <c r="R93" s="127"/>
      <c r="S93" s="89">
        <f>Q93</f>
        <v>0</v>
      </c>
    </row>
    <row r="94" spans="1:19" s="12" customFormat="1">
      <c r="A94" s="60">
        <f>MAX(A$13:A93)+1</f>
        <v>54</v>
      </c>
      <c r="C94" s="4" t="s">
        <v>44</v>
      </c>
      <c r="D94" s="8"/>
      <c r="E94" s="112">
        <f>E80</f>
        <v>73000</v>
      </c>
      <c r="F94" s="60"/>
      <c r="G94" s="110">
        <f>G71</f>
        <v>0</v>
      </c>
      <c r="H94" s="79"/>
      <c r="I94" s="110">
        <f>I71</f>
        <v>1.6963356246993813</v>
      </c>
      <c r="J94" s="82"/>
      <c r="K94" s="98">
        <f>G94*$E94/100</f>
        <v>0</v>
      </c>
      <c r="L94" s="98"/>
      <c r="M94" s="98">
        <f>I94*$E94/100</f>
        <v>1238.3250060305484</v>
      </c>
      <c r="N94" s="98"/>
      <c r="O94" s="98">
        <f>M94-K94</f>
        <v>1238.3250060305484</v>
      </c>
      <c r="P94" s="82"/>
      <c r="Q94" s="87">
        <f>1</f>
        <v>1</v>
      </c>
      <c r="R94" s="127"/>
      <c r="S94" s="89">
        <f>Q94</f>
        <v>1</v>
      </c>
    </row>
    <row r="95" spans="1:19" s="12" customFormat="1">
      <c r="A95" s="60">
        <f>MAX(A$13:A94)+1</f>
        <v>55</v>
      </c>
      <c r="C95" s="4" t="s">
        <v>45</v>
      </c>
      <c r="D95" s="4"/>
      <c r="E95" s="112">
        <f>E80</f>
        <v>73000</v>
      </c>
      <c r="F95" s="60"/>
      <c r="G95" s="110">
        <f>G72</f>
        <v>22.290639639640929</v>
      </c>
      <c r="H95" s="79"/>
      <c r="I95" s="110">
        <f>I72</f>
        <v>20.903604607530845</v>
      </c>
      <c r="J95" s="82"/>
      <c r="K95" s="98">
        <f>G95*$E95/100</f>
        <v>16272.166936937878</v>
      </c>
      <c r="L95" s="98"/>
      <c r="M95" s="98">
        <f>I95*$E95/100</f>
        <v>15259.631363497516</v>
      </c>
      <c r="N95" s="98"/>
      <c r="O95" s="98">
        <f>M95-K95</f>
        <v>-1012.535573440362</v>
      </c>
      <c r="P95" s="82"/>
      <c r="Q95" s="106">
        <f>O95/K95</f>
        <v>-6.2224999126692992E-2</v>
      </c>
      <c r="R95" s="127"/>
      <c r="S95" s="89">
        <f>Q95</f>
        <v>-6.2224999126692992E-2</v>
      </c>
    </row>
    <row r="96" spans="1:19" s="12" customFormat="1" ht="13.5" thickBot="1">
      <c r="A96" s="60">
        <f>MAX(A$13:A95)+1</f>
        <v>56</v>
      </c>
      <c r="C96" s="4" t="s">
        <v>46</v>
      </c>
      <c r="D96" s="8"/>
      <c r="E96" s="112"/>
      <c r="F96" s="60"/>
      <c r="G96" s="110"/>
      <c r="H96" s="79"/>
      <c r="I96" s="110"/>
      <c r="J96" s="20"/>
      <c r="K96" s="101">
        <f>K91+K93+K95+K94</f>
        <v>29391.103107937874</v>
      </c>
      <c r="L96" s="98"/>
      <c r="M96" s="101">
        <f>M91+M93+M95+M94</f>
        <v>30817.847342776422</v>
      </c>
      <c r="N96" s="98"/>
      <c r="O96" s="101">
        <f>M96-K96</f>
        <v>1426.7442348385484</v>
      </c>
      <c r="P96" s="82"/>
      <c r="Q96" s="102">
        <f>O96/K96</f>
        <v>4.8543405451604744E-2</v>
      </c>
      <c r="R96" s="127"/>
      <c r="S96" s="134">
        <f>(O91+O94+O95)/(K91+K94+K95)</f>
        <v>6.4139470405902482E-2</v>
      </c>
    </row>
    <row r="97" spans="1:19" s="12" customFormat="1" ht="13.5" thickTop="1">
      <c r="C97" s="8"/>
      <c r="D97" s="8"/>
      <c r="E97" s="112"/>
      <c r="F97" s="60"/>
      <c r="G97" s="110"/>
      <c r="H97" s="79"/>
      <c r="I97" s="110"/>
      <c r="J97" s="20"/>
      <c r="K97" s="98"/>
      <c r="L97" s="98"/>
      <c r="M97" s="98"/>
      <c r="N97" s="98"/>
      <c r="O97" s="98"/>
      <c r="P97" s="82"/>
      <c r="Q97" s="127"/>
      <c r="R97" s="127"/>
      <c r="S97" s="89"/>
    </row>
    <row r="98" spans="1:19" s="12" customFormat="1">
      <c r="A98" s="60">
        <f>MAX(A$13:A97)+1</f>
        <v>57</v>
      </c>
      <c r="C98" s="4" t="s">
        <v>81</v>
      </c>
      <c r="D98"/>
      <c r="E98" s="112"/>
      <c r="F98" s="60"/>
      <c r="G98" s="110"/>
      <c r="H98" s="79"/>
      <c r="I98" s="110"/>
      <c r="J98" s="20"/>
      <c r="K98" s="94">
        <f>K91+K93+K94+M95</f>
        <v>28378.567534497513</v>
      </c>
      <c r="L98" s="94"/>
      <c r="M98" s="94">
        <f>M91+M93+M94+M95</f>
        <v>30817.847342776426</v>
      </c>
      <c r="N98" s="94"/>
      <c r="O98" s="94">
        <f>M98-K98</f>
        <v>2439.2798082789122</v>
      </c>
      <c r="P98" s="82"/>
      <c r="Q98" s="146">
        <f>O98/K98</f>
        <v>8.5955001263318814E-2</v>
      </c>
      <c r="R98" s="89"/>
      <c r="S98" s="146">
        <f>(O98-O93)/(K98-K93)</f>
        <v>0.11488767082384879</v>
      </c>
    </row>
    <row r="99" spans="1:19" s="12" customFormat="1">
      <c r="A99" s="60">
        <f>MAX(A$13:A98)+1</f>
        <v>58</v>
      </c>
      <c r="C99" s="11" t="s">
        <v>82</v>
      </c>
      <c r="D99" s="4"/>
      <c r="E99" s="112"/>
      <c r="F99" s="60"/>
      <c r="G99" s="110"/>
      <c r="H99" s="79"/>
      <c r="I99" s="110"/>
      <c r="J99" s="20"/>
      <c r="K99" s="98"/>
      <c r="L99" s="98"/>
      <c r="M99" s="98"/>
      <c r="N99" s="98"/>
      <c r="O99" s="98"/>
      <c r="P99" s="82"/>
      <c r="Q99" s="87">
        <f>(O91+O93+O94)/(K91+K93+K94)</f>
        <v>0.18593579361038795</v>
      </c>
      <c r="R99" s="89"/>
      <c r="S99" s="87">
        <f>(O91+O94)/(K91+K94)</f>
        <v>0.40843659534490112</v>
      </c>
    </row>
    <row r="100" spans="1:19" s="12" customFormat="1">
      <c r="C100"/>
      <c r="D100"/>
      <c r="E100" s="112"/>
      <c r="F100" s="60"/>
      <c r="G100" s="110"/>
      <c r="H100" s="79"/>
      <c r="I100" s="110"/>
      <c r="J100" s="82"/>
      <c r="K100" s="124"/>
      <c r="L100" s="124"/>
      <c r="M100" s="124"/>
      <c r="N100" s="124"/>
      <c r="O100" s="124"/>
      <c r="P100" s="63"/>
      <c r="Q100" s="89"/>
      <c r="R100" s="89"/>
      <c r="S100" s="127"/>
    </row>
    <row r="101" spans="1:19" s="12" customFormat="1">
      <c r="C101"/>
      <c r="D101"/>
      <c r="E101" s="112"/>
      <c r="F101" s="60"/>
      <c r="G101" s="110"/>
      <c r="H101" s="79"/>
      <c r="I101" s="110"/>
      <c r="J101" s="82"/>
      <c r="K101" s="124"/>
      <c r="L101" s="124"/>
      <c r="M101" s="124"/>
      <c r="N101" s="124"/>
      <c r="O101" s="124"/>
      <c r="P101" s="63"/>
      <c r="Q101" s="89"/>
      <c r="R101" s="89"/>
      <c r="S101" s="127"/>
    </row>
    <row r="102" spans="1:19" s="12" customFormat="1">
      <c r="C102" s="8" t="s">
        <v>113</v>
      </c>
      <c r="D102" s="8"/>
      <c r="E102" s="112"/>
      <c r="F102" s="60"/>
      <c r="G102" s="110"/>
      <c r="H102" s="79"/>
      <c r="I102" s="110"/>
      <c r="J102" s="82"/>
      <c r="K102" s="125"/>
      <c r="L102" s="125"/>
      <c r="M102" s="125"/>
      <c r="N102" s="125"/>
      <c r="O102" s="125"/>
      <c r="P102" s="23"/>
      <c r="Q102" s="90"/>
      <c r="R102" s="90"/>
      <c r="S102" s="89"/>
    </row>
    <row r="103" spans="1:19" s="12" customFormat="1">
      <c r="A103" s="60">
        <f>MAX(A$13:A102)+1</f>
        <v>59</v>
      </c>
      <c r="C103" s="4" t="s">
        <v>31</v>
      </c>
      <c r="D103" s="4"/>
      <c r="E103" s="112">
        <f>'Attachment 2'!P212</f>
        <v>250000</v>
      </c>
      <c r="F103" s="60"/>
      <c r="G103" s="110"/>
      <c r="H103" s="79"/>
      <c r="I103" s="110"/>
      <c r="J103" s="82"/>
      <c r="K103" s="125"/>
      <c r="L103" s="125"/>
      <c r="M103" s="125"/>
      <c r="N103" s="125"/>
      <c r="O103" s="125"/>
      <c r="P103" s="23"/>
      <c r="Q103" s="90"/>
      <c r="R103" s="90"/>
      <c r="S103" s="89"/>
    </row>
    <row r="104" spans="1:19" s="12" customFormat="1">
      <c r="C104"/>
      <c r="D104"/>
      <c r="E104" s="20"/>
      <c r="F104" s="60"/>
      <c r="G104" s="132"/>
      <c r="H104" s="85"/>
      <c r="I104" s="85"/>
      <c r="J104" s="82"/>
      <c r="K104" s="125"/>
      <c r="L104" s="125"/>
      <c r="M104" s="125"/>
      <c r="N104" s="125"/>
      <c r="O104" s="125"/>
      <c r="P104" s="23"/>
      <c r="Q104" s="90"/>
      <c r="R104" s="90"/>
      <c r="S104" s="89"/>
    </row>
    <row r="105" spans="1:19" s="12" customFormat="1">
      <c r="C105" s="8" t="s">
        <v>32</v>
      </c>
      <c r="D105" s="8"/>
      <c r="E105" s="20"/>
      <c r="F105" s="60"/>
      <c r="G105" s="132"/>
      <c r="H105" s="85"/>
      <c r="I105" s="85"/>
      <c r="J105" s="82"/>
      <c r="K105" s="125"/>
      <c r="L105" s="125"/>
      <c r="M105" s="125"/>
      <c r="N105" s="125"/>
      <c r="O105" s="125"/>
      <c r="P105" s="23"/>
      <c r="Q105" s="90"/>
      <c r="R105" s="90"/>
      <c r="S105" s="89"/>
    </row>
    <row r="106" spans="1:19" s="12" customFormat="1">
      <c r="A106" s="60">
        <f>MAX(A$13:A105)+1</f>
        <v>60</v>
      </c>
      <c r="C106" s="4" t="s">
        <v>33</v>
      </c>
      <c r="D106" s="4"/>
      <c r="E106" s="91" t="s">
        <v>34</v>
      </c>
      <c r="F106" s="60"/>
      <c r="G106" s="92">
        <f>G60</f>
        <v>76.58</v>
      </c>
      <c r="H106" s="92"/>
      <c r="I106" s="92">
        <f>I60</f>
        <v>80</v>
      </c>
      <c r="J106" s="82"/>
      <c r="K106" s="98">
        <f>G106*12</f>
        <v>918.96</v>
      </c>
      <c r="L106" s="98"/>
      <c r="M106" s="98">
        <f>I106*12</f>
        <v>960</v>
      </c>
      <c r="N106" s="98"/>
      <c r="O106" s="98">
        <f>M106-K106</f>
        <v>41.039999999999964</v>
      </c>
      <c r="P106" s="82"/>
      <c r="Q106" s="106"/>
      <c r="R106" s="127"/>
      <c r="S106" s="89"/>
    </row>
    <row r="107" spans="1:19" s="12" customFormat="1">
      <c r="C107" s="4" t="s">
        <v>35</v>
      </c>
      <c r="D107" s="4"/>
      <c r="E107" s="82"/>
      <c r="F107" s="60"/>
      <c r="G107" s="132"/>
      <c r="H107" s="132"/>
      <c r="I107" s="132"/>
      <c r="J107" s="82"/>
      <c r="K107" s="98"/>
      <c r="L107" s="98"/>
      <c r="M107" s="98"/>
      <c r="N107" s="98"/>
      <c r="O107" s="98"/>
      <c r="P107" s="82"/>
      <c r="Q107" s="127"/>
      <c r="R107" s="127"/>
      <c r="S107" s="89"/>
    </row>
    <row r="108" spans="1:19" s="12" customFormat="1" ht="14.25">
      <c r="A108" s="60">
        <f>MAX(A$13:A107)+1</f>
        <v>61</v>
      </c>
      <c r="C108" s="139" t="s">
        <v>108</v>
      </c>
      <c r="D108" s="139"/>
      <c r="E108" s="112">
        <f>'Attachment 2'!P217</f>
        <v>12000</v>
      </c>
      <c r="F108" s="60"/>
      <c r="G108" s="110">
        <f>G62</f>
        <v>7.0914999999999999</v>
      </c>
      <c r="H108" s="79"/>
      <c r="I108" s="110">
        <f>I62</f>
        <v>8.7438911879855059</v>
      </c>
      <c r="J108" s="82"/>
      <c r="K108" s="98">
        <f>$E108*G108/100</f>
        <v>850.98</v>
      </c>
      <c r="L108" s="98"/>
      <c r="M108" s="98">
        <f>$E108*I108/100</f>
        <v>1049.2669425582608</v>
      </c>
      <c r="N108" s="98"/>
      <c r="O108" s="98">
        <f>M108-K108</f>
        <v>198.28694255826076</v>
      </c>
      <c r="P108" s="82"/>
      <c r="Q108" s="127"/>
      <c r="R108" s="127"/>
      <c r="S108" s="89"/>
    </row>
    <row r="109" spans="1:19" s="12" customFormat="1" ht="14.25">
      <c r="A109" s="60">
        <f>MAX(A$13:A108)+1</f>
        <v>62</v>
      </c>
      <c r="C109" s="139" t="s">
        <v>109</v>
      </c>
      <c r="D109" s="139"/>
      <c r="E109" s="112">
        <f>'Attachment 2'!P218</f>
        <v>66000</v>
      </c>
      <c r="F109" s="60"/>
      <c r="G109" s="110">
        <f>G63</f>
        <v>6.9819000000000004</v>
      </c>
      <c r="H109" s="79"/>
      <c r="I109" s="110">
        <f>I63</f>
        <v>8.5963434827648868</v>
      </c>
      <c r="J109" s="82"/>
      <c r="K109" s="98">
        <f>$E109*G109/100</f>
        <v>4608.0540000000001</v>
      </c>
      <c r="L109" s="98"/>
      <c r="M109" s="98">
        <f>$E109*I109/100</f>
        <v>5673.5866986248257</v>
      </c>
      <c r="N109" s="98"/>
      <c r="O109" s="98">
        <f>M109-K109</f>
        <v>1065.5326986248256</v>
      </c>
      <c r="P109" s="82"/>
      <c r="Q109" s="127"/>
      <c r="R109" s="127"/>
      <c r="S109" s="89"/>
    </row>
    <row r="110" spans="1:19" s="12" customFormat="1" ht="14.25">
      <c r="A110" s="60">
        <f>MAX(A$13:A109)+1</f>
        <v>63</v>
      </c>
      <c r="C110" s="139" t="s">
        <v>110</v>
      </c>
      <c r="D110" s="139"/>
      <c r="E110" s="112">
        <f>'Attachment 2'!P219</f>
        <v>91500</v>
      </c>
      <c r="F110" s="60"/>
      <c r="G110" s="110">
        <f>G64</f>
        <v>6.6082000000000001</v>
      </c>
      <c r="H110" s="79"/>
      <c r="I110" s="110">
        <f>I64</f>
        <v>8.0932542725372727</v>
      </c>
      <c r="J110" s="82"/>
      <c r="K110" s="98">
        <f t="shared" ref="K110:K111" si="4">$E110*G110/100</f>
        <v>6046.5030000000006</v>
      </c>
      <c r="L110" s="98"/>
      <c r="M110" s="98">
        <f t="shared" ref="M110:M111" si="5">$E110*I110/100</f>
        <v>7405.3276593716046</v>
      </c>
      <c r="N110" s="98"/>
      <c r="O110" s="98">
        <f>M110-K110</f>
        <v>1358.824659371604</v>
      </c>
      <c r="P110" s="82"/>
      <c r="Q110" s="127"/>
      <c r="R110" s="127"/>
      <c r="S110" s="89"/>
    </row>
    <row r="111" spans="1:19" s="12" customFormat="1" ht="14.25">
      <c r="A111" s="60">
        <f>MAX(A$13:A110)+1</f>
        <v>64</v>
      </c>
      <c r="C111" s="139" t="s">
        <v>111</v>
      </c>
      <c r="D111" s="139"/>
      <c r="E111" s="113">
        <f>'Attachment 2'!P220</f>
        <v>80500</v>
      </c>
      <c r="F111" s="60"/>
      <c r="G111" s="110">
        <f>G65</f>
        <v>6.2183000000000002</v>
      </c>
      <c r="H111" s="79"/>
      <c r="I111" s="110">
        <f>I65</f>
        <v>7.5683560036912851</v>
      </c>
      <c r="J111" s="82"/>
      <c r="K111" s="98">
        <f t="shared" si="4"/>
        <v>5005.7314999999999</v>
      </c>
      <c r="L111" s="98"/>
      <c r="M111" s="98">
        <f t="shared" si="5"/>
        <v>6092.5265829714845</v>
      </c>
      <c r="N111" s="98"/>
      <c r="O111" s="98">
        <f>M111-K111</f>
        <v>1086.7950829714846</v>
      </c>
      <c r="P111" s="82"/>
      <c r="Q111" s="127"/>
      <c r="R111" s="127"/>
      <c r="S111" s="89"/>
    </row>
    <row r="112" spans="1:19">
      <c r="A112" s="60">
        <f>MAX(A$13:A111)+1</f>
        <v>65</v>
      </c>
      <c r="C112" s="139" t="s">
        <v>40</v>
      </c>
      <c r="D112" s="140"/>
      <c r="E112" s="112">
        <f>SUM(E108:E111)</f>
        <v>250000</v>
      </c>
      <c r="F112" s="60"/>
      <c r="G112" s="110"/>
      <c r="H112" s="79"/>
      <c r="I112" s="110"/>
      <c r="J112" s="82"/>
      <c r="K112" s="105">
        <f>SUM(K108:K111)</f>
        <v>16511.268499999998</v>
      </c>
      <c r="L112" s="98"/>
      <c r="M112" s="105">
        <f>SUM(M108:M111)</f>
        <v>20220.707883526175</v>
      </c>
      <c r="N112" s="98"/>
      <c r="O112" s="105">
        <f>SUM(O108:O111)</f>
        <v>3709.4393835261749</v>
      </c>
      <c r="P112" s="82"/>
      <c r="Q112" s="106"/>
      <c r="R112" s="127"/>
      <c r="S112" s="89"/>
    </row>
    <row r="113" spans="1:19">
      <c r="A113" s="60">
        <f>MAX(A$13:A112)+1</f>
        <v>66</v>
      </c>
      <c r="C113" s="4" t="s">
        <v>41</v>
      </c>
      <c r="D113" s="4"/>
      <c r="E113" s="112">
        <f>E103</f>
        <v>250000</v>
      </c>
      <c r="F113" s="60"/>
      <c r="G113" s="110">
        <f>G67</f>
        <v>1.41E-2</v>
      </c>
      <c r="H113" s="79"/>
      <c r="I113" s="110">
        <f>I67</f>
        <v>1.41E-2</v>
      </c>
      <c r="J113" s="82"/>
      <c r="K113" s="98">
        <f>$G113*E113/100</f>
        <v>35.25</v>
      </c>
      <c r="L113" s="98"/>
      <c r="M113" s="98">
        <f>$I113*E113/100</f>
        <v>35.25</v>
      </c>
      <c r="N113" s="98"/>
      <c r="O113" s="98">
        <f>M113-K113</f>
        <v>0</v>
      </c>
      <c r="P113" s="82"/>
      <c r="Q113" s="127"/>
      <c r="R113" s="127"/>
      <c r="S113" s="89"/>
    </row>
    <row r="114" spans="1:19">
      <c r="A114" s="60">
        <f>MAX(A$12:A113)+1</f>
        <v>67</v>
      </c>
      <c r="C114" s="4" t="s">
        <v>42</v>
      </c>
      <c r="D114" s="8"/>
      <c r="E114" s="112"/>
      <c r="F114" s="60"/>
      <c r="G114" s="110"/>
      <c r="H114" s="79"/>
      <c r="I114" s="110"/>
      <c r="J114" s="82"/>
      <c r="K114" s="94">
        <f>K106+K112+K113</f>
        <v>17465.478499999997</v>
      </c>
      <c r="L114" s="98"/>
      <c r="M114" s="94">
        <f>M106+M112+M113</f>
        <v>21215.957883526175</v>
      </c>
      <c r="N114" s="98"/>
      <c r="O114" s="94">
        <f>O106+O112+O113</f>
        <v>3750.4793835261748</v>
      </c>
      <c r="P114" s="82"/>
      <c r="Q114" s="96">
        <f>O114/K114</f>
        <v>0.21473670953396298</v>
      </c>
      <c r="R114" s="127"/>
      <c r="S114" s="131">
        <f>Q114</f>
        <v>0.21473670953396298</v>
      </c>
    </row>
    <row r="115" spans="1:19">
      <c r="C115" s="4"/>
      <c r="D115" s="4"/>
      <c r="E115" s="112"/>
      <c r="F115" s="60"/>
      <c r="G115" s="110"/>
      <c r="H115" s="79"/>
      <c r="I115" s="110"/>
      <c r="J115" s="82"/>
      <c r="K115" s="98"/>
      <c r="L115" s="98"/>
      <c r="M115" s="98"/>
      <c r="N115" s="98"/>
      <c r="O115" s="98"/>
      <c r="P115" s="82"/>
      <c r="Q115" s="127"/>
      <c r="R115" s="127"/>
      <c r="S115" s="89"/>
    </row>
    <row r="116" spans="1:19">
      <c r="A116" s="60">
        <f>MAX(A$13:A115)+1</f>
        <v>68</v>
      </c>
      <c r="C116" s="4" t="s">
        <v>43</v>
      </c>
      <c r="D116" s="4"/>
      <c r="E116" s="112">
        <f>E103</f>
        <v>250000</v>
      </c>
      <c r="F116" s="60"/>
      <c r="G116" s="110">
        <f>G70</f>
        <v>9.7899999999999991</v>
      </c>
      <c r="H116" s="79"/>
      <c r="I116" s="110">
        <f>I70</f>
        <v>9.7899999999999991</v>
      </c>
      <c r="J116" s="82"/>
      <c r="K116" s="98">
        <f>$G116*E116/100</f>
        <v>24475</v>
      </c>
      <c r="L116" s="98"/>
      <c r="M116" s="98">
        <f>$I116*E116/100</f>
        <v>24475</v>
      </c>
      <c r="N116" s="98"/>
      <c r="O116" s="98">
        <f>M116-K116</f>
        <v>0</v>
      </c>
      <c r="P116" s="82"/>
      <c r="Q116" s="106">
        <f>O116/K116</f>
        <v>0</v>
      </c>
      <c r="R116" s="127"/>
      <c r="S116" s="89">
        <f>Q116</f>
        <v>0</v>
      </c>
    </row>
    <row r="117" spans="1:19">
      <c r="A117" s="60">
        <f>MAX(A$13:A116)+1</f>
        <v>69</v>
      </c>
      <c r="C117" s="4" t="s">
        <v>44</v>
      </c>
      <c r="D117" s="8"/>
      <c r="E117" s="112">
        <f>E103</f>
        <v>250000</v>
      </c>
      <c r="F117" s="60"/>
      <c r="G117" s="110">
        <f>G71</f>
        <v>0</v>
      </c>
      <c r="H117" s="79"/>
      <c r="I117" s="110">
        <f>I71</f>
        <v>1.6963356246993813</v>
      </c>
      <c r="J117" s="82"/>
      <c r="K117" s="98">
        <f>G117*$E117/100</f>
        <v>0</v>
      </c>
      <c r="L117" s="98"/>
      <c r="M117" s="98">
        <f>I117*$E117/100</f>
        <v>4240.8390617484529</v>
      </c>
      <c r="N117" s="98"/>
      <c r="O117" s="98">
        <f>M117-K117</f>
        <v>4240.8390617484529</v>
      </c>
      <c r="P117" s="82"/>
      <c r="Q117" s="87">
        <f>1</f>
        <v>1</v>
      </c>
      <c r="R117" s="127"/>
      <c r="S117" s="89">
        <f>Q117</f>
        <v>1</v>
      </c>
    </row>
    <row r="118" spans="1:19">
      <c r="A118" s="60">
        <f>MAX(A$13:A117)+1</f>
        <v>70</v>
      </c>
      <c r="C118" s="4" t="s">
        <v>45</v>
      </c>
      <c r="D118" s="4"/>
      <c r="E118" s="112">
        <f>E103</f>
        <v>250000</v>
      </c>
      <c r="F118" s="60"/>
      <c r="G118" s="110">
        <f>G72</f>
        <v>22.290639639640929</v>
      </c>
      <c r="H118" s="79"/>
      <c r="I118" s="110">
        <f>I72</f>
        <v>20.903604607530845</v>
      </c>
      <c r="J118" s="82"/>
      <c r="K118" s="98">
        <f>G118*$E118/100</f>
        <v>55726.599099102328</v>
      </c>
      <c r="L118" s="98"/>
      <c r="M118" s="98">
        <f>I118*$E118/100</f>
        <v>52259.011518827108</v>
      </c>
      <c r="N118" s="98"/>
      <c r="O118" s="98">
        <f>M118-K118</f>
        <v>-3467.5875802752198</v>
      </c>
      <c r="P118" s="82"/>
      <c r="Q118" s="106">
        <f>O118/K118</f>
        <v>-6.2224999126693117E-2</v>
      </c>
      <c r="R118" s="127"/>
      <c r="S118" s="89">
        <f>Q118</f>
        <v>-6.2224999126693117E-2</v>
      </c>
    </row>
    <row r="119" spans="1:19" ht="13.5" thickBot="1">
      <c r="A119" s="60">
        <f>MAX(A$13:A118)+1</f>
        <v>71</v>
      </c>
      <c r="C119" s="4" t="s">
        <v>46</v>
      </c>
      <c r="D119" s="8"/>
      <c r="E119" s="82"/>
      <c r="F119" s="60"/>
      <c r="G119" s="79"/>
      <c r="H119" s="79"/>
      <c r="I119" s="79"/>
      <c r="J119" s="20"/>
      <c r="K119" s="101">
        <f>K114+K116+K118+K117</f>
        <v>97667.077599102326</v>
      </c>
      <c r="L119" s="98"/>
      <c r="M119" s="101">
        <f>M114+M116+M118+M117</f>
        <v>102190.80846410173</v>
      </c>
      <c r="N119" s="98"/>
      <c r="O119" s="101">
        <f>M119-K119</f>
        <v>4523.7308649994084</v>
      </c>
      <c r="P119" s="82"/>
      <c r="Q119" s="102">
        <f>O119/K119</f>
        <v>4.6317868581756218E-2</v>
      </c>
      <c r="R119" s="127"/>
      <c r="S119" s="134">
        <f>(O114+O117+O118)/(K114+K117+K118)</f>
        <v>6.1806291246129214E-2</v>
      </c>
    </row>
    <row r="120" spans="1:19" ht="13.5" thickTop="1">
      <c r="E120" s="82"/>
      <c r="F120" s="60"/>
      <c r="G120" s="79"/>
      <c r="H120" s="79"/>
      <c r="I120" s="79"/>
      <c r="J120" s="20"/>
      <c r="K120" s="135"/>
      <c r="L120" s="136"/>
      <c r="M120" s="135"/>
      <c r="N120" s="124"/>
      <c r="O120" s="124"/>
      <c r="P120" s="60"/>
      <c r="Q120" s="89"/>
      <c r="R120" s="89"/>
      <c r="S120" s="89"/>
    </row>
    <row r="121" spans="1:19">
      <c r="A121" s="60">
        <f>MAX(A$13:A120)+1</f>
        <v>72</v>
      </c>
      <c r="C121" s="4" t="s">
        <v>81</v>
      </c>
      <c r="E121" s="82"/>
      <c r="F121" s="60"/>
      <c r="G121" s="79"/>
      <c r="H121" s="79"/>
      <c r="I121" s="79"/>
      <c r="J121" s="20"/>
      <c r="K121" s="94">
        <f>K114+K116+K117+M118</f>
        <v>94199.490018827113</v>
      </c>
      <c r="L121" s="94"/>
      <c r="M121" s="94">
        <f>M114+M116+M117+M118</f>
        <v>102190.80846410175</v>
      </c>
      <c r="N121" s="94"/>
      <c r="O121" s="94">
        <f>M121-K121</f>
        <v>7991.3184452746355</v>
      </c>
      <c r="P121" s="82"/>
      <c r="Q121" s="146">
        <f>O121/K121</f>
        <v>8.4833988418381634E-2</v>
      </c>
      <c r="R121" s="89"/>
      <c r="S121" s="146">
        <f>(O121-O116)/(K121-K116)</f>
        <v>0.11461279161908258</v>
      </c>
    </row>
    <row r="122" spans="1:19">
      <c r="A122" s="60">
        <f>MAX(A$13:A121)+1</f>
        <v>73</v>
      </c>
      <c r="C122" s="11" t="s">
        <v>82</v>
      </c>
      <c r="D122" s="4"/>
      <c r="E122" s="82"/>
      <c r="F122" s="60"/>
      <c r="G122" s="141"/>
      <c r="H122" s="79"/>
      <c r="I122" s="79"/>
      <c r="J122" s="20"/>
      <c r="K122" s="82"/>
      <c r="L122" s="82"/>
      <c r="M122" s="82"/>
      <c r="N122" s="82"/>
      <c r="O122" s="147"/>
      <c r="P122" s="82"/>
      <c r="Q122" s="87">
        <f>(O114+O116+O117)/(K114+K116+K117)</f>
        <v>0.19053951531036128</v>
      </c>
      <c r="R122" s="89"/>
      <c r="S122" s="87">
        <f>(O114+O117)/(K114+K117)</f>
        <v>0.45754935630733673</v>
      </c>
    </row>
    <row r="123" spans="1:19">
      <c r="E123" s="123"/>
      <c r="Q123" s="122"/>
      <c r="R123" s="122"/>
      <c r="S123" s="122"/>
    </row>
    <row r="124" spans="1:19">
      <c r="A124" s="24" t="s">
        <v>64</v>
      </c>
    </row>
    <row r="125" spans="1:19">
      <c r="A125" s="77" t="s">
        <v>65</v>
      </c>
      <c r="C125" t="s">
        <v>66</v>
      </c>
    </row>
    <row r="126" spans="1:19">
      <c r="A126" s="77" t="s">
        <v>67</v>
      </c>
      <c r="C126" t="s">
        <v>68</v>
      </c>
    </row>
  </sheetData>
  <mergeCells count="5">
    <mergeCell ref="G7:I7"/>
    <mergeCell ref="K7:M7"/>
    <mergeCell ref="O7:S7"/>
    <mergeCell ref="A4:S4"/>
    <mergeCell ref="A5:S5"/>
  </mergeCells>
  <printOptions horizontalCentered="1"/>
  <pageMargins left="0.5" right="0.5" top="0.75" bottom="0.5" header="0.31496062992126" footer="0.31496062992126"/>
  <pageSetup scale="51" firstPageNumber="7" fitToHeight="0" orientation="portrait" useFirstPageNumber="1" r:id="rId1"/>
  <headerFooter>
    <oddHeader>&amp;RFiled: 2023-04-06
EB-2022-0200
Exhibit JT8.7
Attachment 1
Page &amp;P of 8</oddHeader>
  </headerFooter>
  <rowBreaks count="1" manualBreakCount="1">
    <brk id="55" max="1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DF1FB-310E-40B5-B859-C1D3DB66AA24}">
  <sheetPr codeName="Sheet3">
    <pageSetUpPr fitToPage="1"/>
  </sheetPr>
  <dimension ref="A1:P221"/>
  <sheetViews>
    <sheetView view="pageLayout" zoomScaleNormal="85" zoomScaleSheetLayoutView="100" workbookViewId="0">
      <selection activeCell="M14" sqref="M14"/>
    </sheetView>
  </sheetViews>
  <sheetFormatPr defaultColWidth="11.42578125" defaultRowHeight="12.75"/>
  <cols>
    <col min="1" max="1" width="6.28515625" style="15" customWidth="1"/>
    <col min="2" max="2" width="19.7109375" style="49" customWidth="1"/>
    <col min="3" max="3" width="7.5703125" style="15" bestFit="1" customWidth="1"/>
    <col min="4" max="15" width="10" style="15" customWidth="1"/>
    <col min="16" max="16" width="12" style="15" customWidth="1"/>
    <col min="17" max="17" width="1.7109375" style="15" customWidth="1"/>
    <col min="18" max="18" width="10.7109375" style="15" bestFit="1" customWidth="1"/>
    <col min="19" max="16384" width="11.42578125" style="15"/>
  </cols>
  <sheetData>
    <row r="1" spans="1:16">
      <c r="A1" s="152" t="s">
        <v>114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</row>
    <row r="2" spans="1:16">
      <c r="B2" s="152" t="s">
        <v>2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</row>
    <row r="4" spans="1:16">
      <c r="A4" s="25" t="s">
        <v>8</v>
      </c>
      <c r="B4" s="46"/>
    </row>
    <row r="5" spans="1:16">
      <c r="A5" s="28" t="s">
        <v>16</v>
      </c>
      <c r="B5" s="47" t="s">
        <v>17</v>
      </c>
      <c r="C5" s="27"/>
      <c r="D5" s="29" t="s">
        <v>115</v>
      </c>
      <c r="E5" s="29" t="s">
        <v>116</v>
      </c>
      <c r="F5" s="29" t="s">
        <v>117</v>
      </c>
      <c r="G5" s="29" t="s">
        <v>118</v>
      </c>
      <c r="H5" s="29" t="s">
        <v>119</v>
      </c>
      <c r="I5" s="29" t="s">
        <v>120</v>
      </c>
      <c r="J5" s="29" t="s">
        <v>121</v>
      </c>
      <c r="K5" s="29" t="s">
        <v>122</v>
      </c>
      <c r="L5" s="29" t="s">
        <v>123</v>
      </c>
      <c r="M5" s="29" t="s">
        <v>124</v>
      </c>
      <c r="N5" s="29" t="s">
        <v>125</v>
      </c>
      <c r="O5" s="29" t="s">
        <v>126</v>
      </c>
      <c r="P5" s="29" t="s">
        <v>127</v>
      </c>
    </row>
    <row r="6" spans="1:16">
      <c r="B6" s="46"/>
      <c r="D6" s="26" t="s">
        <v>22</v>
      </c>
      <c r="E6" s="26" t="s">
        <v>23</v>
      </c>
      <c r="F6" s="26" t="s">
        <v>24</v>
      </c>
      <c r="G6" s="26" t="s">
        <v>128</v>
      </c>
      <c r="H6" s="26" t="s">
        <v>129</v>
      </c>
      <c r="I6" s="26" t="s">
        <v>130</v>
      </c>
      <c r="J6" s="26" t="s">
        <v>131</v>
      </c>
      <c r="K6" s="26" t="s">
        <v>29</v>
      </c>
      <c r="L6" s="26" t="s">
        <v>132</v>
      </c>
      <c r="M6" s="26" t="s">
        <v>133</v>
      </c>
      <c r="N6" s="26" t="s">
        <v>134</v>
      </c>
      <c r="O6" s="26" t="s">
        <v>135</v>
      </c>
      <c r="P6" s="26" t="s">
        <v>136</v>
      </c>
    </row>
    <row r="7" spans="1:16">
      <c r="B7" s="4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</row>
    <row r="8" spans="1:16">
      <c r="B8" s="48" t="s">
        <v>30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</row>
    <row r="9" spans="1:16">
      <c r="A9" s="25">
        <v>1</v>
      </c>
      <c r="B9" s="45" t="s">
        <v>137</v>
      </c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44">
        <f>2400</f>
        <v>2400</v>
      </c>
    </row>
    <row r="10" spans="1:16">
      <c r="A10" s="20">
        <f>MAX(A9:A$9)+1</f>
        <v>2</v>
      </c>
      <c r="B10" s="45" t="s">
        <v>138</v>
      </c>
      <c r="C10" s="20"/>
      <c r="D10" s="40">
        <f t="shared" ref="D10:O10" si="0">$P$9*D11</f>
        <v>91</v>
      </c>
      <c r="E10" s="40">
        <f t="shared" si="0"/>
        <v>174</v>
      </c>
      <c r="F10" s="40">
        <f t="shared" si="0"/>
        <v>315.99999999999994</v>
      </c>
      <c r="G10" s="40">
        <f t="shared" si="0"/>
        <v>419</v>
      </c>
      <c r="H10" s="40">
        <f t="shared" si="0"/>
        <v>404</v>
      </c>
      <c r="I10" s="40">
        <f t="shared" si="0"/>
        <v>354</v>
      </c>
      <c r="J10" s="40">
        <f t="shared" si="0"/>
        <v>252</v>
      </c>
      <c r="K10" s="40">
        <f t="shared" si="0"/>
        <v>157.99999999999997</v>
      </c>
      <c r="L10" s="40">
        <f t="shared" si="0"/>
        <v>69</v>
      </c>
      <c r="M10" s="40">
        <f t="shared" si="0"/>
        <v>51.000000000000007</v>
      </c>
      <c r="N10" s="40">
        <f t="shared" si="0"/>
        <v>54</v>
      </c>
      <c r="O10" s="40">
        <f t="shared" si="0"/>
        <v>58</v>
      </c>
      <c r="P10" s="40">
        <f>SUM(D10:O10)</f>
        <v>2400</v>
      </c>
    </row>
    <row r="11" spans="1:16">
      <c r="A11" s="20">
        <f>MAX(A$9:A10)+1</f>
        <v>3</v>
      </c>
      <c r="B11" s="45" t="s">
        <v>139</v>
      </c>
      <c r="C11" s="20"/>
      <c r="D11" s="33">
        <v>3.7916666666666668E-2</v>
      </c>
      <c r="E11" s="33">
        <v>7.2499999999999995E-2</v>
      </c>
      <c r="F11" s="33">
        <v>0.13166666666666665</v>
      </c>
      <c r="G11" s="33">
        <v>0.17458333333333334</v>
      </c>
      <c r="H11" s="33">
        <v>0.16833333333333333</v>
      </c>
      <c r="I11" s="33">
        <v>0.14749999999999999</v>
      </c>
      <c r="J11" s="33">
        <v>0.105</v>
      </c>
      <c r="K11" s="33">
        <v>6.5833333333333327E-2</v>
      </c>
      <c r="L11" s="33">
        <v>2.8750000000000001E-2</v>
      </c>
      <c r="M11" s="33">
        <v>2.1250000000000002E-2</v>
      </c>
      <c r="N11" s="33">
        <v>2.2499999999999999E-2</v>
      </c>
      <c r="O11" s="33">
        <v>2.4166666666666666E-2</v>
      </c>
      <c r="P11" s="34">
        <f>SUM(D11:O11)</f>
        <v>0.99999999999999989</v>
      </c>
    </row>
    <row r="12" spans="1:16"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</row>
    <row r="13" spans="1:16">
      <c r="B13" s="48" t="s">
        <v>140</v>
      </c>
      <c r="C13" s="20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20"/>
    </row>
    <row r="14" spans="1:16">
      <c r="A14" s="20">
        <f>MAX(A$9:A13)+1</f>
        <v>4</v>
      </c>
      <c r="B14" s="18" t="s">
        <v>141</v>
      </c>
      <c r="C14" s="40">
        <v>30</v>
      </c>
      <c r="D14" s="40">
        <f t="shared" ref="D14:O14" si="1">IF(D10&gt;$C14,$C14,D10)</f>
        <v>30</v>
      </c>
      <c r="E14" s="40">
        <f t="shared" si="1"/>
        <v>30</v>
      </c>
      <c r="F14" s="40">
        <f t="shared" si="1"/>
        <v>30</v>
      </c>
      <c r="G14" s="40">
        <f t="shared" si="1"/>
        <v>30</v>
      </c>
      <c r="H14" s="40">
        <f t="shared" si="1"/>
        <v>30</v>
      </c>
      <c r="I14" s="40">
        <f t="shared" si="1"/>
        <v>30</v>
      </c>
      <c r="J14" s="40">
        <f t="shared" si="1"/>
        <v>30</v>
      </c>
      <c r="K14" s="40">
        <f t="shared" si="1"/>
        <v>30</v>
      </c>
      <c r="L14" s="40">
        <f t="shared" si="1"/>
        <v>30</v>
      </c>
      <c r="M14" s="40">
        <f t="shared" si="1"/>
        <v>30</v>
      </c>
      <c r="N14" s="40">
        <f t="shared" si="1"/>
        <v>30</v>
      </c>
      <c r="O14" s="40">
        <f t="shared" si="1"/>
        <v>30</v>
      </c>
      <c r="P14" s="40">
        <f>SUM(D14:O14)</f>
        <v>360</v>
      </c>
    </row>
    <row r="15" spans="1:16">
      <c r="A15" s="20">
        <f>MAX(A$9:A14)+1</f>
        <v>5</v>
      </c>
      <c r="B15" s="18" t="s">
        <v>142</v>
      </c>
      <c r="C15" s="40">
        <v>55</v>
      </c>
      <c r="D15" s="40">
        <f t="shared" ref="D15:O15" si="2">IF($C15&lt;D10-D14,$C15,D10-D14)</f>
        <v>55</v>
      </c>
      <c r="E15" s="40">
        <f t="shared" si="2"/>
        <v>55</v>
      </c>
      <c r="F15" s="40">
        <f t="shared" si="2"/>
        <v>55</v>
      </c>
      <c r="G15" s="40">
        <f t="shared" si="2"/>
        <v>55</v>
      </c>
      <c r="H15" s="40">
        <f t="shared" si="2"/>
        <v>55</v>
      </c>
      <c r="I15" s="40">
        <f t="shared" si="2"/>
        <v>55</v>
      </c>
      <c r="J15" s="40">
        <f t="shared" si="2"/>
        <v>55</v>
      </c>
      <c r="K15" s="40">
        <f t="shared" si="2"/>
        <v>55</v>
      </c>
      <c r="L15" s="40">
        <f t="shared" si="2"/>
        <v>39</v>
      </c>
      <c r="M15" s="40">
        <f t="shared" si="2"/>
        <v>21.000000000000007</v>
      </c>
      <c r="N15" s="40">
        <f t="shared" si="2"/>
        <v>24</v>
      </c>
      <c r="O15" s="40">
        <f t="shared" si="2"/>
        <v>28</v>
      </c>
      <c r="P15" s="40">
        <f>SUM(D15:O15)</f>
        <v>552</v>
      </c>
    </row>
    <row r="16" spans="1:16">
      <c r="A16" s="20">
        <f>MAX(A$9:A15)+1</f>
        <v>6</v>
      </c>
      <c r="B16" s="18" t="s">
        <v>142</v>
      </c>
      <c r="C16" s="40">
        <v>85</v>
      </c>
      <c r="D16" s="40">
        <f t="shared" ref="D16:O16" si="3">IF($C16&lt;D10-D14-D15,$C16,D10-D14-D15)</f>
        <v>6</v>
      </c>
      <c r="E16" s="40">
        <f t="shared" si="3"/>
        <v>85</v>
      </c>
      <c r="F16" s="40">
        <f t="shared" si="3"/>
        <v>85</v>
      </c>
      <c r="G16" s="40">
        <f t="shared" si="3"/>
        <v>85</v>
      </c>
      <c r="H16" s="40">
        <f t="shared" si="3"/>
        <v>85</v>
      </c>
      <c r="I16" s="40">
        <f t="shared" si="3"/>
        <v>85</v>
      </c>
      <c r="J16" s="40">
        <f t="shared" si="3"/>
        <v>85</v>
      </c>
      <c r="K16" s="40">
        <f t="shared" si="3"/>
        <v>72.999999999999972</v>
      </c>
      <c r="L16" s="40">
        <f t="shared" si="3"/>
        <v>0</v>
      </c>
      <c r="M16" s="40">
        <f t="shared" si="3"/>
        <v>0</v>
      </c>
      <c r="N16" s="40">
        <f t="shared" si="3"/>
        <v>0</v>
      </c>
      <c r="O16" s="40">
        <f t="shared" si="3"/>
        <v>0</v>
      </c>
      <c r="P16" s="40">
        <f>SUM(D16:O16)</f>
        <v>589</v>
      </c>
    </row>
    <row r="17" spans="1:16">
      <c r="A17" s="20">
        <f>MAX(A$9:A16)+1</f>
        <v>7</v>
      </c>
      <c r="B17" s="18" t="s">
        <v>143</v>
      </c>
      <c r="C17" s="40">
        <v>170</v>
      </c>
      <c r="D17" s="40">
        <f t="shared" ref="D17:O17" si="4">D10-D16-D15-D14</f>
        <v>0</v>
      </c>
      <c r="E17" s="40">
        <f t="shared" si="4"/>
        <v>4</v>
      </c>
      <c r="F17" s="40">
        <f t="shared" si="4"/>
        <v>145.99999999999994</v>
      </c>
      <c r="G17" s="40">
        <f t="shared" si="4"/>
        <v>249</v>
      </c>
      <c r="H17" s="40">
        <f t="shared" si="4"/>
        <v>234</v>
      </c>
      <c r="I17" s="40">
        <f t="shared" si="4"/>
        <v>184</v>
      </c>
      <c r="J17" s="40">
        <f t="shared" si="4"/>
        <v>82</v>
      </c>
      <c r="K17" s="40">
        <f t="shared" si="4"/>
        <v>0</v>
      </c>
      <c r="L17" s="40">
        <f t="shared" si="4"/>
        <v>0</v>
      </c>
      <c r="M17" s="40">
        <f t="shared" si="4"/>
        <v>0</v>
      </c>
      <c r="N17" s="40">
        <f t="shared" si="4"/>
        <v>0</v>
      </c>
      <c r="O17" s="40">
        <f t="shared" si="4"/>
        <v>0</v>
      </c>
      <c r="P17" s="40">
        <f>SUM(D17:O17)</f>
        <v>899</v>
      </c>
    </row>
    <row r="18" spans="1:16">
      <c r="A18" s="20">
        <f>MAX(A$9:A17)+1</f>
        <v>8</v>
      </c>
      <c r="B18" s="45" t="s">
        <v>127</v>
      </c>
      <c r="C18" s="40"/>
      <c r="D18" s="41">
        <f t="shared" ref="D18:P18" si="5">SUM(D14:D17)</f>
        <v>91</v>
      </c>
      <c r="E18" s="41">
        <f t="shared" si="5"/>
        <v>174</v>
      </c>
      <c r="F18" s="41">
        <f t="shared" si="5"/>
        <v>315.99999999999994</v>
      </c>
      <c r="G18" s="41">
        <f t="shared" si="5"/>
        <v>419</v>
      </c>
      <c r="H18" s="41">
        <f t="shared" si="5"/>
        <v>404</v>
      </c>
      <c r="I18" s="41">
        <f t="shared" si="5"/>
        <v>354</v>
      </c>
      <c r="J18" s="41">
        <f t="shared" si="5"/>
        <v>252</v>
      </c>
      <c r="K18" s="41">
        <f t="shared" si="5"/>
        <v>157.99999999999997</v>
      </c>
      <c r="L18" s="41">
        <f t="shared" si="5"/>
        <v>69</v>
      </c>
      <c r="M18" s="41">
        <f t="shared" si="5"/>
        <v>51.000000000000007</v>
      </c>
      <c r="N18" s="41">
        <f t="shared" si="5"/>
        <v>54</v>
      </c>
      <c r="O18" s="41">
        <f t="shared" si="5"/>
        <v>58</v>
      </c>
      <c r="P18" s="41">
        <f t="shared" si="5"/>
        <v>2400</v>
      </c>
    </row>
    <row r="19" spans="1:16"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</row>
    <row r="20" spans="1:16">
      <c r="B20" s="46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</row>
    <row r="21" spans="1:16">
      <c r="B21" s="48" t="s">
        <v>53</v>
      </c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</row>
    <row r="22" spans="1:16">
      <c r="A22" s="20">
        <f>MAX(A$9:A21)+1</f>
        <v>9</v>
      </c>
      <c r="B22" s="45" t="s">
        <v>137</v>
      </c>
      <c r="C22" s="42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>
        <v>5048</v>
      </c>
    </row>
    <row r="23" spans="1:16">
      <c r="A23" s="20">
        <f>MAX(A$9:A22)+1</f>
        <v>10</v>
      </c>
      <c r="B23" s="45" t="s">
        <v>138</v>
      </c>
      <c r="C23" s="43"/>
      <c r="D23" s="40">
        <f t="shared" ref="D23:O23" si="6">$P$22*D24</f>
        <v>301</v>
      </c>
      <c r="E23" s="40">
        <f t="shared" si="6"/>
        <v>423</v>
      </c>
      <c r="F23" s="40">
        <f t="shared" si="6"/>
        <v>627</v>
      </c>
      <c r="G23" s="40">
        <f t="shared" si="6"/>
        <v>721.99999999999989</v>
      </c>
      <c r="H23" s="40">
        <f t="shared" si="6"/>
        <v>637.99999999999989</v>
      </c>
      <c r="I23" s="40">
        <f t="shared" si="6"/>
        <v>550</v>
      </c>
      <c r="J23" s="40">
        <f t="shared" si="6"/>
        <v>347</v>
      </c>
      <c r="K23" s="40">
        <f t="shared" si="6"/>
        <v>218</v>
      </c>
      <c r="L23" s="40">
        <f t="shared" si="6"/>
        <v>295</v>
      </c>
      <c r="M23" s="40">
        <f t="shared" si="6"/>
        <v>274</v>
      </c>
      <c r="N23" s="40">
        <f t="shared" si="6"/>
        <v>274</v>
      </c>
      <c r="O23" s="40">
        <f t="shared" si="6"/>
        <v>379</v>
      </c>
      <c r="P23" s="40">
        <f>SUM(D23:O23)</f>
        <v>5048</v>
      </c>
    </row>
    <row r="24" spans="1:16">
      <c r="A24" s="20">
        <f>MAX(A$9:A23)+1</f>
        <v>11</v>
      </c>
      <c r="B24" s="45" t="s">
        <v>139</v>
      </c>
      <c r="C24" s="20"/>
      <c r="D24" s="33">
        <v>5.9627575277337558E-2</v>
      </c>
      <c r="E24" s="33">
        <v>8.3795562599049134E-2</v>
      </c>
      <c r="F24" s="33">
        <v>0.12420760697305863</v>
      </c>
      <c r="G24" s="33">
        <v>0.14302694136291599</v>
      </c>
      <c r="H24" s="33">
        <v>0.12638668779714737</v>
      </c>
      <c r="I24" s="33">
        <v>0.1089540412044374</v>
      </c>
      <c r="J24" s="33">
        <v>6.8740095087163236E-2</v>
      </c>
      <c r="K24" s="33">
        <v>4.318541996830428E-2</v>
      </c>
      <c r="L24" s="33">
        <v>5.8438985736925513E-2</v>
      </c>
      <c r="M24" s="33">
        <v>5.4278922345483357E-2</v>
      </c>
      <c r="N24" s="33">
        <v>5.4278922345483357E-2</v>
      </c>
      <c r="O24" s="33">
        <v>7.507923930269414E-2</v>
      </c>
      <c r="P24" s="34">
        <f>SUM(D24:O24)</f>
        <v>1</v>
      </c>
    </row>
    <row r="25" spans="1:16">
      <c r="B25" s="45"/>
      <c r="C25" s="20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</row>
    <row r="26" spans="1:16">
      <c r="B26" s="48" t="s">
        <v>140</v>
      </c>
      <c r="C26" s="20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20"/>
    </row>
    <row r="27" spans="1:16">
      <c r="A27" s="20">
        <f>MAX(A$9:A26)+1</f>
        <v>12</v>
      </c>
      <c r="B27" s="18" t="s">
        <v>141</v>
      </c>
      <c r="C27" s="40">
        <v>30</v>
      </c>
      <c r="D27" s="40">
        <f t="shared" ref="D27:O27" si="7">IF(D23&gt;$C27,$C27,D23)</f>
        <v>30</v>
      </c>
      <c r="E27" s="40">
        <f t="shared" si="7"/>
        <v>30</v>
      </c>
      <c r="F27" s="40">
        <f t="shared" si="7"/>
        <v>30</v>
      </c>
      <c r="G27" s="40">
        <f t="shared" si="7"/>
        <v>30</v>
      </c>
      <c r="H27" s="40">
        <f t="shared" si="7"/>
        <v>30</v>
      </c>
      <c r="I27" s="40">
        <f t="shared" si="7"/>
        <v>30</v>
      </c>
      <c r="J27" s="40">
        <f t="shared" si="7"/>
        <v>30</v>
      </c>
      <c r="K27" s="40">
        <f t="shared" si="7"/>
        <v>30</v>
      </c>
      <c r="L27" s="40">
        <f t="shared" si="7"/>
        <v>30</v>
      </c>
      <c r="M27" s="40">
        <f t="shared" si="7"/>
        <v>30</v>
      </c>
      <c r="N27" s="40">
        <f t="shared" si="7"/>
        <v>30</v>
      </c>
      <c r="O27" s="40">
        <f t="shared" si="7"/>
        <v>30</v>
      </c>
      <c r="P27" s="40">
        <f>SUM(D27:O27)</f>
        <v>360</v>
      </c>
    </row>
    <row r="28" spans="1:16">
      <c r="A28" s="20">
        <f>MAX(A$9:A27)+1</f>
        <v>13</v>
      </c>
      <c r="B28" s="18" t="s">
        <v>142</v>
      </c>
      <c r="C28" s="40">
        <v>55</v>
      </c>
      <c r="D28" s="40">
        <f t="shared" ref="D28:O28" si="8">IF($C28&lt;D23-D27,$C28,D23-D27)</f>
        <v>55</v>
      </c>
      <c r="E28" s="40">
        <f t="shared" si="8"/>
        <v>55</v>
      </c>
      <c r="F28" s="40">
        <f t="shared" si="8"/>
        <v>55</v>
      </c>
      <c r="G28" s="40">
        <f t="shared" si="8"/>
        <v>55</v>
      </c>
      <c r="H28" s="40">
        <f t="shared" si="8"/>
        <v>55</v>
      </c>
      <c r="I28" s="40">
        <f t="shared" si="8"/>
        <v>55</v>
      </c>
      <c r="J28" s="40">
        <f t="shared" si="8"/>
        <v>55</v>
      </c>
      <c r="K28" s="40">
        <f t="shared" si="8"/>
        <v>55</v>
      </c>
      <c r="L28" s="40">
        <f t="shared" si="8"/>
        <v>55</v>
      </c>
      <c r="M28" s="40">
        <f t="shared" si="8"/>
        <v>55</v>
      </c>
      <c r="N28" s="40">
        <f t="shared" si="8"/>
        <v>55</v>
      </c>
      <c r="O28" s="40">
        <f t="shared" si="8"/>
        <v>55</v>
      </c>
      <c r="P28" s="40">
        <f>SUM(D28:O28)</f>
        <v>660</v>
      </c>
    </row>
    <row r="29" spans="1:16">
      <c r="A29" s="20">
        <f>MAX(A$9:A28)+1</f>
        <v>14</v>
      </c>
      <c r="B29" s="18" t="s">
        <v>142</v>
      </c>
      <c r="C29" s="40">
        <v>85</v>
      </c>
      <c r="D29" s="40">
        <f t="shared" ref="D29:O29" si="9">IF($C29&lt;D23-D27-D28,$C29,D23-D27-D28)</f>
        <v>85</v>
      </c>
      <c r="E29" s="40">
        <f t="shared" si="9"/>
        <v>85</v>
      </c>
      <c r="F29" s="40">
        <f t="shared" si="9"/>
        <v>85</v>
      </c>
      <c r="G29" s="40">
        <f t="shared" si="9"/>
        <v>85</v>
      </c>
      <c r="H29" s="40">
        <f t="shared" si="9"/>
        <v>85</v>
      </c>
      <c r="I29" s="40">
        <f t="shared" si="9"/>
        <v>85</v>
      </c>
      <c r="J29" s="40">
        <f t="shared" si="9"/>
        <v>85</v>
      </c>
      <c r="K29" s="40">
        <f t="shared" si="9"/>
        <v>85</v>
      </c>
      <c r="L29" s="40">
        <f t="shared" si="9"/>
        <v>85</v>
      </c>
      <c r="M29" s="40">
        <f t="shared" si="9"/>
        <v>85</v>
      </c>
      <c r="N29" s="40">
        <f t="shared" si="9"/>
        <v>85</v>
      </c>
      <c r="O29" s="40">
        <f t="shared" si="9"/>
        <v>85</v>
      </c>
      <c r="P29" s="40">
        <f>SUM(D29:O29)</f>
        <v>1020</v>
      </c>
    </row>
    <row r="30" spans="1:16">
      <c r="A30" s="20">
        <f>MAX(A$9:A29)+1</f>
        <v>15</v>
      </c>
      <c r="B30" s="18" t="s">
        <v>143</v>
      </c>
      <c r="C30" s="40">
        <v>170</v>
      </c>
      <c r="D30" s="40">
        <f t="shared" ref="D30:O30" si="10">D23-D29-D28-D27</f>
        <v>131</v>
      </c>
      <c r="E30" s="40">
        <f t="shared" si="10"/>
        <v>253</v>
      </c>
      <c r="F30" s="40">
        <f t="shared" si="10"/>
        <v>457</v>
      </c>
      <c r="G30" s="40">
        <f t="shared" si="10"/>
        <v>551.99999999999989</v>
      </c>
      <c r="H30" s="40">
        <f t="shared" si="10"/>
        <v>467.99999999999989</v>
      </c>
      <c r="I30" s="40">
        <f t="shared" si="10"/>
        <v>380</v>
      </c>
      <c r="J30" s="40">
        <f t="shared" si="10"/>
        <v>177</v>
      </c>
      <c r="K30" s="40">
        <f t="shared" si="10"/>
        <v>48</v>
      </c>
      <c r="L30" s="40">
        <f t="shared" si="10"/>
        <v>125</v>
      </c>
      <c r="M30" s="40">
        <f t="shared" si="10"/>
        <v>104</v>
      </c>
      <c r="N30" s="40">
        <f t="shared" si="10"/>
        <v>104</v>
      </c>
      <c r="O30" s="40">
        <f t="shared" si="10"/>
        <v>209</v>
      </c>
      <c r="P30" s="40">
        <f>SUM(D30:O30)</f>
        <v>3008</v>
      </c>
    </row>
    <row r="31" spans="1:16">
      <c r="A31" s="20">
        <f>MAX(A$9:A30)+1</f>
        <v>16</v>
      </c>
      <c r="B31" s="45" t="s">
        <v>127</v>
      </c>
      <c r="C31" s="40"/>
      <c r="D31" s="41">
        <f t="shared" ref="D31:P31" si="11">SUM(D27:D30)</f>
        <v>301</v>
      </c>
      <c r="E31" s="41">
        <f t="shared" si="11"/>
        <v>423</v>
      </c>
      <c r="F31" s="41">
        <f t="shared" si="11"/>
        <v>627</v>
      </c>
      <c r="G31" s="41">
        <f t="shared" si="11"/>
        <v>721.99999999999989</v>
      </c>
      <c r="H31" s="41">
        <f t="shared" si="11"/>
        <v>637.99999999999989</v>
      </c>
      <c r="I31" s="41">
        <f t="shared" si="11"/>
        <v>550</v>
      </c>
      <c r="J31" s="41">
        <f t="shared" si="11"/>
        <v>347</v>
      </c>
      <c r="K31" s="41">
        <f t="shared" si="11"/>
        <v>218</v>
      </c>
      <c r="L31" s="41">
        <f t="shared" si="11"/>
        <v>295</v>
      </c>
      <c r="M31" s="41">
        <f t="shared" si="11"/>
        <v>274</v>
      </c>
      <c r="N31" s="41">
        <f t="shared" si="11"/>
        <v>274</v>
      </c>
      <c r="O31" s="41">
        <f t="shared" si="11"/>
        <v>379</v>
      </c>
      <c r="P31" s="41">
        <f t="shared" si="11"/>
        <v>5048</v>
      </c>
    </row>
    <row r="32" spans="1:16"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</row>
    <row r="33" spans="1:16"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</row>
    <row r="34" spans="1:16">
      <c r="B34" s="48" t="s">
        <v>54</v>
      </c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</row>
    <row r="35" spans="1:16">
      <c r="A35" s="20">
        <f>MAX(A$9:A34)+1</f>
        <v>17</v>
      </c>
      <c r="B35" s="45" t="s">
        <v>137</v>
      </c>
      <c r="C35" s="42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4">
        <f>5048</f>
        <v>5048</v>
      </c>
    </row>
    <row r="36" spans="1:16">
      <c r="A36" s="20">
        <f>MAX(A$9:A35)+1</f>
        <v>18</v>
      </c>
      <c r="B36" s="45" t="s">
        <v>138</v>
      </c>
      <c r="C36" s="43"/>
      <c r="D36" s="40">
        <f t="shared" ref="D36:O36" ca="1" si="12">$P$22*D37</f>
        <v>301</v>
      </c>
      <c r="E36" s="40">
        <f t="shared" ca="1" si="12"/>
        <v>423</v>
      </c>
      <c r="F36" s="40">
        <f t="shared" ca="1" si="12"/>
        <v>627</v>
      </c>
      <c r="G36" s="40">
        <f t="shared" ca="1" si="12"/>
        <v>721.99999999999989</v>
      </c>
      <c r="H36" s="40">
        <f t="shared" ca="1" si="12"/>
        <v>637.99999999999989</v>
      </c>
      <c r="I36" s="40">
        <f t="shared" ca="1" si="12"/>
        <v>550</v>
      </c>
      <c r="J36" s="40">
        <f t="shared" ca="1" si="12"/>
        <v>347</v>
      </c>
      <c r="K36" s="40">
        <f t="shared" ca="1" si="12"/>
        <v>218</v>
      </c>
      <c r="L36" s="40">
        <f t="shared" ca="1" si="12"/>
        <v>295</v>
      </c>
      <c r="M36" s="40">
        <f t="shared" ca="1" si="12"/>
        <v>274</v>
      </c>
      <c r="N36" s="40">
        <f t="shared" ca="1" si="12"/>
        <v>274</v>
      </c>
      <c r="O36" s="40">
        <f t="shared" ca="1" si="12"/>
        <v>379</v>
      </c>
      <c r="P36" s="40">
        <f ca="1">SUM(D36:O36)</f>
        <v>5048</v>
      </c>
    </row>
    <row r="37" spans="1:16">
      <c r="A37" s="20">
        <f>MAX(A$9:A36)+1</f>
        <v>19</v>
      </c>
      <c r="B37" s="45" t="s">
        <v>139</v>
      </c>
      <c r="C37" s="20"/>
      <c r="D37" s="33">
        <f t="shared" ref="D37:O37" ca="1" si="13">D36/$P$35</f>
        <v>5.9627575277337558E-2</v>
      </c>
      <c r="E37" s="33">
        <f t="shared" ca="1" si="13"/>
        <v>8.3795562599049134E-2</v>
      </c>
      <c r="F37" s="33">
        <f t="shared" ca="1" si="13"/>
        <v>0.12420760697305863</v>
      </c>
      <c r="G37" s="33">
        <f t="shared" ca="1" si="13"/>
        <v>0.14302694136291599</v>
      </c>
      <c r="H37" s="33">
        <f t="shared" ca="1" si="13"/>
        <v>0.12638668779714737</v>
      </c>
      <c r="I37" s="33">
        <f t="shared" ca="1" si="13"/>
        <v>0.1089540412044374</v>
      </c>
      <c r="J37" s="33">
        <f t="shared" ca="1" si="13"/>
        <v>6.8740095087163236E-2</v>
      </c>
      <c r="K37" s="33">
        <f t="shared" ca="1" si="13"/>
        <v>4.318541996830428E-2</v>
      </c>
      <c r="L37" s="33">
        <f t="shared" ca="1" si="13"/>
        <v>5.8438985736925513E-2</v>
      </c>
      <c r="M37" s="33">
        <f t="shared" ca="1" si="13"/>
        <v>5.4278922345483357E-2</v>
      </c>
      <c r="N37" s="33">
        <f t="shared" ca="1" si="13"/>
        <v>5.4278922345483357E-2</v>
      </c>
      <c r="O37" s="33">
        <f t="shared" ca="1" si="13"/>
        <v>7.507923930269414E-2</v>
      </c>
      <c r="P37" s="34">
        <f ca="1">SUM(D37:O37)</f>
        <v>1</v>
      </c>
    </row>
    <row r="38" spans="1:16">
      <c r="B38" s="45"/>
      <c r="C38" s="20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</row>
    <row r="39" spans="1:16">
      <c r="B39" s="48" t="s">
        <v>140</v>
      </c>
      <c r="C39" s="20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20"/>
    </row>
    <row r="40" spans="1:16">
      <c r="A40" s="20">
        <f>MAX(A$9:A39)+1</f>
        <v>20</v>
      </c>
      <c r="B40" s="18" t="s">
        <v>141</v>
      </c>
      <c r="C40" s="40">
        <v>500</v>
      </c>
      <c r="D40" s="40">
        <f t="shared" ref="D40:O40" ca="1" si="14">IF(D36&gt;$C40,$C40,D36)</f>
        <v>301</v>
      </c>
      <c r="E40" s="40">
        <f t="shared" ca="1" si="14"/>
        <v>423</v>
      </c>
      <c r="F40" s="40">
        <f t="shared" ca="1" si="14"/>
        <v>500</v>
      </c>
      <c r="G40" s="40">
        <f t="shared" ca="1" si="14"/>
        <v>500</v>
      </c>
      <c r="H40" s="40">
        <f t="shared" ca="1" si="14"/>
        <v>500</v>
      </c>
      <c r="I40" s="40">
        <f t="shared" ca="1" si="14"/>
        <v>500</v>
      </c>
      <c r="J40" s="40">
        <f t="shared" ca="1" si="14"/>
        <v>347</v>
      </c>
      <c r="K40" s="40">
        <f t="shared" ca="1" si="14"/>
        <v>218</v>
      </c>
      <c r="L40" s="40">
        <f t="shared" ca="1" si="14"/>
        <v>295</v>
      </c>
      <c r="M40" s="40">
        <f t="shared" ca="1" si="14"/>
        <v>274</v>
      </c>
      <c r="N40" s="40">
        <f t="shared" ca="1" si="14"/>
        <v>274</v>
      </c>
      <c r="O40" s="40">
        <f t="shared" ca="1" si="14"/>
        <v>379</v>
      </c>
      <c r="P40" s="40">
        <f ca="1">SUM(D40:O40)</f>
        <v>4511</v>
      </c>
    </row>
    <row r="41" spans="1:16">
      <c r="A41" s="20">
        <f>MAX(A$9:A40)+1</f>
        <v>21</v>
      </c>
      <c r="B41" s="18" t="s">
        <v>142</v>
      </c>
      <c r="C41" s="40">
        <v>1050</v>
      </c>
      <c r="D41" s="40">
        <f t="shared" ref="D41:O41" ca="1" si="15">IF($C41&lt;D36-D40,$C41,D36-D40)</f>
        <v>0</v>
      </c>
      <c r="E41" s="40">
        <f t="shared" ca="1" si="15"/>
        <v>0</v>
      </c>
      <c r="F41" s="40">
        <f t="shared" ca="1" si="15"/>
        <v>127</v>
      </c>
      <c r="G41" s="40">
        <f t="shared" ca="1" si="15"/>
        <v>221.99999999999989</v>
      </c>
      <c r="H41" s="40">
        <f t="shared" ca="1" si="15"/>
        <v>137.99999999999989</v>
      </c>
      <c r="I41" s="40">
        <f t="shared" ca="1" si="15"/>
        <v>50</v>
      </c>
      <c r="J41" s="40">
        <f t="shared" ca="1" si="15"/>
        <v>0</v>
      </c>
      <c r="K41" s="40">
        <f t="shared" ca="1" si="15"/>
        <v>0</v>
      </c>
      <c r="L41" s="40">
        <f t="shared" ca="1" si="15"/>
        <v>0</v>
      </c>
      <c r="M41" s="40">
        <f t="shared" ca="1" si="15"/>
        <v>0</v>
      </c>
      <c r="N41" s="40">
        <f t="shared" ca="1" si="15"/>
        <v>0</v>
      </c>
      <c r="O41" s="40">
        <f t="shared" ca="1" si="15"/>
        <v>0</v>
      </c>
      <c r="P41" s="40">
        <f ca="1">SUM(D41:O41)</f>
        <v>536.99999999999977</v>
      </c>
    </row>
    <row r="42" spans="1:16">
      <c r="A42" s="20">
        <f>MAX(A$9:A41)+1</f>
        <v>22</v>
      </c>
      <c r="B42" s="18" t="s">
        <v>142</v>
      </c>
      <c r="C42" s="40">
        <v>4500</v>
      </c>
      <c r="D42" s="40">
        <f t="shared" ref="D42:O42" ca="1" si="16">IF($C42&lt;D36-D40-D41,$C42,D36-D40-D41)</f>
        <v>0</v>
      </c>
      <c r="E42" s="40">
        <f t="shared" ca="1" si="16"/>
        <v>0</v>
      </c>
      <c r="F42" s="40">
        <f t="shared" ca="1" si="16"/>
        <v>0</v>
      </c>
      <c r="G42" s="40">
        <f t="shared" ca="1" si="16"/>
        <v>0</v>
      </c>
      <c r="H42" s="40">
        <f t="shared" ca="1" si="16"/>
        <v>0</v>
      </c>
      <c r="I42" s="40">
        <f t="shared" ca="1" si="16"/>
        <v>0</v>
      </c>
      <c r="J42" s="40">
        <f t="shared" ca="1" si="16"/>
        <v>0</v>
      </c>
      <c r="K42" s="40">
        <f t="shared" ca="1" si="16"/>
        <v>0</v>
      </c>
      <c r="L42" s="40">
        <f t="shared" ca="1" si="16"/>
        <v>0</v>
      </c>
      <c r="M42" s="40">
        <f t="shared" ca="1" si="16"/>
        <v>0</v>
      </c>
      <c r="N42" s="40">
        <f t="shared" ca="1" si="16"/>
        <v>0</v>
      </c>
      <c r="O42" s="40">
        <f t="shared" ca="1" si="16"/>
        <v>0</v>
      </c>
      <c r="P42" s="40">
        <f ca="1">SUM(D42:O42)</f>
        <v>0</v>
      </c>
    </row>
    <row r="43" spans="1:16">
      <c r="A43" s="20">
        <f>MAX(A$9:A42)+1</f>
        <v>23</v>
      </c>
      <c r="B43" s="18" t="s">
        <v>142</v>
      </c>
      <c r="C43" s="40">
        <v>7000</v>
      </c>
      <c r="D43" s="40">
        <f t="shared" ref="D43:O43" ca="1" si="17">IF($C43&lt;D36-D41-D42,$C43,D36-D40-D41-D42)</f>
        <v>0</v>
      </c>
      <c r="E43" s="40">
        <f t="shared" ca="1" si="17"/>
        <v>0</v>
      </c>
      <c r="F43" s="40">
        <f t="shared" ca="1" si="17"/>
        <v>0</v>
      </c>
      <c r="G43" s="40">
        <f t="shared" ca="1" si="17"/>
        <v>0</v>
      </c>
      <c r="H43" s="40">
        <f t="shared" ca="1" si="17"/>
        <v>0</v>
      </c>
      <c r="I43" s="40">
        <f t="shared" ca="1" si="17"/>
        <v>0</v>
      </c>
      <c r="J43" s="40">
        <f t="shared" ca="1" si="17"/>
        <v>0</v>
      </c>
      <c r="K43" s="40">
        <f t="shared" ca="1" si="17"/>
        <v>0</v>
      </c>
      <c r="L43" s="40">
        <f t="shared" ca="1" si="17"/>
        <v>0</v>
      </c>
      <c r="M43" s="40">
        <f t="shared" ca="1" si="17"/>
        <v>0</v>
      </c>
      <c r="N43" s="40">
        <f t="shared" ca="1" si="17"/>
        <v>0</v>
      </c>
      <c r="O43" s="40">
        <f t="shared" ca="1" si="17"/>
        <v>0</v>
      </c>
      <c r="P43" s="40">
        <f ca="1">SUM(D43:O43)</f>
        <v>0</v>
      </c>
    </row>
    <row r="44" spans="1:16">
      <c r="A44" s="20">
        <f>MAX(A$9:A43)+1</f>
        <v>24</v>
      </c>
      <c r="B44" s="18" t="s">
        <v>142</v>
      </c>
      <c r="C44" s="40">
        <v>15250</v>
      </c>
      <c r="D44" s="40">
        <f t="shared" ref="D44:O44" ca="1" si="18">IF($C44&lt;D36-D40-D41-D42-D43,$C44,D36-D40-D41-D42-D43)</f>
        <v>0</v>
      </c>
      <c r="E44" s="40">
        <f t="shared" ca="1" si="18"/>
        <v>0</v>
      </c>
      <c r="F44" s="40">
        <f t="shared" ca="1" si="18"/>
        <v>0</v>
      </c>
      <c r="G44" s="40">
        <f t="shared" ca="1" si="18"/>
        <v>0</v>
      </c>
      <c r="H44" s="40">
        <f t="shared" ca="1" si="18"/>
        <v>0</v>
      </c>
      <c r="I44" s="40">
        <f t="shared" ca="1" si="18"/>
        <v>0</v>
      </c>
      <c r="J44" s="40">
        <f t="shared" ca="1" si="18"/>
        <v>0</v>
      </c>
      <c r="K44" s="40">
        <f t="shared" ca="1" si="18"/>
        <v>0</v>
      </c>
      <c r="L44" s="40">
        <f t="shared" ca="1" si="18"/>
        <v>0</v>
      </c>
      <c r="M44" s="40">
        <f t="shared" ca="1" si="18"/>
        <v>0</v>
      </c>
      <c r="N44" s="40">
        <f t="shared" ca="1" si="18"/>
        <v>0</v>
      </c>
      <c r="O44" s="40">
        <f t="shared" ca="1" si="18"/>
        <v>0</v>
      </c>
      <c r="P44" s="40">
        <f t="shared" ref="P44:P45" ca="1" si="19">SUM(D44:O44)</f>
        <v>0</v>
      </c>
    </row>
    <row r="45" spans="1:16">
      <c r="A45" s="20">
        <f>MAX(A$9:A44)+1</f>
        <v>25</v>
      </c>
      <c r="B45" s="16" t="s">
        <v>143</v>
      </c>
      <c r="C45" s="57">
        <v>28300</v>
      </c>
      <c r="D45" s="42">
        <f t="shared" ref="D45:O45" ca="1" si="20">D36-D40-D41-D42-D43-D44</f>
        <v>0</v>
      </c>
      <c r="E45" s="42">
        <f t="shared" ca="1" si="20"/>
        <v>0</v>
      </c>
      <c r="F45" s="42">
        <f t="shared" ca="1" si="20"/>
        <v>0</v>
      </c>
      <c r="G45" s="42">
        <f t="shared" ca="1" si="20"/>
        <v>0</v>
      </c>
      <c r="H45" s="42">
        <f t="shared" ca="1" si="20"/>
        <v>0</v>
      </c>
      <c r="I45" s="42">
        <f t="shared" ca="1" si="20"/>
        <v>0</v>
      </c>
      <c r="J45" s="42">
        <f t="shared" ca="1" si="20"/>
        <v>0</v>
      </c>
      <c r="K45" s="42">
        <f t="shared" ca="1" si="20"/>
        <v>0</v>
      </c>
      <c r="L45" s="42">
        <f t="shared" ca="1" si="20"/>
        <v>0</v>
      </c>
      <c r="M45" s="42">
        <f t="shared" ca="1" si="20"/>
        <v>0</v>
      </c>
      <c r="N45" s="42">
        <f t="shared" ca="1" si="20"/>
        <v>0</v>
      </c>
      <c r="O45" s="42">
        <f t="shared" ca="1" si="20"/>
        <v>0</v>
      </c>
      <c r="P45" s="40">
        <f t="shared" ca="1" si="19"/>
        <v>0</v>
      </c>
    </row>
    <row r="46" spans="1:16">
      <c r="A46" s="20">
        <f>MAX(A$9:A45)+1</f>
        <v>26</v>
      </c>
      <c r="B46" s="45" t="s">
        <v>127</v>
      </c>
      <c r="C46" s="42"/>
      <c r="D46" s="41">
        <f t="shared" ref="D46:P46" ca="1" si="21">SUM(D40:D43)</f>
        <v>301</v>
      </c>
      <c r="E46" s="41">
        <f t="shared" ca="1" si="21"/>
        <v>423</v>
      </c>
      <c r="F46" s="41">
        <f t="shared" ca="1" si="21"/>
        <v>627</v>
      </c>
      <c r="G46" s="41">
        <f t="shared" ca="1" si="21"/>
        <v>721.99999999999989</v>
      </c>
      <c r="H46" s="41">
        <f t="shared" ca="1" si="21"/>
        <v>637.99999999999989</v>
      </c>
      <c r="I46" s="41">
        <f t="shared" ca="1" si="21"/>
        <v>550</v>
      </c>
      <c r="J46" s="41">
        <f t="shared" ca="1" si="21"/>
        <v>347</v>
      </c>
      <c r="K46" s="41">
        <f t="shared" ca="1" si="21"/>
        <v>218</v>
      </c>
      <c r="L46" s="41">
        <f t="shared" ca="1" si="21"/>
        <v>295</v>
      </c>
      <c r="M46" s="41">
        <f t="shared" ca="1" si="21"/>
        <v>274</v>
      </c>
      <c r="N46" s="41">
        <f t="shared" ca="1" si="21"/>
        <v>274</v>
      </c>
      <c r="O46" s="41">
        <f t="shared" ca="1" si="21"/>
        <v>379</v>
      </c>
      <c r="P46" s="41">
        <f t="shared" ca="1" si="21"/>
        <v>5048</v>
      </c>
    </row>
    <row r="47" spans="1:16"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</row>
    <row r="48" spans="1:16"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</row>
    <row r="49" spans="1:16">
      <c r="B49" s="48" t="s">
        <v>62</v>
      </c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</row>
    <row r="50" spans="1:16">
      <c r="A50" s="20">
        <f>MAX(A$9:A49)+1</f>
        <v>27</v>
      </c>
      <c r="B50" s="45" t="s">
        <v>137</v>
      </c>
      <c r="C50" s="42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4">
        <f>22606</f>
        <v>22606</v>
      </c>
    </row>
    <row r="51" spans="1:16">
      <c r="A51" s="20">
        <f>MAX(A$9:A50)+1</f>
        <v>28</v>
      </c>
      <c r="B51" s="45" t="s">
        <v>138</v>
      </c>
      <c r="C51" s="43"/>
      <c r="D51" s="40">
        <f t="shared" ref="D51:O51" si="22">D52*$P$50</f>
        <v>978</v>
      </c>
      <c r="E51" s="40">
        <f t="shared" si="22"/>
        <v>1738</v>
      </c>
      <c r="F51" s="40">
        <f t="shared" si="22"/>
        <v>3050</v>
      </c>
      <c r="G51" s="40">
        <f t="shared" si="22"/>
        <v>4015</v>
      </c>
      <c r="H51" s="40">
        <f t="shared" si="22"/>
        <v>4471</v>
      </c>
      <c r="I51" s="40">
        <f t="shared" si="22"/>
        <v>2976.0000000000005</v>
      </c>
      <c r="J51" s="40">
        <f t="shared" si="22"/>
        <v>2325</v>
      </c>
      <c r="K51" s="40">
        <f t="shared" si="22"/>
        <v>1261</v>
      </c>
      <c r="L51" s="40">
        <f t="shared" si="22"/>
        <v>534</v>
      </c>
      <c r="M51" s="40">
        <f t="shared" si="22"/>
        <v>404.00000000000006</v>
      </c>
      <c r="N51" s="40">
        <f t="shared" si="22"/>
        <v>387</v>
      </c>
      <c r="O51" s="40">
        <f t="shared" si="22"/>
        <v>467.00000000000006</v>
      </c>
      <c r="P51" s="40">
        <f>SUM(D51:O51)</f>
        <v>22606</v>
      </c>
    </row>
    <row r="52" spans="1:16">
      <c r="A52" s="20">
        <f>MAX(A$9:A51)+1</f>
        <v>29</v>
      </c>
      <c r="B52" s="45" t="s">
        <v>139</v>
      </c>
      <c r="C52" s="20"/>
      <c r="D52" s="33">
        <v>4.326285057064496E-2</v>
      </c>
      <c r="E52" s="33">
        <v>7.6882243652127757E-2</v>
      </c>
      <c r="F52" s="33">
        <v>0.13491993276121383</v>
      </c>
      <c r="G52" s="33">
        <v>0.17760771476599133</v>
      </c>
      <c r="H52" s="33">
        <v>0.197779350614881</v>
      </c>
      <c r="I52" s="33">
        <v>0.1316464655401221</v>
      </c>
      <c r="J52" s="33">
        <v>0.10284880120322039</v>
      </c>
      <c r="K52" s="33">
        <v>5.5781650889144475E-2</v>
      </c>
      <c r="L52" s="33">
        <v>2.3622047244094488E-2</v>
      </c>
      <c r="M52" s="33">
        <v>1.7871361585419802E-2</v>
      </c>
      <c r="N52" s="33">
        <v>1.7119348845439263E-2</v>
      </c>
      <c r="O52" s="33">
        <v>2.0658232327700612E-2</v>
      </c>
      <c r="P52" s="34">
        <f>SUM(D52:O52)</f>
        <v>1</v>
      </c>
    </row>
    <row r="53" spans="1:16">
      <c r="B53" s="45"/>
      <c r="C53" s="20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</row>
    <row r="54" spans="1:16">
      <c r="B54" s="48" t="s">
        <v>140</v>
      </c>
      <c r="C54" s="20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20"/>
    </row>
    <row r="55" spans="1:16">
      <c r="A55" s="20">
        <f>MAX(A$9:A54)+1</f>
        <v>30</v>
      </c>
      <c r="B55" s="18" t="s">
        <v>141</v>
      </c>
      <c r="C55" s="40">
        <v>500</v>
      </c>
      <c r="D55" s="40">
        <f t="shared" ref="D55:O55" si="23">IF(D51&gt;$C55,$C55,D51)</f>
        <v>500</v>
      </c>
      <c r="E55" s="40">
        <f t="shared" si="23"/>
        <v>500</v>
      </c>
      <c r="F55" s="40">
        <f t="shared" si="23"/>
        <v>500</v>
      </c>
      <c r="G55" s="40">
        <f t="shared" si="23"/>
        <v>500</v>
      </c>
      <c r="H55" s="40">
        <f t="shared" si="23"/>
        <v>500</v>
      </c>
      <c r="I55" s="40">
        <f t="shared" si="23"/>
        <v>500</v>
      </c>
      <c r="J55" s="40">
        <f t="shared" si="23"/>
        <v>500</v>
      </c>
      <c r="K55" s="40">
        <f t="shared" si="23"/>
        <v>500</v>
      </c>
      <c r="L55" s="40">
        <f t="shared" si="23"/>
        <v>500</v>
      </c>
      <c r="M55" s="40">
        <f t="shared" si="23"/>
        <v>404.00000000000006</v>
      </c>
      <c r="N55" s="40">
        <f t="shared" si="23"/>
        <v>387</v>
      </c>
      <c r="O55" s="40">
        <f t="shared" si="23"/>
        <v>467.00000000000006</v>
      </c>
      <c r="P55" s="40">
        <f>SUM(D55:O55)</f>
        <v>5758</v>
      </c>
    </row>
    <row r="56" spans="1:16">
      <c r="A56" s="20">
        <f>MAX(A$9:A55)+1</f>
        <v>31</v>
      </c>
      <c r="B56" s="18" t="s">
        <v>142</v>
      </c>
      <c r="C56" s="40">
        <v>1050</v>
      </c>
      <c r="D56" s="40">
        <f t="shared" ref="D56:O56" si="24">IF($C56&lt;D51-D55,$C56,D51-D55)</f>
        <v>478</v>
      </c>
      <c r="E56" s="40">
        <f t="shared" si="24"/>
        <v>1050</v>
      </c>
      <c r="F56" s="40">
        <f t="shared" si="24"/>
        <v>1050</v>
      </c>
      <c r="G56" s="40">
        <f t="shared" si="24"/>
        <v>1050</v>
      </c>
      <c r="H56" s="40">
        <f t="shared" si="24"/>
        <v>1050</v>
      </c>
      <c r="I56" s="40">
        <f t="shared" si="24"/>
        <v>1050</v>
      </c>
      <c r="J56" s="40">
        <f t="shared" si="24"/>
        <v>1050</v>
      </c>
      <c r="K56" s="40">
        <f t="shared" si="24"/>
        <v>761</v>
      </c>
      <c r="L56" s="40">
        <f t="shared" si="24"/>
        <v>34</v>
      </c>
      <c r="M56" s="40">
        <f t="shared" si="24"/>
        <v>0</v>
      </c>
      <c r="N56" s="40">
        <f t="shared" si="24"/>
        <v>0</v>
      </c>
      <c r="O56" s="40">
        <f t="shared" si="24"/>
        <v>0</v>
      </c>
      <c r="P56" s="40">
        <f>SUM(D56:O56)</f>
        <v>7573</v>
      </c>
    </row>
    <row r="57" spans="1:16">
      <c r="A57" s="20">
        <f>MAX(A$9:A56)+1</f>
        <v>32</v>
      </c>
      <c r="B57" s="18" t="s">
        <v>142</v>
      </c>
      <c r="C57" s="40">
        <v>4500</v>
      </c>
      <c r="D57" s="40">
        <f t="shared" ref="D57:O57" si="25">IF($C57&lt;D51-D55-D56,$C57,D51-D55-D56)</f>
        <v>0</v>
      </c>
      <c r="E57" s="40">
        <f t="shared" si="25"/>
        <v>188</v>
      </c>
      <c r="F57" s="40">
        <f t="shared" si="25"/>
        <v>1500</v>
      </c>
      <c r="G57" s="40">
        <f t="shared" si="25"/>
        <v>2465</v>
      </c>
      <c r="H57" s="40">
        <f t="shared" si="25"/>
        <v>2921</v>
      </c>
      <c r="I57" s="40">
        <f t="shared" si="25"/>
        <v>1426.0000000000005</v>
      </c>
      <c r="J57" s="40">
        <f t="shared" si="25"/>
        <v>775</v>
      </c>
      <c r="K57" s="40">
        <f t="shared" si="25"/>
        <v>0</v>
      </c>
      <c r="L57" s="40">
        <f t="shared" si="25"/>
        <v>0</v>
      </c>
      <c r="M57" s="40">
        <f t="shared" si="25"/>
        <v>0</v>
      </c>
      <c r="N57" s="40">
        <f t="shared" si="25"/>
        <v>0</v>
      </c>
      <c r="O57" s="40">
        <f t="shared" si="25"/>
        <v>0</v>
      </c>
      <c r="P57" s="40">
        <f>SUM(D57:O57)</f>
        <v>9275</v>
      </c>
    </row>
    <row r="58" spans="1:16">
      <c r="A58" s="20">
        <f>MAX(A$9:A57)+1</f>
        <v>33</v>
      </c>
      <c r="B58" s="18" t="s">
        <v>142</v>
      </c>
      <c r="C58" s="40">
        <v>7000</v>
      </c>
      <c r="D58" s="40">
        <f t="shared" ref="D58:O58" si="26">IF($C58&lt;D51-D56-D57,$C58,D51-D55-D56-D57)</f>
        <v>0</v>
      </c>
      <c r="E58" s="40">
        <f t="shared" si="26"/>
        <v>0</v>
      </c>
      <c r="F58" s="40">
        <f t="shared" si="26"/>
        <v>0</v>
      </c>
      <c r="G58" s="40">
        <f t="shared" si="26"/>
        <v>0</v>
      </c>
      <c r="H58" s="40">
        <f t="shared" si="26"/>
        <v>0</v>
      </c>
      <c r="I58" s="40">
        <f t="shared" si="26"/>
        <v>0</v>
      </c>
      <c r="J58" s="40">
        <f t="shared" si="26"/>
        <v>0</v>
      </c>
      <c r="K58" s="40">
        <f t="shared" si="26"/>
        <v>0</v>
      </c>
      <c r="L58" s="40">
        <f t="shared" si="26"/>
        <v>0</v>
      </c>
      <c r="M58" s="40">
        <f t="shared" si="26"/>
        <v>0</v>
      </c>
      <c r="N58" s="40">
        <f t="shared" si="26"/>
        <v>0</v>
      </c>
      <c r="O58" s="40">
        <f t="shared" si="26"/>
        <v>0</v>
      </c>
      <c r="P58" s="40">
        <f>SUM(D58:O58)</f>
        <v>0</v>
      </c>
    </row>
    <row r="59" spans="1:16">
      <c r="A59" s="20">
        <f>MAX(A$9:A58)+1</f>
        <v>34</v>
      </c>
      <c r="B59" s="18" t="s">
        <v>142</v>
      </c>
      <c r="C59" s="40">
        <v>15250</v>
      </c>
      <c r="D59" s="40">
        <f t="shared" ref="D59:O59" si="27">IF($C59&lt;D51-D55-D56-D57-D58,$C59,D51-D55-D56-D57-D58)</f>
        <v>0</v>
      </c>
      <c r="E59" s="40">
        <f t="shared" si="27"/>
        <v>0</v>
      </c>
      <c r="F59" s="40">
        <f t="shared" si="27"/>
        <v>0</v>
      </c>
      <c r="G59" s="40">
        <f t="shared" si="27"/>
        <v>0</v>
      </c>
      <c r="H59" s="40">
        <f t="shared" si="27"/>
        <v>0</v>
      </c>
      <c r="I59" s="40">
        <f t="shared" si="27"/>
        <v>0</v>
      </c>
      <c r="J59" s="40">
        <f t="shared" si="27"/>
        <v>0</v>
      </c>
      <c r="K59" s="40">
        <f t="shared" si="27"/>
        <v>0</v>
      </c>
      <c r="L59" s="40">
        <f t="shared" si="27"/>
        <v>0</v>
      </c>
      <c r="M59" s="40">
        <f t="shared" si="27"/>
        <v>0</v>
      </c>
      <c r="N59" s="40">
        <f t="shared" si="27"/>
        <v>0</v>
      </c>
      <c r="O59" s="40">
        <f t="shared" si="27"/>
        <v>0</v>
      </c>
      <c r="P59" s="40">
        <f t="shared" ref="P59:P60" si="28">SUM(D59:O59)</f>
        <v>0</v>
      </c>
    </row>
    <row r="60" spans="1:16">
      <c r="A60" s="20">
        <f>MAX(A$9:A59)+1</f>
        <v>35</v>
      </c>
      <c r="B60" s="16" t="s">
        <v>143</v>
      </c>
      <c r="C60" s="57">
        <v>28300</v>
      </c>
      <c r="D60" s="42">
        <f t="shared" ref="D60:O60" si="29">D51-D55-D56-D57-D58-D59</f>
        <v>0</v>
      </c>
      <c r="E60" s="42">
        <f t="shared" si="29"/>
        <v>0</v>
      </c>
      <c r="F60" s="42">
        <f t="shared" si="29"/>
        <v>0</v>
      </c>
      <c r="G60" s="42">
        <f t="shared" si="29"/>
        <v>0</v>
      </c>
      <c r="H60" s="42">
        <f t="shared" si="29"/>
        <v>0</v>
      </c>
      <c r="I60" s="42">
        <f t="shared" si="29"/>
        <v>0</v>
      </c>
      <c r="J60" s="42">
        <f t="shared" si="29"/>
        <v>0</v>
      </c>
      <c r="K60" s="42">
        <f t="shared" si="29"/>
        <v>0</v>
      </c>
      <c r="L60" s="42">
        <f t="shared" si="29"/>
        <v>0</v>
      </c>
      <c r="M60" s="42">
        <f t="shared" si="29"/>
        <v>0</v>
      </c>
      <c r="N60" s="42">
        <f t="shared" si="29"/>
        <v>0</v>
      </c>
      <c r="O60" s="42">
        <f t="shared" si="29"/>
        <v>0</v>
      </c>
      <c r="P60" s="40">
        <f t="shared" si="28"/>
        <v>0</v>
      </c>
    </row>
    <row r="61" spans="1:16">
      <c r="A61" s="20">
        <f>MAX(A$9:A60)+1</f>
        <v>36</v>
      </c>
      <c r="B61" s="45" t="s">
        <v>127</v>
      </c>
      <c r="C61" s="42"/>
      <c r="D61" s="41">
        <f t="shared" ref="D61:P61" si="30">SUM(D55:D58)</f>
        <v>978</v>
      </c>
      <c r="E61" s="41">
        <f t="shared" si="30"/>
        <v>1738</v>
      </c>
      <c r="F61" s="41">
        <f t="shared" si="30"/>
        <v>3050</v>
      </c>
      <c r="G61" s="41">
        <f t="shared" si="30"/>
        <v>4015</v>
      </c>
      <c r="H61" s="41">
        <f t="shared" si="30"/>
        <v>4471</v>
      </c>
      <c r="I61" s="41">
        <f t="shared" si="30"/>
        <v>2976.0000000000005</v>
      </c>
      <c r="J61" s="41">
        <f t="shared" si="30"/>
        <v>2325</v>
      </c>
      <c r="K61" s="41">
        <f t="shared" si="30"/>
        <v>1261</v>
      </c>
      <c r="L61" s="41">
        <f t="shared" si="30"/>
        <v>534</v>
      </c>
      <c r="M61" s="41">
        <f t="shared" si="30"/>
        <v>404.00000000000006</v>
      </c>
      <c r="N61" s="41">
        <f t="shared" si="30"/>
        <v>387</v>
      </c>
      <c r="O61" s="41">
        <f t="shared" si="30"/>
        <v>467.00000000000006</v>
      </c>
      <c r="P61" s="41">
        <f t="shared" si="30"/>
        <v>22606</v>
      </c>
    </row>
    <row r="62" spans="1:16"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</row>
    <row r="63" spans="1:16"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</row>
    <row r="64" spans="1:16">
      <c r="B64" s="48" t="s">
        <v>63</v>
      </c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</row>
    <row r="65" spans="1:16">
      <c r="A65" s="20">
        <f>MAX(A$9:A64)+1</f>
        <v>37</v>
      </c>
      <c r="B65" s="45" t="s">
        <v>137</v>
      </c>
      <c r="C65" s="42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4">
        <v>339124</v>
      </c>
    </row>
    <row r="66" spans="1:16">
      <c r="A66" s="20">
        <f>MAX(A$9:A65)+1</f>
        <v>38</v>
      </c>
      <c r="B66" s="45" t="s">
        <v>138</v>
      </c>
      <c r="C66" s="43"/>
      <c r="D66" s="40">
        <v>22608</v>
      </c>
      <c r="E66" s="40">
        <v>26848</v>
      </c>
      <c r="F66" s="40">
        <v>38152</v>
      </c>
      <c r="G66" s="40">
        <v>42955</v>
      </c>
      <c r="H66" s="40">
        <v>40977</v>
      </c>
      <c r="I66" s="40">
        <v>39000</v>
      </c>
      <c r="J66" s="40">
        <v>33347</v>
      </c>
      <c r="K66" s="40">
        <v>23174</v>
      </c>
      <c r="L66" s="40">
        <v>21195</v>
      </c>
      <c r="M66" s="40">
        <v>16956</v>
      </c>
      <c r="N66" s="40">
        <v>16956</v>
      </c>
      <c r="O66" s="40">
        <v>16956</v>
      </c>
      <c r="P66" s="40">
        <f>SUM(D66:O66)</f>
        <v>339124</v>
      </c>
    </row>
    <row r="67" spans="1:16">
      <c r="A67" s="20">
        <f>MAX(A$9:A66)+1</f>
        <v>39</v>
      </c>
      <c r="B67" s="45" t="s">
        <v>139</v>
      </c>
      <c r="C67" s="20"/>
      <c r="D67" s="33">
        <f t="shared" ref="D67:O67" si="31">D66/$P$65</f>
        <v>6.6665880326960053E-2</v>
      </c>
      <c r="E67" s="33">
        <f t="shared" si="31"/>
        <v>7.9168681662164869E-2</v>
      </c>
      <c r="F67" s="33">
        <f t="shared" si="31"/>
        <v>0.1125016218256449</v>
      </c>
      <c r="G67" s="33">
        <f t="shared" si="31"/>
        <v>0.12666458286644414</v>
      </c>
      <c r="H67" s="33">
        <f t="shared" si="31"/>
        <v>0.12083190809261508</v>
      </c>
      <c r="I67" s="33">
        <f t="shared" si="31"/>
        <v>0.11500218209268587</v>
      </c>
      <c r="J67" s="33">
        <f t="shared" si="31"/>
        <v>9.8332763237046039E-2</v>
      </c>
      <c r="K67" s="33">
        <f t="shared" si="31"/>
        <v>6.8334886354253901E-2</v>
      </c>
      <c r="L67" s="33">
        <f t="shared" si="31"/>
        <v>6.2499262806525048E-2</v>
      </c>
      <c r="M67" s="33">
        <f t="shared" si="31"/>
        <v>4.999941024522004E-2</v>
      </c>
      <c r="N67" s="33">
        <f t="shared" si="31"/>
        <v>4.999941024522004E-2</v>
      </c>
      <c r="O67" s="33">
        <f t="shared" si="31"/>
        <v>4.999941024522004E-2</v>
      </c>
      <c r="P67" s="34">
        <f>SUM(D67:O67)</f>
        <v>1.0000000000000002</v>
      </c>
    </row>
    <row r="68" spans="1:16">
      <c r="B68" s="45"/>
      <c r="C68" s="20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</row>
    <row r="69" spans="1:16">
      <c r="B69" s="48" t="s">
        <v>140</v>
      </c>
      <c r="C69" s="20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20"/>
    </row>
    <row r="70" spans="1:16">
      <c r="A70" s="20">
        <f>MAX(A$9:A69)+1</f>
        <v>40</v>
      </c>
      <c r="B70" s="18" t="s">
        <v>141</v>
      </c>
      <c r="C70" s="40">
        <v>500</v>
      </c>
      <c r="D70" s="40">
        <f t="shared" ref="D70:O70" si="32">IF(D66&gt;$C70,$C70,D66)</f>
        <v>500</v>
      </c>
      <c r="E70" s="40">
        <f t="shared" si="32"/>
        <v>500</v>
      </c>
      <c r="F70" s="40">
        <f t="shared" si="32"/>
        <v>500</v>
      </c>
      <c r="G70" s="40">
        <f t="shared" si="32"/>
        <v>500</v>
      </c>
      <c r="H70" s="40">
        <f t="shared" si="32"/>
        <v>500</v>
      </c>
      <c r="I70" s="40">
        <f t="shared" si="32"/>
        <v>500</v>
      </c>
      <c r="J70" s="40">
        <f t="shared" si="32"/>
        <v>500</v>
      </c>
      <c r="K70" s="40">
        <f t="shared" si="32"/>
        <v>500</v>
      </c>
      <c r="L70" s="40">
        <f t="shared" si="32"/>
        <v>500</v>
      </c>
      <c r="M70" s="40">
        <f t="shared" si="32"/>
        <v>500</v>
      </c>
      <c r="N70" s="40">
        <f t="shared" si="32"/>
        <v>500</v>
      </c>
      <c r="O70" s="40">
        <f t="shared" si="32"/>
        <v>500</v>
      </c>
      <c r="P70" s="40">
        <f>SUM(D70:O70)</f>
        <v>6000</v>
      </c>
    </row>
    <row r="71" spans="1:16">
      <c r="A71" s="20">
        <f>MAX(A$9:A70)+1</f>
        <v>41</v>
      </c>
      <c r="B71" s="18" t="s">
        <v>142</v>
      </c>
      <c r="C71" s="40">
        <v>1050</v>
      </c>
      <c r="D71" s="40">
        <f t="shared" ref="D71:O71" si="33">IF($C71&lt;D66-D70,$C71,D66-D70)</f>
        <v>1050</v>
      </c>
      <c r="E71" s="40">
        <f t="shared" si="33"/>
        <v>1050</v>
      </c>
      <c r="F71" s="40">
        <f t="shared" si="33"/>
        <v>1050</v>
      </c>
      <c r="G71" s="40">
        <f t="shared" si="33"/>
        <v>1050</v>
      </c>
      <c r="H71" s="40">
        <f t="shared" si="33"/>
        <v>1050</v>
      </c>
      <c r="I71" s="40">
        <f t="shared" si="33"/>
        <v>1050</v>
      </c>
      <c r="J71" s="40">
        <f t="shared" si="33"/>
        <v>1050</v>
      </c>
      <c r="K71" s="40">
        <f t="shared" si="33"/>
        <v>1050</v>
      </c>
      <c r="L71" s="40">
        <f t="shared" si="33"/>
        <v>1050</v>
      </c>
      <c r="M71" s="40">
        <f t="shared" si="33"/>
        <v>1050</v>
      </c>
      <c r="N71" s="40">
        <f t="shared" si="33"/>
        <v>1050</v>
      </c>
      <c r="O71" s="40">
        <f t="shared" si="33"/>
        <v>1050</v>
      </c>
      <c r="P71" s="40">
        <f>SUM(D71:O71)</f>
        <v>12600</v>
      </c>
    </row>
    <row r="72" spans="1:16">
      <c r="A72" s="20">
        <f>MAX(A$9:A71)+1</f>
        <v>42</v>
      </c>
      <c r="B72" s="18" t="s">
        <v>142</v>
      </c>
      <c r="C72" s="40">
        <v>4500</v>
      </c>
      <c r="D72" s="40">
        <f t="shared" ref="D72:O72" si="34">IF($C72&lt;D66-D70-D71,$C72,D66-D70-D71)</f>
        <v>4500</v>
      </c>
      <c r="E72" s="40">
        <f t="shared" si="34"/>
        <v>4500</v>
      </c>
      <c r="F72" s="40">
        <f t="shared" si="34"/>
        <v>4500</v>
      </c>
      <c r="G72" s="40">
        <f t="shared" si="34"/>
        <v>4500</v>
      </c>
      <c r="H72" s="40">
        <f t="shared" si="34"/>
        <v>4500</v>
      </c>
      <c r="I72" s="40">
        <f t="shared" si="34"/>
        <v>4500</v>
      </c>
      <c r="J72" s="40">
        <f t="shared" si="34"/>
        <v>4500</v>
      </c>
      <c r="K72" s="40">
        <f t="shared" si="34"/>
        <v>4500</v>
      </c>
      <c r="L72" s="40">
        <f t="shared" si="34"/>
        <v>4500</v>
      </c>
      <c r="M72" s="40">
        <f t="shared" si="34"/>
        <v>4500</v>
      </c>
      <c r="N72" s="40">
        <f t="shared" si="34"/>
        <v>4500</v>
      </c>
      <c r="O72" s="40">
        <f t="shared" si="34"/>
        <v>4500</v>
      </c>
      <c r="P72" s="40">
        <f>SUM(D72:O72)</f>
        <v>54000</v>
      </c>
    </row>
    <row r="73" spans="1:16">
      <c r="A73" s="20">
        <f>MAX(A$9:A72)+1</f>
        <v>43</v>
      </c>
      <c r="B73" s="18" t="s">
        <v>142</v>
      </c>
      <c r="C73" s="40">
        <v>7000</v>
      </c>
      <c r="D73" s="40">
        <f t="shared" ref="D73:O73" si="35">IF($C73&lt;D66-D71-D72,$C73,D66-D70-D71-D72)</f>
        <v>7000</v>
      </c>
      <c r="E73" s="40">
        <f t="shared" si="35"/>
        <v>7000</v>
      </c>
      <c r="F73" s="40">
        <f t="shared" si="35"/>
        <v>7000</v>
      </c>
      <c r="G73" s="40">
        <f t="shared" si="35"/>
        <v>7000</v>
      </c>
      <c r="H73" s="40">
        <f t="shared" si="35"/>
        <v>7000</v>
      </c>
      <c r="I73" s="40">
        <f t="shared" si="35"/>
        <v>7000</v>
      </c>
      <c r="J73" s="40">
        <f t="shared" si="35"/>
        <v>7000</v>
      </c>
      <c r="K73" s="40">
        <f t="shared" si="35"/>
        <v>7000</v>
      </c>
      <c r="L73" s="40">
        <f t="shared" si="35"/>
        <v>7000</v>
      </c>
      <c r="M73" s="40">
        <f t="shared" si="35"/>
        <v>7000</v>
      </c>
      <c r="N73" s="40">
        <f t="shared" si="35"/>
        <v>7000</v>
      </c>
      <c r="O73" s="40">
        <f t="shared" si="35"/>
        <v>7000</v>
      </c>
      <c r="P73" s="40">
        <f>SUM(D73:O73)</f>
        <v>84000</v>
      </c>
    </row>
    <row r="74" spans="1:16">
      <c r="A74" s="20">
        <f>MAX(A$9:A73)+1</f>
        <v>44</v>
      </c>
      <c r="B74" s="18" t="s">
        <v>142</v>
      </c>
      <c r="C74" s="40">
        <v>15250</v>
      </c>
      <c r="D74" s="40">
        <f t="shared" ref="D74:O74" si="36">IF($C74&lt;D66-D70-D71-D72-D73,$C74,D66-D70-D71-D72-D73)</f>
        <v>9558</v>
      </c>
      <c r="E74" s="40">
        <f t="shared" si="36"/>
        <v>13798</v>
      </c>
      <c r="F74" s="40">
        <f t="shared" si="36"/>
        <v>15250</v>
      </c>
      <c r="G74" s="40">
        <f t="shared" si="36"/>
        <v>15250</v>
      </c>
      <c r="H74" s="40">
        <f t="shared" si="36"/>
        <v>15250</v>
      </c>
      <c r="I74" s="40">
        <f t="shared" si="36"/>
        <v>15250</v>
      </c>
      <c r="J74" s="40">
        <f t="shared" si="36"/>
        <v>15250</v>
      </c>
      <c r="K74" s="40">
        <f t="shared" si="36"/>
        <v>10124</v>
      </c>
      <c r="L74" s="40">
        <f t="shared" si="36"/>
        <v>8145</v>
      </c>
      <c r="M74" s="40">
        <f t="shared" si="36"/>
        <v>3906</v>
      </c>
      <c r="N74" s="40">
        <f t="shared" si="36"/>
        <v>3906</v>
      </c>
      <c r="O74" s="40">
        <f t="shared" si="36"/>
        <v>3906</v>
      </c>
      <c r="P74" s="40">
        <f t="shared" ref="P74:P75" si="37">SUM(D74:O74)</f>
        <v>129593</v>
      </c>
    </row>
    <row r="75" spans="1:16">
      <c r="A75" s="20">
        <f>MAX(A$9:A74)+1</f>
        <v>45</v>
      </c>
      <c r="B75" s="16" t="s">
        <v>143</v>
      </c>
      <c r="C75" s="57">
        <v>28300</v>
      </c>
      <c r="D75" s="42">
        <f t="shared" ref="D75:O75" si="38">D66-D70-D71-D72-D73-D74</f>
        <v>0</v>
      </c>
      <c r="E75" s="42">
        <f t="shared" si="38"/>
        <v>0</v>
      </c>
      <c r="F75" s="42">
        <f t="shared" si="38"/>
        <v>9852</v>
      </c>
      <c r="G75" s="42">
        <f t="shared" si="38"/>
        <v>14655</v>
      </c>
      <c r="H75" s="42">
        <f t="shared" si="38"/>
        <v>12677</v>
      </c>
      <c r="I75" s="42">
        <f t="shared" si="38"/>
        <v>10700</v>
      </c>
      <c r="J75" s="42">
        <f t="shared" si="38"/>
        <v>5047</v>
      </c>
      <c r="K75" s="42">
        <f t="shared" si="38"/>
        <v>0</v>
      </c>
      <c r="L75" s="42">
        <f t="shared" si="38"/>
        <v>0</v>
      </c>
      <c r="M75" s="42">
        <f t="shared" si="38"/>
        <v>0</v>
      </c>
      <c r="N75" s="42">
        <f t="shared" si="38"/>
        <v>0</v>
      </c>
      <c r="O75" s="42">
        <f t="shared" si="38"/>
        <v>0</v>
      </c>
      <c r="P75" s="40">
        <f t="shared" si="37"/>
        <v>52931</v>
      </c>
    </row>
    <row r="76" spans="1:16">
      <c r="A76" s="20">
        <f>MAX(A$9:A75)+1</f>
        <v>46</v>
      </c>
      <c r="B76" s="45" t="s">
        <v>127</v>
      </c>
      <c r="C76" s="42"/>
      <c r="D76" s="41">
        <f t="shared" ref="D76:P76" si="39">SUM(D70:D73)</f>
        <v>13050</v>
      </c>
      <c r="E76" s="41">
        <f t="shared" si="39"/>
        <v>13050</v>
      </c>
      <c r="F76" s="41">
        <f t="shared" si="39"/>
        <v>13050</v>
      </c>
      <c r="G76" s="41">
        <f t="shared" si="39"/>
        <v>13050</v>
      </c>
      <c r="H76" s="41">
        <f t="shared" si="39"/>
        <v>13050</v>
      </c>
      <c r="I76" s="41">
        <f t="shared" si="39"/>
        <v>13050</v>
      </c>
      <c r="J76" s="41">
        <f t="shared" si="39"/>
        <v>13050</v>
      </c>
      <c r="K76" s="41">
        <f t="shared" si="39"/>
        <v>13050</v>
      </c>
      <c r="L76" s="41">
        <f t="shared" si="39"/>
        <v>13050</v>
      </c>
      <c r="M76" s="41">
        <f t="shared" si="39"/>
        <v>13050</v>
      </c>
      <c r="N76" s="41">
        <f t="shared" si="39"/>
        <v>13050</v>
      </c>
      <c r="O76" s="41">
        <f t="shared" si="39"/>
        <v>13050</v>
      </c>
      <c r="P76" s="41">
        <f t="shared" si="39"/>
        <v>156600</v>
      </c>
    </row>
    <row r="77" spans="1:16"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</row>
    <row r="78" spans="1:16">
      <c r="A78" s="152" t="s">
        <v>114</v>
      </c>
      <c r="B78" s="152"/>
      <c r="C78" s="152"/>
      <c r="D78" s="152"/>
      <c r="E78" s="152"/>
      <c r="F78" s="152"/>
      <c r="G78" s="152"/>
      <c r="H78" s="152"/>
      <c r="I78" s="152"/>
      <c r="J78" s="152"/>
      <c r="K78" s="152"/>
      <c r="L78" s="152"/>
      <c r="M78" s="152"/>
      <c r="N78" s="152"/>
      <c r="O78" s="152"/>
      <c r="P78" s="152"/>
    </row>
    <row r="79" spans="1:16">
      <c r="B79" s="152" t="s">
        <v>144</v>
      </c>
      <c r="C79" s="152"/>
      <c r="D79" s="152"/>
      <c r="E79" s="152"/>
      <c r="F79" s="152"/>
      <c r="G79" s="152"/>
      <c r="H79" s="152"/>
      <c r="I79" s="152"/>
      <c r="J79" s="152"/>
      <c r="K79" s="152"/>
      <c r="L79" s="152"/>
      <c r="M79" s="152"/>
      <c r="N79" s="152"/>
      <c r="O79" s="152"/>
      <c r="P79" s="152"/>
    </row>
    <row r="80" spans="1:16">
      <c r="B80" s="46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</row>
    <row r="81" spans="1:16">
      <c r="A81" s="25" t="s">
        <v>8</v>
      </c>
      <c r="B81" s="46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</row>
    <row r="82" spans="1:16">
      <c r="A82" s="28" t="s">
        <v>16</v>
      </c>
      <c r="B82" s="47" t="s">
        <v>17</v>
      </c>
      <c r="C82" s="28"/>
      <c r="D82" s="29" t="s">
        <v>115</v>
      </c>
      <c r="E82" s="29" t="s">
        <v>116</v>
      </c>
      <c r="F82" s="29" t="s">
        <v>117</v>
      </c>
      <c r="G82" s="29" t="s">
        <v>118</v>
      </c>
      <c r="H82" s="29" t="s">
        <v>119</v>
      </c>
      <c r="I82" s="29" t="s">
        <v>120</v>
      </c>
      <c r="J82" s="29" t="s">
        <v>121</v>
      </c>
      <c r="K82" s="29" t="s">
        <v>122</v>
      </c>
      <c r="L82" s="29" t="s">
        <v>123</v>
      </c>
      <c r="M82" s="29" t="s">
        <v>124</v>
      </c>
      <c r="N82" s="29" t="s">
        <v>125</v>
      </c>
      <c r="O82" s="29" t="s">
        <v>126</v>
      </c>
      <c r="P82" s="29" t="s">
        <v>127</v>
      </c>
    </row>
    <row r="83" spans="1:16">
      <c r="B83" s="46"/>
      <c r="C83" s="25"/>
      <c r="D83" s="26" t="s">
        <v>22</v>
      </c>
      <c r="E83" s="26" t="s">
        <v>23</v>
      </c>
      <c r="F83" s="26" t="s">
        <v>24</v>
      </c>
      <c r="G83" s="26" t="s">
        <v>128</v>
      </c>
      <c r="H83" s="26" t="s">
        <v>129</v>
      </c>
      <c r="I83" s="26" t="s">
        <v>130</v>
      </c>
      <c r="J83" s="26" t="s">
        <v>131</v>
      </c>
      <c r="K83" s="26" t="s">
        <v>29</v>
      </c>
      <c r="L83" s="26" t="s">
        <v>132</v>
      </c>
      <c r="M83" s="26" t="s">
        <v>133</v>
      </c>
      <c r="N83" s="26" t="s">
        <v>134</v>
      </c>
      <c r="O83" s="26" t="s">
        <v>135</v>
      </c>
      <c r="P83" s="26" t="s">
        <v>136</v>
      </c>
    </row>
    <row r="84" spans="1:16">
      <c r="B84" s="46"/>
      <c r="C84" s="25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</row>
    <row r="85" spans="1:16">
      <c r="B85" s="48" t="s">
        <v>71</v>
      </c>
      <c r="C85" s="32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</row>
    <row r="86" spans="1:16">
      <c r="A86" s="20">
        <f>MAX(A$9:A85)+1</f>
        <v>47</v>
      </c>
      <c r="B86" s="45" t="s">
        <v>137</v>
      </c>
      <c r="C86" s="25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56">
        <f>2200</f>
        <v>2200</v>
      </c>
    </row>
    <row r="87" spans="1:16">
      <c r="A87" s="20">
        <f>MAX(A$9:A86)+1</f>
        <v>48</v>
      </c>
      <c r="B87" s="45" t="s">
        <v>138</v>
      </c>
      <c r="C87" s="32"/>
      <c r="D87" s="40">
        <f t="shared" ref="D87:O87" si="40">ROUND(D88*$P$86,2)</f>
        <v>385</v>
      </c>
      <c r="E87" s="40">
        <f t="shared" si="40"/>
        <v>402.6</v>
      </c>
      <c r="F87" s="40">
        <f t="shared" si="40"/>
        <v>332.2</v>
      </c>
      <c r="G87" s="40">
        <f t="shared" si="40"/>
        <v>200.2</v>
      </c>
      <c r="H87" s="40">
        <f t="shared" si="40"/>
        <v>114.4</v>
      </c>
      <c r="I87" s="40">
        <f t="shared" si="40"/>
        <v>63.8</v>
      </c>
      <c r="J87" s="40">
        <f t="shared" si="40"/>
        <v>48.4</v>
      </c>
      <c r="K87" s="40">
        <f t="shared" si="40"/>
        <v>46.2</v>
      </c>
      <c r="L87" s="40">
        <f t="shared" si="40"/>
        <v>48.4</v>
      </c>
      <c r="M87" s="40">
        <f t="shared" si="40"/>
        <v>105.6</v>
      </c>
      <c r="N87" s="40">
        <f t="shared" si="40"/>
        <v>158.4</v>
      </c>
      <c r="O87" s="40">
        <f t="shared" si="40"/>
        <v>294.8</v>
      </c>
      <c r="P87" s="40">
        <f>SUM(D87:O87)</f>
        <v>2200.0000000000005</v>
      </c>
    </row>
    <row r="88" spans="1:16">
      <c r="A88" s="20">
        <f>MAX(A$9:A87)+1</f>
        <v>49</v>
      </c>
      <c r="B88" s="45" t="s">
        <v>139</v>
      </c>
      <c r="C88" s="32"/>
      <c r="D88" s="36">
        <v>0.17499999999999999</v>
      </c>
      <c r="E88" s="36">
        <v>0.183</v>
      </c>
      <c r="F88" s="36">
        <v>0.151</v>
      </c>
      <c r="G88" s="36">
        <v>9.0999999999999998E-2</v>
      </c>
      <c r="H88" s="36">
        <v>5.2000000000000005E-2</v>
      </c>
      <c r="I88" s="36">
        <v>2.9000000000000001E-2</v>
      </c>
      <c r="J88" s="36">
        <v>2.2000000000000002E-2</v>
      </c>
      <c r="K88" s="36">
        <v>2.1000000000000001E-2</v>
      </c>
      <c r="L88" s="36">
        <v>2.2000000000000002E-2</v>
      </c>
      <c r="M88" s="36">
        <v>4.8000000000000001E-2</v>
      </c>
      <c r="N88" s="36">
        <v>7.2000000000000008E-2</v>
      </c>
      <c r="O88" s="36">
        <v>0.13400000000000001</v>
      </c>
      <c r="P88" s="37">
        <f>SUM(D88:O88)</f>
        <v>1</v>
      </c>
    </row>
    <row r="89" spans="1:16">
      <c r="B89" s="50"/>
      <c r="C89" s="32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</row>
    <row r="90" spans="1:16">
      <c r="B90" s="48" t="s">
        <v>140</v>
      </c>
      <c r="C90" s="32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</row>
    <row r="91" spans="1:16">
      <c r="A91" s="20">
        <f>MAX(A$9:A90)+1</f>
        <v>50</v>
      </c>
      <c r="B91" s="17" t="s">
        <v>141</v>
      </c>
      <c r="C91" s="40">
        <v>100</v>
      </c>
      <c r="D91" s="40">
        <f t="shared" ref="D91:O91" si="41">IF(D87&gt;$C91,$C91,D87)</f>
        <v>100</v>
      </c>
      <c r="E91" s="40">
        <f t="shared" si="41"/>
        <v>100</v>
      </c>
      <c r="F91" s="40">
        <f t="shared" si="41"/>
        <v>100</v>
      </c>
      <c r="G91" s="40">
        <f t="shared" si="41"/>
        <v>100</v>
      </c>
      <c r="H91" s="40">
        <f t="shared" si="41"/>
        <v>100</v>
      </c>
      <c r="I91" s="40">
        <f t="shared" si="41"/>
        <v>63.8</v>
      </c>
      <c r="J91" s="40">
        <f t="shared" si="41"/>
        <v>48.4</v>
      </c>
      <c r="K91" s="40">
        <f t="shared" si="41"/>
        <v>46.2</v>
      </c>
      <c r="L91" s="40">
        <f t="shared" si="41"/>
        <v>48.4</v>
      </c>
      <c r="M91" s="40">
        <f t="shared" si="41"/>
        <v>100</v>
      </c>
      <c r="N91" s="40">
        <f t="shared" si="41"/>
        <v>100</v>
      </c>
      <c r="O91" s="40">
        <f t="shared" si="41"/>
        <v>100</v>
      </c>
      <c r="P91" s="40">
        <f>SUM(D91:O91)</f>
        <v>1006.8</v>
      </c>
    </row>
    <row r="92" spans="1:16">
      <c r="A92" s="20">
        <f>MAX(A$9:A91)+1</f>
        <v>51</v>
      </c>
      <c r="B92" s="17" t="s">
        <v>142</v>
      </c>
      <c r="C92" s="40">
        <v>200</v>
      </c>
      <c r="D92" s="40">
        <f t="shared" ref="D92:O92" si="42">IF($C92&lt;D87-D91,$C92,D87-D91)</f>
        <v>200</v>
      </c>
      <c r="E92" s="40">
        <f t="shared" si="42"/>
        <v>200</v>
      </c>
      <c r="F92" s="40">
        <f t="shared" si="42"/>
        <v>200</v>
      </c>
      <c r="G92" s="40">
        <f t="shared" si="42"/>
        <v>100.19999999999999</v>
      </c>
      <c r="H92" s="40">
        <f t="shared" si="42"/>
        <v>14.400000000000006</v>
      </c>
      <c r="I92" s="40">
        <f t="shared" si="42"/>
        <v>0</v>
      </c>
      <c r="J92" s="40">
        <f t="shared" si="42"/>
        <v>0</v>
      </c>
      <c r="K92" s="40">
        <f t="shared" si="42"/>
        <v>0</v>
      </c>
      <c r="L92" s="40">
        <f t="shared" si="42"/>
        <v>0</v>
      </c>
      <c r="M92" s="40">
        <f t="shared" si="42"/>
        <v>5.5999999999999943</v>
      </c>
      <c r="N92" s="40">
        <f t="shared" si="42"/>
        <v>58.400000000000006</v>
      </c>
      <c r="O92" s="40">
        <f t="shared" si="42"/>
        <v>194.8</v>
      </c>
      <c r="P92" s="40">
        <f>SUM(D92:O92)</f>
        <v>973.40000000000009</v>
      </c>
    </row>
    <row r="93" spans="1:16">
      <c r="A93" s="20">
        <f>MAX(A$9:A92)+1</f>
        <v>52</v>
      </c>
      <c r="B93" s="17" t="s">
        <v>142</v>
      </c>
      <c r="C93" s="40">
        <v>200</v>
      </c>
      <c r="D93" s="40">
        <f t="shared" ref="D93:O93" si="43">IF($C93&lt;D87-D91-D92,$C93,D87-D91-D92)</f>
        <v>85</v>
      </c>
      <c r="E93" s="40">
        <f t="shared" si="43"/>
        <v>102.60000000000002</v>
      </c>
      <c r="F93" s="40">
        <f t="shared" si="43"/>
        <v>32.199999999999989</v>
      </c>
      <c r="G93" s="40">
        <f t="shared" si="43"/>
        <v>0</v>
      </c>
      <c r="H93" s="40">
        <f t="shared" si="43"/>
        <v>0</v>
      </c>
      <c r="I93" s="40">
        <f t="shared" si="43"/>
        <v>0</v>
      </c>
      <c r="J93" s="40">
        <f t="shared" si="43"/>
        <v>0</v>
      </c>
      <c r="K93" s="40">
        <f t="shared" si="43"/>
        <v>0</v>
      </c>
      <c r="L93" s="40">
        <f t="shared" si="43"/>
        <v>0</v>
      </c>
      <c r="M93" s="40">
        <f t="shared" si="43"/>
        <v>0</v>
      </c>
      <c r="N93" s="40">
        <f t="shared" si="43"/>
        <v>0</v>
      </c>
      <c r="O93" s="40">
        <f t="shared" si="43"/>
        <v>0</v>
      </c>
      <c r="P93" s="40">
        <f>SUM(D93:O93)</f>
        <v>219.8</v>
      </c>
    </row>
    <row r="94" spans="1:16">
      <c r="A94" s="20">
        <f>MAX(A$9:A93)+1</f>
        <v>53</v>
      </c>
      <c r="B94" s="17" t="s">
        <v>142</v>
      </c>
      <c r="C94" s="40">
        <v>500</v>
      </c>
      <c r="D94" s="40">
        <f t="shared" ref="D94:O94" si="44">IF($C94&lt;D87-D93-D92-D91,$C94,D87-D93-D92-D91)</f>
        <v>0</v>
      </c>
      <c r="E94" s="40">
        <f t="shared" si="44"/>
        <v>0</v>
      </c>
      <c r="F94" s="40">
        <f t="shared" si="44"/>
        <v>0</v>
      </c>
      <c r="G94" s="40">
        <f t="shared" si="44"/>
        <v>0</v>
      </c>
      <c r="H94" s="40">
        <f t="shared" si="44"/>
        <v>0</v>
      </c>
      <c r="I94" s="40">
        <f t="shared" si="44"/>
        <v>0</v>
      </c>
      <c r="J94" s="40">
        <f t="shared" si="44"/>
        <v>0</v>
      </c>
      <c r="K94" s="40">
        <f t="shared" si="44"/>
        <v>0</v>
      </c>
      <c r="L94" s="40">
        <f t="shared" si="44"/>
        <v>0</v>
      </c>
      <c r="M94" s="40">
        <f t="shared" si="44"/>
        <v>0</v>
      </c>
      <c r="N94" s="40">
        <f t="shared" si="44"/>
        <v>0</v>
      </c>
      <c r="O94" s="40">
        <f t="shared" si="44"/>
        <v>0</v>
      </c>
      <c r="P94" s="40">
        <f>SUM(D94:O94)</f>
        <v>0</v>
      </c>
    </row>
    <row r="95" spans="1:16">
      <c r="A95" s="20">
        <f>MAX(A$9:A94)+1</f>
        <v>54</v>
      </c>
      <c r="B95" s="17" t="s">
        <v>143</v>
      </c>
      <c r="C95" s="40">
        <v>1000</v>
      </c>
      <c r="D95" s="55">
        <f t="shared" ref="D95:O95" si="45">D87-D94-D93-D92-D91</f>
        <v>0</v>
      </c>
      <c r="E95" s="55">
        <f t="shared" si="45"/>
        <v>0</v>
      </c>
      <c r="F95" s="55">
        <f t="shared" si="45"/>
        <v>0</v>
      </c>
      <c r="G95" s="55">
        <f t="shared" si="45"/>
        <v>0</v>
      </c>
      <c r="H95" s="55">
        <f t="shared" si="45"/>
        <v>0</v>
      </c>
      <c r="I95" s="55">
        <f t="shared" si="45"/>
        <v>0</v>
      </c>
      <c r="J95" s="55">
        <f t="shared" si="45"/>
        <v>0</v>
      </c>
      <c r="K95" s="55">
        <f t="shared" si="45"/>
        <v>0</v>
      </c>
      <c r="L95" s="55">
        <f t="shared" si="45"/>
        <v>0</v>
      </c>
      <c r="M95" s="55">
        <f t="shared" si="45"/>
        <v>0</v>
      </c>
      <c r="N95" s="55">
        <f t="shared" si="45"/>
        <v>0</v>
      </c>
      <c r="O95" s="55">
        <f t="shared" si="45"/>
        <v>0</v>
      </c>
      <c r="P95" s="55">
        <f>SUM(D95:O95)</f>
        <v>0</v>
      </c>
    </row>
    <row r="96" spans="1:16">
      <c r="A96" s="20">
        <f>MAX(A$9:A95)+1</f>
        <v>55</v>
      </c>
      <c r="B96" s="45" t="s">
        <v>127</v>
      </c>
      <c r="C96" s="40"/>
      <c r="D96" s="41">
        <f>SUM(D91:D95)</f>
        <v>385</v>
      </c>
      <c r="E96" s="41">
        <f t="shared" ref="E96:P96" si="46">SUM(E91:E95)</f>
        <v>402.6</v>
      </c>
      <c r="F96" s="41">
        <f t="shared" si="46"/>
        <v>332.2</v>
      </c>
      <c r="G96" s="41">
        <f t="shared" si="46"/>
        <v>200.2</v>
      </c>
      <c r="H96" s="41">
        <f t="shared" si="46"/>
        <v>114.4</v>
      </c>
      <c r="I96" s="41">
        <f t="shared" si="46"/>
        <v>63.8</v>
      </c>
      <c r="J96" s="41">
        <f t="shared" si="46"/>
        <v>48.4</v>
      </c>
      <c r="K96" s="41">
        <f t="shared" si="46"/>
        <v>46.2</v>
      </c>
      <c r="L96" s="41">
        <f t="shared" si="46"/>
        <v>48.4</v>
      </c>
      <c r="M96" s="41">
        <f t="shared" si="46"/>
        <v>105.6</v>
      </c>
      <c r="N96" s="41">
        <f t="shared" si="46"/>
        <v>158.4</v>
      </c>
      <c r="O96" s="41">
        <f t="shared" si="46"/>
        <v>294.8</v>
      </c>
      <c r="P96" s="41">
        <f t="shared" si="46"/>
        <v>2200</v>
      </c>
    </row>
    <row r="97" spans="1:16">
      <c r="A97" s="20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</row>
    <row r="98" spans="1:16">
      <c r="A98" s="20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</row>
    <row r="99" spans="1:16">
      <c r="B99" s="48" t="s">
        <v>145</v>
      </c>
      <c r="C99" s="40"/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</row>
    <row r="100" spans="1:16">
      <c r="A100" s="20">
        <f>MAX(A$9:A99)+1</f>
        <v>56</v>
      </c>
      <c r="B100" s="45" t="s">
        <v>137</v>
      </c>
      <c r="C100" s="42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56">
        <f>40000</f>
        <v>40000</v>
      </c>
    </row>
    <row r="101" spans="1:16">
      <c r="A101" s="20">
        <f>MAX(A$9:A100)+1</f>
        <v>57</v>
      </c>
      <c r="B101" s="45" t="s">
        <v>138</v>
      </c>
      <c r="C101" s="40"/>
      <c r="D101" s="40">
        <f t="shared" ref="D101:O101" si="47">ROUND(D102*$P$100,2)</f>
        <v>3333.33</v>
      </c>
      <c r="E101" s="40">
        <f t="shared" si="47"/>
        <v>3333.33</v>
      </c>
      <c r="F101" s="40">
        <f t="shared" si="47"/>
        <v>3333.33</v>
      </c>
      <c r="G101" s="40">
        <f t="shared" si="47"/>
        <v>3333.33</v>
      </c>
      <c r="H101" s="40">
        <f t="shared" si="47"/>
        <v>3333.33</v>
      </c>
      <c r="I101" s="40">
        <f t="shared" si="47"/>
        <v>3333.33</v>
      </c>
      <c r="J101" s="40">
        <f t="shared" si="47"/>
        <v>3333.33</v>
      </c>
      <c r="K101" s="40">
        <f t="shared" si="47"/>
        <v>3333.33</v>
      </c>
      <c r="L101" s="40">
        <f t="shared" si="47"/>
        <v>3333.33</v>
      </c>
      <c r="M101" s="40">
        <f t="shared" si="47"/>
        <v>3333.33</v>
      </c>
      <c r="N101" s="40">
        <f t="shared" si="47"/>
        <v>3333.33</v>
      </c>
      <c r="O101" s="40">
        <f t="shared" si="47"/>
        <v>3333.33</v>
      </c>
      <c r="P101" s="40">
        <f>SUM(D101:O101)</f>
        <v>39999.960000000014</v>
      </c>
    </row>
    <row r="102" spans="1:16">
      <c r="A102" s="20">
        <f>MAX(A$9:A101)+1</f>
        <v>58</v>
      </c>
      <c r="B102" s="45" t="s">
        <v>139</v>
      </c>
      <c r="C102" s="32"/>
      <c r="D102" s="36">
        <f>1/12</f>
        <v>8.3333333333333329E-2</v>
      </c>
      <c r="E102" s="36">
        <f t="shared" ref="E102:O102" si="48">1/12</f>
        <v>8.3333333333333329E-2</v>
      </c>
      <c r="F102" s="36">
        <f t="shared" si="48"/>
        <v>8.3333333333333329E-2</v>
      </c>
      <c r="G102" s="36">
        <f t="shared" si="48"/>
        <v>8.3333333333333329E-2</v>
      </c>
      <c r="H102" s="36">
        <f t="shared" si="48"/>
        <v>8.3333333333333329E-2</v>
      </c>
      <c r="I102" s="36">
        <f t="shared" si="48"/>
        <v>8.3333333333333329E-2</v>
      </c>
      <c r="J102" s="36">
        <f t="shared" si="48"/>
        <v>8.3333333333333329E-2</v>
      </c>
      <c r="K102" s="36">
        <f t="shared" si="48"/>
        <v>8.3333333333333329E-2</v>
      </c>
      <c r="L102" s="36">
        <f t="shared" si="48"/>
        <v>8.3333333333333329E-2</v>
      </c>
      <c r="M102" s="36">
        <f t="shared" si="48"/>
        <v>8.3333333333333329E-2</v>
      </c>
      <c r="N102" s="36">
        <f t="shared" si="48"/>
        <v>8.3333333333333329E-2</v>
      </c>
      <c r="O102" s="36">
        <f t="shared" si="48"/>
        <v>8.3333333333333329E-2</v>
      </c>
      <c r="P102" s="37">
        <f>SUM(D102:O102)</f>
        <v>1</v>
      </c>
    </row>
    <row r="103" spans="1:16">
      <c r="B103" s="50"/>
      <c r="C103" s="32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</row>
    <row r="104" spans="1:16">
      <c r="B104" s="48" t="s">
        <v>140</v>
      </c>
      <c r="C104" s="32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</row>
    <row r="105" spans="1:16">
      <c r="A105" s="20">
        <f>MAX(A$9:A104)+1</f>
        <v>59</v>
      </c>
      <c r="B105" s="17" t="s">
        <v>141</v>
      </c>
      <c r="C105" s="40">
        <v>100</v>
      </c>
      <c r="D105" s="40">
        <f t="shared" ref="D105:O105" si="49">IF(D101&gt;$C105,$C105,D101)</f>
        <v>100</v>
      </c>
      <c r="E105" s="40">
        <f t="shared" si="49"/>
        <v>100</v>
      </c>
      <c r="F105" s="40">
        <f t="shared" si="49"/>
        <v>100</v>
      </c>
      <c r="G105" s="40">
        <f t="shared" si="49"/>
        <v>100</v>
      </c>
      <c r="H105" s="40">
        <f t="shared" si="49"/>
        <v>100</v>
      </c>
      <c r="I105" s="40">
        <f t="shared" si="49"/>
        <v>100</v>
      </c>
      <c r="J105" s="40">
        <f t="shared" si="49"/>
        <v>100</v>
      </c>
      <c r="K105" s="40">
        <f t="shared" si="49"/>
        <v>100</v>
      </c>
      <c r="L105" s="40">
        <f t="shared" si="49"/>
        <v>100</v>
      </c>
      <c r="M105" s="40">
        <f t="shared" si="49"/>
        <v>100</v>
      </c>
      <c r="N105" s="40">
        <f t="shared" si="49"/>
        <v>100</v>
      </c>
      <c r="O105" s="40">
        <f t="shared" si="49"/>
        <v>100</v>
      </c>
      <c r="P105" s="40">
        <f>SUM(D105:O105)</f>
        <v>1200</v>
      </c>
    </row>
    <row r="106" spans="1:16">
      <c r="A106" s="20">
        <f>MAX(A$9:A105)+1</f>
        <v>60</v>
      </c>
      <c r="B106" s="17" t="s">
        <v>142</v>
      </c>
      <c r="C106" s="40">
        <v>200</v>
      </c>
      <c r="D106" s="40">
        <f t="shared" ref="D106:O106" si="50">IF($C106&lt;D101-D105,$C106,D101-D105)</f>
        <v>200</v>
      </c>
      <c r="E106" s="40">
        <f t="shared" si="50"/>
        <v>200</v>
      </c>
      <c r="F106" s="40">
        <f t="shared" si="50"/>
        <v>200</v>
      </c>
      <c r="G106" s="40">
        <f t="shared" si="50"/>
        <v>200</v>
      </c>
      <c r="H106" s="40">
        <f t="shared" si="50"/>
        <v>200</v>
      </c>
      <c r="I106" s="40">
        <f t="shared" si="50"/>
        <v>200</v>
      </c>
      <c r="J106" s="40">
        <f t="shared" si="50"/>
        <v>200</v>
      </c>
      <c r="K106" s="40">
        <f t="shared" si="50"/>
        <v>200</v>
      </c>
      <c r="L106" s="40">
        <f t="shared" si="50"/>
        <v>200</v>
      </c>
      <c r="M106" s="40">
        <f t="shared" si="50"/>
        <v>200</v>
      </c>
      <c r="N106" s="40">
        <f t="shared" si="50"/>
        <v>200</v>
      </c>
      <c r="O106" s="40">
        <f t="shared" si="50"/>
        <v>200</v>
      </c>
      <c r="P106" s="40">
        <f>SUM(D106:O106)</f>
        <v>2400</v>
      </c>
    </row>
    <row r="107" spans="1:16">
      <c r="A107" s="20">
        <f>MAX(A$9:A106)+1</f>
        <v>61</v>
      </c>
      <c r="B107" s="17" t="s">
        <v>142</v>
      </c>
      <c r="C107" s="40">
        <v>200</v>
      </c>
      <c r="D107" s="40">
        <f t="shared" ref="D107:O107" si="51">IF($C107&lt;D101-D105-D106,$C107,D101-D105-D106)</f>
        <v>200</v>
      </c>
      <c r="E107" s="40">
        <f t="shared" si="51"/>
        <v>200</v>
      </c>
      <c r="F107" s="40">
        <f t="shared" si="51"/>
        <v>200</v>
      </c>
      <c r="G107" s="40">
        <f t="shared" si="51"/>
        <v>200</v>
      </c>
      <c r="H107" s="40">
        <f t="shared" si="51"/>
        <v>200</v>
      </c>
      <c r="I107" s="40">
        <f t="shared" si="51"/>
        <v>200</v>
      </c>
      <c r="J107" s="40">
        <f t="shared" si="51"/>
        <v>200</v>
      </c>
      <c r="K107" s="40">
        <f t="shared" si="51"/>
        <v>200</v>
      </c>
      <c r="L107" s="40">
        <f t="shared" si="51"/>
        <v>200</v>
      </c>
      <c r="M107" s="40">
        <f t="shared" si="51"/>
        <v>200</v>
      </c>
      <c r="N107" s="40">
        <f t="shared" si="51"/>
        <v>200</v>
      </c>
      <c r="O107" s="40">
        <f t="shared" si="51"/>
        <v>200</v>
      </c>
      <c r="P107" s="40">
        <f>SUM(D107:O107)</f>
        <v>2400</v>
      </c>
    </row>
    <row r="108" spans="1:16">
      <c r="A108" s="20">
        <f>MAX(A$9:A107)+1</f>
        <v>62</v>
      </c>
      <c r="B108" s="17" t="s">
        <v>142</v>
      </c>
      <c r="C108" s="40">
        <v>500</v>
      </c>
      <c r="D108" s="40">
        <f t="shared" ref="D108:O108" si="52">IF($C108&lt;D101-D107-D106-D105,$C108,D101-D107-D106-D105)</f>
        <v>500</v>
      </c>
      <c r="E108" s="40">
        <f t="shared" si="52"/>
        <v>500</v>
      </c>
      <c r="F108" s="40">
        <f t="shared" si="52"/>
        <v>500</v>
      </c>
      <c r="G108" s="40">
        <f t="shared" si="52"/>
        <v>500</v>
      </c>
      <c r="H108" s="40">
        <f t="shared" si="52"/>
        <v>500</v>
      </c>
      <c r="I108" s="40">
        <f t="shared" si="52"/>
        <v>500</v>
      </c>
      <c r="J108" s="40">
        <f t="shared" si="52"/>
        <v>500</v>
      </c>
      <c r="K108" s="40">
        <f t="shared" si="52"/>
        <v>500</v>
      </c>
      <c r="L108" s="40">
        <f t="shared" si="52"/>
        <v>500</v>
      </c>
      <c r="M108" s="40">
        <f t="shared" si="52"/>
        <v>500</v>
      </c>
      <c r="N108" s="40">
        <f t="shared" si="52"/>
        <v>500</v>
      </c>
      <c r="O108" s="40">
        <f t="shared" si="52"/>
        <v>500</v>
      </c>
      <c r="P108" s="40">
        <f>SUM(D108:O108)</f>
        <v>6000</v>
      </c>
    </row>
    <row r="109" spans="1:16">
      <c r="A109" s="20">
        <f>MAX(A$9:A108)+1</f>
        <v>63</v>
      </c>
      <c r="B109" s="17" t="s">
        <v>143</v>
      </c>
      <c r="C109" s="40">
        <v>1000</v>
      </c>
      <c r="D109" s="55">
        <f t="shared" ref="D109:O109" si="53">D101-D108-D107-D106-D105</f>
        <v>2333.33</v>
      </c>
      <c r="E109" s="55">
        <f t="shared" si="53"/>
        <v>2333.33</v>
      </c>
      <c r="F109" s="55">
        <f t="shared" si="53"/>
        <v>2333.33</v>
      </c>
      <c r="G109" s="55">
        <f t="shared" si="53"/>
        <v>2333.33</v>
      </c>
      <c r="H109" s="55">
        <f t="shared" si="53"/>
        <v>2333.33</v>
      </c>
      <c r="I109" s="55">
        <f t="shared" si="53"/>
        <v>2333.33</v>
      </c>
      <c r="J109" s="55">
        <f t="shared" si="53"/>
        <v>2333.33</v>
      </c>
      <c r="K109" s="55">
        <f t="shared" si="53"/>
        <v>2333.33</v>
      </c>
      <c r="L109" s="55">
        <f t="shared" si="53"/>
        <v>2333.33</v>
      </c>
      <c r="M109" s="55">
        <f t="shared" si="53"/>
        <v>2333.33</v>
      </c>
      <c r="N109" s="55">
        <f t="shared" si="53"/>
        <v>2333.33</v>
      </c>
      <c r="O109" s="55">
        <f t="shared" si="53"/>
        <v>2333.33</v>
      </c>
      <c r="P109" s="55">
        <f>SUM(D109:O109)</f>
        <v>27999.960000000006</v>
      </c>
    </row>
    <row r="110" spans="1:16">
      <c r="A110" s="20">
        <f>MAX(A$9:A109)+1</f>
        <v>64</v>
      </c>
      <c r="B110" s="45" t="s">
        <v>127</v>
      </c>
      <c r="C110" s="40"/>
      <c r="D110" s="41">
        <f>SUM(D105:D109)</f>
        <v>3333.33</v>
      </c>
      <c r="E110" s="41">
        <f t="shared" ref="E110:P110" si="54">SUM(E105:E109)</f>
        <v>3333.33</v>
      </c>
      <c r="F110" s="41">
        <f t="shared" si="54"/>
        <v>3333.33</v>
      </c>
      <c r="G110" s="41">
        <f t="shared" si="54"/>
        <v>3333.33</v>
      </c>
      <c r="H110" s="41">
        <f t="shared" si="54"/>
        <v>3333.33</v>
      </c>
      <c r="I110" s="41">
        <f t="shared" si="54"/>
        <v>3333.33</v>
      </c>
      <c r="J110" s="41">
        <f t="shared" si="54"/>
        <v>3333.33</v>
      </c>
      <c r="K110" s="41">
        <f t="shared" si="54"/>
        <v>3333.33</v>
      </c>
      <c r="L110" s="41">
        <f t="shared" si="54"/>
        <v>3333.33</v>
      </c>
      <c r="M110" s="41">
        <f t="shared" si="54"/>
        <v>3333.33</v>
      </c>
      <c r="N110" s="41">
        <f t="shared" si="54"/>
        <v>3333.33</v>
      </c>
      <c r="O110" s="41">
        <f t="shared" si="54"/>
        <v>3333.33</v>
      </c>
      <c r="P110" s="41">
        <f t="shared" si="54"/>
        <v>39999.960000000006</v>
      </c>
    </row>
    <row r="111" spans="1:16">
      <c r="A111" s="20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</row>
    <row r="112" spans="1:16">
      <c r="A112" s="20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</row>
    <row r="113" spans="1:16">
      <c r="B113" s="48" t="s">
        <v>87</v>
      </c>
      <c r="C113" s="43"/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</row>
    <row r="114" spans="1:16">
      <c r="A114" s="20">
        <f>MAX(A$9:A113)+1</f>
        <v>65</v>
      </c>
      <c r="B114" s="45" t="s">
        <v>137</v>
      </c>
      <c r="C114" s="42"/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4">
        <f>60000</f>
        <v>60000</v>
      </c>
    </row>
    <row r="115" spans="1:16">
      <c r="A115" s="20">
        <f>MAX(A$9:A114)+1</f>
        <v>66</v>
      </c>
      <c r="B115" s="45" t="s">
        <v>138</v>
      </c>
      <c r="C115" s="43"/>
      <c r="D115" s="40">
        <f t="shared" ref="D115:O115" si="55">ROUND(D116*$P$114,2)</f>
        <v>9417.65</v>
      </c>
      <c r="E115" s="40">
        <f t="shared" si="55"/>
        <v>8153.2</v>
      </c>
      <c r="F115" s="40">
        <f t="shared" si="55"/>
        <v>7358.16</v>
      </c>
      <c r="G115" s="40">
        <f t="shared" si="55"/>
        <v>4909.38</v>
      </c>
      <c r="H115" s="40">
        <f t="shared" si="55"/>
        <v>3163.01</v>
      </c>
      <c r="I115" s="40">
        <f t="shared" si="55"/>
        <v>2032.34</v>
      </c>
      <c r="J115" s="40">
        <f t="shared" si="55"/>
        <v>1588.08</v>
      </c>
      <c r="K115" s="40">
        <f t="shared" si="55"/>
        <v>1833.94</v>
      </c>
      <c r="L115" s="40">
        <f t="shared" si="55"/>
        <v>2541.4499999999998</v>
      </c>
      <c r="M115" s="40">
        <f t="shared" si="55"/>
        <v>4250.1499999999996</v>
      </c>
      <c r="N115" s="40">
        <f t="shared" si="55"/>
        <v>6304.05</v>
      </c>
      <c r="O115" s="40">
        <f t="shared" si="55"/>
        <v>8448.59</v>
      </c>
      <c r="P115" s="40">
        <f>SUM(D115:O115)</f>
        <v>60000</v>
      </c>
    </row>
    <row r="116" spans="1:16">
      <c r="A116" s="20">
        <f>MAX(A$9:A115)+1</f>
        <v>67</v>
      </c>
      <c r="B116" s="45" t="s">
        <v>139</v>
      </c>
      <c r="C116" s="20"/>
      <c r="D116" s="33">
        <v>0.15696075580000002</v>
      </c>
      <c r="E116" s="33">
        <v>0.135886627925</v>
      </c>
      <c r="F116" s="33">
        <v>0.122636046525</v>
      </c>
      <c r="G116" s="33">
        <v>8.1822965100000006E-2</v>
      </c>
      <c r="H116" s="33">
        <v>5.2716860475000002E-2</v>
      </c>
      <c r="I116" s="33">
        <v>3.3872383749999999E-2</v>
      </c>
      <c r="J116" s="33">
        <v>2.6468023274999999E-2</v>
      </c>
      <c r="K116" s="33">
        <v>3.0565697649999998E-2</v>
      </c>
      <c r="L116" s="33">
        <v>4.2357558150000002E-2</v>
      </c>
      <c r="M116" s="33">
        <v>7.0835755824999999E-2</v>
      </c>
      <c r="N116" s="33">
        <v>0.105067441875</v>
      </c>
      <c r="O116" s="33">
        <v>0.1408098837</v>
      </c>
      <c r="P116" s="34">
        <f>SUM(D116:O116)</f>
        <v>1.00000000005</v>
      </c>
    </row>
    <row r="117" spans="1:16">
      <c r="B117" s="45"/>
      <c r="C117" s="20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</row>
    <row r="118" spans="1:16">
      <c r="B118" s="48" t="s">
        <v>140</v>
      </c>
      <c r="C118" s="20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20"/>
    </row>
    <row r="119" spans="1:16">
      <c r="A119" s="20">
        <f>MAX(A$9:A118)+1</f>
        <v>68</v>
      </c>
      <c r="B119" s="18" t="s">
        <v>141</v>
      </c>
      <c r="C119" s="40">
        <v>1000</v>
      </c>
      <c r="D119" s="40">
        <f t="shared" ref="D119:O119" si="56">IF(D115&gt;$C119,$C119,D115)</f>
        <v>1000</v>
      </c>
      <c r="E119" s="40">
        <f t="shared" si="56"/>
        <v>1000</v>
      </c>
      <c r="F119" s="40">
        <f t="shared" si="56"/>
        <v>1000</v>
      </c>
      <c r="G119" s="40">
        <f t="shared" si="56"/>
        <v>1000</v>
      </c>
      <c r="H119" s="40">
        <f t="shared" si="56"/>
        <v>1000</v>
      </c>
      <c r="I119" s="40">
        <f t="shared" si="56"/>
        <v>1000</v>
      </c>
      <c r="J119" s="40">
        <f t="shared" si="56"/>
        <v>1000</v>
      </c>
      <c r="K119" s="40">
        <f t="shared" si="56"/>
        <v>1000</v>
      </c>
      <c r="L119" s="40">
        <f t="shared" si="56"/>
        <v>1000</v>
      </c>
      <c r="M119" s="40">
        <f t="shared" si="56"/>
        <v>1000</v>
      </c>
      <c r="N119" s="40">
        <f t="shared" si="56"/>
        <v>1000</v>
      </c>
      <c r="O119" s="40">
        <f t="shared" si="56"/>
        <v>1000</v>
      </c>
      <c r="P119" s="40">
        <f>SUM(D119:O119)</f>
        <v>12000</v>
      </c>
    </row>
    <row r="120" spans="1:16">
      <c r="A120" s="20">
        <f>MAX(A$9:A119)+1</f>
        <v>69</v>
      </c>
      <c r="B120" s="18" t="s">
        <v>142</v>
      </c>
      <c r="C120" s="40">
        <v>9000</v>
      </c>
      <c r="D120" s="40">
        <f t="shared" ref="D120:O120" si="57">IF($C120&lt;D115-D119,$C120,D115-D119)</f>
        <v>8417.65</v>
      </c>
      <c r="E120" s="40">
        <f t="shared" si="57"/>
        <v>7153.2</v>
      </c>
      <c r="F120" s="40">
        <f t="shared" si="57"/>
        <v>6358.16</v>
      </c>
      <c r="G120" s="40">
        <f t="shared" si="57"/>
        <v>3909.38</v>
      </c>
      <c r="H120" s="40">
        <f t="shared" si="57"/>
        <v>2163.0100000000002</v>
      </c>
      <c r="I120" s="40">
        <f t="shared" si="57"/>
        <v>1032.3399999999999</v>
      </c>
      <c r="J120" s="40">
        <f t="shared" si="57"/>
        <v>588.07999999999993</v>
      </c>
      <c r="K120" s="40">
        <f t="shared" si="57"/>
        <v>833.94</v>
      </c>
      <c r="L120" s="40">
        <f t="shared" si="57"/>
        <v>1541.4499999999998</v>
      </c>
      <c r="M120" s="40">
        <f t="shared" si="57"/>
        <v>3250.1499999999996</v>
      </c>
      <c r="N120" s="40">
        <f t="shared" si="57"/>
        <v>5304.05</v>
      </c>
      <c r="O120" s="40">
        <f t="shared" si="57"/>
        <v>7448.59</v>
      </c>
      <c r="P120" s="40">
        <f>SUM(D120:O120)</f>
        <v>48000</v>
      </c>
    </row>
    <row r="121" spans="1:16">
      <c r="A121" s="20">
        <f>MAX(A$9:A120)+1</f>
        <v>70</v>
      </c>
      <c r="B121" s="18" t="s">
        <v>142</v>
      </c>
      <c r="C121" s="40">
        <v>20000</v>
      </c>
      <c r="D121" s="40">
        <f t="shared" ref="D121:O121" si="58">IF($C121&lt;D115-D119-D120,$C121,D115-D119-D120)</f>
        <v>0</v>
      </c>
      <c r="E121" s="40">
        <f t="shared" si="58"/>
        <v>0</v>
      </c>
      <c r="F121" s="40">
        <f t="shared" si="58"/>
        <v>0</v>
      </c>
      <c r="G121" s="40">
        <f t="shared" si="58"/>
        <v>0</v>
      </c>
      <c r="H121" s="40">
        <f t="shared" si="58"/>
        <v>0</v>
      </c>
      <c r="I121" s="40">
        <f t="shared" si="58"/>
        <v>0</v>
      </c>
      <c r="J121" s="40">
        <f t="shared" si="58"/>
        <v>0</v>
      </c>
      <c r="K121" s="40">
        <f t="shared" si="58"/>
        <v>0</v>
      </c>
      <c r="L121" s="40">
        <f t="shared" si="58"/>
        <v>0</v>
      </c>
      <c r="M121" s="40">
        <f t="shared" si="58"/>
        <v>0</v>
      </c>
      <c r="N121" s="40">
        <f t="shared" si="58"/>
        <v>0</v>
      </c>
      <c r="O121" s="40">
        <f t="shared" si="58"/>
        <v>0</v>
      </c>
      <c r="P121" s="40">
        <f>SUM(D121:O121)</f>
        <v>0</v>
      </c>
    </row>
    <row r="122" spans="1:16">
      <c r="A122" s="20">
        <f>MAX(A$9:A121)+1</f>
        <v>71</v>
      </c>
      <c r="B122" s="18" t="s">
        <v>142</v>
      </c>
      <c r="C122" s="40">
        <v>70000</v>
      </c>
      <c r="D122" s="40">
        <f t="shared" ref="D122:O122" si="59">IF($C122&lt;D115-D121-D120-D119,$C122,D115-D121-D120-D119)</f>
        <v>0</v>
      </c>
      <c r="E122" s="40">
        <f t="shared" si="59"/>
        <v>0</v>
      </c>
      <c r="F122" s="40">
        <f t="shared" si="59"/>
        <v>0</v>
      </c>
      <c r="G122" s="40">
        <f t="shared" si="59"/>
        <v>0</v>
      </c>
      <c r="H122" s="40">
        <f t="shared" si="59"/>
        <v>0</v>
      </c>
      <c r="I122" s="40">
        <f t="shared" si="59"/>
        <v>0</v>
      </c>
      <c r="J122" s="40">
        <f t="shared" si="59"/>
        <v>0</v>
      </c>
      <c r="K122" s="40">
        <f t="shared" si="59"/>
        <v>0</v>
      </c>
      <c r="L122" s="40">
        <f t="shared" si="59"/>
        <v>0</v>
      </c>
      <c r="M122" s="40">
        <f t="shared" si="59"/>
        <v>0</v>
      </c>
      <c r="N122" s="40">
        <f t="shared" si="59"/>
        <v>0</v>
      </c>
      <c r="O122" s="40">
        <f t="shared" si="59"/>
        <v>0</v>
      </c>
      <c r="P122" s="40">
        <f>SUM(D122:O122)</f>
        <v>0</v>
      </c>
    </row>
    <row r="123" spans="1:16">
      <c r="A123" s="20">
        <f>MAX(A$9:A122)+1</f>
        <v>72</v>
      </c>
      <c r="B123" s="18" t="s">
        <v>143</v>
      </c>
      <c r="C123" s="40">
        <v>100000</v>
      </c>
      <c r="D123" s="55">
        <f t="shared" ref="D123:O123" si="60">D115-D122-D121-D120-D119</f>
        <v>0</v>
      </c>
      <c r="E123" s="55">
        <f t="shared" si="60"/>
        <v>0</v>
      </c>
      <c r="F123" s="55">
        <f t="shared" si="60"/>
        <v>0</v>
      </c>
      <c r="G123" s="55">
        <f t="shared" si="60"/>
        <v>0</v>
      </c>
      <c r="H123" s="55">
        <f t="shared" si="60"/>
        <v>0</v>
      </c>
      <c r="I123" s="55">
        <f t="shared" si="60"/>
        <v>0</v>
      </c>
      <c r="J123" s="55">
        <f t="shared" si="60"/>
        <v>0</v>
      </c>
      <c r="K123" s="55">
        <f t="shared" si="60"/>
        <v>0</v>
      </c>
      <c r="L123" s="55">
        <f t="shared" si="60"/>
        <v>0</v>
      </c>
      <c r="M123" s="55">
        <f t="shared" si="60"/>
        <v>0</v>
      </c>
      <c r="N123" s="55">
        <f t="shared" si="60"/>
        <v>0</v>
      </c>
      <c r="O123" s="55">
        <f t="shared" si="60"/>
        <v>0</v>
      </c>
      <c r="P123" s="55">
        <f>SUM(D123:O123)</f>
        <v>0</v>
      </c>
    </row>
    <row r="124" spans="1:16">
      <c r="A124" s="20">
        <f>MAX(A$9:A123)+1</f>
        <v>73</v>
      </c>
      <c r="B124" s="45" t="s">
        <v>127</v>
      </c>
      <c r="C124" s="40"/>
      <c r="D124" s="41">
        <f t="shared" ref="D124:P124" si="61">SUM(D119:D123)</f>
        <v>9417.65</v>
      </c>
      <c r="E124" s="41">
        <f t="shared" si="61"/>
        <v>8153.2</v>
      </c>
      <c r="F124" s="41">
        <f t="shared" si="61"/>
        <v>7358.16</v>
      </c>
      <c r="G124" s="41">
        <f t="shared" si="61"/>
        <v>4909.38</v>
      </c>
      <c r="H124" s="41">
        <f t="shared" si="61"/>
        <v>3163.01</v>
      </c>
      <c r="I124" s="41">
        <f t="shared" si="61"/>
        <v>2032.34</v>
      </c>
      <c r="J124" s="41">
        <f t="shared" si="61"/>
        <v>1588.08</v>
      </c>
      <c r="K124" s="41">
        <f t="shared" si="61"/>
        <v>1833.94</v>
      </c>
      <c r="L124" s="41">
        <f t="shared" si="61"/>
        <v>2541.4499999999998</v>
      </c>
      <c r="M124" s="41">
        <f t="shared" si="61"/>
        <v>4250.1499999999996</v>
      </c>
      <c r="N124" s="41">
        <f t="shared" si="61"/>
        <v>6304.05</v>
      </c>
      <c r="O124" s="41">
        <f t="shared" si="61"/>
        <v>8448.59</v>
      </c>
      <c r="P124" s="41">
        <f t="shared" si="61"/>
        <v>60000</v>
      </c>
    </row>
    <row r="125" spans="1:16">
      <c r="B125" s="45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</row>
    <row r="126" spans="1:16">
      <c r="B126" s="45"/>
      <c r="C126" s="43"/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</row>
    <row r="127" spans="1:16">
      <c r="B127" s="48" t="s">
        <v>94</v>
      </c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</row>
    <row r="128" spans="1:16">
      <c r="A128" s="20">
        <f>MAX(A$9:A127)+1</f>
        <v>74</v>
      </c>
      <c r="B128" s="45" t="s">
        <v>137</v>
      </c>
      <c r="C128" s="42"/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4">
        <f>93000</f>
        <v>93000</v>
      </c>
    </row>
    <row r="129" spans="1:16">
      <c r="A129" s="20">
        <f>MAX(A$9:A128)+1</f>
        <v>75</v>
      </c>
      <c r="B129" s="45" t="s">
        <v>138</v>
      </c>
      <c r="C129" s="43"/>
      <c r="D129" s="40">
        <f t="shared" ref="D129:O129" si="62">ROUND(D130*$P$128,2)</f>
        <v>14597.35</v>
      </c>
      <c r="E129" s="40">
        <f t="shared" si="62"/>
        <v>12637.46</v>
      </c>
      <c r="F129" s="40">
        <f t="shared" si="62"/>
        <v>11405.15</v>
      </c>
      <c r="G129" s="40">
        <f t="shared" si="62"/>
        <v>7609.54</v>
      </c>
      <c r="H129" s="40">
        <f t="shared" si="62"/>
        <v>4902.67</v>
      </c>
      <c r="I129" s="40">
        <f t="shared" si="62"/>
        <v>3150.13</v>
      </c>
      <c r="J129" s="40">
        <f t="shared" si="62"/>
        <v>2461.5300000000002</v>
      </c>
      <c r="K129" s="40">
        <f t="shared" si="62"/>
        <v>2842.61</v>
      </c>
      <c r="L129" s="40">
        <f t="shared" si="62"/>
        <v>3939.25</v>
      </c>
      <c r="M129" s="40">
        <f t="shared" si="62"/>
        <v>6587.73</v>
      </c>
      <c r="N129" s="40">
        <f t="shared" si="62"/>
        <v>9771.27</v>
      </c>
      <c r="O129" s="40">
        <f t="shared" si="62"/>
        <v>13095.32</v>
      </c>
      <c r="P129" s="40">
        <f>SUM(D129:O129)</f>
        <v>93000.010000000009</v>
      </c>
    </row>
    <row r="130" spans="1:16">
      <c r="A130" s="20">
        <f>MAX(A$9:A129)+1</f>
        <v>76</v>
      </c>
      <c r="B130" s="45" t="s">
        <v>139</v>
      </c>
      <c r="C130" s="20"/>
      <c r="D130" s="33">
        <v>0.15696075580000002</v>
      </c>
      <c r="E130" s="33">
        <v>0.135886627925</v>
      </c>
      <c r="F130" s="33">
        <v>0.122636046525</v>
      </c>
      <c r="G130" s="33">
        <v>8.1822965100000006E-2</v>
      </c>
      <c r="H130" s="33">
        <v>5.2716860475000002E-2</v>
      </c>
      <c r="I130" s="33">
        <v>3.3872383749999999E-2</v>
      </c>
      <c r="J130" s="33">
        <v>2.6468023274999999E-2</v>
      </c>
      <c r="K130" s="33">
        <v>3.0565697649999998E-2</v>
      </c>
      <c r="L130" s="33">
        <v>4.2357558150000002E-2</v>
      </c>
      <c r="M130" s="33">
        <v>7.0835755824999999E-2</v>
      </c>
      <c r="N130" s="33">
        <v>0.105067441875</v>
      </c>
      <c r="O130" s="33">
        <v>0.1408098837</v>
      </c>
      <c r="P130" s="34">
        <f>SUM(D130:O130)</f>
        <v>1.00000000005</v>
      </c>
    </row>
    <row r="131" spans="1:16">
      <c r="B131" s="45"/>
      <c r="C131" s="20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</row>
    <row r="132" spans="1:16">
      <c r="B132" s="48" t="s">
        <v>140</v>
      </c>
      <c r="C132" s="20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20"/>
    </row>
    <row r="133" spans="1:16">
      <c r="A133" s="20">
        <f>MAX(A$9:A132)+1</f>
        <v>77</v>
      </c>
      <c r="B133" s="18" t="s">
        <v>141</v>
      </c>
      <c r="C133" s="40">
        <v>1000</v>
      </c>
      <c r="D133" s="40">
        <f t="shared" ref="D133:O133" si="63">IF(D129&gt;$C133,$C133,D129)</f>
        <v>1000</v>
      </c>
      <c r="E133" s="40">
        <f t="shared" si="63"/>
        <v>1000</v>
      </c>
      <c r="F133" s="40">
        <f t="shared" si="63"/>
        <v>1000</v>
      </c>
      <c r="G133" s="40">
        <f t="shared" si="63"/>
        <v>1000</v>
      </c>
      <c r="H133" s="40">
        <f t="shared" si="63"/>
        <v>1000</v>
      </c>
      <c r="I133" s="40">
        <f t="shared" si="63"/>
        <v>1000</v>
      </c>
      <c r="J133" s="40">
        <f t="shared" si="63"/>
        <v>1000</v>
      </c>
      <c r="K133" s="40">
        <f t="shared" si="63"/>
        <v>1000</v>
      </c>
      <c r="L133" s="40">
        <f t="shared" si="63"/>
        <v>1000</v>
      </c>
      <c r="M133" s="40">
        <f t="shared" si="63"/>
        <v>1000</v>
      </c>
      <c r="N133" s="40">
        <f t="shared" si="63"/>
        <v>1000</v>
      </c>
      <c r="O133" s="40">
        <f t="shared" si="63"/>
        <v>1000</v>
      </c>
      <c r="P133" s="40">
        <f>SUM(D133:O133)</f>
        <v>12000</v>
      </c>
    </row>
    <row r="134" spans="1:16">
      <c r="A134" s="20">
        <f>MAX(A$9:A133)+1</f>
        <v>78</v>
      </c>
      <c r="B134" s="18" t="s">
        <v>142</v>
      </c>
      <c r="C134" s="40">
        <v>9000</v>
      </c>
      <c r="D134" s="40">
        <f t="shared" ref="D134:O134" si="64">IF($C134&lt;D129-D133,$C134,D129-D133)</f>
        <v>9000</v>
      </c>
      <c r="E134" s="40">
        <f t="shared" si="64"/>
        <v>9000</v>
      </c>
      <c r="F134" s="40">
        <f t="shared" si="64"/>
        <v>9000</v>
      </c>
      <c r="G134" s="40">
        <f t="shared" si="64"/>
        <v>6609.54</v>
      </c>
      <c r="H134" s="40">
        <f t="shared" si="64"/>
        <v>3902.67</v>
      </c>
      <c r="I134" s="40">
        <f t="shared" si="64"/>
        <v>2150.13</v>
      </c>
      <c r="J134" s="40">
        <f t="shared" si="64"/>
        <v>1461.5300000000002</v>
      </c>
      <c r="K134" s="40">
        <f t="shared" si="64"/>
        <v>1842.6100000000001</v>
      </c>
      <c r="L134" s="40">
        <f t="shared" si="64"/>
        <v>2939.25</v>
      </c>
      <c r="M134" s="40">
        <f t="shared" si="64"/>
        <v>5587.73</v>
      </c>
      <c r="N134" s="40">
        <f t="shared" si="64"/>
        <v>8771.27</v>
      </c>
      <c r="O134" s="40">
        <f t="shared" si="64"/>
        <v>9000</v>
      </c>
      <c r="P134" s="40">
        <f>SUM(D134:O134)</f>
        <v>69264.73</v>
      </c>
    </row>
    <row r="135" spans="1:16">
      <c r="A135" s="20">
        <f>MAX(A$9:A134)+1</f>
        <v>79</v>
      </c>
      <c r="B135" s="18" t="s">
        <v>142</v>
      </c>
      <c r="C135" s="40">
        <v>20000</v>
      </c>
      <c r="D135" s="40">
        <f t="shared" ref="D135:O135" si="65">IF($C135&lt;D129-D133-D134,$C135,D129-D133-D134)</f>
        <v>4597.3500000000004</v>
      </c>
      <c r="E135" s="40">
        <f t="shared" si="65"/>
        <v>2637.4599999999991</v>
      </c>
      <c r="F135" s="40">
        <f t="shared" si="65"/>
        <v>1405.1499999999996</v>
      </c>
      <c r="G135" s="40">
        <f t="shared" si="65"/>
        <v>0</v>
      </c>
      <c r="H135" s="40">
        <f t="shared" si="65"/>
        <v>0</v>
      </c>
      <c r="I135" s="40">
        <f t="shared" si="65"/>
        <v>0</v>
      </c>
      <c r="J135" s="40">
        <f t="shared" si="65"/>
        <v>0</v>
      </c>
      <c r="K135" s="40">
        <f t="shared" si="65"/>
        <v>0</v>
      </c>
      <c r="L135" s="40">
        <f t="shared" si="65"/>
        <v>0</v>
      </c>
      <c r="M135" s="40">
        <f t="shared" si="65"/>
        <v>0</v>
      </c>
      <c r="N135" s="40">
        <f t="shared" si="65"/>
        <v>0</v>
      </c>
      <c r="O135" s="40">
        <f t="shared" si="65"/>
        <v>3095.3199999999997</v>
      </c>
      <c r="P135" s="40">
        <f>SUM(D135:O135)</f>
        <v>11735.279999999999</v>
      </c>
    </row>
    <row r="136" spans="1:16">
      <c r="A136" s="20">
        <f>MAX(A$9:A135)+1</f>
        <v>80</v>
      </c>
      <c r="B136" s="18" t="s">
        <v>142</v>
      </c>
      <c r="C136" s="40">
        <v>70000</v>
      </c>
      <c r="D136" s="40">
        <f t="shared" ref="D136:O136" si="66">IF($C136&lt;D129-D135-D134-D133,$C136,D129-D135-D134-D133)</f>
        <v>0</v>
      </c>
      <c r="E136" s="40">
        <f t="shared" si="66"/>
        <v>0</v>
      </c>
      <c r="F136" s="40">
        <f t="shared" si="66"/>
        <v>0</v>
      </c>
      <c r="G136" s="40">
        <f t="shared" si="66"/>
        <v>0</v>
      </c>
      <c r="H136" s="40">
        <f t="shared" si="66"/>
        <v>0</v>
      </c>
      <c r="I136" s="40">
        <f t="shared" si="66"/>
        <v>0</v>
      </c>
      <c r="J136" s="40">
        <f t="shared" si="66"/>
        <v>0</v>
      </c>
      <c r="K136" s="40">
        <f t="shared" si="66"/>
        <v>0</v>
      </c>
      <c r="L136" s="40">
        <f t="shared" si="66"/>
        <v>0</v>
      </c>
      <c r="M136" s="40">
        <f t="shared" si="66"/>
        <v>0</v>
      </c>
      <c r="N136" s="40">
        <f t="shared" si="66"/>
        <v>0</v>
      </c>
      <c r="O136" s="40">
        <f t="shared" si="66"/>
        <v>0</v>
      </c>
      <c r="P136" s="40">
        <f>SUM(D136:O136)</f>
        <v>0</v>
      </c>
    </row>
    <row r="137" spans="1:16">
      <c r="A137" s="20">
        <f>MAX(A$9:A136)+1</f>
        <v>81</v>
      </c>
      <c r="B137" s="18" t="s">
        <v>143</v>
      </c>
      <c r="C137" s="40">
        <v>100000</v>
      </c>
      <c r="D137" s="55">
        <f t="shared" ref="D137:O137" si="67">D129-D136-D135-D134-D133</f>
        <v>0</v>
      </c>
      <c r="E137" s="55">
        <f t="shared" si="67"/>
        <v>0</v>
      </c>
      <c r="F137" s="55">
        <f t="shared" si="67"/>
        <v>0</v>
      </c>
      <c r="G137" s="55">
        <f t="shared" si="67"/>
        <v>0</v>
      </c>
      <c r="H137" s="55">
        <f t="shared" si="67"/>
        <v>0</v>
      </c>
      <c r="I137" s="55">
        <f t="shared" si="67"/>
        <v>0</v>
      </c>
      <c r="J137" s="55">
        <f t="shared" si="67"/>
        <v>0</v>
      </c>
      <c r="K137" s="55">
        <f t="shared" si="67"/>
        <v>0</v>
      </c>
      <c r="L137" s="55">
        <f t="shared" si="67"/>
        <v>0</v>
      </c>
      <c r="M137" s="55">
        <f t="shared" si="67"/>
        <v>0</v>
      </c>
      <c r="N137" s="55">
        <f t="shared" si="67"/>
        <v>0</v>
      </c>
      <c r="O137" s="55">
        <f t="shared" si="67"/>
        <v>0</v>
      </c>
      <c r="P137" s="55">
        <f>SUM(D137:O137)</f>
        <v>0</v>
      </c>
    </row>
    <row r="138" spans="1:16">
      <c r="A138" s="20">
        <f>MAX(A$9:A137)+1</f>
        <v>82</v>
      </c>
      <c r="B138" s="45" t="s">
        <v>127</v>
      </c>
      <c r="C138" s="40"/>
      <c r="D138" s="41">
        <f t="shared" ref="D138:P138" si="68">SUM(D133:D137)</f>
        <v>14597.35</v>
      </c>
      <c r="E138" s="41">
        <f t="shared" si="68"/>
        <v>12637.46</v>
      </c>
      <c r="F138" s="41">
        <f t="shared" si="68"/>
        <v>11405.15</v>
      </c>
      <c r="G138" s="41">
        <f t="shared" si="68"/>
        <v>7609.54</v>
      </c>
      <c r="H138" s="41">
        <f t="shared" si="68"/>
        <v>4902.67</v>
      </c>
      <c r="I138" s="41">
        <f t="shared" si="68"/>
        <v>3150.13</v>
      </c>
      <c r="J138" s="41">
        <f t="shared" si="68"/>
        <v>2461.5300000000002</v>
      </c>
      <c r="K138" s="41">
        <f t="shared" si="68"/>
        <v>2842.61</v>
      </c>
      <c r="L138" s="41">
        <f t="shared" si="68"/>
        <v>3939.25</v>
      </c>
      <c r="M138" s="41">
        <f t="shared" si="68"/>
        <v>6587.73</v>
      </c>
      <c r="N138" s="41">
        <f t="shared" si="68"/>
        <v>9771.27</v>
      </c>
      <c r="O138" s="41">
        <f t="shared" si="68"/>
        <v>13095.32</v>
      </c>
      <c r="P138" s="41">
        <f t="shared" si="68"/>
        <v>93000.01</v>
      </c>
    </row>
    <row r="139" spans="1:16">
      <c r="B139" s="45"/>
      <c r="C139" s="40"/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</row>
    <row r="140" spans="1:16">
      <c r="B140" s="45"/>
      <c r="C140" s="40"/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</row>
    <row r="141" spans="1:16">
      <c r="B141" s="48" t="s">
        <v>95</v>
      </c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</row>
    <row r="142" spans="1:16">
      <c r="A142" s="20">
        <f>MAX(A$9:A141)+1</f>
        <v>83</v>
      </c>
      <c r="B142" s="45" t="s">
        <v>137</v>
      </c>
      <c r="C142" s="42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4">
        <f>250000</f>
        <v>250000</v>
      </c>
    </row>
    <row r="143" spans="1:16">
      <c r="A143" s="20">
        <f>MAX(A$9:A142)+1</f>
        <v>84</v>
      </c>
      <c r="B143" s="45" t="s">
        <v>138</v>
      </c>
      <c r="C143" s="43"/>
      <c r="D143" s="40">
        <f t="shared" ref="D143:O143" si="69">ROUND(D144*$P$142,2)</f>
        <v>36781.4</v>
      </c>
      <c r="E143" s="40">
        <f t="shared" si="69"/>
        <v>33111.339999999997</v>
      </c>
      <c r="F143" s="40">
        <f t="shared" si="69"/>
        <v>31226.45</v>
      </c>
      <c r="G143" s="40">
        <f t="shared" si="69"/>
        <v>19672.669999999998</v>
      </c>
      <c r="H143" s="40">
        <f t="shared" si="69"/>
        <v>14522.97</v>
      </c>
      <c r="I143" s="40">
        <f t="shared" si="69"/>
        <v>10294.48</v>
      </c>
      <c r="J143" s="40">
        <f t="shared" si="69"/>
        <v>6079.65</v>
      </c>
      <c r="K143" s="40">
        <f t="shared" si="69"/>
        <v>8872.09</v>
      </c>
      <c r="L143" s="40">
        <f t="shared" si="69"/>
        <v>10556.69</v>
      </c>
      <c r="M143" s="40">
        <f t="shared" si="69"/>
        <v>17481.98</v>
      </c>
      <c r="N143" s="40">
        <f t="shared" si="69"/>
        <v>26103.49</v>
      </c>
      <c r="O143" s="40">
        <f t="shared" si="69"/>
        <v>35296.800000000003</v>
      </c>
      <c r="P143" s="40">
        <f>SUM(D143:O143)</f>
        <v>250000.01</v>
      </c>
    </row>
    <row r="144" spans="1:16">
      <c r="A144" s="20">
        <f>MAX(A$9:A143)+1</f>
        <v>85</v>
      </c>
      <c r="B144" s="45" t="s">
        <v>139</v>
      </c>
      <c r="C144" s="20"/>
      <c r="D144" s="33">
        <v>0.14712558140000001</v>
      </c>
      <c r="E144" s="33">
        <v>0.1324453488</v>
      </c>
      <c r="F144" s="33">
        <v>0.124905814</v>
      </c>
      <c r="G144" s="33">
        <v>7.8690697700000006E-2</v>
      </c>
      <c r="H144" s="33">
        <v>5.8091860500000002E-2</v>
      </c>
      <c r="I144" s="33">
        <v>4.1177907E-2</v>
      </c>
      <c r="J144" s="33">
        <v>2.43186047E-2</v>
      </c>
      <c r="K144" s="33">
        <v>3.5488372099999999E-2</v>
      </c>
      <c r="L144" s="33">
        <v>4.2226744199999999E-2</v>
      </c>
      <c r="M144" s="33">
        <v>6.9927906999999997E-2</v>
      </c>
      <c r="N144" s="33">
        <v>0.1044139535</v>
      </c>
      <c r="O144" s="33">
        <v>0.14118720930000001</v>
      </c>
      <c r="P144" s="34">
        <f>SUM(D144:O144)</f>
        <v>1.0000000002</v>
      </c>
    </row>
    <row r="145" spans="1:16">
      <c r="B145" s="45"/>
      <c r="C145" s="20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</row>
    <row r="146" spans="1:16">
      <c r="B146" s="48" t="s">
        <v>140</v>
      </c>
      <c r="C146" s="20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20"/>
    </row>
    <row r="147" spans="1:16">
      <c r="A147" s="20">
        <f>MAX(A$9:A146)+1</f>
        <v>86</v>
      </c>
      <c r="B147" s="18" t="s">
        <v>141</v>
      </c>
      <c r="C147" s="40">
        <v>1000</v>
      </c>
      <c r="D147" s="40">
        <f t="shared" ref="D147:O147" si="70">IF(D143&gt;$C147,$C147,D143)</f>
        <v>1000</v>
      </c>
      <c r="E147" s="40">
        <f t="shared" si="70"/>
        <v>1000</v>
      </c>
      <c r="F147" s="40">
        <f t="shared" si="70"/>
        <v>1000</v>
      </c>
      <c r="G147" s="40">
        <f t="shared" si="70"/>
        <v>1000</v>
      </c>
      <c r="H147" s="40">
        <f t="shared" si="70"/>
        <v>1000</v>
      </c>
      <c r="I147" s="40">
        <f t="shared" si="70"/>
        <v>1000</v>
      </c>
      <c r="J147" s="40">
        <f t="shared" si="70"/>
        <v>1000</v>
      </c>
      <c r="K147" s="40">
        <f t="shared" si="70"/>
        <v>1000</v>
      </c>
      <c r="L147" s="40">
        <f t="shared" si="70"/>
        <v>1000</v>
      </c>
      <c r="M147" s="40">
        <f t="shared" si="70"/>
        <v>1000</v>
      </c>
      <c r="N147" s="40">
        <f t="shared" si="70"/>
        <v>1000</v>
      </c>
      <c r="O147" s="40">
        <f t="shared" si="70"/>
        <v>1000</v>
      </c>
      <c r="P147" s="40">
        <f>SUM(D147:O147)</f>
        <v>12000</v>
      </c>
    </row>
    <row r="148" spans="1:16">
      <c r="A148" s="20">
        <f>MAX(A$9:A147)+1</f>
        <v>87</v>
      </c>
      <c r="B148" s="18" t="s">
        <v>142</v>
      </c>
      <c r="C148" s="40">
        <v>9000</v>
      </c>
      <c r="D148" s="40">
        <f t="shared" ref="D148:O148" si="71">IF($C148&lt;D143-D147,$C148,D143-D147)</f>
        <v>9000</v>
      </c>
      <c r="E148" s="40">
        <f t="shared" si="71"/>
        <v>9000</v>
      </c>
      <c r="F148" s="40">
        <f t="shared" si="71"/>
        <v>9000</v>
      </c>
      <c r="G148" s="40">
        <f t="shared" si="71"/>
        <v>9000</v>
      </c>
      <c r="H148" s="40">
        <f t="shared" si="71"/>
        <v>9000</v>
      </c>
      <c r="I148" s="40">
        <f t="shared" si="71"/>
        <v>9000</v>
      </c>
      <c r="J148" s="40">
        <f t="shared" si="71"/>
        <v>5079.6499999999996</v>
      </c>
      <c r="K148" s="40">
        <f t="shared" si="71"/>
        <v>7872.09</v>
      </c>
      <c r="L148" s="40">
        <f t="shared" si="71"/>
        <v>9000</v>
      </c>
      <c r="M148" s="40">
        <f t="shared" si="71"/>
        <v>9000</v>
      </c>
      <c r="N148" s="40">
        <f t="shared" si="71"/>
        <v>9000</v>
      </c>
      <c r="O148" s="40">
        <f t="shared" si="71"/>
        <v>9000</v>
      </c>
      <c r="P148" s="40">
        <f>SUM(D148:O148)</f>
        <v>102951.74</v>
      </c>
    </row>
    <row r="149" spans="1:16">
      <c r="A149" s="20">
        <f>MAX(A$9:A148)+1</f>
        <v>88</v>
      </c>
      <c r="B149" s="18" t="s">
        <v>142</v>
      </c>
      <c r="C149" s="40">
        <v>20000</v>
      </c>
      <c r="D149" s="40">
        <f t="shared" ref="D149:O149" si="72">IF($C149&lt;D143-D147-D148,$C149,D143-D147-D148)</f>
        <v>20000</v>
      </c>
      <c r="E149" s="40">
        <f t="shared" si="72"/>
        <v>20000</v>
      </c>
      <c r="F149" s="40">
        <f t="shared" si="72"/>
        <v>20000</v>
      </c>
      <c r="G149" s="40">
        <f t="shared" si="72"/>
        <v>9672.6699999999983</v>
      </c>
      <c r="H149" s="40">
        <f t="shared" si="72"/>
        <v>4522.9699999999993</v>
      </c>
      <c r="I149" s="40">
        <f t="shared" si="72"/>
        <v>294.47999999999956</v>
      </c>
      <c r="J149" s="40">
        <f t="shared" si="72"/>
        <v>0</v>
      </c>
      <c r="K149" s="40">
        <f t="shared" si="72"/>
        <v>0</v>
      </c>
      <c r="L149" s="40">
        <f t="shared" si="72"/>
        <v>556.69000000000051</v>
      </c>
      <c r="M149" s="40">
        <f t="shared" si="72"/>
        <v>7481.98</v>
      </c>
      <c r="N149" s="40">
        <f t="shared" si="72"/>
        <v>16103.490000000002</v>
      </c>
      <c r="O149" s="40">
        <f t="shared" si="72"/>
        <v>20000</v>
      </c>
      <c r="P149" s="40">
        <f>SUM(D149:O149)</f>
        <v>118632.28</v>
      </c>
    </row>
    <row r="150" spans="1:16">
      <c r="A150" s="20">
        <f>MAX(A$9:A149)+1</f>
        <v>89</v>
      </c>
      <c r="B150" s="18" t="s">
        <v>142</v>
      </c>
      <c r="C150" s="40">
        <v>70000</v>
      </c>
      <c r="D150" s="40">
        <f t="shared" ref="D150:O150" si="73">IF($C150&lt;D143-D149-D148-D147,$C150,D143-D149-D148-D147)</f>
        <v>6781.4000000000015</v>
      </c>
      <c r="E150" s="40">
        <f t="shared" si="73"/>
        <v>3111.3399999999965</v>
      </c>
      <c r="F150" s="40">
        <f t="shared" si="73"/>
        <v>1226.4500000000007</v>
      </c>
      <c r="G150" s="40">
        <f t="shared" si="73"/>
        <v>0</v>
      </c>
      <c r="H150" s="40">
        <f t="shared" si="73"/>
        <v>0</v>
      </c>
      <c r="I150" s="40">
        <f t="shared" si="73"/>
        <v>0</v>
      </c>
      <c r="J150" s="40">
        <f t="shared" si="73"/>
        <v>0</v>
      </c>
      <c r="K150" s="40">
        <f t="shared" si="73"/>
        <v>0</v>
      </c>
      <c r="L150" s="40">
        <f t="shared" si="73"/>
        <v>0</v>
      </c>
      <c r="M150" s="40">
        <f t="shared" si="73"/>
        <v>0</v>
      </c>
      <c r="N150" s="40">
        <f t="shared" si="73"/>
        <v>0</v>
      </c>
      <c r="O150" s="40">
        <f t="shared" si="73"/>
        <v>5296.8000000000029</v>
      </c>
      <c r="P150" s="40">
        <f>SUM(D150:O150)</f>
        <v>16415.990000000002</v>
      </c>
    </row>
    <row r="151" spans="1:16">
      <c r="A151" s="20">
        <f>MAX(A$9:A150)+1</f>
        <v>90</v>
      </c>
      <c r="B151" s="18" t="s">
        <v>143</v>
      </c>
      <c r="C151" s="40">
        <v>100000</v>
      </c>
      <c r="D151" s="55">
        <f t="shared" ref="D151:O151" si="74">D143-D150-D149-D148-D147</f>
        <v>0</v>
      </c>
      <c r="E151" s="55">
        <f t="shared" si="74"/>
        <v>0</v>
      </c>
      <c r="F151" s="55">
        <f t="shared" si="74"/>
        <v>0</v>
      </c>
      <c r="G151" s="55">
        <f t="shared" si="74"/>
        <v>0</v>
      </c>
      <c r="H151" s="55">
        <f t="shared" si="74"/>
        <v>0</v>
      </c>
      <c r="I151" s="55">
        <f t="shared" si="74"/>
        <v>0</v>
      </c>
      <c r="J151" s="55">
        <f t="shared" si="74"/>
        <v>0</v>
      </c>
      <c r="K151" s="55">
        <f t="shared" si="74"/>
        <v>0</v>
      </c>
      <c r="L151" s="55">
        <f t="shared" si="74"/>
        <v>0</v>
      </c>
      <c r="M151" s="55">
        <f t="shared" si="74"/>
        <v>0</v>
      </c>
      <c r="N151" s="55">
        <f t="shared" si="74"/>
        <v>0</v>
      </c>
      <c r="O151" s="55">
        <f t="shared" si="74"/>
        <v>0</v>
      </c>
      <c r="P151" s="55">
        <f>SUM(D151:O151)</f>
        <v>0</v>
      </c>
    </row>
    <row r="152" spans="1:16">
      <c r="A152" s="20">
        <f>MAX(A$9:A151)+1</f>
        <v>91</v>
      </c>
      <c r="B152" s="45" t="s">
        <v>127</v>
      </c>
      <c r="C152" s="40"/>
      <c r="D152" s="41">
        <f t="shared" ref="D152:P152" si="75">SUM(D147:D151)</f>
        <v>36781.4</v>
      </c>
      <c r="E152" s="41">
        <f t="shared" si="75"/>
        <v>33111.339999999997</v>
      </c>
      <c r="F152" s="41">
        <f t="shared" si="75"/>
        <v>31226.45</v>
      </c>
      <c r="G152" s="41">
        <f t="shared" si="75"/>
        <v>19672.669999999998</v>
      </c>
      <c r="H152" s="41">
        <f t="shared" si="75"/>
        <v>14522.97</v>
      </c>
      <c r="I152" s="41">
        <f t="shared" si="75"/>
        <v>10294.48</v>
      </c>
      <c r="J152" s="41">
        <f t="shared" si="75"/>
        <v>6079.65</v>
      </c>
      <c r="K152" s="41">
        <f t="shared" si="75"/>
        <v>8872.09</v>
      </c>
      <c r="L152" s="41">
        <f t="shared" si="75"/>
        <v>10556.69</v>
      </c>
      <c r="M152" s="41">
        <f t="shared" si="75"/>
        <v>17481.98</v>
      </c>
      <c r="N152" s="41">
        <f t="shared" si="75"/>
        <v>26103.49</v>
      </c>
      <c r="O152" s="41">
        <f t="shared" si="75"/>
        <v>35296.800000000003</v>
      </c>
      <c r="P152" s="41">
        <f t="shared" si="75"/>
        <v>250000.01</v>
      </c>
    </row>
    <row r="153" spans="1:16"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</row>
    <row r="154" spans="1:16">
      <c r="A154" s="152" t="s">
        <v>114</v>
      </c>
      <c r="B154" s="152"/>
      <c r="C154" s="152"/>
      <c r="D154" s="152"/>
      <c r="E154" s="152"/>
      <c r="F154" s="152"/>
      <c r="G154" s="152"/>
      <c r="H154" s="152"/>
      <c r="I154" s="152"/>
      <c r="J154" s="152"/>
      <c r="K154" s="152"/>
      <c r="L154" s="152"/>
      <c r="M154" s="152"/>
      <c r="N154" s="152"/>
      <c r="O154" s="152"/>
      <c r="P154" s="152"/>
    </row>
    <row r="155" spans="1:16">
      <c r="B155" s="152" t="s">
        <v>100</v>
      </c>
      <c r="C155" s="152"/>
      <c r="D155" s="152"/>
      <c r="E155" s="152"/>
      <c r="F155" s="152"/>
      <c r="G155" s="152"/>
      <c r="H155" s="152"/>
      <c r="I155" s="152"/>
      <c r="J155" s="152"/>
      <c r="K155" s="152"/>
      <c r="L155" s="152"/>
      <c r="M155" s="152"/>
      <c r="N155" s="152"/>
      <c r="O155" s="152"/>
      <c r="P155" s="152"/>
    </row>
    <row r="156" spans="1:16">
      <c r="B156" s="30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</row>
    <row r="157" spans="1:16">
      <c r="A157" s="25" t="s">
        <v>8</v>
      </c>
      <c r="B157" s="46"/>
      <c r="C157" s="25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</row>
    <row r="158" spans="1:16">
      <c r="A158" s="28" t="s">
        <v>16</v>
      </c>
      <c r="B158" s="47" t="s">
        <v>17</v>
      </c>
      <c r="C158" s="28"/>
      <c r="D158" s="29" t="s">
        <v>115</v>
      </c>
      <c r="E158" s="29" t="s">
        <v>116</v>
      </c>
      <c r="F158" s="29" t="s">
        <v>117</v>
      </c>
      <c r="G158" s="29" t="s">
        <v>118</v>
      </c>
      <c r="H158" s="29" t="s">
        <v>119</v>
      </c>
      <c r="I158" s="29" t="s">
        <v>120</v>
      </c>
      <c r="J158" s="29" t="s">
        <v>121</v>
      </c>
      <c r="K158" s="29" t="s">
        <v>122</v>
      </c>
      <c r="L158" s="29" t="s">
        <v>123</v>
      </c>
      <c r="M158" s="29" t="s">
        <v>124</v>
      </c>
      <c r="N158" s="29" t="s">
        <v>125</v>
      </c>
      <c r="O158" s="29" t="s">
        <v>126</v>
      </c>
      <c r="P158" s="29" t="s">
        <v>127</v>
      </c>
    </row>
    <row r="159" spans="1:16">
      <c r="B159" s="46"/>
      <c r="C159" s="25"/>
      <c r="D159" s="26" t="s">
        <v>22</v>
      </c>
      <c r="E159" s="26" t="s">
        <v>23</v>
      </c>
      <c r="F159" s="26" t="s">
        <v>24</v>
      </c>
      <c r="G159" s="26" t="s">
        <v>128</v>
      </c>
      <c r="H159" s="26" t="s">
        <v>129</v>
      </c>
      <c r="I159" s="26" t="s">
        <v>130</v>
      </c>
      <c r="J159" s="26" t="s">
        <v>131</v>
      </c>
      <c r="K159" s="26" t="s">
        <v>29</v>
      </c>
      <c r="L159" s="26" t="s">
        <v>132</v>
      </c>
      <c r="M159" s="26" t="s">
        <v>133</v>
      </c>
      <c r="N159" s="26" t="s">
        <v>134</v>
      </c>
      <c r="O159" s="26" t="s">
        <v>135</v>
      </c>
      <c r="P159" s="26" t="s">
        <v>136</v>
      </c>
    </row>
    <row r="160" spans="1:16">
      <c r="B160" s="46"/>
      <c r="C160" s="25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</row>
    <row r="161" spans="1:16">
      <c r="B161" s="46" t="s">
        <v>101</v>
      </c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</row>
    <row r="162" spans="1:16">
      <c r="A162" s="20">
        <f>MAX(A$9:A161)+1</f>
        <v>92</v>
      </c>
      <c r="B162" s="45" t="s">
        <v>137</v>
      </c>
      <c r="C162" s="25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54">
        <v>2200</v>
      </c>
    </row>
    <row r="163" spans="1:16">
      <c r="A163" s="20">
        <f>MAX(A$9:A162)+1</f>
        <v>93</v>
      </c>
      <c r="B163" s="45" t="s">
        <v>138</v>
      </c>
      <c r="C163" s="25"/>
      <c r="D163" s="51">
        <f t="shared" ref="D163:O163" si="76">ROUND(D164*$P$162,2)</f>
        <v>385</v>
      </c>
      <c r="E163" s="51">
        <f t="shared" si="76"/>
        <v>402.6</v>
      </c>
      <c r="F163" s="51">
        <f t="shared" si="76"/>
        <v>332.2</v>
      </c>
      <c r="G163" s="51">
        <f t="shared" si="76"/>
        <v>200.2</v>
      </c>
      <c r="H163" s="51">
        <f t="shared" si="76"/>
        <v>114.4</v>
      </c>
      <c r="I163" s="51">
        <f t="shared" si="76"/>
        <v>63.8</v>
      </c>
      <c r="J163" s="51">
        <f t="shared" si="76"/>
        <v>48.4</v>
      </c>
      <c r="K163" s="51">
        <f t="shared" si="76"/>
        <v>46.2</v>
      </c>
      <c r="L163" s="51">
        <f t="shared" si="76"/>
        <v>48.4</v>
      </c>
      <c r="M163" s="51">
        <f t="shared" si="76"/>
        <v>105.6</v>
      </c>
      <c r="N163" s="51">
        <f t="shared" si="76"/>
        <v>158.4</v>
      </c>
      <c r="O163" s="51">
        <f t="shared" si="76"/>
        <v>294.8</v>
      </c>
      <c r="P163" s="51">
        <f>SUM(D163:O163)</f>
        <v>2200.0000000000005</v>
      </c>
    </row>
    <row r="164" spans="1:16">
      <c r="A164" s="20">
        <f>MAX(A$9:A163)+1</f>
        <v>94</v>
      </c>
      <c r="B164" s="45" t="s">
        <v>139</v>
      </c>
      <c r="C164" s="25"/>
      <c r="D164" s="33">
        <v>0.17499999999999999</v>
      </c>
      <c r="E164" s="33">
        <v>0.183</v>
      </c>
      <c r="F164" s="33">
        <v>0.151</v>
      </c>
      <c r="G164" s="33">
        <v>9.0999999999999998E-2</v>
      </c>
      <c r="H164" s="33">
        <v>5.2000000000000005E-2</v>
      </c>
      <c r="I164" s="33">
        <v>2.9000000000000001E-2</v>
      </c>
      <c r="J164" s="33">
        <v>2.2000000000000002E-2</v>
      </c>
      <c r="K164" s="33">
        <v>2.1000000000000001E-2</v>
      </c>
      <c r="L164" s="33">
        <v>2.2000000000000002E-2</v>
      </c>
      <c r="M164" s="33">
        <v>4.8000000000000001E-2</v>
      </c>
      <c r="N164" s="33">
        <v>7.2000000000000008E-2</v>
      </c>
      <c r="O164" s="33">
        <v>0.13400000000000001</v>
      </c>
      <c r="P164" s="39">
        <f>SUM(D164:O164)</f>
        <v>1</v>
      </c>
    </row>
    <row r="165" spans="1:16">
      <c r="C165" s="25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8"/>
    </row>
    <row r="166" spans="1:16">
      <c r="B166" s="46" t="s">
        <v>140</v>
      </c>
      <c r="C166" s="25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25"/>
    </row>
    <row r="167" spans="1:16">
      <c r="A167" s="20">
        <f>MAX(A$9:A166)+1</f>
        <v>95</v>
      </c>
      <c r="B167" s="16" t="s">
        <v>141</v>
      </c>
      <c r="C167" s="51">
        <v>100</v>
      </c>
      <c r="D167" s="51">
        <f t="shared" ref="D167:O167" si="77">IF(D163&gt;$C167,$C167,D163)</f>
        <v>100</v>
      </c>
      <c r="E167" s="51">
        <f t="shared" si="77"/>
        <v>100</v>
      </c>
      <c r="F167" s="51">
        <f t="shared" si="77"/>
        <v>100</v>
      </c>
      <c r="G167" s="51">
        <f t="shared" si="77"/>
        <v>100</v>
      </c>
      <c r="H167" s="51">
        <f t="shared" si="77"/>
        <v>100</v>
      </c>
      <c r="I167" s="51">
        <f t="shared" si="77"/>
        <v>63.8</v>
      </c>
      <c r="J167" s="51">
        <f t="shared" si="77"/>
        <v>48.4</v>
      </c>
      <c r="K167" s="51">
        <f t="shared" si="77"/>
        <v>46.2</v>
      </c>
      <c r="L167" s="51">
        <f t="shared" si="77"/>
        <v>48.4</v>
      </c>
      <c r="M167" s="51">
        <f t="shared" si="77"/>
        <v>100</v>
      </c>
      <c r="N167" s="51">
        <f t="shared" si="77"/>
        <v>100</v>
      </c>
      <c r="O167" s="51">
        <f t="shared" si="77"/>
        <v>100</v>
      </c>
      <c r="P167" s="51">
        <f>SUM(D167:O167)</f>
        <v>1006.8</v>
      </c>
    </row>
    <row r="168" spans="1:16">
      <c r="A168" s="20">
        <f>MAX(A$9:A167)+1</f>
        <v>96</v>
      </c>
      <c r="B168" s="16" t="s">
        <v>142</v>
      </c>
      <c r="C168" s="51">
        <v>150</v>
      </c>
      <c r="D168" s="51">
        <f t="shared" ref="D168:O168" si="78">IF($C168&lt;D163-D167,$C168,D163-D167)</f>
        <v>150</v>
      </c>
      <c r="E168" s="51">
        <f t="shared" si="78"/>
        <v>150</v>
      </c>
      <c r="F168" s="51">
        <f t="shared" si="78"/>
        <v>150</v>
      </c>
      <c r="G168" s="51">
        <f t="shared" si="78"/>
        <v>100.19999999999999</v>
      </c>
      <c r="H168" s="51">
        <f t="shared" si="78"/>
        <v>14.400000000000006</v>
      </c>
      <c r="I168" s="51">
        <f t="shared" si="78"/>
        <v>0</v>
      </c>
      <c r="J168" s="51">
        <f t="shared" si="78"/>
        <v>0</v>
      </c>
      <c r="K168" s="51">
        <f t="shared" si="78"/>
        <v>0</v>
      </c>
      <c r="L168" s="51">
        <f t="shared" si="78"/>
        <v>0</v>
      </c>
      <c r="M168" s="51">
        <f t="shared" si="78"/>
        <v>5.5999999999999943</v>
      </c>
      <c r="N168" s="51">
        <f t="shared" si="78"/>
        <v>58.400000000000006</v>
      </c>
      <c r="O168" s="51">
        <f t="shared" si="78"/>
        <v>150</v>
      </c>
      <c r="P168" s="51">
        <f>SUM(D168:O168)</f>
        <v>778.6</v>
      </c>
    </row>
    <row r="169" spans="1:16">
      <c r="A169" s="20">
        <f>MAX(A$9:A168)+1</f>
        <v>97</v>
      </c>
      <c r="B169" s="16" t="s">
        <v>143</v>
      </c>
      <c r="C169" s="51">
        <v>250</v>
      </c>
      <c r="D169" s="52">
        <f t="shared" ref="D169:O169" si="79">D163-D167-D168</f>
        <v>135</v>
      </c>
      <c r="E169" s="52">
        <f t="shared" si="79"/>
        <v>152.60000000000002</v>
      </c>
      <c r="F169" s="52">
        <f t="shared" si="79"/>
        <v>82.199999999999989</v>
      </c>
      <c r="G169" s="52">
        <f t="shared" si="79"/>
        <v>0</v>
      </c>
      <c r="H169" s="52">
        <f t="shared" si="79"/>
        <v>0</v>
      </c>
      <c r="I169" s="52">
        <f t="shared" si="79"/>
        <v>0</v>
      </c>
      <c r="J169" s="52">
        <f t="shared" si="79"/>
        <v>0</v>
      </c>
      <c r="K169" s="52">
        <f t="shared" si="79"/>
        <v>0</v>
      </c>
      <c r="L169" s="52">
        <f t="shared" si="79"/>
        <v>0</v>
      </c>
      <c r="M169" s="52">
        <f t="shared" si="79"/>
        <v>0</v>
      </c>
      <c r="N169" s="52">
        <f t="shared" si="79"/>
        <v>0</v>
      </c>
      <c r="O169" s="52">
        <f t="shared" si="79"/>
        <v>44.800000000000011</v>
      </c>
      <c r="P169" s="52">
        <f>SUM(D169:O169)</f>
        <v>414.6</v>
      </c>
    </row>
    <row r="170" spans="1:16">
      <c r="A170" s="20">
        <f>MAX(A$9:A169)+1</f>
        <v>98</v>
      </c>
      <c r="B170" s="45" t="s">
        <v>127</v>
      </c>
      <c r="C170" s="51"/>
      <c r="D170" s="53">
        <f>SUM(D167:D169)</f>
        <v>385</v>
      </c>
      <c r="E170" s="53">
        <f t="shared" ref="E170:O170" si="80">SUM(E167:E169)</f>
        <v>402.6</v>
      </c>
      <c r="F170" s="53">
        <f t="shared" si="80"/>
        <v>332.2</v>
      </c>
      <c r="G170" s="53">
        <f t="shared" si="80"/>
        <v>200.2</v>
      </c>
      <c r="H170" s="53">
        <f t="shared" si="80"/>
        <v>114.4</v>
      </c>
      <c r="I170" s="53">
        <f t="shared" si="80"/>
        <v>63.8</v>
      </c>
      <c r="J170" s="53">
        <f t="shared" si="80"/>
        <v>48.4</v>
      </c>
      <c r="K170" s="53">
        <f t="shared" si="80"/>
        <v>46.2</v>
      </c>
      <c r="L170" s="53">
        <f t="shared" si="80"/>
        <v>48.4</v>
      </c>
      <c r="M170" s="53">
        <f t="shared" si="80"/>
        <v>105.6</v>
      </c>
      <c r="N170" s="53">
        <f t="shared" si="80"/>
        <v>158.4</v>
      </c>
      <c r="O170" s="53">
        <f t="shared" si="80"/>
        <v>294.8</v>
      </c>
      <c r="P170" s="53">
        <f>SUM(P167:P169)</f>
        <v>2200</v>
      </c>
    </row>
    <row r="171" spans="1:16">
      <c r="A171" s="20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</row>
    <row r="172" spans="1:16">
      <c r="A172" s="20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</row>
    <row r="173" spans="1:16">
      <c r="A173" s="20"/>
      <c r="B173" s="46" t="s">
        <v>105</v>
      </c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</row>
    <row r="174" spans="1:16">
      <c r="A174" s="20">
        <f>MAX(A$9:A173)+1</f>
        <v>99</v>
      </c>
      <c r="B174" s="45" t="s">
        <v>137</v>
      </c>
      <c r="C174" s="42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54">
        <v>40000</v>
      </c>
    </row>
    <row r="175" spans="1:16">
      <c r="A175" s="20">
        <f>MAX(A$9:A174)+1</f>
        <v>100</v>
      </c>
      <c r="B175" s="45" t="s">
        <v>138</v>
      </c>
      <c r="C175" s="42"/>
      <c r="D175" s="51">
        <f t="shared" ref="D175:O175" si="81">ROUND(D176*$P$174,2)</f>
        <v>7000</v>
      </c>
      <c r="E175" s="51">
        <f t="shared" si="81"/>
        <v>7320</v>
      </c>
      <c r="F175" s="51">
        <f t="shared" si="81"/>
        <v>6040</v>
      </c>
      <c r="G175" s="51">
        <f t="shared" si="81"/>
        <v>3640</v>
      </c>
      <c r="H175" s="51">
        <f t="shared" si="81"/>
        <v>2080</v>
      </c>
      <c r="I175" s="51">
        <f t="shared" si="81"/>
        <v>1160</v>
      </c>
      <c r="J175" s="51">
        <f t="shared" si="81"/>
        <v>880</v>
      </c>
      <c r="K175" s="51">
        <f t="shared" si="81"/>
        <v>840</v>
      </c>
      <c r="L175" s="51">
        <f t="shared" si="81"/>
        <v>880</v>
      </c>
      <c r="M175" s="51">
        <f t="shared" si="81"/>
        <v>1920</v>
      </c>
      <c r="N175" s="51">
        <f t="shared" si="81"/>
        <v>2880</v>
      </c>
      <c r="O175" s="51">
        <f t="shared" si="81"/>
        <v>5360</v>
      </c>
      <c r="P175" s="51">
        <f>SUM(D175:O175)</f>
        <v>40000</v>
      </c>
    </row>
    <row r="176" spans="1:16">
      <c r="A176" s="20">
        <f>MAX(A$9:A175)+1</f>
        <v>101</v>
      </c>
      <c r="B176" s="45" t="s">
        <v>139</v>
      </c>
      <c r="C176" s="25"/>
      <c r="D176" s="33">
        <v>0.17499999999999999</v>
      </c>
      <c r="E176" s="33">
        <v>0.183</v>
      </c>
      <c r="F176" s="33">
        <v>0.151</v>
      </c>
      <c r="G176" s="33">
        <v>9.0999999999999998E-2</v>
      </c>
      <c r="H176" s="33">
        <v>5.2000000000000005E-2</v>
      </c>
      <c r="I176" s="33">
        <v>2.9000000000000001E-2</v>
      </c>
      <c r="J176" s="33">
        <v>2.2000000000000002E-2</v>
      </c>
      <c r="K176" s="33">
        <v>2.1000000000000001E-2</v>
      </c>
      <c r="L176" s="33">
        <v>2.2000000000000002E-2</v>
      </c>
      <c r="M176" s="33">
        <v>4.8000000000000001E-2</v>
      </c>
      <c r="N176" s="33">
        <v>7.2000000000000008E-2</v>
      </c>
      <c r="O176" s="33">
        <v>0.13400000000000001</v>
      </c>
      <c r="P176" s="39">
        <f>SUM(D176:O176)</f>
        <v>1</v>
      </c>
    </row>
    <row r="177" spans="1:16">
      <c r="C177" s="25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8"/>
    </row>
    <row r="178" spans="1:16">
      <c r="B178" s="46" t="s">
        <v>140</v>
      </c>
      <c r="C178" s="25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25"/>
    </row>
    <row r="179" spans="1:16">
      <c r="A179" s="20">
        <f>MAX(A$9:A178)+1</f>
        <v>102</v>
      </c>
      <c r="B179" s="16" t="s">
        <v>141</v>
      </c>
      <c r="C179" s="51">
        <v>100</v>
      </c>
      <c r="D179" s="51">
        <f t="shared" ref="D179:O179" si="82">IF(D175&gt;$C179,$C179,D175)</f>
        <v>100</v>
      </c>
      <c r="E179" s="51">
        <f t="shared" si="82"/>
        <v>100</v>
      </c>
      <c r="F179" s="51">
        <f t="shared" si="82"/>
        <v>100</v>
      </c>
      <c r="G179" s="51">
        <f t="shared" si="82"/>
        <v>100</v>
      </c>
      <c r="H179" s="51">
        <f t="shared" si="82"/>
        <v>100</v>
      </c>
      <c r="I179" s="51">
        <f t="shared" si="82"/>
        <v>100</v>
      </c>
      <c r="J179" s="51">
        <f t="shared" si="82"/>
        <v>100</v>
      </c>
      <c r="K179" s="51">
        <f t="shared" si="82"/>
        <v>100</v>
      </c>
      <c r="L179" s="51">
        <f t="shared" si="82"/>
        <v>100</v>
      </c>
      <c r="M179" s="51">
        <f t="shared" si="82"/>
        <v>100</v>
      </c>
      <c r="N179" s="51">
        <f t="shared" si="82"/>
        <v>100</v>
      </c>
      <c r="O179" s="51">
        <f t="shared" si="82"/>
        <v>100</v>
      </c>
      <c r="P179" s="51">
        <f>SUM(D179:O179)</f>
        <v>1200</v>
      </c>
    </row>
    <row r="180" spans="1:16">
      <c r="A180" s="20">
        <f>MAX(A$9:A179)+1</f>
        <v>103</v>
      </c>
      <c r="B180" s="16" t="s">
        <v>142</v>
      </c>
      <c r="C180" s="51">
        <v>150</v>
      </c>
      <c r="D180" s="51">
        <f t="shared" ref="D180:O180" si="83">IF($C180&lt;D175-D179,$C180,D175-D179)</f>
        <v>150</v>
      </c>
      <c r="E180" s="51">
        <f t="shared" si="83"/>
        <v>150</v>
      </c>
      <c r="F180" s="51">
        <f t="shared" si="83"/>
        <v>150</v>
      </c>
      <c r="G180" s="51">
        <f t="shared" si="83"/>
        <v>150</v>
      </c>
      <c r="H180" s="51">
        <f t="shared" si="83"/>
        <v>150</v>
      </c>
      <c r="I180" s="51">
        <f t="shared" si="83"/>
        <v>150</v>
      </c>
      <c r="J180" s="51">
        <f t="shared" si="83"/>
        <v>150</v>
      </c>
      <c r="K180" s="51">
        <f t="shared" si="83"/>
        <v>150</v>
      </c>
      <c r="L180" s="51">
        <f t="shared" si="83"/>
        <v>150</v>
      </c>
      <c r="M180" s="51">
        <f t="shared" si="83"/>
        <v>150</v>
      </c>
      <c r="N180" s="51">
        <f t="shared" si="83"/>
        <v>150</v>
      </c>
      <c r="O180" s="51">
        <f t="shared" si="83"/>
        <v>150</v>
      </c>
      <c r="P180" s="51">
        <f>SUM(D180:O180)</f>
        <v>1800</v>
      </c>
    </row>
    <row r="181" spans="1:16">
      <c r="A181" s="20">
        <f>MAX(A$9:A180)+1</f>
        <v>104</v>
      </c>
      <c r="B181" s="16" t="s">
        <v>143</v>
      </c>
      <c r="C181" s="51">
        <v>250</v>
      </c>
      <c r="D181" s="52">
        <f t="shared" ref="D181:O181" si="84">D175-D179-D180</f>
        <v>6750</v>
      </c>
      <c r="E181" s="52">
        <f t="shared" si="84"/>
        <v>7070</v>
      </c>
      <c r="F181" s="52">
        <f t="shared" si="84"/>
        <v>5790</v>
      </c>
      <c r="G181" s="52">
        <f t="shared" si="84"/>
        <v>3390</v>
      </c>
      <c r="H181" s="52">
        <f t="shared" si="84"/>
        <v>1830</v>
      </c>
      <c r="I181" s="52">
        <f t="shared" si="84"/>
        <v>910</v>
      </c>
      <c r="J181" s="52">
        <f t="shared" si="84"/>
        <v>630</v>
      </c>
      <c r="K181" s="52">
        <f t="shared" si="84"/>
        <v>590</v>
      </c>
      <c r="L181" s="52">
        <f t="shared" si="84"/>
        <v>630</v>
      </c>
      <c r="M181" s="52">
        <f t="shared" si="84"/>
        <v>1670</v>
      </c>
      <c r="N181" s="52">
        <f t="shared" si="84"/>
        <v>2630</v>
      </c>
      <c r="O181" s="52">
        <f t="shared" si="84"/>
        <v>5110</v>
      </c>
      <c r="P181" s="52">
        <f>SUM(D181:O181)</f>
        <v>37000</v>
      </c>
    </row>
    <row r="182" spans="1:16">
      <c r="A182" s="20">
        <f>MAX(A$9:A181)+1</f>
        <v>105</v>
      </c>
      <c r="B182" s="45" t="s">
        <v>127</v>
      </c>
      <c r="C182" s="51"/>
      <c r="D182" s="53">
        <f>SUM(D179:D181)</f>
        <v>7000</v>
      </c>
      <c r="E182" s="53">
        <f t="shared" ref="E182:O182" si="85">SUM(E179:E181)</f>
        <v>7320</v>
      </c>
      <c r="F182" s="53">
        <f t="shared" si="85"/>
        <v>6040</v>
      </c>
      <c r="G182" s="53">
        <f t="shared" si="85"/>
        <v>3640</v>
      </c>
      <c r="H182" s="53">
        <f t="shared" si="85"/>
        <v>2080</v>
      </c>
      <c r="I182" s="53">
        <f t="shared" si="85"/>
        <v>1160</v>
      </c>
      <c r="J182" s="53">
        <f t="shared" si="85"/>
        <v>880</v>
      </c>
      <c r="K182" s="53">
        <f t="shared" si="85"/>
        <v>840</v>
      </c>
      <c r="L182" s="53">
        <f t="shared" si="85"/>
        <v>880</v>
      </c>
      <c r="M182" s="53">
        <f t="shared" si="85"/>
        <v>1920</v>
      </c>
      <c r="N182" s="53">
        <f t="shared" si="85"/>
        <v>2880</v>
      </c>
      <c r="O182" s="53">
        <f t="shared" si="85"/>
        <v>5360</v>
      </c>
      <c r="P182" s="53">
        <f>SUM(P179:P181)</f>
        <v>40000</v>
      </c>
    </row>
    <row r="183" spans="1:16">
      <c r="C183" s="42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42"/>
    </row>
    <row r="184" spans="1:16">
      <c r="C184" s="42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42"/>
    </row>
    <row r="185" spans="1:16">
      <c r="B185" s="46" t="s">
        <v>106</v>
      </c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</row>
    <row r="186" spans="1:16">
      <c r="A186" s="20">
        <f>MAX(A$9:A185)+1</f>
        <v>106</v>
      </c>
      <c r="B186" s="45" t="s">
        <v>137</v>
      </c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54">
        <v>60000</v>
      </c>
    </row>
    <row r="187" spans="1:16">
      <c r="A187" s="20">
        <f>MAX(A$9:A186)+1</f>
        <v>107</v>
      </c>
      <c r="B187" s="45" t="s">
        <v>138</v>
      </c>
      <c r="C187" s="42"/>
      <c r="D187" s="51">
        <f t="shared" ref="D187:O187" si="86">ROUND(D188*$P$186,2)</f>
        <v>10440</v>
      </c>
      <c r="E187" s="51">
        <f t="shared" si="86"/>
        <v>10740</v>
      </c>
      <c r="F187" s="51">
        <f t="shared" si="86"/>
        <v>8640</v>
      </c>
      <c r="G187" s="51">
        <f t="shared" si="86"/>
        <v>5580</v>
      </c>
      <c r="H187" s="51">
        <f t="shared" si="86"/>
        <v>3180</v>
      </c>
      <c r="I187" s="51">
        <f t="shared" si="86"/>
        <v>1800</v>
      </c>
      <c r="J187" s="51">
        <f t="shared" si="86"/>
        <v>1080</v>
      </c>
      <c r="K187" s="51">
        <f t="shared" si="86"/>
        <v>1200</v>
      </c>
      <c r="L187" s="51">
        <f t="shared" si="86"/>
        <v>1320</v>
      </c>
      <c r="M187" s="51">
        <f t="shared" si="86"/>
        <v>3300</v>
      </c>
      <c r="N187" s="51">
        <f t="shared" si="86"/>
        <v>4800</v>
      </c>
      <c r="O187" s="51">
        <f t="shared" si="86"/>
        <v>7920</v>
      </c>
      <c r="P187" s="51">
        <f>SUM(D187:O187)</f>
        <v>60000</v>
      </c>
    </row>
    <row r="188" spans="1:16">
      <c r="A188" s="20">
        <f>MAX(A$9:A187)+1</f>
        <v>108</v>
      </c>
      <c r="B188" s="45" t="s">
        <v>139</v>
      </c>
      <c r="C188" s="25"/>
      <c r="D188" s="33">
        <v>0.17400000000000002</v>
      </c>
      <c r="E188" s="33">
        <v>0.17899999999999999</v>
      </c>
      <c r="F188" s="33">
        <v>0.14400000000000002</v>
      </c>
      <c r="G188" s="33">
        <v>9.2999999999999999E-2</v>
      </c>
      <c r="H188" s="33">
        <v>5.3000000000000005E-2</v>
      </c>
      <c r="I188" s="33">
        <v>0.03</v>
      </c>
      <c r="J188" s="33">
        <v>1.8000000000000002E-2</v>
      </c>
      <c r="K188" s="33">
        <v>0.02</v>
      </c>
      <c r="L188" s="33">
        <v>2.2000000000000002E-2</v>
      </c>
      <c r="M188" s="33">
        <v>5.5E-2</v>
      </c>
      <c r="N188" s="33">
        <v>0.08</v>
      </c>
      <c r="O188" s="33">
        <v>0.13200000000000001</v>
      </c>
      <c r="P188" s="39">
        <f>SUM(D188:O188)</f>
        <v>1</v>
      </c>
    </row>
    <row r="189" spans="1:16">
      <c r="C189" s="25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8"/>
    </row>
    <row r="190" spans="1:16">
      <c r="B190" s="46" t="s">
        <v>140</v>
      </c>
      <c r="C190" s="25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25"/>
    </row>
    <row r="191" spans="1:16">
      <c r="A191" s="20">
        <f>MAX(A$9:A190)+1</f>
        <v>109</v>
      </c>
      <c r="B191" s="16" t="s">
        <v>141</v>
      </c>
      <c r="C191" s="51">
        <v>1000</v>
      </c>
      <c r="D191" s="51">
        <f t="shared" ref="D191:O191" si="87">IF(D187&gt;$C191,$C191,D187)</f>
        <v>1000</v>
      </c>
      <c r="E191" s="51">
        <f t="shared" si="87"/>
        <v>1000</v>
      </c>
      <c r="F191" s="51">
        <f t="shared" si="87"/>
        <v>1000</v>
      </c>
      <c r="G191" s="51">
        <f t="shared" si="87"/>
        <v>1000</v>
      </c>
      <c r="H191" s="51">
        <f t="shared" si="87"/>
        <v>1000</v>
      </c>
      <c r="I191" s="51">
        <f t="shared" si="87"/>
        <v>1000</v>
      </c>
      <c r="J191" s="51">
        <f t="shared" si="87"/>
        <v>1000</v>
      </c>
      <c r="K191" s="51">
        <f t="shared" si="87"/>
        <v>1000</v>
      </c>
      <c r="L191" s="51">
        <f t="shared" si="87"/>
        <v>1000</v>
      </c>
      <c r="M191" s="51">
        <f t="shared" si="87"/>
        <v>1000</v>
      </c>
      <c r="N191" s="51">
        <f t="shared" si="87"/>
        <v>1000</v>
      </c>
      <c r="O191" s="51">
        <f t="shared" si="87"/>
        <v>1000</v>
      </c>
      <c r="P191" s="51">
        <f>SUM(D191:O191)</f>
        <v>12000</v>
      </c>
    </row>
    <row r="192" spans="1:16">
      <c r="A192" s="20">
        <f>MAX(A$9:A191)+1</f>
        <v>110</v>
      </c>
      <c r="B192" s="16" t="s">
        <v>142</v>
      </c>
      <c r="C192" s="51">
        <v>6000</v>
      </c>
      <c r="D192" s="51">
        <f t="shared" ref="D192:O192" si="88">IF($C192&lt;D187-D191,$C192,D187-D191)</f>
        <v>6000</v>
      </c>
      <c r="E192" s="51">
        <f t="shared" si="88"/>
        <v>6000</v>
      </c>
      <c r="F192" s="51">
        <f t="shared" si="88"/>
        <v>6000</v>
      </c>
      <c r="G192" s="51">
        <f t="shared" si="88"/>
        <v>4580</v>
      </c>
      <c r="H192" s="51">
        <f t="shared" si="88"/>
        <v>2180</v>
      </c>
      <c r="I192" s="51">
        <f t="shared" si="88"/>
        <v>800</v>
      </c>
      <c r="J192" s="51">
        <f t="shared" si="88"/>
        <v>80</v>
      </c>
      <c r="K192" s="51">
        <f t="shared" si="88"/>
        <v>200</v>
      </c>
      <c r="L192" s="51">
        <f t="shared" si="88"/>
        <v>320</v>
      </c>
      <c r="M192" s="51">
        <f t="shared" si="88"/>
        <v>2300</v>
      </c>
      <c r="N192" s="51">
        <f t="shared" si="88"/>
        <v>3800</v>
      </c>
      <c r="O192" s="51">
        <f t="shared" si="88"/>
        <v>6000</v>
      </c>
      <c r="P192" s="51">
        <f>SUM(D192:O192)</f>
        <v>38260</v>
      </c>
    </row>
    <row r="193" spans="1:16">
      <c r="A193" s="20">
        <f>MAX(A$9:A192)+1</f>
        <v>111</v>
      </c>
      <c r="B193" s="16" t="s">
        <v>142</v>
      </c>
      <c r="C193" s="51">
        <v>13000</v>
      </c>
      <c r="D193" s="51">
        <f t="shared" ref="D193:O193" si="89">IF($C193&lt;D187-D191-D192,$C193,D187-D191-D192)</f>
        <v>3440</v>
      </c>
      <c r="E193" s="51">
        <f t="shared" si="89"/>
        <v>3740</v>
      </c>
      <c r="F193" s="51">
        <f t="shared" si="89"/>
        <v>1640</v>
      </c>
      <c r="G193" s="51">
        <f t="shared" si="89"/>
        <v>0</v>
      </c>
      <c r="H193" s="51">
        <f t="shared" si="89"/>
        <v>0</v>
      </c>
      <c r="I193" s="51">
        <f t="shared" si="89"/>
        <v>0</v>
      </c>
      <c r="J193" s="51">
        <f t="shared" si="89"/>
        <v>0</v>
      </c>
      <c r="K193" s="51">
        <f t="shared" si="89"/>
        <v>0</v>
      </c>
      <c r="L193" s="51">
        <f t="shared" si="89"/>
        <v>0</v>
      </c>
      <c r="M193" s="51">
        <f t="shared" si="89"/>
        <v>0</v>
      </c>
      <c r="N193" s="51">
        <f t="shared" si="89"/>
        <v>0</v>
      </c>
      <c r="O193" s="51">
        <f t="shared" si="89"/>
        <v>920</v>
      </c>
      <c r="P193" s="51">
        <f>SUM(D193:O193)</f>
        <v>9740</v>
      </c>
    </row>
    <row r="194" spans="1:16">
      <c r="A194" s="20">
        <f>MAX(A$9:A193)+1</f>
        <v>112</v>
      </c>
      <c r="B194" s="16" t="s">
        <v>143</v>
      </c>
      <c r="C194" s="51">
        <v>20000</v>
      </c>
      <c r="D194" s="52">
        <f t="shared" ref="D194:O194" si="90">D187-D191-D192-D193</f>
        <v>0</v>
      </c>
      <c r="E194" s="52">
        <f t="shared" si="90"/>
        <v>0</v>
      </c>
      <c r="F194" s="52">
        <f t="shared" si="90"/>
        <v>0</v>
      </c>
      <c r="G194" s="52">
        <f t="shared" si="90"/>
        <v>0</v>
      </c>
      <c r="H194" s="52">
        <f t="shared" si="90"/>
        <v>0</v>
      </c>
      <c r="I194" s="52">
        <f t="shared" si="90"/>
        <v>0</v>
      </c>
      <c r="J194" s="52">
        <f t="shared" si="90"/>
        <v>0</v>
      </c>
      <c r="K194" s="52">
        <f t="shared" si="90"/>
        <v>0</v>
      </c>
      <c r="L194" s="52">
        <f t="shared" si="90"/>
        <v>0</v>
      </c>
      <c r="M194" s="52">
        <f t="shared" si="90"/>
        <v>0</v>
      </c>
      <c r="N194" s="52">
        <f t="shared" si="90"/>
        <v>0</v>
      </c>
      <c r="O194" s="52">
        <f t="shared" si="90"/>
        <v>0</v>
      </c>
      <c r="P194" s="52">
        <f>SUM(D194:O194)</f>
        <v>0</v>
      </c>
    </row>
    <row r="195" spans="1:16">
      <c r="A195" s="20">
        <f>MAX(A$9:A194)+1</f>
        <v>113</v>
      </c>
      <c r="B195" s="45" t="s">
        <v>127</v>
      </c>
      <c r="C195" s="51"/>
      <c r="D195" s="53">
        <f t="shared" ref="D195:P195" si="91">SUM(D191:D194)</f>
        <v>10440</v>
      </c>
      <c r="E195" s="53">
        <f t="shared" si="91"/>
        <v>10740</v>
      </c>
      <c r="F195" s="53">
        <f t="shared" si="91"/>
        <v>8640</v>
      </c>
      <c r="G195" s="53">
        <f t="shared" si="91"/>
        <v>5580</v>
      </c>
      <c r="H195" s="53">
        <f t="shared" si="91"/>
        <v>3180</v>
      </c>
      <c r="I195" s="53">
        <f t="shared" si="91"/>
        <v>1800</v>
      </c>
      <c r="J195" s="53">
        <f t="shared" si="91"/>
        <v>1080</v>
      </c>
      <c r="K195" s="53">
        <f t="shared" si="91"/>
        <v>1200</v>
      </c>
      <c r="L195" s="53">
        <f t="shared" si="91"/>
        <v>1320</v>
      </c>
      <c r="M195" s="53">
        <f t="shared" si="91"/>
        <v>3300</v>
      </c>
      <c r="N195" s="53">
        <f t="shared" si="91"/>
        <v>4800</v>
      </c>
      <c r="O195" s="53">
        <f t="shared" si="91"/>
        <v>7920</v>
      </c>
      <c r="P195" s="53">
        <f t="shared" si="91"/>
        <v>60000</v>
      </c>
    </row>
    <row r="196" spans="1:16"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</row>
    <row r="197" spans="1:16"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</row>
    <row r="198" spans="1:16">
      <c r="B198" s="46" t="s">
        <v>112</v>
      </c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</row>
    <row r="199" spans="1:16">
      <c r="A199" s="20">
        <f>MAX(A$9:A198)+1</f>
        <v>114</v>
      </c>
      <c r="B199" s="45" t="s">
        <v>137</v>
      </c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54">
        <f>73000</f>
        <v>73000</v>
      </c>
    </row>
    <row r="200" spans="1:16">
      <c r="A200" s="20">
        <f>MAX(A$9:A199)+1</f>
        <v>115</v>
      </c>
      <c r="B200" s="45" t="s">
        <v>138</v>
      </c>
      <c r="C200" s="42"/>
      <c r="D200" s="51">
        <f t="shared" ref="D200:O200" si="92">ROUND(D201*$P$199,2)</f>
        <v>12702</v>
      </c>
      <c r="E200" s="51">
        <f t="shared" si="92"/>
        <v>13067</v>
      </c>
      <c r="F200" s="51">
        <f t="shared" si="92"/>
        <v>10512</v>
      </c>
      <c r="G200" s="51">
        <f t="shared" si="92"/>
        <v>6789</v>
      </c>
      <c r="H200" s="51">
        <f t="shared" si="92"/>
        <v>3869</v>
      </c>
      <c r="I200" s="51">
        <f t="shared" si="92"/>
        <v>2190</v>
      </c>
      <c r="J200" s="51">
        <f t="shared" si="92"/>
        <v>1314</v>
      </c>
      <c r="K200" s="51">
        <f t="shared" si="92"/>
        <v>1460</v>
      </c>
      <c r="L200" s="51">
        <f t="shared" si="92"/>
        <v>1606</v>
      </c>
      <c r="M200" s="51">
        <f t="shared" si="92"/>
        <v>4015</v>
      </c>
      <c r="N200" s="51">
        <f t="shared" si="92"/>
        <v>5840</v>
      </c>
      <c r="O200" s="51">
        <f t="shared" si="92"/>
        <v>9636</v>
      </c>
      <c r="P200" s="51">
        <f>SUM(D200:O200)</f>
        <v>73000</v>
      </c>
    </row>
    <row r="201" spans="1:16">
      <c r="A201" s="20">
        <f>MAX(A$9:A200)+1</f>
        <v>116</v>
      </c>
      <c r="B201" s="45" t="s">
        <v>139</v>
      </c>
      <c r="C201" s="25"/>
      <c r="D201" s="33">
        <v>0.17400000000000002</v>
      </c>
      <c r="E201" s="33">
        <v>0.17899999999999999</v>
      </c>
      <c r="F201" s="33">
        <v>0.14400000000000002</v>
      </c>
      <c r="G201" s="33">
        <v>9.2999999999999999E-2</v>
      </c>
      <c r="H201" s="33">
        <v>5.3000000000000005E-2</v>
      </c>
      <c r="I201" s="33">
        <v>0.03</v>
      </c>
      <c r="J201" s="33">
        <v>1.8000000000000002E-2</v>
      </c>
      <c r="K201" s="33">
        <v>0.02</v>
      </c>
      <c r="L201" s="33">
        <v>2.2000000000000002E-2</v>
      </c>
      <c r="M201" s="33">
        <v>5.5E-2</v>
      </c>
      <c r="N201" s="33">
        <v>0.08</v>
      </c>
      <c r="O201" s="33">
        <v>0.13200000000000001</v>
      </c>
      <c r="P201" s="39">
        <f>SUM(D201:O201)</f>
        <v>1</v>
      </c>
    </row>
    <row r="202" spans="1:16">
      <c r="C202" s="25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8"/>
    </row>
    <row r="203" spans="1:16">
      <c r="B203" s="46" t="s">
        <v>140</v>
      </c>
      <c r="C203" s="25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25"/>
    </row>
    <row r="204" spans="1:16">
      <c r="A204" s="20">
        <f>MAX(A$9:A203)+1</f>
        <v>117</v>
      </c>
      <c r="B204" s="16" t="s">
        <v>141</v>
      </c>
      <c r="C204" s="51">
        <v>1000</v>
      </c>
      <c r="D204" s="51">
        <f t="shared" ref="D204:O204" si="93">IF(D200&gt;$C204,$C204,D200)</f>
        <v>1000</v>
      </c>
      <c r="E204" s="51">
        <f t="shared" si="93"/>
        <v>1000</v>
      </c>
      <c r="F204" s="51">
        <f t="shared" si="93"/>
        <v>1000</v>
      </c>
      <c r="G204" s="51">
        <f t="shared" si="93"/>
        <v>1000</v>
      </c>
      <c r="H204" s="51">
        <f t="shared" si="93"/>
        <v>1000</v>
      </c>
      <c r="I204" s="51">
        <f t="shared" si="93"/>
        <v>1000</v>
      </c>
      <c r="J204" s="51">
        <f t="shared" si="93"/>
        <v>1000</v>
      </c>
      <c r="K204" s="51">
        <f t="shared" si="93"/>
        <v>1000</v>
      </c>
      <c r="L204" s="51">
        <f t="shared" si="93"/>
        <v>1000</v>
      </c>
      <c r="M204" s="51">
        <f t="shared" si="93"/>
        <v>1000</v>
      </c>
      <c r="N204" s="51">
        <f t="shared" si="93"/>
        <v>1000</v>
      </c>
      <c r="O204" s="51">
        <f t="shared" si="93"/>
        <v>1000</v>
      </c>
      <c r="P204" s="51">
        <f>SUM(D204:O204)</f>
        <v>12000</v>
      </c>
    </row>
    <row r="205" spans="1:16">
      <c r="A205" s="20">
        <f>MAX(A$9:A204)+1</f>
        <v>118</v>
      </c>
      <c r="B205" s="16" t="s">
        <v>142</v>
      </c>
      <c r="C205" s="51">
        <v>6000</v>
      </c>
      <c r="D205" s="51">
        <f t="shared" ref="D205:O205" si="94">IF($C205&lt;D200-D204,$C205,D200-D204)</f>
        <v>6000</v>
      </c>
      <c r="E205" s="51">
        <f t="shared" si="94"/>
        <v>6000</v>
      </c>
      <c r="F205" s="51">
        <f t="shared" si="94"/>
        <v>6000</v>
      </c>
      <c r="G205" s="51">
        <f t="shared" si="94"/>
        <v>5789</v>
      </c>
      <c r="H205" s="51">
        <f t="shared" si="94"/>
        <v>2869</v>
      </c>
      <c r="I205" s="51">
        <f t="shared" si="94"/>
        <v>1190</v>
      </c>
      <c r="J205" s="51">
        <f t="shared" si="94"/>
        <v>314</v>
      </c>
      <c r="K205" s="51">
        <f t="shared" si="94"/>
        <v>460</v>
      </c>
      <c r="L205" s="51">
        <f t="shared" si="94"/>
        <v>606</v>
      </c>
      <c r="M205" s="51">
        <f t="shared" si="94"/>
        <v>3015</v>
      </c>
      <c r="N205" s="51">
        <f t="shared" si="94"/>
        <v>4840</v>
      </c>
      <c r="O205" s="51">
        <f t="shared" si="94"/>
        <v>6000</v>
      </c>
      <c r="P205" s="51">
        <f>SUM(D205:O205)</f>
        <v>43083</v>
      </c>
    </row>
    <row r="206" spans="1:16">
      <c r="A206" s="20">
        <f>MAX(A$9:A205)+1</f>
        <v>119</v>
      </c>
      <c r="B206" s="16" t="s">
        <v>142</v>
      </c>
      <c r="C206" s="51">
        <v>13000</v>
      </c>
      <c r="D206" s="51">
        <f t="shared" ref="D206:O206" si="95">IF($C206&lt;D200-D204-D205,$C206,D200-D204-D205)</f>
        <v>5702</v>
      </c>
      <c r="E206" s="51">
        <f t="shared" si="95"/>
        <v>6067</v>
      </c>
      <c r="F206" s="51">
        <f t="shared" si="95"/>
        <v>3512</v>
      </c>
      <c r="G206" s="51">
        <f t="shared" si="95"/>
        <v>0</v>
      </c>
      <c r="H206" s="51">
        <f t="shared" si="95"/>
        <v>0</v>
      </c>
      <c r="I206" s="51">
        <f t="shared" si="95"/>
        <v>0</v>
      </c>
      <c r="J206" s="51">
        <f t="shared" si="95"/>
        <v>0</v>
      </c>
      <c r="K206" s="51">
        <f t="shared" si="95"/>
        <v>0</v>
      </c>
      <c r="L206" s="51">
        <f t="shared" si="95"/>
        <v>0</v>
      </c>
      <c r="M206" s="51">
        <f t="shared" si="95"/>
        <v>0</v>
      </c>
      <c r="N206" s="51">
        <f t="shared" si="95"/>
        <v>0</v>
      </c>
      <c r="O206" s="51">
        <f t="shared" si="95"/>
        <v>2636</v>
      </c>
      <c r="P206" s="51">
        <f>SUM(D206:O206)</f>
        <v>17917</v>
      </c>
    </row>
    <row r="207" spans="1:16">
      <c r="A207" s="20">
        <f>MAX(A$9:A206)+1</f>
        <v>120</v>
      </c>
      <c r="B207" s="16" t="s">
        <v>143</v>
      </c>
      <c r="C207" s="51">
        <v>20000</v>
      </c>
      <c r="D207" s="52">
        <f t="shared" ref="D207:O207" si="96">D200-D204-D205-D206</f>
        <v>0</v>
      </c>
      <c r="E207" s="52">
        <f t="shared" si="96"/>
        <v>0</v>
      </c>
      <c r="F207" s="52">
        <f t="shared" si="96"/>
        <v>0</v>
      </c>
      <c r="G207" s="52">
        <f t="shared" si="96"/>
        <v>0</v>
      </c>
      <c r="H207" s="52">
        <f t="shared" si="96"/>
        <v>0</v>
      </c>
      <c r="I207" s="52">
        <f t="shared" si="96"/>
        <v>0</v>
      </c>
      <c r="J207" s="52">
        <f t="shared" si="96"/>
        <v>0</v>
      </c>
      <c r="K207" s="52">
        <f t="shared" si="96"/>
        <v>0</v>
      </c>
      <c r="L207" s="52">
        <f t="shared" si="96"/>
        <v>0</v>
      </c>
      <c r="M207" s="52">
        <f t="shared" si="96"/>
        <v>0</v>
      </c>
      <c r="N207" s="52">
        <f t="shared" si="96"/>
        <v>0</v>
      </c>
      <c r="O207" s="52">
        <f t="shared" si="96"/>
        <v>0</v>
      </c>
      <c r="P207" s="52">
        <f>SUM(D207:O207)</f>
        <v>0</v>
      </c>
    </row>
    <row r="208" spans="1:16">
      <c r="A208" s="20">
        <f>MAX(A$9:A207)+1</f>
        <v>121</v>
      </c>
      <c r="B208" s="45" t="s">
        <v>127</v>
      </c>
      <c r="C208" s="51"/>
      <c r="D208" s="53">
        <f t="shared" ref="D208:P208" si="97">SUM(D204:D207)</f>
        <v>12702</v>
      </c>
      <c r="E208" s="53">
        <f t="shared" si="97"/>
        <v>13067</v>
      </c>
      <c r="F208" s="53">
        <f t="shared" si="97"/>
        <v>10512</v>
      </c>
      <c r="G208" s="53">
        <f t="shared" si="97"/>
        <v>6789</v>
      </c>
      <c r="H208" s="53">
        <f t="shared" si="97"/>
        <v>3869</v>
      </c>
      <c r="I208" s="53">
        <f t="shared" si="97"/>
        <v>2190</v>
      </c>
      <c r="J208" s="53">
        <f t="shared" si="97"/>
        <v>1314</v>
      </c>
      <c r="K208" s="53">
        <f t="shared" si="97"/>
        <v>1460</v>
      </c>
      <c r="L208" s="53">
        <f t="shared" si="97"/>
        <v>1606</v>
      </c>
      <c r="M208" s="53">
        <f t="shared" si="97"/>
        <v>4015</v>
      </c>
      <c r="N208" s="53">
        <f t="shared" si="97"/>
        <v>5840</v>
      </c>
      <c r="O208" s="53">
        <f t="shared" si="97"/>
        <v>9636</v>
      </c>
      <c r="P208" s="53">
        <f t="shared" si="97"/>
        <v>73000</v>
      </c>
    </row>
    <row r="209" spans="1:16"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</row>
    <row r="210" spans="1:16"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</row>
    <row r="211" spans="1:16">
      <c r="B211" s="46" t="s">
        <v>113</v>
      </c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</row>
    <row r="212" spans="1:16">
      <c r="A212" s="20">
        <f>MAX(A$9:A211)+1</f>
        <v>122</v>
      </c>
      <c r="B212" s="45" t="s">
        <v>137</v>
      </c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54">
        <f>250000</f>
        <v>250000</v>
      </c>
    </row>
    <row r="213" spans="1:16">
      <c r="A213" s="20">
        <f>MAX(A$9:A212)+1</f>
        <v>123</v>
      </c>
      <c r="B213" s="45" t="s">
        <v>138</v>
      </c>
      <c r="C213" s="42"/>
      <c r="D213" s="51">
        <f t="shared" ref="D213:O213" si="98">ROUND(D214*$P$212,2)</f>
        <v>43500</v>
      </c>
      <c r="E213" s="51">
        <f t="shared" si="98"/>
        <v>44750</v>
      </c>
      <c r="F213" s="51">
        <f t="shared" si="98"/>
        <v>36000</v>
      </c>
      <c r="G213" s="51">
        <f t="shared" si="98"/>
        <v>23250</v>
      </c>
      <c r="H213" s="51">
        <f t="shared" si="98"/>
        <v>13250</v>
      </c>
      <c r="I213" s="51">
        <f t="shared" si="98"/>
        <v>7500</v>
      </c>
      <c r="J213" s="51">
        <f t="shared" si="98"/>
        <v>4500</v>
      </c>
      <c r="K213" s="51">
        <f t="shared" si="98"/>
        <v>5000</v>
      </c>
      <c r="L213" s="51">
        <f t="shared" si="98"/>
        <v>5500</v>
      </c>
      <c r="M213" s="51">
        <f t="shared" si="98"/>
        <v>13750</v>
      </c>
      <c r="N213" s="51">
        <f t="shared" si="98"/>
        <v>20000</v>
      </c>
      <c r="O213" s="51">
        <f t="shared" si="98"/>
        <v>33000</v>
      </c>
      <c r="P213" s="51">
        <f>SUM(D213:O213)</f>
        <v>250000</v>
      </c>
    </row>
    <row r="214" spans="1:16">
      <c r="A214" s="20">
        <f>MAX(A$9:A213)+1</f>
        <v>124</v>
      </c>
      <c r="B214" s="45" t="s">
        <v>139</v>
      </c>
      <c r="C214" s="25"/>
      <c r="D214" s="33">
        <v>0.17400000000000002</v>
      </c>
      <c r="E214" s="33">
        <v>0.17899999999999999</v>
      </c>
      <c r="F214" s="33">
        <v>0.14400000000000002</v>
      </c>
      <c r="G214" s="33">
        <v>9.2999999999999999E-2</v>
      </c>
      <c r="H214" s="33">
        <v>5.3000000000000005E-2</v>
      </c>
      <c r="I214" s="33">
        <v>0.03</v>
      </c>
      <c r="J214" s="33">
        <v>1.8000000000000002E-2</v>
      </c>
      <c r="K214" s="33">
        <v>0.02</v>
      </c>
      <c r="L214" s="33">
        <v>2.2000000000000002E-2</v>
      </c>
      <c r="M214" s="33">
        <v>5.5E-2</v>
      </c>
      <c r="N214" s="33">
        <v>0.08</v>
      </c>
      <c r="O214" s="33">
        <v>0.13200000000000001</v>
      </c>
      <c r="P214" s="39">
        <f>SUM(D214:O214)</f>
        <v>1</v>
      </c>
    </row>
    <row r="215" spans="1:16">
      <c r="C215" s="25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8"/>
    </row>
    <row r="216" spans="1:16">
      <c r="B216" s="46" t="s">
        <v>140</v>
      </c>
      <c r="C216" s="25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25"/>
    </row>
    <row r="217" spans="1:16">
      <c r="A217" s="20">
        <f>MAX(A$9:A216)+1</f>
        <v>125</v>
      </c>
      <c r="B217" s="16" t="s">
        <v>141</v>
      </c>
      <c r="C217" s="51">
        <v>1000</v>
      </c>
      <c r="D217" s="51">
        <f t="shared" ref="D217:O217" si="99">IF(D213&gt;$C217,$C217,D213)</f>
        <v>1000</v>
      </c>
      <c r="E217" s="51">
        <f t="shared" si="99"/>
        <v>1000</v>
      </c>
      <c r="F217" s="51">
        <f t="shared" si="99"/>
        <v>1000</v>
      </c>
      <c r="G217" s="51">
        <f t="shared" si="99"/>
        <v>1000</v>
      </c>
      <c r="H217" s="51">
        <f t="shared" si="99"/>
        <v>1000</v>
      </c>
      <c r="I217" s="51">
        <f t="shared" si="99"/>
        <v>1000</v>
      </c>
      <c r="J217" s="51">
        <f t="shared" si="99"/>
        <v>1000</v>
      </c>
      <c r="K217" s="51">
        <f t="shared" si="99"/>
        <v>1000</v>
      </c>
      <c r="L217" s="51">
        <f t="shared" si="99"/>
        <v>1000</v>
      </c>
      <c r="M217" s="51">
        <f t="shared" si="99"/>
        <v>1000</v>
      </c>
      <c r="N217" s="51">
        <f t="shared" si="99"/>
        <v>1000</v>
      </c>
      <c r="O217" s="51">
        <f t="shared" si="99"/>
        <v>1000</v>
      </c>
      <c r="P217" s="51">
        <f>SUM(D217:O217)</f>
        <v>12000</v>
      </c>
    </row>
    <row r="218" spans="1:16">
      <c r="A218" s="20">
        <f>MAX(A$9:A217)+1</f>
        <v>126</v>
      </c>
      <c r="B218" s="16" t="s">
        <v>142</v>
      </c>
      <c r="C218" s="51">
        <v>6000</v>
      </c>
      <c r="D218" s="51">
        <f t="shared" ref="D218:O218" si="100">IF($C218&lt;D213-D217,$C218,D213-D217)</f>
        <v>6000</v>
      </c>
      <c r="E218" s="51">
        <f t="shared" si="100"/>
        <v>6000</v>
      </c>
      <c r="F218" s="51">
        <f t="shared" si="100"/>
        <v>6000</v>
      </c>
      <c r="G218" s="51">
        <f t="shared" si="100"/>
        <v>6000</v>
      </c>
      <c r="H218" s="51">
        <f t="shared" si="100"/>
        <v>6000</v>
      </c>
      <c r="I218" s="51">
        <f t="shared" si="100"/>
        <v>6000</v>
      </c>
      <c r="J218" s="51">
        <f t="shared" si="100"/>
        <v>3500</v>
      </c>
      <c r="K218" s="51">
        <f t="shared" si="100"/>
        <v>4000</v>
      </c>
      <c r="L218" s="51">
        <f t="shared" si="100"/>
        <v>4500</v>
      </c>
      <c r="M218" s="51">
        <f t="shared" si="100"/>
        <v>6000</v>
      </c>
      <c r="N218" s="51">
        <f t="shared" si="100"/>
        <v>6000</v>
      </c>
      <c r="O218" s="51">
        <f t="shared" si="100"/>
        <v>6000</v>
      </c>
      <c r="P218" s="51">
        <f>SUM(D218:O218)</f>
        <v>66000</v>
      </c>
    </row>
    <row r="219" spans="1:16">
      <c r="A219" s="20">
        <f>MAX(A$9:A218)+1</f>
        <v>127</v>
      </c>
      <c r="B219" s="16" t="s">
        <v>142</v>
      </c>
      <c r="C219" s="51">
        <v>13000</v>
      </c>
      <c r="D219" s="51">
        <f t="shared" ref="D219:O219" si="101">IF($C219&lt;D213-D217-D218,$C219,D213-D217-D218)</f>
        <v>13000</v>
      </c>
      <c r="E219" s="51">
        <f t="shared" si="101"/>
        <v>13000</v>
      </c>
      <c r="F219" s="51">
        <f t="shared" si="101"/>
        <v>13000</v>
      </c>
      <c r="G219" s="51">
        <f t="shared" si="101"/>
        <v>13000</v>
      </c>
      <c r="H219" s="51">
        <f t="shared" si="101"/>
        <v>6250</v>
      </c>
      <c r="I219" s="51">
        <f t="shared" si="101"/>
        <v>500</v>
      </c>
      <c r="J219" s="51">
        <f t="shared" si="101"/>
        <v>0</v>
      </c>
      <c r="K219" s="51">
        <f t="shared" si="101"/>
        <v>0</v>
      </c>
      <c r="L219" s="51">
        <f t="shared" si="101"/>
        <v>0</v>
      </c>
      <c r="M219" s="51">
        <f t="shared" si="101"/>
        <v>6750</v>
      </c>
      <c r="N219" s="51">
        <f t="shared" si="101"/>
        <v>13000</v>
      </c>
      <c r="O219" s="51">
        <f t="shared" si="101"/>
        <v>13000</v>
      </c>
      <c r="P219" s="51">
        <f>SUM(D219:O219)</f>
        <v>91500</v>
      </c>
    </row>
    <row r="220" spans="1:16">
      <c r="A220" s="20">
        <f>MAX(A$9:A219)+1</f>
        <v>128</v>
      </c>
      <c r="B220" s="16" t="s">
        <v>143</v>
      </c>
      <c r="C220" s="51">
        <v>20000</v>
      </c>
      <c r="D220" s="52">
        <f t="shared" ref="D220:O220" si="102">D213-D217-D218-D219</f>
        <v>23500</v>
      </c>
      <c r="E220" s="52">
        <f t="shared" si="102"/>
        <v>24750</v>
      </c>
      <c r="F220" s="52">
        <f t="shared" si="102"/>
        <v>16000</v>
      </c>
      <c r="G220" s="52">
        <f t="shared" si="102"/>
        <v>3250</v>
      </c>
      <c r="H220" s="52">
        <f t="shared" si="102"/>
        <v>0</v>
      </c>
      <c r="I220" s="52">
        <f t="shared" si="102"/>
        <v>0</v>
      </c>
      <c r="J220" s="52">
        <f t="shared" si="102"/>
        <v>0</v>
      </c>
      <c r="K220" s="52">
        <f t="shared" si="102"/>
        <v>0</v>
      </c>
      <c r="L220" s="52">
        <f t="shared" si="102"/>
        <v>0</v>
      </c>
      <c r="M220" s="52">
        <f t="shared" si="102"/>
        <v>0</v>
      </c>
      <c r="N220" s="52">
        <f t="shared" si="102"/>
        <v>0</v>
      </c>
      <c r="O220" s="52">
        <f t="shared" si="102"/>
        <v>13000</v>
      </c>
      <c r="P220" s="52">
        <f>SUM(D220:O220)</f>
        <v>80500</v>
      </c>
    </row>
    <row r="221" spans="1:16">
      <c r="A221" s="20">
        <f>MAX(A$9:A220)+1</f>
        <v>129</v>
      </c>
      <c r="B221" s="45" t="s">
        <v>127</v>
      </c>
      <c r="C221" s="51"/>
      <c r="D221" s="53">
        <f t="shared" ref="D221:P221" si="103">SUM(D217:D220)</f>
        <v>43500</v>
      </c>
      <c r="E221" s="53">
        <f t="shared" si="103"/>
        <v>44750</v>
      </c>
      <c r="F221" s="53">
        <f t="shared" si="103"/>
        <v>36000</v>
      </c>
      <c r="G221" s="53">
        <f t="shared" si="103"/>
        <v>23250</v>
      </c>
      <c r="H221" s="53">
        <f t="shared" si="103"/>
        <v>13250</v>
      </c>
      <c r="I221" s="53">
        <f t="shared" si="103"/>
        <v>7500</v>
      </c>
      <c r="J221" s="53">
        <f t="shared" si="103"/>
        <v>4500</v>
      </c>
      <c r="K221" s="53">
        <f t="shared" si="103"/>
        <v>5000</v>
      </c>
      <c r="L221" s="53">
        <f t="shared" si="103"/>
        <v>5500</v>
      </c>
      <c r="M221" s="53">
        <f t="shared" si="103"/>
        <v>13750</v>
      </c>
      <c r="N221" s="53">
        <f t="shared" si="103"/>
        <v>20000</v>
      </c>
      <c r="O221" s="53">
        <f t="shared" si="103"/>
        <v>33000</v>
      </c>
      <c r="P221" s="53">
        <f t="shared" si="103"/>
        <v>250000</v>
      </c>
    </row>
  </sheetData>
  <mergeCells count="6">
    <mergeCell ref="B2:P2"/>
    <mergeCell ref="B79:P79"/>
    <mergeCell ref="B155:P155"/>
    <mergeCell ref="A1:P1"/>
    <mergeCell ref="A78:P78"/>
    <mergeCell ref="A154:P154"/>
  </mergeCells>
  <printOptions horizontalCentered="1"/>
  <pageMargins left="0.7" right="0.7" top="1" bottom="1" header="0.3" footer="0.3"/>
  <pageSetup scale="55" fitToHeight="0" orientation="portrait" useFirstPageNumber="1" r:id="rId1"/>
  <headerFooter alignWithMargins="0">
    <oddHeader>&amp;RFiled: 2023-04-06
EB-2022-0200
Exhibit JT8.7
Attachment 2
Page &amp;P of 3</oddHeader>
  </headerFooter>
  <rowBreaks count="2" manualBreakCount="2">
    <brk id="77" max="16383" man="1"/>
    <brk id="153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A99DC5F2E29C4EA0320A2DE468F5FC" ma:contentTypeVersion="4" ma:contentTypeDescription="Create a new document." ma:contentTypeScope="" ma:versionID="ff3e3884dc2e643973374073d0034b45">
  <xsd:schema xmlns:xsd="http://www.w3.org/2001/XMLSchema" xmlns:xs="http://www.w3.org/2001/XMLSchema" xmlns:p="http://schemas.microsoft.com/office/2006/metadata/properties" xmlns:ns2="bc9be6ef-036f-4d38-ab45-2a4da0c93cb0" xmlns:ns3="fdff13a8-12b1-4cee-91e4-645a62808359" targetNamespace="http://schemas.microsoft.com/office/2006/metadata/properties" ma:root="true" ma:fieldsID="cdad84c82f7e98ec508be54dc62030bb" ns2:_="" ns3:_="">
    <xsd:import namespace="bc9be6ef-036f-4d38-ab45-2a4da0c93cb0"/>
    <xsd:import namespace="fdff13a8-12b1-4cee-91e4-645a628083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ff13a8-12b1-4cee-91e4-645a628083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bc9be6ef-036f-4d38-ab45-2a4da0c93cb0">C6U45NHNYSXQ-647284319-714</_dlc_DocId>
    <_dlc_DocIdUrl xmlns="bc9be6ef-036f-4d38-ab45-2a4da0c93cb0">
      <Url>https://enbridge.sharepoint.com/teams/EB-2022-02002024Rebasing/_layouts/15/DocIdRedir.aspx?ID=C6U45NHNYSXQ-647284319-714</Url>
      <Description>C6U45NHNYSXQ-647284319-714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34F3D692-6F1E-4C49-82ED-AD35F1B59F1A}"/>
</file>

<file path=customXml/itemProps2.xml><?xml version="1.0" encoding="utf-8"?>
<ds:datastoreItem xmlns:ds="http://schemas.openxmlformats.org/officeDocument/2006/customXml" ds:itemID="{F7F5FE39-BD5F-47E9-9DDA-9C246D05C9C2}"/>
</file>

<file path=customXml/itemProps3.xml><?xml version="1.0" encoding="utf-8"?>
<ds:datastoreItem xmlns:ds="http://schemas.openxmlformats.org/officeDocument/2006/customXml" ds:itemID="{2E76F14E-C868-44E7-944C-DC172FC65999}"/>
</file>

<file path=customXml/itemProps4.xml><?xml version="1.0" encoding="utf-8"?>
<ds:datastoreItem xmlns:ds="http://schemas.openxmlformats.org/officeDocument/2006/customXml" ds:itemID="{AF7B961B-225F-45A8-80B3-8917AC64ABF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 Goodreau</dc:creator>
  <cp:keywords/>
  <dc:description/>
  <cp:lastModifiedBy>Julie Rader</cp:lastModifiedBy>
  <cp:revision/>
  <dcterms:created xsi:type="dcterms:W3CDTF">2023-03-31T19:22:17Z</dcterms:created>
  <dcterms:modified xsi:type="dcterms:W3CDTF">2023-04-06T15:29:49Z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2023-03-31T19:22:17Z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bdecadc0-e90b-4a38-a1e1-76c21f2c544d</vt:lpwstr>
  </property>
  <property fmtid="{D5CDD505-2E9C-101B-9397-08002B2CF9AE}" pid="8" name="MSIP_Label_b1a6f161-e42b-4c47-8f69-f6a81e023e2d_ContentBits">
    <vt:lpwstr>0</vt:lpwstr>
  </property>
  <property fmtid="{D5CDD505-2E9C-101B-9397-08002B2CF9AE}" pid="9" name="ContentTypeId">
    <vt:lpwstr>0x01010004A99DC5F2E29C4EA0320A2DE468F5FC</vt:lpwstr>
  </property>
  <property fmtid="{D5CDD505-2E9C-101B-9397-08002B2CF9AE}" pid="10" name="_dlc_DocIdItemGuid">
    <vt:lpwstr>4ad4f257-3f42-4fe7-ad76-8b3ffb4cf06b</vt:lpwstr>
  </property>
</Properties>
</file>