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EB-2022-02002024Rebasing/Undertakings/Regulatory/Filed Undertakings/Live Excels/"/>
    </mc:Choice>
  </mc:AlternateContent>
  <xr:revisionPtr revIDLastSave="18" documentId="8_{98F4D031-6DCB-4CFF-A63C-E7F46D5B2080}" xr6:coauthVersionLast="47" xr6:coauthVersionMax="47" xr10:uidLastSave="{5369B12F-A8B4-4B3F-B582-33D5F0275403}"/>
  <bookViews>
    <workbookView xWindow="-120" yWindow="-120" windowWidth="29040" windowHeight="15840" tabRatio="752" xr2:uid="{00000000-000D-0000-FFFF-FFFF00000000}"/>
  </bookViews>
  <sheets>
    <sheet name="JT1.25 b)" sheetId="11" r:id="rId1"/>
    <sheet name="Elec Average T&amp;D" sheetId="5" r:id="rId2"/>
    <sheet name="Fossil Gas, RNG &amp; Hydrogen" sheetId="6" r:id="rId3"/>
    <sheet name="OCCGT Dispatch Volumes" sheetId="12" r:id="rId4"/>
    <sheet name="Pipeline Costs" sheetId="7" r:id="rId5"/>
    <sheet name="Fossil Gas Calcs for Part b" sheetId="13" r:id="rId6"/>
  </sheets>
  <externalReferences>
    <externalReference r:id="rId7"/>
    <externalReference r:id="rId8"/>
    <externalReference r:id="rId9"/>
  </externalReferences>
  <definedNames>
    <definedName name="__123Graph_A" hidden="1">'[1]All road-work file'!#REF!</definedName>
    <definedName name="__123Graph_X" hidden="1">'[1]All road-work file'!#REF!</definedName>
    <definedName name="_Fill" hidden="1">[2]IWWABST!#REF!</definedName>
    <definedName name="_Key1" hidden="1">#REF!</definedName>
    <definedName name="_Key2" hidden="1">#REF!</definedName>
    <definedName name="_MatMult_A" hidden="1">#REF!</definedName>
    <definedName name="_MatMult_AxB" hidden="1">#REF!</definedName>
    <definedName name="_MatMult_B" hidden="1">#REF!</definedName>
    <definedName name="_Order1" hidden="1">255</definedName>
    <definedName name="_Order2" hidden="1">255</definedName>
    <definedName name="_Regression_Int" hidden="1">1</definedName>
    <definedName name="_Sort" hidden="1">#REF!</definedName>
    <definedName name="GraphB" hidden="1">'[1]All road-work file'!#REF!</definedName>
    <definedName name="_xlnm.Print_Area" localSheetId="2">'Fossil Gas, RNG &amp; Hydrogen'!$A$1:$Z$57</definedName>
    <definedName name="_xlnm.Print_Area" localSheetId="3">'OCCGT Dispatch Volumes'!$A$1:$R$55</definedName>
    <definedName name="USD_2021_to_2020_dollars">'[3]Cost Conversions'!$B$5</definedName>
    <definedName name="USD_to_CAD">'[3]Cost Conversions'!$B$4</definedName>
    <definedName name="wrn.Transport." hidden="1">{#N/A,#N/A,FALSE,"9.1A";#N/A,#N/A,FALSE,"9.1B";#N/A,#N/A,FALSE,"9.2A";#N/A,#N/A,FALSE,"9.2B";#N/A,#N/A,FALSE,"9.2C";#N/A,#N/A,FALSE,"9.3A";#N/A,#N/A,FALSE,"9.3B";#N/A,#N/A,FALSE,"9.3C";#N/A,#N/A,FALSE,"9.4";#N/A,#N/A,FALSE,"9.5A";#N/A,#N/A,FALSE,"9.5B"}</definedName>
    <definedName name="wrn.Waste." hidden="1">{#N/A,#N/A,FALSE,"7.1A";#N/A,#N/A,FALSE,"7.1B";#N/A,#N/A,FALSE,"7.2A";#N/A,#N/A,FALSE,"7.2B";#N/A,#N/A,FALSE,"7.2C";#N/A,#N/A,FALSE,"7.3";#N/A,#N/A,FALSE,"7.4A";#N/A,#N/A,FALSE,"7.4B";#N/A,#N/A,FALSE,"7.5";#N/A,#N/A,FALSE,"7.6"}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6" l="1"/>
  <c r="E16" i="11" s="1"/>
  <c r="N11" i="11"/>
  <c r="M11" i="11"/>
  <c r="L11" i="11"/>
  <c r="K11" i="11"/>
  <c r="H34" i="11"/>
  <c r="G34" i="11"/>
  <c r="F34" i="11"/>
  <c r="K34" i="11"/>
  <c r="N34" i="11"/>
  <c r="M34" i="11"/>
  <c r="L34" i="11"/>
  <c r="E34" i="11"/>
  <c r="K26" i="11"/>
  <c r="L26" i="11"/>
  <c r="M26" i="11"/>
  <c r="N26" i="11"/>
  <c r="F26" i="11"/>
  <c r="G26" i="11"/>
  <c r="H26" i="11"/>
  <c r="E26" i="11"/>
  <c r="L24" i="11"/>
  <c r="M24" i="11"/>
  <c r="N24" i="11"/>
  <c r="K24" i="11"/>
  <c r="G24" i="11"/>
  <c r="H24" i="11"/>
  <c r="L16" i="11"/>
  <c r="M16" i="11"/>
  <c r="N16" i="11"/>
  <c r="K16" i="11"/>
  <c r="G16" i="11"/>
  <c r="H16" i="11"/>
  <c r="F11" i="11"/>
  <c r="G11" i="11"/>
  <c r="H11" i="11"/>
  <c r="E11" i="11"/>
  <c r="E24" i="11" l="1"/>
  <c r="L20" i="11"/>
  <c r="M20" i="11"/>
  <c r="N20" i="11"/>
  <c r="K20" i="11"/>
  <c r="H20" i="11"/>
  <c r="G20" i="11"/>
  <c r="F20" i="11"/>
  <c r="E8" i="6"/>
  <c r="E20" i="11"/>
  <c r="K5" i="7"/>
  <c r="I5" i="7"/>
  <c r="N19" i="11"/>
  <c r="D5" i="7"/>
  <c r="E5" i="7"/>
  <c r="F5" i="7"/>
  <c r="C5" i="7"/>
  <c r="D4" i="7"/>
  <c r="E4" i="7"/>
  <c r="F4" i="7"/>
  <c r="C4" i="7"/>
  <c r="J5" i="7"/>
  <c r="L5" i="7"/>
  <c r="M19" i="6"/>
  <c r="I197" i="13" l="1"/>
  <c r="J4" i="7" l="1"/>
  <c r="I4" i="7"/>
  <c r="E5" i="6" l="1"/>
  <c r="L4" i="7"/>
  <c r="O5" i="6" s="1"/>
  <c r="K4" i="7"/>
  <c r="N5" i="6" s="1"/>
  <c r="M5" i="6"/>
  <c r="L5" i="6"/>
  <c r="L8" i="6" s="1"/>
  <c r="H5" i="6"/>
  <c r="G5" i="6"/>
  <c r="G8" i="6" s="1"/>
  <c r="F5" i="6"/>
  <c r="M170" i="13" l="1"/>
  <c r="D154" i="13"/>
  <c r="W184" i="13"/>
  <c r="AG184" i="13"/>
  <c r="W183" i="13"/>
  <c r="F97" i="13"/>
  <c r="C97" i="13"/>
  <c r="F72" i="13"/>
  <c r="C72" i="13"/>
  <c r="C6" i="13"/>
  <c r="C7" i="13" s="1"/>
  <c r="C71" i="13"/>
  <c r="F24" i="13"/>
  <c r="C24" i="13"/>
  <c r="F7" i="13"/>
  <c r="N206" i="13"/>
  <c r="C206" i="13"/>
  <c r="V206" i="13"/>
  <c r="V205" i="13"/>
  <c r="S206" i="13"/>
  <c r="S205" i="13"/>
  <c r="K206" i="13"/>
  <c r="K205" i="13"/>
  <c r="H206" i="13"/>
  <c r="C207" i="13"/>
  <c r="H205" i="13" s="1"/>
  <c r="N207" i="13"/>
  <c r="F27" i="11"/>
  <c r="G27" i="11"/>
  <c r="H27" i="11"/>
  <c r="F55" i="13"/>
  <c r="F56" i="13" s="1"/>
  <c r="D184" i="13" l="1"/>
  <c r="E184" i="13"/>
  <c r="F184" i="13"/>
  <c r="G184" i="13"/>
  <c r="H184" i="13"/>
  <c r="I184" i="13"/>
  <c r="J184" i="13"/>
  <c r="K184" i="13"/>
  <c r="L184" i="13"/>
  <c r="C184" i="13"/>
  <c r="N30" i="5"/>
  <c r="O29" i="5"/>
  <c r="O30" i="5"/>
  <c r="N29" i="5"/>
  <c r="M29" i="5"/>
  <c r="C41" i="13"/>
  <c r="C42" i="13" s="1"/>
  <c r="D55" i="13"/>
  <c r="D56" i="13" s="1"/>
  <c r="E55" i="13"/>
  <c r="E56" i="13" s="1"/>
  <c r="C55" i="13"/>
  <c r="C56" i="13" s="1"/>
  <c r="N198" i="13"/>
  <c r="N199" i="13" s="1"/>
  <c r="C198" i="13"/>
  <c r="C199" i="13" s="1"/>
  <c r="D41" i="13"/>
  <c r="D42" i="13" s="1"/>
  <c r="E41" i="13"/>
  <c r="E42" i="13" s="1"/>
  <c r="F41" i="13"/>
  <c r="F42" i="13" s="1"/>
  <c r="C73" i="13"/>
  <c r="S197" i="13" l="1"/>
  <c r="H197" i="13"/>
  <c r="H195" i="13"/>
  <c r="L12" i="11" l="1"/>
  <c r="M12" i="11"/>
  <c r="N12" i="11"/>
  <c r="K12" i="11"/>
  <c r="F12" i="11"/>
  <c r="G12" i="11"/>
  <c r="H12" i="11"/>
  <c r="E12" i="11"/>
  <c r="D162" i="13"/>
  <c r="D163" i="13" s="1"/>
  <c r="E162" i="13"/>
  <c r="F162" i="13"/>
  <c r="F163" i="13" s="1"/>
  <c r="G162" i="13"/>
  <c r="H162" i="13"/>
  <c r="H163" i="13" s="1"/>
  <c r="I162" i="13"/>
  <c r="J162" i="13"/>
  <c r="K162" i="13"/>
  <c r="L162" i="13"/>
  <c r="L163" i="13" s="1"/>
  <c r="M162" i="13"/>
  <c r="M163" i="13" s="1"/>
  <c r="M164" i="13" s="1"/>
  <c r="N162" i="13"/>
  <c r="N163" i="13" s="1"/>
  <c r="O162" i="13"/>
  <c r="O163" i="13" s="1"/>
  <c r="P162" i="13"/>
  <c r="P163" i="13" s="1"/>
  <c r="Q162" i="13"/>
  <c r="Q163" i="13" s="1"/>
  <c r="R162" i="13"/>
  <c r="R163" i="13" s="1"/>
  <c r="S162" i="13"/>
  <c r="S163" i="13" s="1"/>
  <c r="T162" i="13"/>
  <c r="T163" i="13" s="1"/>
  <c r="U162" i="13"/>
  <c r="U163" i="13" s="1"/>
  <c r="V162" i="13"/>
  <c r="V163" i="13" s="1"/>
  <c r="W162" i="13"/>
  <c r="W163" i="13" s="1"/>
  <c r="X162" i="13"/>
  <c r="X163" i="13" s="1"/>
  <c r="Y162" i="13"/>
  <c r="Y163" i="13" s="1"/>
  <c r="Z162" i="13"/>
  <c r="Z163" i="13" s="1"/>
  <c r="AA162" i="13"/>
  <c r="AA163" i="13" s="1"/>
  <c r="AB162" i="13"/>
  <c r="AB163" i="13" s="1"/>
  <c r="AC162" i="13"/>
  <c r="AC163" i="13" s="1"/>
  <c r="AD162" i="13"/>
  <c r="AD163" i="13" s="1"/>
  <c r="AE162" i="13"/>
  <c r="AE163" i="13" s="1"/>
  <c r="AF162" i="13"/>
  <c r="AF163" i="13" s="1"/>
  <c r="AG162" i="13"/>
  <c r="AG163" i="13" s="1"/>
  <c r="C162" i="13"/>
  <c r="D182" i="13"/>
  <c r="D189" i="13" s="1"/>
  <c r="E182" i="13"/>
  <c r="E189" i="13" s="1"/>
  <c r="F182" i="13"/>
  <c r="F189" i="13" s="1"/>
  <c r="G182" i="13"/>
  <c r="G189" i="13" s="1"/>
  <c r="H182" i="13"/>
  <c r="H189" i="13" s="1"/>
  <c r="I182" i="13"/>
  <c r="I189" i="13" s="1"/>
  <c r="J182" i="13"/>
  <c r="J189" i="13" s="1"/>
  <c r="K182" i="13"/>
  <c r="K189" i="13" s="1"/>
  <c r="L182" i="13"/>
  <c r="L189" i="13" s="1"/>
  <c r="M182" i="13"/>
  <c r="N182" i="13"/>
  <c r="N183" i="13" s="1"/>
  <c r="O182" i="13"/>
  <c r="O183" i="13" s="1"/>
  <c r="P182" i="13"/>
  <c r="P183" i="13" s="1"/>
  <c r="Q182" i="13"/>
  <c r="Q183" i="13" s="1"/>
  <c r="R182" i="13"/>
  <c r="R183" i="13" s="1"/>
  <c r="S182" i="13"/>
  <c r="S183" i="13" s="1"/>
  <c r="T182" i="13"/>
  <c r="T183" i="13" s="1"/>
  <c r="U182" i="13"/>
  <c r="U183" i="13" s="1"/>
  <c r="V182" i="13"/>
  <c r="V183" i="13" s="1"/>
  <c r="W182" i="13"/>
  <c r="X182" i="13"/>
  <c r="Y182" i="13"/>
  <c r="Z182" i="13"/>
  <c r="AA182" i="13"/>
  <c r="AB182" i="13"/>
  <c r="AC182" i="13"/>
  <c r="AD182" i="13"/>
  <c r="AE182" i="13"/>
  <c r="AF182" i="13"/>
  <c r="AG182" i="13"/>
  <c r="AG183" i="13" s="1"/>
  <c r="C182" i="13"/>
  <c r="C189" i="13" s="1"/>
  <c r="C174" i="13" s="1"/>
  <c r="K163" i="13" l="1"/>
  <c r="C163" i="13"/>
  <c r="J163" i="13"/>
  <c r="I163" i="13"/>
  <c r="M183" i="13"/>
  <c r="G163" i="13"/>
  <c r="E163" i="13"/>
  <c r="AA164" i="13"/>
  <c r="AA170" i="13" s="1"/>
  <c r="AB164" i="13"/>
  <c r="AB170" i="13" s="1"/>
  <c r="T164" i="13"/>
  <c r="T170" i="13" s="1"/>
  <c r="R164" i="13"/>
  <c r="R170" i="13" s="1"/>
  <c r="Q164" i="13"/>
  <c r="Q170" i="13" s="1"/>
  <c r="S164" i="13"/>
  <c r="S170" i="13" s="1"/>
  <c r="P164" i="13"/>
  <c r="P170" i="13" s="1"/>
  <c r="N164" i="13"/>
  <c r="O164" i="13"/>
  <c r="O170" i="13" s="1"/>
  <c r="AG148" i="13"/>
  <c r="AF148" i="13"/>
  <c r="AE148" i="13"/>
  <c r="AD148" i="13"/>
  <c r="AC148" i="13"/>
  <c r="AB148" i="13"/>
  <c r="AA148" i="13"/>
  <c r="Z148" i="13"/>
  <c r="Y148" i="13"/>
  <c r="X148" i="13"/>
  <c r="W148" i="13"/>
  <c r="V148" i="13"/>
  <c r="U148" i="13"/>
  <c r="T148" i="13"/>
  <c r="S148" i="13"/>
  <c r="R148" i="13"/>
  <c r="Q148" i="13"/>
  <c r="P148" i="13"/>
  <c r="O148" i="13"/>
  <c r="N148" i="13"/>
  <c r="M148" i="13"/>
  <c r="L148" i="13"/>
  <c r="K148" i="13"/>
  <c r="J148" i="13"/>
  <c r="I148" i="13"/>
  <c r="H148" i="13"/>
  <c r="G148" i="13"/>
  <c r="F148" i="13"/>
  <c r="E148" i="13"/>
  <c r="D148" i="13"/>
  <c r="C148" i="13"/>
  <c r="C137" i="13" s="1"/>
  <c r="J164" i="13" l="1"/>
  <c r="J170" i="13" s="1"/>
  <c r="C164" i="13"/>
  <c r="C170" i="13" s="1"/>
  <c r="C154" i="13" s="1"/>
  <c r="I164" i="13"/>
  <c r="I170" i="13" s="1"/>
  <c r="L164" i="13"/>
  <c r="L170" i="13" s="1"/>
  <c r="H164" i="13"/>
  <c r="H170" i="13" s="1"/>
  <c r="D164" i="13"/>
  <c r="D170" i="13" s="1"/>
  <c r="K164" i="13"/>
  <c r="K170" i="13" s="1"/>
  <c r="G164" i="13"/>
  <c r="G170" i="13" s="1"/>
  <c r="E164" i="13"/>
  <c r="E170" i="13" s="1"/>
  <c r="F164" i="13"/>
  <c r="F170" i="13" s="1"/>
  <c r="O184" i="13"/>
  <c r="N184" i="13"/>
  <c r="M184" i="13"/>
  <c r="M189" i="13" s="1"/>
  <c r="D174" i="13" s="1"/>
  <c r="T184" i="13"/>
  <c r="AC184" i="13"/>
  <c r="V184" i="13"/>
  <c r="AE184" i="13"/>
  <c r="AF184" i="13"/>
  <c r="Q184" i="13"/>
  <c r="U184" i="13"/>
  <c r="AD184" i="13"/>
  <c r="X184" i="13"/>
  <c r="P184" i="13"/>
  <c r="R184" i="13"/>
  <c r="AA184" i="13"/>
  <c r="S184" i="13"/>
  <c r="AB184" i="13"/>
  <c r="Y184" i="13"/>
  <c r="Z184" i="13"/>
  <c r="N170" i="13"/>
  <c r="R189" i="13"/>
  <c r="N189" i="13"/>
  <c r="Q189" i="13"/>
  <c r="S189" i="13"/>
  <c r="O189" i="13"/>
  <c r="T189" i="13"/>
  <c r="P189" i="13"/>
  <c r="AG164" i="13"/>
  <c r="AG170" i="13" s="1"/>
  <c r="F154" i="13" s="1"/>
  <c r="X164" i="13"/>
  <c r="X170" i="13" s="1"/>
  <c r="AE164" i="13"/>
  <c r="AE170" i="13" s="1"/>
  <c r="AD164" i="13"/>
  <c r="AD170" i="13" s="1"/>
  <c r="AC164" i="13"/>
  <c r="AC170" i="13" s="1"/>
  <c r="Y164" i="13"/>
  <c r="Y170" i="13" s="1"/>
  <c r="U164" i="13"/>
  <c r="U170" i="13" s="1"/>
  <c r="AF164" i="13"/>
  <c r="AF170" i="13" s="1"/>
  <c r="Z164" i="13"/>
  <c r="Z170" i="13" s="1"/>
  <c r="W164" i="13"/>
  <c r="W170" i="13" s="1"/>
  <c r="E154" i="13" s="1"/>
  <c r="V164" i="13"/>
  <c r="V170" i="13" s="1"/>
  <c r="F137" i="13"/>
  <c r="E137" i="13"/>
  <c r="D137" i="13"/>
  <c r="AF189" i="13" l="1"/>
  <c r="AB189" i="13"/>
  <c r="AD189" i="13"/>
  <c r="X189" i="13"/>
  <c r="AA189" i="13"/>
  <c r="AC189" i="13"/>
  <c r="U189" i="13"/>
  <c r="AE189" i="13"/>
  <c r="AG189" i="13"/>
  <c r="F174" i="13" s="1"/>
  <c r="W189" i="13"/>
  <c r="E174" i="13" s="1"/>
  <c r="Y189" i="13"/>
  <c r="V189" i="13"/>
  <c r="Z189" i="13"/>
  <c r="D133" i="13"/>
  <c r="E133" i="13"/>
  <c r="F133" i="13"/>
  <c r="G133" i="13"/>
  <c r="H133" i="13"/>
  <c r="I133" i="13"/>
  <c r="J133" i="13"/>
  <c r="K133" i="13"/>
  <c r="L133" i="13"/>
  <c r="M133" i="13"/>
  <c r="N133" i="13"/>
  <c r="O133" i="13"/>
  <c r="P133" i="13"/>
  <c r="Q133" i="13"/>
  <c r="R133" i="13"/>
  <c r="S133" i="13"/>
  <c r="T133" i="13"/>
  <c r="U133" i="13"/>
  <c r="V133" i="13"/>
  <c r="W133" i="13"/>
  <c r="X133" i="13"/>
  <c r="Y133" i="13"/>
  <c r="Z133" i="13"/>
  <c r="AA133" i="13"/>
  <c r="AB133" i="13"/>
  <c r="AC133" i="13"/>
  <c r="AD133" i="13"/>
  <c r="AE133" i="13"/>
  <c r="AF133" i="13"/>
  <c r="AG133" i="13"/>
  <c r="F122" i="13" s="1"/>
  <c r="C133" i="13"/>
  <c r="C122" i="13" s="1"/>
  <c r="E122" i="13" l="1"/>
  <c r="D122" i="13"/>
  <c r="O50" i="5"/>
  <c r="P50" i="5"/>
  <c r="N50" i="5"/>
  <c r="P49" i="5"/>
  <c r="O49" i="5"/>
  <c r="N49" i="5"/>
  <c r="M49" i="5"/>
  <c r="O31" i="5"/>
  <c r="P31" i="5"/>
  <c r="N31" i="5"/>
  <c r="P30" i="5"/>
  <c r="M30" i="5"/>
  <c r="M47" i="5"/>
  <c r="N47" i="5"/>
  <c r="O47" i="5"/>
  <c r="P47" i="5"/>
  <c r="N28" i="5"/>
  <c r="O28" i="5"/>
  <c r="P28" i="5"/>
  <c r="M28" i="5"/>
  <c r="D88" i="13"/>
  <c r="E88" i="13"/>
  <c r="F88" i="13"/>
  <c r="G88" i="13"/>
  <c r="H88" i="13"/>
  <c r="I88" i="13"/>
  <c r="J88" i="13"/>
  <c r="K88" i="13"/>
  <c r="L88" i="13"/>
  <c r="M88" i="13"/>
  <c r="D71" i="13" s="1"/>
  <c r="N88" i="13"/>
  <c r="O88" i="13"/>
  <c r="P88" i="13"/>
  <c r="Q88" i="13"/>
  <c r="R88" i="13"/>
  <c r="S88" i="13"/>
  <c r="T88" i="13"/>
  <c r="U88" i="13"/>
  <c r="V88" i="13"/>
  <c r="W88" i="13"/>
  <c r="X88" i="13"/>
  <c r="Y88" i="13"/>
  <c r="Z88" i="13"/>
  <c r="AA88" i="13"/>
  <c r="AB88" i="13"/>
  <c r="AC88" i="13"/>
  <c r="AD88" i="13"/>
  <c r="AE88" i="13"/>
  <c r="AF88" i="13"/>
  <c r="AG88" i="13"/>
  <c r="C88" i="13"/>
  <c r="D73" i="13"/>
  <c r="E73" i="13"/>
  <c r="F73" i="13"/>
  <c r="D98" i="13"/>
  <c r="E98" i="13"/>
  <c r="F98" i="13"/>
  <c r="C98" i="13"/>
  <c r="D113" i="13"/>
  <c r="E113" i="13"/>
  <c r="F113" i="13"/>
  <c r="G113" i="13"/>
  <c r="H113" i="13"/>
  <c r="I113" i="13"/>
  <c r="J113" i="13"/>
  <c r="K113" i="13"/>
  <c r="L113" i="13"/>
  <c r="M113" i="13"/>
  <c r="D96" i="13" s="1"/>
  <c r="N113" i="13"/>
  <c r="O113" i="13"/>
  <c r="P113" i="13"/>
  <c r="Q113" i="13"/>
  <c r="R113" i="13"/>
  <c r="S113" i="13"/>
  <c r="T113" i="13"/>
  <c r="U113" i="13"/>
  <c r="V113" i="13"/>
  <c r="W113" i="13"/>
  <c r="E96" i="13" s="1"/>
  <c r="X113" i="13"/>
  <c r="Y113" i="13"/>
  <c r="Z113" i="13"/>
  <c r="AA113" i="13"/>
  <c r="AB113" i="13"/>
  <c r="AC113" i="13"/>
  <c r="AD113" i="13"/>
  <c r="AE113" i="13"/>
  <c r="AF113" i="13"/>
  <c r="AG113" i="13"/>
  <c r="F96" i="13" s="1"/>
  <c r="C113" i="13"/>
  <c r="C96" i="13" s="1"/>
  <c r="E71" i="13" l="1"/>
  <c r="F71" i="13"/>
  <c r="K46" i="11"/>
  <c r="E46" i="11"/>
  <c r="D36" i="13"/>
  <c r="E36" i="13"/>
  <c r="F36" i="13"/>
  <c r="G36" i="13"/>
  <c r="H36" i="13"/>
  <c r="I36" i="13"/>
  <c r="J36" i="13"/>
  <c r="K36" i="13"/>
  <c r="L36" i="13"/>
  <c r="M36" i="13"/>
  <c r="D23" i="13" s="1"/>
  <c r="N36" i="13"/>
  <c r="O36" i="13"/>
  <c r="P36" i="13"/>
  <c r="Q36" i="13"/>
  <c r="R36" i="13"/>
  <c r="S36" i="13"/>
  <c r="T36" i="13"/>
  <c r="U36" i="13"/>
  <c r="V36" i="13"/>
  <c r="W36" i="13"/>
  <c r="E23" i="13" s="1"/>
  <c r="X36" i="13"/>
  <c r="Y36" i="13"/>
  <c r="Z36" i="13"/>
  <c r="AA36" i="13"/>
  <c r="AB36" i="13"/>
  <c r="AC36" i="13"/>
  <c r="AD36" i="13"/>
  <c r="AE36" i="13"/>
  <c r="AF36" i="13"/>
  <c r="AG36" i="13"/>
  <c r="F23" i="13" s="1"/>
  <c r="C36" i="13"/>
  <c r="C23" i="13" s="1"/>
  <c r="K54" i="11" l="1"/>
  <c r="E54" i="11"/>
  <c r="N45" i="5"/>
  <c r="M45" i="5"/>
  <c r="S195" i="13" l="1"/>
  <c r="S198" i="13" l="1"/>
  <c r="S196" i="13"/>
  <c r="H196" i="13"/>
  <c r="H198" i="13"/>
  <c r="N17" i="11" l="1"/>
  <c r="G25" i="11"/>
  <c r="E25" i="11"/>
  <c r="K25" i="11"/>
  <c r="M25" i="11"/>
  <c r="F25" i="11"/>
  <c r="L25" i="11"/>
  <c r="H25" i="11"/>
  <c r="N25" i="11"/>
  <c r="K17" i="11"/>
  <c r="D19" i="13" l="1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C19" i="13"/>
  <c r="C74" i="13"/>
  <c r="C75" i="13" s="1"/>
  <c r="M54" i="12"/>
  <c r="M55" i="12" s="1"/>
  <c r="Q198" i="13" s="1"/>
  <c r="L54" i="12"/>
  <c r="L55" i="12" s="1"/>
  <c r="P198" i="13" s="1"/>
  <c r="K54" i="12"/>
  <c r="K55" i="12" s="1"/>
  <c r="O198" i="13" s="1"/>
  <c r="E54" i="12"/>
  <c r="E55" i="12" s="1"/>
  <c r="F198" i="13" s="1"/>
  <c r="D54" i="12"/>
  <c r="D55" i="12" s="1"/>
  <c r="E198" i="13" s="1"/>
  <c r="C54" i="12"/>
  <c r="C55" i="12" s="1"/>
  <c r="D198" i="13" s="1"/>
  <c r="M22" i="12"/>
  <c r="M23" i="12" s="1"/>
  <c r="L22" i="12"/>
  <c r="L23" i="12" s="1"/>
  <c r="K22" i="12"/>
  <c r="K23" i="12" s="1"/>
  <c r="E22" i="12"/>
  <c r="E23" i="12" s="1"/>
  <c r="D22" i="12"/>
  <c r="D23" i="12" s="1"/>
  <c r="C22" i="12"/>
  <c r="C23" i="12" s="1"/>
  <c r="O8" i="6"/>
  <c r="H19" i="11" s="1"/>
  <c r="N8" i="6"/>
  <c r="G19" i="11" s="1"/>
  <c r="M8" i="6"/>
  <c r="F19" i="11" s="1"/>
  <c r="E19" i="11"/>
  <c r="E29" i="11" s="1"/>
  <c r="E30" i="11" s="1"/>
  <c r="F8" i="6"/>
  <c r="L19" i="11" s="1"/>
  <c r="M19" i="11"/>
  <c r="H8" i="6"/>
  <c r="L18" i="6"/>
  <c r="E18" i="6"/>
  <c r="L17" i="6"/>
  <c r="L19" i="6" s="1"/>
  <c r="E17" i="6"/>
  <c r="M16" i="6"/>
  <c r="N16" i="6"/>
  <c r="O16" i="6"/>
  <c r="L16" i="6"/>
  <c r="H16" i="6"/>
  <c r="F16" i="6"/>
  <c r="G16" i="6"/>
  <c r="E16" i="6"/>
  <c r="N51" i="11"/>
  <c r="K51" i="11"/>
  <c r="K55" i="11" s="1"/>
  <c r="H51" i="11"/>
  <c r="E51" i="11"/>
  <c r="E55" i="11" s="1"/>
  <c r="L43" i="11"/>
  <c r="M43" i="11"/>
  <c r="N43" i="11"/>
  <c r="K43" i="11"/>
  <c r="K47" i="11" s="1"/>
  <c r="F43" i="11"/>
  <c r="H43" i="11"/>
  <c r="E43" i="11"/>
  <c r="E47" i="11" s="1"/>
  <c r="L35" i="11"/>
  <c r="N35" i="11"/>
  <c r="K35" i="11"/>
  <c r="H35" i="11"/>
  <c r="E35" i="11"/>
  <c r="D199" i="13" l="1"/>
  <c r="I198" i="13" s="1"/>
  <c r="D206" i="13"/>
  <c r="D207" i="13" s="1"/>
  <c r="Q199" i="13"/>
  <c r="Q206" i="13"/>
  <c r="Q207" i="13" s="1"/>
  <c r="V198" i="13"/>
  <c r="E199" i="13"/>
  <c r="E206" i="13"/>
  <c r="E207" i="13" s="1"/>
  <c r="F199" i="13"/>
  <c r="K198" i="13" s="1"/>
  <c r="F206" i="13"/>
  <c r="F207" i="13" s="1"/>
  <c r="O199" i="13"/>
  <c r="O206" i="13"/>
  <c r="T198" i="13"/>
  <c r="P199" i="13"/>
  <c r="P206" i="13"/>
  <c r="E45" i="11"/>
  <c r="E53" i="11" s="1"/>
  <c r="O17" i="6"/>
  <c r="O19" i="6" s="1"/>
  <c r="E21" i="11"/>
  <c r="L29" i="11"/>
  <c r="L37" i="11"/>
  <c r="L38" i="11" s="1"/>
  <c r="D175" i="13" s="1"/>
  <c r="D176" i="13" s="1"/>
  <c r="L39" i="11" s="1"/>
  <c r="N29" i="11"/>
  <c r="N37" i="11"/>
  <c r="N38" i="11" s="1"/>
  <c r="F175" i="13" s="1"/>
  <c r="F176" i="13" s="1"/>
  <c r="N39" i="11" s="1"/>
  <c r="M29" i="11"/>
  <c r="M37" i="11"/>
  <c r="M38" i="11" s="1"/>
  <c r="E175" i="13" s="1"/>
  <c r="E176" i="13" s="1"/>
  <c r="M39" i="11" s="1"/>
  <c r="E37" i="11"/>
  <c r="H37" i="11"/>
  <c r="H38" i="11" s="1"/>
  <c r="F155" i="13" s="1"/>
  <c r="F156" i="13" s="1"/>
  <c r="H39" i="11" s="1"/>
  <c r="H29" i="11"/>
  <c r="G37" i="11"/>
  <c r="G38" i="11" s="1"/>
  <c r="E155" i="13" s="1"/>
  <c r="E156" i="13" s="1"/>
  <c r="G39" i="11" s="1"/>
  <c r="G29" i="11"/>
  <c r="F37" i="11"/>
  <c r="F29" i="11"/>
  <c r="F30" i="11" s="1"/>
  <c r="F6" i="13"/>
  <c r="E6" i="13"/>
  <c r="E17" i="11"/>
  <c r="D6" i="13"/>
  <c r="F17" i="6"/>
  <c r="F19" i="6" s="1"/>
  <c r="E19" i="6"/>
  <c r="H17" i="6"/>
  <c r="H19" i="6" s="1"/>
  <c r="G17" i="6"/>
  <c r="G19" i="6" s="1"/>
  <c r="N17" i="6"/>
  <c r="N19" i="6" s="1"/>
  <c r="M17" i="6"/>
  <c r="E37" i="6"/>
  <c r="L32" i="6"/>
  <c r="E27" i="6"/>
  <c r="P48" i="5"/>
  <c r="O48" i="5"/>
  <c r="N48" i="5"/>
  <c r="N42" i="5"/>
  <c r="L57" i="6"/>
  <c r="E50" i="11" s="1"/>
  <c r="O57" i="6"/>
  <c r="H50" i="11" s="1"/>
  <c r="H57" i="6"/>
  <c r="N50" i="11" s="1"/>
  <c r="E57" i="6"/>
  <c r="K50" i="11" s="1"/>
  <c r="N50" i="6"/>
  <c r="G43" i="11" s="1"/>
  <c r="M31" i="5"/>
  <c r="L52" i="6"/>
  <c r="E42" i="11" s="1"/>
  <c r="M52" i="6"/>
  <c r="F42" i="11" s="1"/>
  <c r="O52" i="6"/>
  <c r="H42" i="11" s="1"/>
  <c r="F52" i="6"/>
  <c r="L42" i="11" s="1"/>
  <c r="G52" i="6"/>
  <c r="M42" i="11" s="1"/>
  <c r="H52" i="6"/>
  <c r="N42" i="11" s="1"/>
  <c r="E52" i="6"/>
  <c r="K42" i="11" s="1"/>
  <c r="O46" i="6"/>
  <c r="L46" i="6"/>
  <c r="H46" i="6"/>
  <c r="F46" i="6"/>
  <c r="E46" i="6"/>
  <c r="E38" i="6"/>
  <c r="E39" i="6" s="1"/>
  <c r="U197" i="13" l="1"/>
  <c r="U195" i="13"/>
  <c r="E99" i="13" s="1"/>
  <c r="U196" i="13"/>
  <c r="J197" i="13"/>
  <c r="J195" i="13"/>
  <c r="E74" i="13" s="1"/>
  <c r="J196" i="13"/>
  <c r="T197" i="13"/>
  <c r="T195" i="13"/>
  <c r="D99" i="13" s="1"/>
  <c r="T196" i="13"/>
  <c r="O207" i="13"/>
  <c r="T205" i="13" s="1"/>
  <c r="V197" i="13"/>
  <c r="V195" i="13"/>
  <c r="F99" i="13" s="1"/>
  <c r="F100" i="13" s="1"/>
  <c r="N21" i="11" s="1"/>
  <c r="V196" i="13"/>
  <c r="J206" i="13"/>
  <c r="J205" i="13"/>
  <c r="U198" i="13"/>
  <c r="K197" i="13"/>
  <c r="K196" i="13"/>
  <c r="K195" i="13"/>
  <c r="F74" i="13" s="1"/>
  <c r="F75" i="13" s="1"/>
  <c r="H21" i="11" s="1"/>
  <c r="I206" i="13"/>
  <c r="I205" i="13"/>
  <c r="P207" i="13"/>
  <c r="U205" i="13" s="1"/>
  <c r="J198" i="13"/>
  <c r="I195" i="13"/>
  <c r="D74" i="13" s="1"/>
  <c r="I196" i="13"/>
  <c r="L45" i="11"/>
  <c r="F45" i="11"/>
  <c r="G45" i="11"/>
  <c r="K45" i="11"/>
  <c r="K53" i="11" s="1"/>
  <c r="M45" i="11"/>
  <c r="N45" i="11"/>
  <c r="H45" i="11"/>
  <c r="E38" i="11"/>
  <c r="C155" i="13" s="1"/>
  <c r="C156" i="13" s="1"/>
  <c r="E39" i="11" s="1"/>
  <c r="F38" i="11"/>
  <c r="D155" i="13" s="1"/>
  <c r="D156" i="13" s="1"/>
  <c r="F39" i="11" s="1"/>
  <c r="H17" i="11"/>
  <c r="M30" i="11"/>
  <c r="E138" i="13" s="1"/>
  <c r="D123" i="13"/>
  <c r="G30" i="11"/>
  <c r="E123" i="13" s="1"/>
  <c r="N30" i="11"/>
  <c r="F138" i="13" s="1"/>
  <c r="H30" i="11"/>
  <c r="F123" i="13" s="1"/>
  <c r="F124" i="13" s="1"/>
  <c r="L30" i="11"/>
  <c r="D138" i="13" s="1"/>
  <c r="C123" i="13"/>
  <c r="N52" i="6"/>
  <c r="G42" i="11" s="1"/>
  <c r="P29" i="5"/>
  <c r="M50" i="5"/>
  <c r="O45" i="5"/>
  <c r="O42" i="5"/>
  <c r="P42" i="5"/>
  <c r="M42" i="5"/>
  <c r="M23" i="5"/>
  <c r="N23" i="5"/>
  <c r="N26" i="5"/>
  <c r="O23" i="5"/>
  <c r="P23" i="5"/>
  <c r="D72" i="13" l="1"/>
  <c r="D7" i="13"/>
  <c r="F17" i="11" s="1"/>
  <c r="E72" i="13"/>
  <c r="E75" i="13" s="1"/>
  <c r="G21" i="11" s="1"/>
  <c r="E7" i="13"/>
  <c r="G17" i="11" s="1"/>
  <c r="D75" i="13"/>
  <c r="F21" i="11" s="1"/>
  <c r="T206" i="13"/>
  <c r="E24" i="13"/>
  <c r="M17" i="11" s="1"/>
  <c r="E97" i="13"/>
  <c r="E100" i="13" s="1"/>
  <c r="M21" i="11" s="1"/>
  <c r="U206" i="13"/>
  <c r="D24" i="13"/>
  <c r="L17" i="11" s="1"/>
  <c r="D97" i="13"/>
  <c r="D100" i="13" s="1"/>
  <c r="L21" i="11" s="1"/>
  <c r="G46" i="11"/>
  <c r="G47" i="11" s="1"/>
  <c r="G53" i="11"/>
  <c r="G54" i="11" s="1"/>
  <c r="N46" i="11"/>
  <c r="N47" i="11" s="1"/>
  <c r="N53" i="11"/>
  <c r="N54" i="11" s="1"/>
  <c r="N55" i="11" s="1"/>
  <c r="F46" i="11"/>
  <c r="F47" i="11" s="1"/>
  <c r="F53" i="11"/>
  <c r="F54" i="11" s="1"/>
  <c r="H46" i="11"/>
  <c r="H47" i="11" s="1"/>
  <c r="H53" i="11"/>
  <c r="H54" i="11" s="1"/>
  <c r="H55" i="11" s="1"/>
  <c r="M46" i="11"/>
  <c r="M47" i="11" s="1"/>
  <c r="M53" i="11"/>
  <c r="M54" i="11" s="1"/>
  <c r="L46" i="11"/>
  <c r="L47" i="11" s="1"/>
  <c r="L53" i="11"/>
  <c r="L54" i="11" s="1"/>
  <c r="E139" i="13"/>
  <c r="M31" i="11" s="1"/>
  <c r="H31" i="11"/>
  <c r="F139" i="13"/>
  <c r="N31" i="11" s="1"/>
  <c r="C124" i="13"/>
  <c r="E31" i="11" s="1"/>
  <c r="E124" i="13"/>
  <c r="G31" i="11" s="1"/>
  <c r="D139" i="13"/>
  <c r="L31" i="11" s="1"/>
  <c r="D124" i="13"/>
  <c r="F31" i="11" s="1"/>
  <c r="C99" i="13" l="1"/>
  <c r="C100" i="13" s="1"/>
  <c r="K21" i="11" s="1"/>
  <c r="O26" i="5" l="1"/>
  <c r="P26" i="5"/>
  <c r="M26" i="5"/>
  <c r="P45" i="5"/>
  <c r="M48" i="5"/>
  <c r="K19" i="11" l="1"/>
  <c r="D9" i="5"/>
  <c r="D17" i="5" s="1"/>
  <c r="C9" i="5"/>
  <c r="C17" i="5" s="1"/>
  <c r="K37" i="11" l="1"/>
  <c r="K38" i="11" s="1"/>
  <c r="C175" i="13" s="1"/>
  <c r="C176" i="13" s="1"/>
  <c r="K39" i="11" s="1"/>
  <c r="K29" i="11"/>
  <c r="K30" i="11" s="1"/>
  <c r="C138" i="13" s="1"/>
  <c r="C139" i="13" s="1"/>
  <c r="K31" i="11" s="1"/>
  <c r="F55" i="6"/>
  <c r="F57" i="6" l="1"/>
  <c r="L50" i="11" s="1"/>
  <c r="L51" i="11"/>
  <c r="L55" i="11" s="1"/>
  <c r="E32" i="6"/>
  <c r="F32" i="6"/>
  <c r="G32" i="6"/>
  <c r="N55" i="6" l="1"/>
  <c r="M55" i="6"/>
  <c r="G55" i="6"/>
  <c r="N44" i="6"/>
  <c r="M44" i="6"/>
  <c r="F35" i="11" s="1"/>
  <c r="G44" i="6"/>
  <c r="O32" i="6"/>
  <c r="N32" i="6"/>
  <c r="M32" i="6"/>
  <c r="H32" i="6"/>
  <c r="O27" i="6"/>
  <c r="N27" i="6"/>
  <c r="M27" i="6"/>
  <c r="H27" i="6"/>
  <c r="G27" i="6"/>
  <c r="F27" i="6"/>
  <c r="F16" i="11" l="1"/>
  <c r="F24" i="11"/>
  <c r="N27" i="11"/>
  <c r="L27" i="11"/>
  <c r="E27" i="11"/>
  <c r="K27" i="11"/>
  <c r="M27" i="11"/>
  <c r="M57" i="6"/>
  <c r="F51" i="11"/>
  <c r="F55" i="11" s="1"/>
  <c r="N46" i="6"/>
  <c r="G35" i="11"/>
  <c r="M46" i="6"/>
  <c r="G57" i="6"/>
  <c r="M51" i="11"/>
  <c r="M55" i="11" s="1"/>
  <c r="N57" i="6"/>
  <c r="G51" i="11"/>
  <c r="G55" i="11" s="1"/>
  <c r="G46" i="6"/>
  <c r="M35" i="11"/>
  <c r="C10" i="5"/>
  <c r="C18" i="5" s="1"/>
  <c r="D10" i="5"/>
  <c r="D18" i="5" s="1"/>
  <c r="E10" i="5"/>
  <c r="E18" i="5" s="1"/>
  <c r="E9" i="5"/>
  <c r="E17" i="5" s="1"/>
  <c r="B10" i="5"/>
  <c r="B18" i="5" s="1"/>
  <c r="B9" i="5"/>
  <c r="B17" i="5" s="1"/>
  <c r="F50" i="11" l="1"/>
  <c r="M50" i="11"/>
  <c r="G50" i="11"/>
</calcChain>
</file>

<file path=xl/sharedStrings.xml><?xml version="1.0" encoding="utf-8"?>
<sst xmlns="http://schemas.openxmlformats.org/spreadsheetml/2006/main" count="1326" uniqueCount="285">
  <si>
    <t>Notes</t>
  </si>
  <si>
    <t>Reference</t>
  </si>
  <si>
    <t>Annualized Cost Figures – Diversified Scenario</t>
  </si>
  <si>
    <t>Annualized Cost Figures – Electrification Scenario</t>
  </si>
  <si>
    <t>Electricity</t>
  </si>
  <si>
    <t>Sum of all electricity demand for each sector: Buildings, Industry, and Transport. Note that the baseline demand from the IESO (135 TWh) is added to each year.</t>
  </si>
  <si>
    <t>JT1.28 Attachment 2 and Attachment 3</t>
  </si>
  <si>
    <t>Annual energy demand (MWh)</t>
  </si>
  <si>
    <t>The model does not output capital costs on an annualized basis.</t>
  </si>
  <si>
    <t>For total study period energy cost ($/MWh), see JT1.25, Table 1 (for Diversified scenario) and Table 2 (for Electrification scenario)</t>
  </si>
  <si>
    <t>Annual avg. energy price ($/MWh)</t>
  </si>
  <si>
    <t>Total NPV of energy cost over study period (from LCOE calculation)</t>
  </si>
  <si>
    <t>March 24th Deliverable</t>
  </si>
  <si>
    <t>Annual energy cost ($)</t>
  </si>
  <si>
    <t>Provided via Referenced Material</t>
  </si>
  <si>
    <t>See JT1.28 Attachment 5, "Hourly Peak Demand" tab. For the annual capacity demand, see "Winter Peak" value.</t>
  </si>
  <si>
    <t>Annual capacity demand (MW)</t>
  </si>
  <si>
    <t>Capacity cost ($/MW, annualized)</t>
  </si>
  <si>
    <t>Annual capacity cost ($)</t>
  </si>
  <si>
    <t>Provided in JT1.25</t>
  </si>
  <si>
    <t>See JT1.25, Table 1 (for Diversified scenario) and Table 2 (for Electrification scenario)</t>
  </si>
  <si>
    <t>Transmission &amp; distribution cost ($/MW, annualized)</t>
  </si>
  <si>
    <t>Preliminary cost used to calculate "Transmission &amp; distribution ($/MW)" figure provided in JT1.25</t>
  </si>
  <si>
    <t>Annual transmission and distribution cost ($, annualized)</t>
  </si>
  <si>
    <t>The model does not output capital costs on an annualized basis. For the non-annualized values, see JT1.28 Attachment 8 (for Electrification scenario) and Attachment 9 (for Diversified scenario), "Total Energy System Cost" tab.</t>
  </si>
  <si>
    <t>Annual electricity costs ($)</t>
  </si>
  <si>
    <t>Fossil gas</t>
  </si>
  <si>
    <t>See JT1.28 Attachment 5, "Hourly Demand" tab for total methane demand. For fossil gas proportion of that demand, see JT1.28 Attachment 6 (for Electrification scenario) and 7 (for Diversification scenario), tab "Supply Energy".</t>
  </si>
  <si>
    <t>Annual demand (PJ)</t>
  </si>
  <si>
    <t>Provided in JT1.25 and replicated here</t>
  </si>
  <si>
    <t>Annual avg. commodity price ($/PJ)</t>
  </si>
  <si>
    <t>This is the annual fuel cost, or proxy for commodity cost (as identified in JT1.25 part A) for all methane imports, scaled to represent fossil gas for end users.</t>
  </si>
  <si>
    <t>See JT1.28 Attachment 8 (for Electrification scenario) and 9 (for Diversification scenario), tab "Dispatch Import Costs".</t>
  </si>
  <si>
    <t>Annual commodity cost ($)</t>
  </si>
  <si>
    <t>Total capacity supply (TJ/hr) is located in JT1.28 Attachment 6 (for Electrification scenario) and Attachment 7 (for Diversified scenario), tab "Supply Capacity".</t>
  </si>
  <si>
    <t>Annual capacity demand (PJ/hr)</t>
  </si>
  <si>
    <t>Note that this is not $/PJ/hr because the model does not use a capacity cost. We have provided the annual value instead as a proxy value on a best efforts basis. There are no new methane pipelines built, and existing methane pipelines only have a variable O&amp;M cost in dollars per unit energy. See JT1.25, Table 1 (for Diversified scenario) and Table 2 (for Electrification scenario)</t>
  </si>
  <si>
    <t>Transmission &amp; distribution cost ($/PJ/hr, annualized)</t>
  </si>
  <si>
    <t>Annual transmission and distribution costs ($, annualized) used to calculate the cost component of the "Transmission &amp; distribution ($/MW)" figures provided in JT1.25 part a), scaled to represent only fossil gas.</t>
  </si>
  <si>
    <t>Annual transmission and distribution costs ($, annualized)</t>
  </si>
  <si>
    <t>Sum of commodity, fossil gas storage costs, and T&amp;D costs</t>
  </si>
  <si>
    <t>Fossil gas storage costs can be found in JT1.28 Attachment 8 (for Electrification scenario) and 9 (for Diversification scenario), tab "SupplyTechCosts - Gas".</t>
  </si>
  <si>
    <t>Annual fossil gas costs ($)</t>
  </si>
  <si>
    <t>Fossil gas with CCS</t>
  </si>
  <si>
    <t>See JT1.28 Attachment 5, "Hourly Demand" tab for total methane demand. For fossil gas with CCS proportion of that demand, see JT1.28 Attachment 6 (for Electrification scenario) and 7 (for Diversification scenario), tab "Supply Energy".</t>
  </si>
  <si>
    <t xml:space="preserve">Annual avg. commodity price multiplied by volume </t>
  </si>
  <si>
    <t>Avg CCS Process Costs, See JT1.25, Table 1 (for Diversified scenario) and Table 2 (for Electrification scenario)</t>
  </si>
  <si>
    <t>Annual avg. CCS costs ($/PJ)</t>
  </si>
  <si>
    <t>Avg CCS costs multiplied by PJs of NG with CCS</t>
  </si>
  <si>
    <t>Annual CCS costs ($)</t>
  </si>
  <si>
    <t>Provided in Referenced Material</t>
  </si>
  <si>
    <t>Note that this is not $/PJ/hr because the model does not use a capacity cost. We have provided the annual value instead as a proxy value on a best efforts basis. There are no new methane pipelines built, and existing methane pipelines only have a variable O&amp;M cost in dollars per unit energy.See JT1.25, Table 1 (for Diversified scenario) and Table 2 (for Electrification scenario)</t>
  </si>
  <si>
    <t>Average T&amp;D costs multiplied by the dispatch (PJs) of fossil gas with CCs</t>
  </si>
  <si>
    <t>Sum of commodity, CCS, and T&amp;D costs</t>
  </si>
  <si>
    <t>Annual fossil gas with CCS costs ($)</t>
  </si>
  <si>
    <t>RNG</t>
  </si>
  <si>
    <t>See JT1.28 Attachment 5, "Hourly Demand" tab for total methane demand. For RNG proportion of that demand, see JT1.28 Attachment 6 (for Electrification scenario) and 7 (for Diversification scenario), tab "Supply Energy".</t>
  </si>
  <si>
    <t>Average T&amp;D costs multiplied by PJs of RNG</t>
  </si>
  <si>
    <t>Sum of commodity and T&amp;D costs</t>
  </si>
  <si>
    <t>Annual RNG costs ($)</t>
  </si>
  <si>
    <t>Green Hydrogen</t>
  </si>
  <si>
    <t>See JT1.28 Attachment 5, "Hourly Demand" tab for total hydrogen demand. For green hydrogen proportion of that demand, see JT1.28 Attachment 6 (for Electrification scenario) and 7 (for Diversification scenario), tab "Supply Energy".</t>
  </si>
  <si>
    <t>Annual avg. commodity price ($/PJ) [1]</t>
  </si>
  <si>
    <t>Note that this is not $/PJ/hr to be consistent with fossil gas (see note above).  See JT1.25, Table 1 (for Diversified scenario) and Table 2 (for Electrification scenario)</t>
  </si>
  <si>
    <t>Average T&amp;D costs multiplied by PJs of green hydrogen (electrolysers)</t>
  </si>
  <si>
    <t>Annual green hydrogen costs ($)</t>
  </si>
  <si>
    <t>Blue Hydrogen</t>
  </si>
  <si>
    <t>See JT1.28 Attachment 5, "Hourly Demand" tab for total hydrogen demand. For blue hydrogen proportion of that demand, see JT1.28 Attachment 6 (for Electrification scenario) and 7 (for Diversification scenario), tab "Supply Energy".</t>
  </si>
  <si>
    <t>Annual avg. commodity price ($/PJ)[2]</t>
  </si>
  <si>
    <t>Note that this is not $/PJ/hr to be consistent with fossil gas (see note above). See JT1.25, Table 1 (for Diversified scenario) and Table 2 (for Electrification scenario)</t>
  </si>
  <si>
    <t>Average T&amp;D costs multiplied by PJs of blue hydrogen (electrolysers)</t>
  </si>
  <si>
    <t>Annual blue hydrogen costs ($)</t>
  </si>
  <si>
    <t>[1] Including the electrolysis process, CCS process, and transportation to Ontario if that is applicable and not included in the transmission and distribution row below.</t>
  </si>
  <si>
    <t>[2] Including the SMR process, CCS process, and transportation to Ontario if that is applicable and not included in the transmission and distribution row below.</t>
  </si>
  <si>
    <t>Source</t>
  </si>
  <si>
    <t>JT1.28-Attachment-8-Pathway Costs Electrification Scenario</t>
  </si>
  <si>
    <t>InfraTechCapacity Costs (all Regions, Electricity Transmission Lines)</t>
  </si>
  <si>
    <t>Year Range:</t>
  </si>
  <si>
    <t>2020-2030</t>
  </si>
  <si>
    <t>2030-2040</t>
  </si>
  <si>
    <t>2040-2050</t>
  </si>
  <si>
    <t>Year</t>
  </si>
  <si>
    <t>Electrification</t>
  </si>
  <si>
    <t>Diversified</t>
  </si>
  <si>
    <t>$</t>
  </si>
  <si>
    <t>Supply Capacity (GW)</t>
  </si>
  <si>
    <t>JT1.28-Attachment-6-LCP Results ON Electrification Scenario.xlsx</t>
  </si>
  <si>
    <t>JT1.28-Attachment-7-LCP Results ON Diversified Scenario.xlsx</t>
  </si>
  <si>
    <t>Cost per MW</t>
  </si>
  <si>
    <t>MW/GW</t>
  </si>
  <si>
    <t>Electricity Average Cost - Transmission &amp; Distribution Costs</t>
  </si>
  <si>
    <t>Tab</t>
  </si>
  <si>
    <t>InfraCap Granular Total</t>
  </si>
  <si>
    <t>Incremental Capacity (MW)</t>
  </si>
  <si>
    <t>Lifetime</t>
  </si>
  <si>
    <t>ScenarioName</t>
  </si>
  <si>
    <t>known_modeled</t>
  </si>
  <si>
    <t>var_type</t>
  </si>
  <si>
    <t>InfraTechnology</t>
  </si>
  <si>
    <t>SubRegion1</t>
  </si>
  <si>
    <t>SubRegion2</t>
  </si>
  <si>
    <t>GENtoDISFuel</t>
  </si>
  <si>
    <t>SimYr</t>
  </si>
  <si>
    <t>InfraCapacity</t>
  </si>
  <si>
    <t>Electricity Transmission Line</t>
  </si>
  <si>
    <t>LCP_Inputs_ON_Electric_2023_04_03</t>
  </si>
  <si>
    <t>modeled</t>
  </si>
  <si>
    <t>Capacity-Intraconnection</t>
  </si>
  <si>
    <t>ON</t>
  </si>
  <si>
    <t>Total Cost ($CAD)</t>
  </si>
  <si>
    <t>known</t>
  </si>
  <si>
    <t>Number of Years</t>
  </si>
  <si>
    <t>Incremental annualized CONE</t>
  </si>
  <si>
    <t>Annualized CONE</t>
  </si>
  <si>
    <t>$/MW</t>
  </si>
  <si>
    <t xml:space="preserve">InfraTechCapacity Costs </t>
  </si>
  <si>
    <t>JT1.28-Attachment-8-Pathway Costs Electrification Scenario.xlsx</t>
  </si>
  <si>
    <t xml:space="preserve">Diversified </t>
  </si>
  <si>
    <t>LCP_Inputs_ON_Diverse_2023_04_03</t>
  </si>
  <si>
    <t xml:space="preserve"> </t>
  </si>
  <si>
    <t>JT1.28-Attachment-9-Pathway Costs Diversified Scenario.xlsx</t>
  </si>
  <si>
    <t>Electrification Scenario</t>
  </si>
  <si>
    <t>Diversified Scenario</t>
  </si>
  <si>
    <t>Description</t>
  </si>
  <si>
    <t>Fossil Gas - T&amp;D Costs</t>
  </si>
  <si>
    <t xml:space="preserve">Source </t>
  </si>
  <si>
    <t>See Pipeline Costs tab</t>
  </si>
  <si>
    <t>Annual CH4 Pipeline total O&amp;M costs ($/yr)</t>
  </si>
  <si>
    <t>Sum of methane supply for ON
(RNG, CH4 Pipeline,CH4 + CCS)</t>
  </si>
  <si>
    <t>Annual methane sent through CH4 pipeline in ON-ON (PJ/yr)</t>
  </si>
  <si>
    <t>JT1.28-Attachment-7-LCP Results ON Diversified Scenario</t>
  </si>
  <si>
    <t>Tab: supply_dis_annual, filtered to O/CCGT CH4 New and Existing, for methane only in ON</t>
  </si>
  <si>
    <t>Annual methane used in power generation (PJ)</t>
  </si>
  <si>
    <t xml:space="preserve">CH4 Pipeline total costs / 
total methane volume sent through pipeline in ON-ON
</t>
  </si>
  <si>
    <t>Transmission &amp; distribution ($/PJ/hr)</t>
  </si>
  <si>
    <t>Note that this is not $/PJ/hr because the model does not use a capacity cost. We have provided the annual value instead as a proxy value on a best efforts basis. There are no new methane pipelines built, and existing methane pipelines only have a variable O&amp;M cost in dollars per unit energy.</t>
  </si>
  <si>
    <t>Hydrogen - T&amp;D Costs</t>
  </si>
  <si>
    <t>InfraTechCapacity Costs ON-ON</t>
  </si>
  <si>
    <t>H2 Pipeline (retrofit and new) total CAPEX costs ($)</t>
  </si>
  <si>
    <t>InfraTech Dispatch (to) ON-ON</t>
  </si>
  <si>
    <t>H2 Pipeline (retrofit and new) annual O&amp;M costs ($)</t>
  </si>
  <si>
    <t>Total Hydrogen Supply (Domestic + Imports)</t>
  </si>
  <si>
    <t>Total Hydrogen Supply (PJ)</t>
  </si>
  <si>
    <t>H2 Pipeline (retrofit and new) annual CAPEX costs ($)</t>
  </si>
  <si>
    <t>H2 Pipeline (retrofit and new) cumulative annual CAPEX costs ($)</t>
  </si>
  <si>
    <t>Total Hydrogen used in power generation (PJ)</t>
  </si>
  <si>
    <t>JT1.28-Attachment-7-LCP Results ON Electrification Scenario, tab: IndirectDmd converted to PJs</t>
  </si>
  <si>
    <t>JT1.28-Attachment-7-LCP Results ON Diversified Scenario, tab: IndirectDmd converted to PJs</t>
  </si>
  <si>
    <t>Note that this is not $/PJ/hr to be consistent with fossil gas (see note above).</t>
  </si>
  <si>
    <t>FuelTypeCosts</t>
  </si>
  <si>
    <t>UPStoGENFuel ($CAD/MWh)</t>
  </si>
  <si>
    <t>Methane WC</t>
  </si>
  <si>
    <t>JT1.28-Attachment-5-LCP_Inputs</t>
  </si>
  <si>
    <t>Methane NY</t>
  </si>
  <si>
    <t>$CAD/PJ</t>
  </si>
  <si>
    <t>CH4 + CCS Fuel</t>
  </si>
  <si>
    <t>3.6 PJ/TWh</t>
  </si>
  <si>
    <t>10^6 MWh per TWh</t>
  </si>
  <si>
    <t>CCS process ($/PJ)</t>
  </si>
  <si>
    <t>Value</t>
  </si>
  <si>
    <t>Unit</t>
  </si>
  <si>
    <t>$/tCO2e</t>
  </si>
  <si>
    <t>Emissions Rate</t>
  </si>
  <si>
    <t>tCO2e/MWh</t>
  </si>
  <si>
    <t>This includes the combustion emissions based on a 95% capture rate, as well as upstream emissions from methane transmission.</t>
  </si>
  <si>
    <t>tCO2e/TWh</t>
  </si>
  <si>
    <t>tCO2e/PJ</t>
  </si>
  <si>
    <t>Cost ($/PJ)</t>
  </si>
  <si>
    <t>$/PJ</t>
  </si>
  <si>
    <t>RNG – Average Commodity Cost</t>
  </si>
  <si>
    <r>
      <t>Cost of RNG (</t>
    </r>
    <r>
      <rPr>
        <b/>
        <sz val="11"/>
        <color theme="1"/>
        <rFont val="Calibri"/>
        <family val="2"/>
        <scheme val="minor"/>
      </rPr>
      <t>million</t>
    </r>
    <r>
      <rPr>
        <sz val="11"/>
        <color theme="1"/>
        <rFont val="Calibri"/>
        <family val="2"/>
        <scheme val="minor"/>
      </rPr>
      <t xml:space="preserve"> $CAD) / # of Years</t>
    </r>
  </si>
  <si>
    <t>Cost of RNG (million $CAD)</t>
  </si>
  <si>
    <t>Intervenor Requests 2022-03-24_Submission - Updated 2023-04-05.xlsx</t>
  </si>
  <si>
    <t>Annual RNG Production (PJ/Year)</t>
  </si>
  <si>
    <t>PJ/yr</t>
  </si>
  <si>
    <t>Cost * 10 ^6 / PJ</t>
  </si>
  <si>
    <t>Green Hydrogen – Average Commodity Cost</t>
  </si>
  <si>
    <t>Total Cost of Green H2 / # of Years</t>
  </si>
  <si>
    <t>Annual Costs of Green Hydrogen ($CAD)</t>
  </si>
  <si>
    <t>Annual supply of H2 in PJ / yr</t>
  </si>
  <si>
    <t>Cost / PJ</t>
  </si>
  <si>
    <t>Note that is higher than in the Diversified scenario due to higher electricity costs in the Electrification scenario</t>
  </si>
  <si>
    <t>Blue Hydrogen – Average Commodity Cost</t>
  </si>
  <si>
    <t>Total Cost of Blue H2 / # of Years</t>
  </si>
  <si>
    <t>Annual Costs of Blue Hydrogen ($CAD)</t>
  </si>
  <si>
    <t>Note that is higher than in the Diversified scenario due to higher emissions costs in the Electrification scenario</t>
  </si>
  <si>
    <t>Electricity Requirements for Hydrogen Fired Gas Turbines</t>
  </si>
  <si>
    <t>Diversified scenario - supply_disp_annual</t>
  </si>
  <si>
    <t>Electrification scenario - supply_disp_annual</t>
  </si>
  <si>
    <t>Source:</t>
  </si>
  <si>
    <t>Fall</t>
  </si>
  <si>
    <t>O/CCGT - H2 New</t>
  </si>
  <si>
    <t>Spring</t>
  </si>
  <si>
    <t>Summer</t>
  </si>
  <si>
    <t>Winter</t>
  </si>
  <si>
    <t>Winter Peak</t>
  </si>
  <si>
    <t>O/CCGT - H2 New (MWh)</t>
  </si>
  <si>
    <t>O/CCGT - H2 New (PJ)</t>
  </si>
  <si>
    <t>Electricity Requirements for Methane Fired Gas Turbines</t>
  </si>
  <si>
    <t>O/CCGT - CH4 Existing</t>
  </si>
  <si>
    <t>O/CCGT - CH4 New</t>
  </si>
  <si>
    <t>O/CCGT - CH4 (MWh)</t>
  </si>
  <si>
    <t>O/CCGT - CH4 (PJ)</t>
  </si>
  <si>
    <t xml:space="preserve">Electrification </t>
  </si>
  <si>
    <t>CAD/yr</t>
  </si>
  <si>
    <t>CH4 Pipeline</t>
  </si>
  <si>
    <t>Annual CH4 Pipeline costs for ON only (Infratech Dispatch Costs to only)</t>
  </si>
  <si>
    <t>Hydrogen</t>
  </si>
  <si>
    <t>H2 Pipeline</t>
  </si>
  <si>
    <t>Annual H2 Pipeline costs for retrofit + new (costs to) for all regions (note that only ON has any costs)</t>
  </si>
  <si>
    <t>Pathways Costs:</t>
  </si>
  <si>
    <t>Source for Electrification Scenario:</t>
  </si>
  <si>
    <t>Source for Diversified Scenario:</t>
  </si>
  <si>
    <t>Electrification CH4 Pipeline</t>
  </si>
  <si>
    <t>Year:</t>
  </si>
  <si>
    <t>InfraTechDispatch (to) - ON</t>
  </si>
  <si>
    <t>InfraTechDispatch (from) - ON</t>
  </si>
  <si>
    <t xml:space="preserve">Diversified CH4 Pipeline </t>
  </si>
  <si>
    <t>Electrification H2 Pipeline (Hydrogen, Total)</t>
  </si>
  <si>
    <t xml:space="preserve">InfraTechDispatch (to) </t>
  </si>
  <si>
    <t xml:space="preserve">InfraTechDispatch (from) </t>
  </si>
  <si>
    <t>Diversified H2 Pipeline (Hydrogen, Total)</t>
  </si>
  <si>
    <t>Fossil gas - annual commodity cost</t>
  </si>
  <si>
    <t>Diversified Scenario - Annual commodity cost ($)</t>
  </si>
  <si>
    <t>CH4 Imports</t>
  </si>
  <si>
    <t>Annual Cost ($CAD)</t>
  </si>
  <si>
    <t>Sum all "FuelCost" rows for CH4 Imports from Pathway Costs</t>
  </si>
  <si>
    <t>Annual Cost Scaled</t>
  </si>
  <si>
    <t>Scale for NG volumes (not including NG for power generation).</t>
  </si>
  <si>
    <t>Row Labels</t>
  </si>
  <si>
    <t>CH4 Import - NY 2020</t>
  </si>
  <si>
    <t>CH4 Import - NY 2030</t>
  </si>
  <si>
    <t>CH4 Import - NY 2040</t>
  </si>
  <si>
    <t>CH4 Import - NY 2050</t>
  </si>
  <si>
    <t>CH4 Import - WC 2020</t>
  </si>
  <si>
    <t>CH4 Import - WC 2030</t>
  </si>
  <si>
    <t>CH4 Import - WC 2040</t>
  </si>
  <si>
    <t>CH4 Import - WC 2050</t>
  </si>
  <si>
    <t>Total</t>
  </si>
  <si>
    <t>Electrification Scenario - Annual commodity cost ($)</t>
  </si>
  <si>
    <t>Sum "FuelCost" rows for CH4+CCS from Pathway Costs</t>
  </si>
  <si>
    <t>No scaling needed since CH4+CCS has it's own fuel costs</t>
  </si>
  <si>
    <t>CH4 + CCS</t>
  </si>
  <si>
    <t>CONE</t>
  </si>
  <si>
    <t>EmissionsCost</t>
  </si>
  <si>
    <t>Flex Adder</t>
  </si>
  <si>
    <t>FOM</t>
  </si>
  <si>
    <t>FuelCost</t>
  </si>
  <si>
    <t>VOM</t>
  </si>
  <si>
    <t>Fossil gas - annual costs</t>
  </si>
  <si>
    <t>Diversified Scenario - Annual cost ($)</t>
  </si>
  <si>
    <t>Annual CH4 Cost ($CAD)</t>
  </si>
  <si>
    <t>Sum all rows for CH4 Imports from Pathway Costs</t>
  </si>
  <si>
    <t>Annual CH4 Cost Scaled</t>
  </si>
  <si>
    <t>Scale this for NG volumes (not including NG for power generation)</t>
  </si>
  <si>
    <t>Annual Gas Storage Costs</t>
  </si>
  <si>
    <t>Gas storage costs for CH4 Salt Cavern Storage</t>
  </si>
  <si>
    <t>Annual CH4 Pipeline Costs</t>
  </si>
  <si>
    <t>CH4 Pipeline Costs</t>
  </si>
  <si>
    <t>Diversified Scenario - All CH4 Costs</t>
  </si>
  <si>
    <t>Diversified Scenario - Gas Storage Costs</t>
  </si>
  <si>
    <t>CH4 Salt Cavern Storage - ON</t>
  </si>
  <si>
    <t>Electrification Scenario - Annual cost ($)</t>
  </si>
  <si>
    <t>Electrification Scenario - All CH4 Costs</t>
  </si>
  <si>
    <t>Electrification Scenario - Gas Storage Costs</t>
  </si>
  <si>
    <t>Fossil gas with CCS - annual costs</t>
  </si>
  <si>
    <t>Annual CH4+CCS Cost ($CAD)</t>
  </si>
  <si>
    <t>Sum all rows for SupplyTechCosts tab CH4+CCS from Pathway Costs</t>
  </si>
  <si>
    <t>CH4 Pipeline Costs scaled for CH4+CCS</t>
  </si>
  <si>
    <t>Diversified Scenario - CH4 + CCS Costs</t>
  </si>
  <si>
    <t>Electrification Scenario - CH4 + CCS Costs</t>
  </si>
  <si>
    <t>RNG - annual costs</t>
  </si>
  <si>
    <t>Annual Anaerobic Digestion Cost ($CAD)</t>
  </si>
  <si>
    <t>Sum all rows for SupplyTechCosts tab Anaerobic Digestion from Pathway Costs</t>
  </si>
  <si>
    <t>CH4 Pipeline Costs Scaled for RNG</t>
  </si>
  <si>
    <t>Diversified Scenario -  Anaerobic Digestion Costs</t>
  </si>
  <si>
    <t>CAPEX/yr</t>
  </si>
  <si>
    <t>Electrification Scenario - Anaerobic Digestion Costs</t>
  </si>
  <si>
    <t>Scaling factors for CH4 Pipeline</t>
  </si>
  <si>
    <t>Imports (PJs)</t>
  </si>
  <si>
    <t>Scale</t>
  </si>
  <si>
    <t>NG for end users</t>
  </si>
  <si>
    <t>NG Feedstock for SMR</t>
  </si>
  <si>
    <t>NG for power generation</t>
  </si>
  <si>
    <t>Scaling factors for CH4 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</si>
</sst>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_ ;\-#,##0.00\ "/>
    <numFmt numFmtId="167" formatCode="_(&quot;$&quot;* #,##0_);_(&quot;$&quot;* \(#,##0\);_(&quot;$&quot;* &quot;-&quot;??_);_(@_)"/>
    <numFmt numFmtId="168" formatCode="_-&quot;$&quot;* #,##0_-;\-&quot;$&quot;* #,##0_-;_-&quot;$&quot;* &quot;-&quot;??_-;_-@_-"/>
    <numFmt numFmtId="169" formatCode="_(* #,##0_);_(* \(#,##0\);_(* &quot;-&quot;??_);_(@_)"/>
    <numFmt numFmtId="170" formatCode="_(* #,##0.0_);_(* \(#,##0.0\);_(* &quot;-&quot;?_);_(@_)"/>
    <numFmt numFmtId="171" formatCode="#,##0_ ;\-#,##0\ "/>
    <numFmt numFmtId="172" formatCode="_([$$-409]* #,##0.00_);_([$$-409]* \(#,##0.00\);_([$$-409]* &quot;-&quot;??_);_(@_)"/>
    <numFmt numFmtId="173" formatCode="0.0%"/>
    <numFmt numFmtId="174" formatCode="_-* #,##0_-;\-* #,##0_-;_-* &quot;-&quot;??_-;_-@_-"/>
    <numFmt numFmtId="175" formatCode="_-&quot;$&quot;* #,##0.0_-;\-&quot;$&quot;* #,##0.0_-;_-&quot;$&quot;* &quot;-&quot;??_-;_-@_-"/>
    <numFmt numFmtId="176" formatCode="&quot;$&quot;#,##0"/>
    <numFmt numFmtId="177" formatCode="_(* #,##0.0_);_(* \(#,##0.0\);_(* &quot;-&quot;??_);_(@_)"/>
    <numFmt numFmtId="178" formatCode="_-* #,##0.0_-;\-* #,##0.0_-;_-* &quot;-&quot;?_-;_-@_-"/>
    <numFmt numFmtId="179" formatCode="_(* #,##0_);_(* \(#,##0\);_(* &quot;-&quot;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hair">
        <color theme="2" tint="-0.24994659260841701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EA9DB"/>
      </bottom>
      <diagonal/>
    </border>
    <border>
      <left style="hair">
        <color theme="2" tint="-0.24994659260841701"/>
      </left>
      <right style="hair">
        <color theme="2" tint="-0.24994659260841701"/>
      </right>
      <top style="hair">
        <color theme="2" tint="-0.24994659260841701"/>
      </top>
      <bottom/>
      <diagonal/>
    </border>
    <border>
      <left style="hair">
        <color theme="2" tint="-0.24994659260841701"/>
      </left>
      <right style="hair">
        <color theme="2" tint="-0.24994659260841701"/>
      </right>
      <top/>
      <bottom style="hair">
        <color theme="2" tint="-0.24994659260841701"/>
      </bottom>
      <diagonal/>
    </border>
    <border>
      <left style="hair">
        <color theme="2" tint="-0.24994659260841701"/>
      </left>
      <right/>
      <top style="hair">
        <color theme="2" tint="-0.24994659260841701"/>
      </top>
      <bottom/>
      <diagonal/>
    </border>
    <border>
      <left style="hair">
        <color theme="2" tint="-0.24994659260841701"/>
      </left>
      <right style="hair">
        <color theme="2" tint="-0.2499465926084170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1" applyNumberFormat="0" applyFill="0"/>
    <xf numFmtId="0" fontId="3" fillId="0" borderId="0"/>
    <xf numFmtId="0" fontId="4" fillId="0" borderId="2" applyNumberFormat="0" applyFill="0">
      <alignment vertical="center" wrapText="1"/>
    </xf>
    <xf numFmtId="166" fontId="3" fillId="0" borderId="0" applyFill="0" applyBorder="0" applyAlignment="0" applyProtection="0"/>
    <xf numFmtId="165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3" xfId="0" applyBorder="1"/>
    <xf numFmtId="1" fontId="0" fillId="0" borderId="0" xfId="0" applyNumberFormat="1"/>
    <xf numFmtId="164" fontId="0" fillId="0" borderId="3" xfId="0" applyNumberFormat="1" applyBorder="1"/>
    <xf numFmtId="168" fontId="0" fillId="0" borderId="3" xfId="0" applyNumberFormat="1" applyBorder="1"/>
    <xf numFmtId="0" fontId="6" fillId="0" borderId="0" xfId="0" applyFont="1"/>
    <xf numFmtId="0" fontId="7" fillId="0" borderId="0" xfId="10"/>
    <xf numFmtId="172" fontId="0" fillId="0" borderId="3" xfId="0" applyNumberFormat="1" applyBorder="1"/>
    <xf numFmtId="0" fontId="2" fillId="0" borderId="3" xfId="0" applyFont="1" applyBorder="1"/>
    <xf numFmtId="0" fontId="2" fillId="0" borderId="0" xfId="0" applyFont="1"/>
    <xf numFmtId="0" fontId="4" fillId="0" borderId="2" xfId="6">
      <alignment vertical="center" wrapText="1"/>
    </xf>
    <xf numFmtId="0" fontId="3" fillId="0" borderId="1" xfId="4"/>
    <xf numFmtId="171" fontId="3" fillId="0" borderId="1" xfId="7" applyNumberFormat="1" applyBorder="1"/>
    <xf numFmtId="0" fontId="8" fillId="0" borderId="0" xfId="0" applyFont="1"/>
    <xf numFmtId="174" fontId="0" fillId="0" borderId="0" xfId="0" applyNumberFormat="1"/>
    <xf numFmtId="43" fontId="0" fillId="0" borderId="0" xfId="0" applyNumberFormat="1"/>
    <xf numFmtId="169" fontId="0" fillId="0" borderId="0" xfId="1" applyNumberFormat="1" applyFont="1"/>
    <xf numFmtId="2" fontId="0" fillId="0" borderId="0" xfId="0" applyNumberFormat="1"/>
    <xf numFmtId="169" fontId="0" fillId="0" borderId="3" xfId="0" applyNumberFormat="1" applyBorder="1"/>
    <xf numFmtId="170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9" fillId="0" borderId="3" xfId="0" applyFont="1" applyBorder="1"/>
    <xf numFmtId="0" fontId="2" fillId="2" borderId="3" xfId="0" applyFont="1" applyFill="1" applyBorder="1"/>
    <xf numFmtId="0" fontId="11" fillId="0" borderId="0" xfId="0" applyFont="1" applyAlignment="1">
      <alignment horizontal="left" indent="2"/>
    </xf>
    <xf numFmtId="0" fontId="11" fillId="0" borderId="0" xfId="0" applyFont="1"/>
    <xf numFmtId="174" fontId="11" fillId="0" borderId="0" xfId="0" applyNumberFormat="1" applyFont="1"/>
    <xf numFmtId="0" fontId="12" fillId="0" borderId="0" xfId="0" applyFont="1"/>
    <xf numFmtId="44" fontId="0" fillId="3" borderId="0" xfId="11" applyFont="1" applyFill="1"/>
    <xf numFmtId="0" fontId="0" fillId="0" borderId="0" xfId="0" applyAlignment="1">
      <alignment wrapText="1"/>
    </xf>
    <xf numFmtId="0" fontId="3" fillId="0" borderId="2" xfId="4" applyBorder="1"/>
    <xf numFmtId="44" fontId="0" fillId="0" borderId="0" xfId="11" applyFont="1" applyFill="1"/>
    <xf numFmtId="0" fontId="0" fillId="3" borderId="0" xfId="11" applyNumberFormat="1" applyFont="1" applyFill="1"/>
    <xf numFmtId="167" fontId="0" fillId="0" borderId="0" xfId="11" applyNumberFormat="1" applyFont="1" applyFill="1"/>
    <xf numFmtId="167" fontId="0" fillId="3" borderId="0" xfId="11" applyNumberFormat="1" applyFont="1" applyFill="1"/>
    <xf numFmtId="174" fontId="0" fillId="0" borderId="3" xfId="0" applyNumberFormat="1" applyBorder="1"/>
    <xf numFmtId="43" fontId="0" fillId="0" borderId="3" xfId="0" applyNumberFormat="1" applyBorder="1"/>
    <xf numFmtId="169" fontId="0" fillId="0" borderId="3" xfId="1" applyNumberFormat="1" applyFont="1" applyBorder="1"/>
    <xf numFmtId="0" fontId="0" fillId="0" borderId="0" xfId="0" applyAlignment="1">
      <alignment horizontal="left" indent="2"/>
    </xf>
    <xf numFmtId="0" fontId="0" fillId="2" borderId="0" xfId="0" applyFill="1"/>
    <xf numFmtId="176" fontId="9" fillId="4" borderId="3" xfId="11" applyNumberFormat="1" applyFont="1" applyFill="1" applyBorder="1"/>
    <xf numFmtId="0" fontId="10" fillId="0" borderId="3" xfId="0" applyFont="1" applyBorder="1"/>
    <xf numFmtId="169" fontId="9" fillId="0" borderId="3" xfId="1" applyNumberFormat="1" applyFont="1" applyBorder="1"/>
    <xf numFmtId="178" fontId="0" fillId="0" borderId="0" xfId="0" applyNumberFormat="1"/>
    <xf numFmtId="165" fontId="0" fillId="0" borderId="0" xfId="0" applyNumberFormat="1"/>
    <xf numFmtId="9" fontId="0" fillId="0" borderId="0" xfId="2" applyFont="1"/>
    <xf numFmtId="2" fontId="0" fillId="0" borderId="0" xfId="2" applyNumberFormat="1" applyFont="1"/>
    <xf numFmtId="177" fontId="0" fillId="0" borderId="3" xfId="0" applyNumberFormat="1" applyBorder="1"/>
    <xf numFmtId="174" fontId="0" fillId="0" borderId="0" xfId="8" applyNumberFormat="1" applyFont="1"/>
    <xf numFmtId="0" fontId="13" fillId="0" borderId="8" xfId="0" applyFont="1" applyBorder="1" applyAlignment="1">
      <alignment horizontal="left"/>
    </xf>
    <xf numFmtId="174" fontId="13" fillId="0" borderId="8" xfId="0" applyNumberFormat="1" applyFont="1" applyBorder="1"/>
    <xf numFmtId="0" fontId="13" fillId="0" borderId="0" xfId="0" applyFont="1" applyAlignment="1">
      <alignment horizontal="left"/>
    </xf>
    <xf numFmtId="169" fontId="9" fillId="0" borderId="3" xfId="0" applyNumberFormat="1" applyFont="1" applyBorder="1"/>
    <xf numFmtId="171" fontId="3" fillId="0" borderId="9" xfId="7" applyNumberFormat="1" applyBorder="1"/>
    <xf numFmtId="171" fontId="3" fillId="0" borderId="2" xfId="7" applyNumberFormat="1" applyBorder="1"/>
    <xf numFmtId="0" fontId="4" fillId="0" borderId="10" xfId="4" applyFont="1" applyBorder="1"/>
    <xf numFmtId="171" fontId="4" fillId="0" borderId="10" xfId="7" applyNumberFormat="1" applyFont="1" applyBorder="1"/>
    <xf numFmtId="171" fontId="3" fillId="0" borderId="11" xfId="7" applyNumberFormat="1" applyBorder="1"/>
    <xf numFmtId="9" fontId="4" fillId="0" borderId="12" xfId="2" applyFont="1" applyBorder="1"/>
    <xf numFmtId="0" fontId="4" fillId="3" borderId="2" xfId="6" applyFill="1">
      <alignment vertical="center" wrapText="1"/>
    </xf>
    <xf numFmtId="9" fontId="4" fillId="0" borderId="9" xfId="2" applyFont="1" applyBorder="1"/>
    <xf numFmtId="0" fontId="9" fillId="0" borderId="0" xfId="0" applyFont="1"/>
    <xf numFmtId="0" fontId="2" fillId="0" borderId="4" xfId="0" applyFont="1" applyBorder="1"/>
    <xf numFmtId="0" fontId="2" fillId="2" borderId="4" xfId="0" applyFont="1" applyFill="1" applyBorder="1"/>
    <xf numFmtId="0" fontId="15" fillId="0" borderId="0" xfId="0" applyFont="1"/>
    <xf numFmtId="0" fontId="0" fillId="4" borderId="0" xfId="0" applyFill="1"/>
    <xf numFmtId="0" fontId="10" fillId="4" borderId="0" xfId="0" applyFont="1" applyFill="1"/>
    <xf numFmtId="0" fontId="16" fillId="0" borderId="8" xfId="0" applyFont="1" applyBorder="1" applyAlignment="1">
      <alignment horizontal="left"/>
    </xf>
    <xf numFmtId="174" fontId="2" fillId="0" borderId="0" xfId="0" applyNumberFormat="1" applyFont="1"/>
    <xf numFmtId="174" fontId="13" fillId="0" borderId="0" xfId="0" applyNumberFormat="1" applyFont="1"/>
    <xf numFmtId="0" fontId="2" fillId="3" borderId="3" xfId="0" applyFont="1" applyFill="1" applyBorder="1"/>
    <xf numFmtId="0" fontId="0" fillId="3" borderId="3" xfId="0" applyFill="1" applyBorder="1"/>
    <xf numFmtId="44" fontId="0" fillId="0" borderId="0" xfId="11" applyFont="1"/>
    <xf numFmtId="167" fontId="0" fillId="0" borderId="0" xfId="11" applyNumberFormat="1" applyFont="1"/>
    <xf numFmtId="44" fontId="2" fillId="0" borderId="0" xfId="11" applyFont="1" applyFill="1"/>
    <xf numFmtId="0" fontId="0" fillId="0" borderId="0" xfId="0" applyAlignment="1">
      <alignment horizontal="left" indent="1"/>
    </xf>
    <xf numFmtId="0" fontId="0" fillId="5" borderId="0" xfId="0" applyFill="1" applyAlignment="1">
      <alignment horizontal="left" indent="1"/>
    </xf>
    <xf numFmtId="174" fontId="0" fillId="5" borderId="0" xfId="0" applyNumberFormat="1" applyFill="1"/>
    <xf numFmtId="0" fontId="0" fillId="5" borderId="0" xfId="0" applyFill="1"/>
    <xf numFmtId="169" fontId="0" fillId="3" borderId="3" xfId="1" applyNumberFormat="1" applyFont="1" applyFill="1" applyBorder="1"/>
    <xf numFmtId="0" fontId="10" fillId="0" borderId="0" xfId="0" applyFont="1"/>
    <xf numFmtId="0" fontId="17" fillId="0" borderId="0" xfId="0" applyFont="1"/>
    <xf numFmtId="0" fontId="0" fillId="6" borderId="0" xfId="0" applyFill="1"/>
    <xf numFmtId="0" fontId="2" fillId="6" borderId="0" xfId="0" applyFont="1" applyFill="1"/>
    <xf numFmtId="0" fontId="2" fillId="0" borderId="13" xfId="0" applyFont="1" applyBorder="1" applyAlignment="1">
      <alignment horizontal="left"/>
    </xf>
    <xf numFmtId="174" fontId="2" fillId="0" borderId="13" xfId="0" applyNumberFormat="1" applyFont="1" applyBorder="1"/>
    <xf numFmtId="0" fontId="2" fillId="0" borderId="0" xfId="0" applyFont="1" applyAlignment="1">
      <alignment horizontal="left" indent="1"/>
    </xf>
    <xf numFmtId="0" fontId="10" fillId="6" borderId="0" xfId="0" applyFont="1" applyFill="1"/>
    <xf numFmtId="0" fontId="3" fillId="0" borderId="0" xfId="4" applyBorder="1"/>
    <xf numFmtId="173" fontId="4" fillId="0" borderId="9" xfId="2" applyNumberFormat="1" applyFont="1" applyBorder="1"/>
    <xf numFmtId="0" fontId="2" fillId="2" borderId="0" xfId="0" applyFont="1" applyFill="1"/>
    <xf numFmtId="1" fontId="0" fillId="0" borderId="3" xfId="0" applyNumberFormat="1" applyBorder="1"/>
    <xf numFmtId="179" fontId="0" fillId="0" borderId="3" xfId="0" applyNumberForma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9" fontId="9" fillId="0" borderId="6" xfId="1" applyNumberFormat="1" applyFont="1" applyBorder="1" applyAlignment="1">
      <alignment horizontal="center"/>
    </xf>
    <xf numFmtId="169" fontId="9" fillId="0" borderId="7" xfId="1" applyNumberFormat="1" applyFont="1" applyBorder="1" applyAlignment="1">
      <alignment horizontal="center"/>
    </xf>
    <xf numFmtId="169" fontId="9" fillId="0" borderId="5" xfId="1" applyNumberFormat="1" applyFont="1" applyBorder="1" applyAlignment="1">
      <alignment horizontal="center"/>
    </xf>
    <xf numFmtId="169" fontId="9" fillId="0" borderId="6" xfId="1" applyNumberFormat="1" applyFont="1" applyBorder="1" applyAlignment="1"/>
    <xf numFmtId="169" fontId="9" fillId="0" borderId="7" xfId="1" applyNumberFormat="1" applyFont="1" applyBorder="1" applyAlignment="1"/>
    <xf numFmtId="169" fontId="9" fillId="0" borderId="5" xfId="1" applyNumberFormat="1" applyFont="1" applyBorder="1" applyAlignment="1"/>
    <xf numFmtId="0" fontId="0" fillId="0" borderId="0" xfId="0" applyAlignment="1">
      <alignment horizontal="center"/>
    </xf>
  </cellXfs>
  <cellStyles count="12">
    <cellStyle name="Comma" xfId="1" builtinId="3"/>
    <cellStyle name="Comma 2" xfId="9" xr:uid="{AF42CB11-1D7A-450F-9801-D66A42D73EC8}"/>
    <cellStyle name="Comma 2 10" xfId="8" xr:uid="{9670B7BD-DFD7-41FA-A612-E0115C615FED}"/>
    <cellStyle name="Comma 68" xfId="7" xr:uid="{A4D7DA68-A445-42A8-9CEF-75F049E53F1A}"/>
    <cellStyle name="Currency" xfId="11" builtinId="4"/>
    <cellStyle name="Currency 2" xfId="3" xr:uid="{C9FB4290-5938-4E44-87C8-ED43EAC4D2F3}"/>
    <cellStyle name="GH_Table0_Cell" xfId="4" xr:uid="{D665269C-CA1D-4B08-A7AF-104BE3BA3F8F}"/>
    <cellStyle name="GH_Table0_Header" xfId="6" xr:uid="{2875BCAD-B83E-41AD-92D8-EAA79B7D56C7}"/>
    <cellStyle name="Hyperlink" xfId="10" builtinId="8"/>
    <cellStyle name="Normal" xfId="0" builtinId="0"/>
    <cellStyle name="Normal 2 11" xfId="5" xr:uid="{37696A91-7FE9-4CF7-B271-FB357806B86B}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140765</xdr:colOff>
      <xdr:row>1</xdr:row>
      <xdr:rowOff>91049</xdr:rowOff>
    </xdr:from>
    <xdr:to>
      <xdr:col>22</xdr:col>
      <xdr:colOff>291836</xdr:colOff>
      <xdr:row>13</xdr:row>
      <xdr:rowOff>18305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DF0E459-833D-A42D-05FC-20CCDDFD5313}"/>
            </a:ext>
          </a:extLst>
        </xdr:cNvPr>
        <xdr:cNvSpPr txBox="1"/>
      </xdr:nvSpPr>
      <xdr:spPr>
        <a:xfrm>
          <a:off x="23566492" y="275776"/>
          <a:ext cx="5046344" cy="21439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hangingPunct="0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For all of these figures, Guidehouse has provided the best available proxy for each requested value; some of these able to be provided from model inputs, while others are  derived from model outputs.</a:t>
          </a:r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hangingPunct="0"/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Importantly, the implied values presented in this undertaking are after-the-fact ad hoc transformations of interim model outputs, and caution should be used in interpreting them or comparing them to other industry values.   As discussed in EB-2022-0200, Technical Conference Volume 1, pp 178-182., these values are not direct outputs of Guidehouse’s analysis and may not align with other industry values, given methodology differences (e.g., financing taxes, government subsidiaries, etc. are not included); thus, these values likely have limited usefulness in comparison with other sources for such costs. </a:t>
          </a:r>
          <a:endParaRPr lang="en-CA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TR/TR-ROA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rooms.insidenci.com/Applic/SOE/WORK/IW/IWWAB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engf0juqctjfa1lh/Shared%20Documents/04_Modelling/06%20Updated%20Analysis%20(from%20Regulatory%20Proceeding)/02%20PRE%20MODEL%20-%20%20Input%20Workbooks/For%20LCP%20Model/LCP_Inputs_ON_Electric_2023_03_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All road-compendium file"/>
      <sheetName val="Motorways-compendium file"/>
      <sheetName val="All road-work file"/>
      <sheetName val="Motorways-work file"/>
      <sheetName val="Check"/>
      <sheetName val="chart_roads"/>
      <sheetName val="chart_motorways"/>
      <sheetName val="User instructions"/>
      <sheetName val="IWWABST"/>
      <sheetName val="CHP output definition"/>
      <sheetName val="EF_Exiobase_Regional"/>
      <sheetName val="All_road-compendium_file"/>
      <sheetName val="Motorways-compendium_file"/>
      <sheetName val="All_road-work_file"/>
      <sheetName val="Motorways-work_file"/>
      <sheetName val="User_instructions"/>
      <sheetName val="S2_Space Heating-Comm"/>
      <sheetName val="EVRSRC BSF Foreca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B"/>
      <sheetName val="3.1B-notes"/>
      <sheetName val="3.1C"/>
      <sheetName val="3.1C-notes"/>
      <sheetName val="IWWABST"/>
      <sheetName val="%"/>
      <sheetName val="Agregates"/>
      <sheetName val="PUB(estm.)"/>
      <sheetName val="Households"/>
      <sheetName val="MEX"/>
      <sheetName val="BEL"/>
      <sheetName val="DNK(98) DWSA"/>
      <sheetName val="DNK(98) quest."/>
      <sheetName val="DNK(97)"/>
      <sheetName val="FIN"/>
      <sheetName val="Ger.work1"/>
      <sheetName val="LUX"/>
      <sheetName val="UKD"/>
      <sheetName val="Module1"/>
      <sheetName val="by sector"/>
      <sheetName val="Questions to ctry."/>
      <sheetName val="KOR(qst.c.)"/>
      <sheetName val="(GRC(qst.c.))"/>
      <sheetName val="NLD(qst.c.)"/>
      <sheetName val="3.2A"/>
      <sheetName val="3.2B"/>
      <sheetName val="3.2B-notes"/>
      <sheetName val="3.2C"/>
      <sheetName val="3.2C-notes"/>
      <sheetName val="ManIND"/>
      <sheetName val="3_1B"/>
      <sheetName val="3_1B-notes"/>
      <sheetName val="3_1C"/>
      <sheetName val="3_1C-notes"/>
      <sheetName val="PUB(estm_)"/>
      <sheetName val="DNK(98)_DWSA"/>
      <sheetName val="DNK(98)_quest_"/>
      <sheetName val="Ger_work1"/>
      <sheetName val="by_sector"/>
      <sheetName val="Questions_to_ctry_"/>
      <sheetName val="KOR(qst_c_)"/>
      <sheetName val="(GRC(qst_c_))"/>
      <sheetName val="NLD(qst_c_)"/>
      <sheetName val="3_2A"/>
      <sheetName val="3_2B"/>
      <sheetName val="3_2B-notes"/>
      <sheetName val="3_2C"/>
      <sheetName val="3_2C-no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InputParams"/>
      <sheetName val="Indexes"/>
      <sheetName val="Global-&gt;"/>
      <sheetName val="Season"/>
      <sheetName val="FinancialParameters"/>
      <sheetName val="UnitConversion"/>
      <sheetName val="Emissions -&gt;"/>
      <sheetName val="CarbonOffsetPrice"/>
      <sheetName val="CarbonOffsetAvailability"/>
      <sheetName val="EmissionsTarget"/>
      <sheetName val="EmissionsCost"/>
      <sheetName val="Demand-&gt;"/>
      <sheetName val="DemandForecast"/>
      <sheetName val="Supply -&gt;"/>
      <sheetName val="FuelTypeCosts"/>
      <sheetName val="fuel cost lookup"/>
      <sheetName val="Checks &amp; Calibration"/>
      <sheetName val="Elec import_exports"/>
      <sheetName val="MaxAnnualFuel"/>
      <sheetName val="MinAnnualFuel"/>
      <sheetName val="SupplyTechUnitCosts"/>
      <sheetName val="SupplyTechCharacteristics"/>
      <sheetName val="SupplyTechEfficiencies"/>
      <sheetName val="SupplyTechExisting"/>
      <sheetName val="SupplyTechPlannedNEW"/>
      <sheetName val="SupplyTechPlannedRET"/>
      <sheetName val="SupplyTechMaxNew"/>
      <sheetName val="SupplyTechMaxTotal"/>
      <sheetName val="SupplyTechShapes"/>
      <sheetName val="InfrastructureCharacteristics"/>
      <sheetName val="InfraTechCost"/>
      <sheetName val="Cost Conversions"/>
      <sheetName val="InfraTechExisting"/>
      <sheetName val="InfraTechPlannedNEW"/>
      <sheetName val="InfraTechPlannedRET"/>
      <sheetName val="InfraLimitOnExistingOneWay"/>
      <sheetName val="InfraTechMaxNew"/>
      <sheetName val="2020 Calibration"/>
      <sheetName val="ImportLim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../../../../../../../../../../../:x:/r/sites/engf0juqctjfa1lh/Shared%20Documents/07_Interrogatories/08_Intervenor_Requests/April%204th%20Deliverable/JT1.28-Attachment-7-LCP%20Results%20ON%20Diversified%20Scenario.xlsx?d=wcdcb468024f7431dbaf590b662269bc3&amp;csf=1&amp;web=1&amp;e=2EWce8" TargetMode="External"/><Relationship Id="rId1" Type="http://schemas.openxmlformats.org/officeDocument/2006/relationships/hyperlink" Target="../../../../../../../../../../../:x:/r/sites/engf0juqctjfa1lh/Shared%20Documents/07_Interrogatories/08_Intervenor_Requests/April%204th%20Deliverable/JT1.28-Attachment-6-LCP%20Results%20ON%20Electrification%20Scenario.xlsx?d=w91f2329fad4340f4811da9423a09b7c4&amp;csf=1&amp;web=1&amp;e=gQsBa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823C-8CF6-4288-9F2F-4DADA558DDC4}">
  <dimension ref="B2:N59"/>
  <sheetViews>
    <sheetView tabSelected="1" view="pageBreakPreview" zoomScale="50" zoomScaleNormal="130" zoomScaleSheetLayoutView="50" workbookViewId="0">
      <selection activeCell="C48" sqref="C48"/>
    </sheetView>
  </sheetViews>
  <sheetFormatPr defaultRowHeight="15" x14ac:dyDescent="0.25"/>
  <cols>
    <col min="2" max="2" width="47.85546875" customWidth="1"/>
    <col min="3" max="3" width="63.85546875" customWidth="1"/>
    <col min="4" max="4" width="54.42578125" customWidth="1"/>
    <col min="5" max="6" width="16.85546875" customWidth="1"/>
    <col min="7" max="7" width="16.42578125" bestFit="1" customWidth="1"/>
    <col min="8" max="8" width="16.140625" bestFit="1" customWidth="1"/>
    <col min="10" max="10" width="48.28515625" customWidth="1"/>
    <col min="11" max="11" width="17.5703125" customWidth="1"/>
    <col min="12" max="12" width="16.42578125" bestFit="1" customWidth="1"/>
    <col min="13" max="13" width="16.140625" bestFit="1" customWidth="1"/>
    <col min="14" max="14" width="16.42578125" bestFit="1" customWidth="1"/>
  </cols>
  <sheetData>
    <row r="2" spans="2:14" x14ac:dyDescent="0.25">
      <c r="B2" s="80" t="s">
        <v>0</v>
      </c>
      <c r="C2" s="80" t="s">
        <v>1</v>
      </c>
      <c r="D2" s="93" t="s">
        <v>2</v>
      </c>
      <c r="E2" s="94"/>
      <c r="F2" s="94"/>
      <c r="G2" s="94"/>
      <c r="H2" s="95"/>
      <c r="J2" s="93" t="s">
        <v>3</v>
      </c>
      <c r="K2" s="94"/>
      <c r="L2" s="94"/>
      <c r="M2" s="94"/>
      <c r="N2" s="95"/>
    </row>
    <row r="3" spans="2:14" x14ac:dyDescent="0.25">
      <c r="D3" s="22"/>
      <c r="E3" s="22">
        <v>2020</v>
      </c>
      <c r="F3" s="22">
        <v>2030</v>
      </c>
      <c r="G3" s="22">
        <v>2040</v>
      </c>
      <c r="H3" s="22">
        <v>2050</v>
      </c>
      <c r="J3" s="22"/>
      <c r="K3" s="22">
        <v>2020</v>
      </c>
      <c r="L3" s="22">
        <v>2030</v>
      </c>
      <c r="M3" s="22">
        <v>2040</v>
      </c>
      <c r="N3" s="22">
        <v>2050</v>
      </c>
    </row>
    <row r="4" spans="2:14" x14ac:dyDescent="0.25">
      <c r="D4" s="41" t="s">
        <v>4</v>
      </c>
      <c r="E4" s="40"/>
      <c r="F4" s="40"/>
      <c r="G4" s="40"/>
      <c r="H4" s="40"/>
      <c r="J4" s="41" t="s">
        <v>4</v>
      </c>
      <c r="K4" s="40"/>
      <c r="L4" s="40"/>
      <c r="M4" s="40"/>
      <c r="N4" s="40"/>
    </row>
    <row r="5" spans="2:14" x14ac:dyDescent="0.25">
      <c r="B5" s="22" t="s">
        <v>5</v>
      </c>
      <c r="C5" s="22" t="s">
        <v>6</v>
      </c>
      <c r="D5" s="22" t="s">
        <v>7</v>
      </c>
      <c r="E5" s="42">
        <v>135244358</v>
      </c>
      <c r="F5" s="42">
        <v>184307691</v>
      </c>
      <c r="G5" s="42">
        <v>230414479</v>
      </c>
      <c r="H5" s="42">
        <v>280575136</v>
      </c>
      <c r="J5" s="22" t="s">
        <v>7</v>
      </c>
      <c r="K5" s="42">
        <v>135244357.76998591</v>
      </c>
      <c r="L5" s="42">
        <v>205968834.65768445</v>
      </c>
      <c r="M5" s="42">
        <v>327948470.61791408</v>
      </c>
      <c r="N5" s="42">
        <v>413415012.29955798</v>
      </c>
    </row>
    <row r="6" spans="2:14" x14ac:dyDescent="0.25">
      <c r="B6" s="22" t="s">
        <v>8</v>
      </c>
      <c r="C6" s="22" t="s">
        <v>9</v>
      </c>
      <c r="D6" s="22" t="s">
        <v>10</v>
      </c>
      <c r="E6" s="42"/>
      <c r="F6" s="42"/>
      <c r="G6" s="42"/>
      <c r="H6" s="42"/>
      <c r="J6" s="22" t="s">
        <v>10</v>
      </c>
      <c r="K6" s="42"/>
      <c r="L6" s="42"/>
      <c r="M6" s="42"/>
      <c r="N6" s="42"/>
    </row>
    <row r="7" spans="2:14" x14ac:dyDescent="0.25">
      <c r="B7" s="22" t="s">
        <v>11</v>
      </c>
      <c r="C7" s="22" t="s">
        <v>12</v>
      </c>
      <c r="D7" s="22" t="s">
        <v>13</v>
      </c>
      <c r="E7" s="96">
        <v>164279875764</v>
      </c>
      <c r="F7" s="97"/>
      <c r="G7" s="97"/>
      <c r="H7" s="98"/>
      <c r="J7" s="22" t="s">
        <v>13</v>
      </c>
      <c r="K7" s="99">
        <v>179317364883</v>
      </c>
      <c r="L7" s="100"/>
      <c r="M7" s="100"/>
      <c r="N7" s="101"/>
    </row>
    <row r="8" spans="2:14" x14ac:dyDescent="0.25">
      <c r="B8" s="22" t="s">
        <v>14</v>
      </c>
      <c r="C8" s="22" t="s">
        <v>15</v>
      </c>
      <c r="D8" s="22" t="s">
        <v>16</v>
      </c>
      <c r="E8" s="42"/>
      <c r="F8" s="42"/>
      <c r="G8" s="42"/>
      <c r="H8" s="42"/>
      <c r="J8" s="22" t="s">
        <v>16</v>
      </c>
      <c r="K8" s="42"/>
      <c r="L8" s="42"/>
      <c r="M8" s="42"/>
      <c r="N8" s="42"/>
    </row>
    <row r="9" spans="2:14" x14ac:dyDescent="0.25">
      <c r="B9" s="22" t="s">
        <v>8</v>
      </c>
      <c r="C9" s="22"/>
      <c r="D9" s="22" t="s">
        <v>17</v>
      </c>
      <c r="E9" s="42"/>
      <c r="F9" s="42"/>
      <c r="G9" s="42"/>
      <c r="H9" s="42"/>
      <c r="J9" s="22" t="s">
        <v>17</v>
      </c>
      <c r="K9" s="42"/>
      <c r="L9" s="42"/>
      <c r="M9" s="42"/>
      <c r="N9" s="42"/>
    </row>
    <row r="10" spans="2:14" x14ac:dyDescent="0.25">
      <c r="B10" s="22" t="s">
        <v>8</v>
      </c>
      <c r="C10" s="22"/>
      <c r="D10" s="22" t="s">
        <v>18</v>
      </c>
      <c r="E10" s="42"/>
      <c r="F10" s="42"/>
      <c r="G10" s="42"/>
      <c r="H10" s="42"/>
      <c r="J10" s="22" t="s">
        <v>18</v>
      </c>
      <c r="K10" s="42"/>
      <c r="L10" s="42"/>
      <c r="M10" s="42"/>
      <c r="N10" s="42"/>
    </row>
    <row r="11" spans="2:14" x14ac:dyDescent="0.25">
      <c r="B11" s="22" t="s">
        <v>19</v>
      </c>
      <c r="C11" s="22" t="s">
        <v>20</v>
      </c>
      <c r="D11" s="22" t="s">
        <v>21</v>
      </c>
      <c r="E11" s="42">
        <f>'Elec Average T&amp;D'!M50</f>
        <v>0</v>
      </c>
      <c r="F11" s="42">
        <f>'Elec Average T&amp;D'!N50</f>
        <v>2592.71539437108</v>
      </c>
      <c r="G11" s="42">
        <f>'Elec Average T&amp;D'!O50</f>
        <v>2592.7153943710832</v>
      </c>
      <c r="H11" s="42">
        <f>'Elec Average T&amp;D'!P50</f>
        <v>2592.7153943710819</v>
      </c>
      <c r="J11" s="22" t="s">
        <v>21</v>
      </c>
      <c r="K11" s="42">
        <f>'Elec Average T&amp;D'!M31</f>
        <v>0</v>
      </c>
      <c r="L11" s="42">
        <f>'Elec Average T&amp;D'!N31</f>
        <v>2592.7153943710832</v>
      </c>
      <c r="M11" s="42">
        <f>'Elec Average T&amp;D'!O31</f>
        <v>2592.7153943710778</v>
      </c>
      <c r="N11" s="42">
        <f>'Elec Average T&amp;D'!P31</f>
        <v>2592.71539437108</v>
      </c>
    </row>
    <row r="12" spans="2:14" x14ac:dyDescent="0.25">
      <c r="B12" s="22" t="s">
        <v>22</v>
      </c>
      <c r="C12" s="22" t="s">
        <v>20</v>
      </c>
      <c r="D12" s="22" t="s">
        <v>23</v>
      </c>
      <c r="E12" s="42">
        <f>'Elec Average T&amp;D'!M49</f>
        <v>0</v>
      </c>
      <c r="F12" s="42">
        <f>'Elec Average T&amp;D'!N49</f>
        <v>29790216.047301572</v>
      </c>
      <c r="G12" s="42">
        <f>'Elec Average T&amp;D'!O49</f>
        <v>57769981.18883267</v>
      </c>
      <c r="H12" s="42">
        <f>'Elec Average T&amp;D'!P49</f>
        <v>81192611.206774473</v>
      </c>
      <c r="J12" s="22" t="s">
        <v>23</v>
      </c>
      <c r="K12" s="42">
        <f>'Elec Average T&amp;D'!M30</f>
        <v>0</v>
      </c>
      <c r="L12" s="42">
        <f>'Elec Average T&amp;D'!N30</f>
        <v>45083419.104347713</v>
      </c>
      <c r="M12" s="42">
        <f>'Elec Average T&amp;D'!O30</f>
        <v>128706133.76494882</v>
      </c>
      <c r="N12" s="42">
        <f>'Elec Average T&amp;D'!P30</f>
        <v>166934878.07724652</v>
      </c>
    </row>
    <row r="13" spans="2:14" x14ac:dyDescent="0.25">
      <c r="B13" s="22" t="s">
        <v>24</v>
      </c>
      <c r="C13" s="22"/>
      <c r="D13" s="22" t="s">
        <v>25</v>
      </c>
      <c r="E13" s="42"/>
      <c r="F13" s="42"/>
      <c r="G13" s="42"/>
      <c r="H13" s="42"/>
      <c r="J13" s="22" t="s">
        <v>25</v>
      </c>
      <c r="K13" s="42"/>
      <c r="L13" s="42"/>
      <c r="M13" s="42"/>
      <c r="N13" s="42"/>
    </row>
    <row r="14" spans="2:14" x14ac:dyDescent="0.25">
      <c r="B14" s="22"/>
      <c r="C14" s="22"/>
      <c r="D14" s="41" t="s">
        <v>26</v>
      </c>
      <c r="E14" s="40"/>
      <c r="F14" s="40"/>
      <c r="G14" s="40"/>
      <c r="H14" s="40"/>
      <c r="J14" s="41" t="s">
        <v>26</v>
      </c>
      <c r="K14" s="40"/>
      <c r="L14" s="40"/>
      <c r="M14" s="40"/>
      <c r="N14" s="40"/>
    </row>
    <row r="15" spans="2:14" x14ac:dyDescent="0.25">
      <c r="B15" s="22" t="s">
        <v>14</v>
      </c>
      <c r="C15" s="22" t="s">
        <v>27</v>
      </c>
      <c r="D15" s="22" t="s">
        <v>28</v>
      </c>
      <c r="E15" s="22"/>
      <c r="F15" s="22"/>
      <c r="G15" s="22"/>
      <c r="H15" s="22"/>
      <c r="J15" s="22" t="s">
        <v>28</v>
      </c>
      <c r="K15" s="42"/>
      <c r="L15" s="42"/>
      <c r="M15" s="42"/>
      <c r="N15" s="42"/>
    </row>
    <row r="16" spans="2:14" x14ac:dyDescent="0.25">
      <c r="B16" s="22" t="s">
        <v>29</v>
      </c>
      <c r="C16" s="22" t="s">
        <v>20</v>
      </c>
      <c r="D16" s="22" t="s">
        <v>30</v>
      </c>
      <c r="E16" s="52">
        <f>'Fossil Gas, RNG &amp; Hydrogen'!L27</f>
        <v>2265500.7949125599</v>
      </c>
      <c r="F16" s="52">
        <f>'Fossil Gas, RNG &amp; Hydrogen'!M27</f>
        <v>3579756.2268150528</v>
      </c>
      <c r="G16" s="52">
        <f>'Fossil Gas, RNG &amp; Hydrogen'!N27</f>
        <v>4213036.5659777429</v>
      </c>
      <c r="H16" s="52">
        <f>'Fossil Gas, RNG &amp; Hydrogen'!O27</f>
        <v>4213036.5659777429</v>
      </c>
      <c r="J16" s="22" t="s">
        <v>30</v>
      </c>
      <c r="K16" s="42">
        <f>'Fossil Gas, RNG &amp; Hydrogen'!E27</f>
        <v>2265500.7949125594</v>
      </c>
      <c r="L16" s="42">
        <f>'Fossil Gas, RNG &amp; Hydrogen'!F27</f>
        <v>3579756.2268150495</v>
      </c>
      <c r="M16" s="42">
        <f>'Fossil Gas, RNG &amp; Hydrogen'!G27</f>
        <v>4213036.5659777429</v>
      </c>
      <c r="N16" s="42">
        <f>'Fossil Gas, RNG &amp; Hydrogen'!H27</f>
        <v>4213036.5659777429</v>
      </c>
    </row>
    <row r="17" spans="2:14" x14ac:dyDescent="0.25">
      <c r="B17" s="22" t="s">
        <v>31</v>
      </c>
      <c r="C17" s="22" t="s">
        <v>32</v>
      </c>
      <c r="D17" s="22" t="s">
        <v>33</v>
      </c>
      <c r="E17" s="42">
        <f>'Fossil Gas Calcs for Part b'!C7</f>
        <v>2295420929.1631713</v>
      </c>
      <c r="F17" s="42">
        <f>'Fossil Gas Calcs for Part b'!D7</f>
        <v>3030612168.2639642</v>
      </c>
      <c r="G17" s="42">
        <f>'Fossil Gas Calcs for Part b'!E7</f>
        <v>1880536716.2406623</v>
      </c>
      <c r="H17" s="42">
        <f>'Fossil Gas Calcs for Part b'!F7</f>
        <v>0</v>
      </c>
      <c r="J17" s="22" t="s">
        <v>33</v>
      </c>
      <c r="K17" s="42">
        <f>'Fossil Gas Calcs for Part b'!C24</f>
        <v>2295420904.7329011</v>
      </c>
      <c r="L17" s="42">
        <f>'Fossil Gas Calcs for Part b'!D24</f>
        <v>3088096332.005693</v>
      </c>
      <c r="M17" s="42">
        <f>'Fossil Gas Calcs for Part b'!E24</f>
        <v>1413965232.3329792</v>
      </c>
      <c r="N17" s="42">
        <f>'Fossil Gas Calcs for Part b'!F24</f>
        <v>0</v>
      </c>
    </row>
    <row r="18" spans="2:14" x14ac:dyDescent="0.25">
      <c r="B18" s="22" t="s">
        <v>34</v>
      </c>
      <c r="C18" s="22"/>
      <c r="D18" s="22" t="s">
        <v>35</v>
      </c>
      <c r="E18" s="22"/>
      <c r="F18" s="22"/>
      <c r="G18" s="22"/>
      <c r="H18" s="22"/>
      <c r="J18" s="22" t="s">
        <v>35</v>
      </c>
      <c r="K18" s="42"/>
      <c r="L18" s="42"/>
      <c r="M18" s="42"/>
      <c r="N18" s="42"/>
    </row>
    <row r="19" spans="2:14" x14ac:dyDescent="0.25">
      <c r="B19" s="22" t="s">
        <v>19</v>
      </c>
      <c r="C19" s="22" t="s">
        <v>36</v>
      </c>
      <c r="D19" s="22" t="s">
        <v>37</v>
      </c>
      <c r="E19" s="42">
        <f>'Fossil Gas, RNG &amp; Hydrogen'!L8</f>
        <v>838089.62846289936</v>
      </c>
      <c r="F19" s="42">
        <f>'Fossil Gas, RNG &amp; Hydrogen'!M8</f>
        <v>838091.79710131499</v>
      </c>
      <c r="G19" s="42">
        <f>'Fossil Gas, RNG &amp; Hydrogen'!N8</f>
        <v>838091.79710131441</v>
      </c>
      <c r="H19" s="42">
        <f>'Fossil Gas, RNG &amp; Hydrogen'!O8</f>
        <v>838091.7971013129</v>
      </c>
      <c r="J19" s="22" t="s">
        <v>37</v>
      </c>
      <c r="K19" s="42">
        <f>'Fossil Gas, RNG &amp; Hydrogen'!E8</f>
        <v>838089.62846332253</v>
      </c>
      <c r="L19" s="42">
        <f>'Fossil Gas, RNG &amp; Hydrogen'!F8</f>
        <v>838086.95131430496</v>
      </c>
      <c r="M19" s="42">
        <f>'Fossil Gas, RNG &amp; Hydrogen'!G8</f>
        <v>838091.79710131499</v>
      </c>
      <c r="N19" s="42">
        <f>'Fossil Gas, RNG &amp; Hydrogen'!H8</f>
        <v>838091.7971013143</v>
      </c>
    </row>
    <row r="20" spans="2:14" x14ac:dyDescent="0.25">
      <c r="B20" s="22" t="s">
        <v>38</v>
      </c>
      <c r="C20" s="22" t="s">
        <v>20</v>
      </c>
      <c r="D20" s="22" t="s">
        <v>39</v>
      </c>
      <c r="E20" s="42">
        <f>E19*'Fossil Gas Calcs for Part b'!C195</f>
        <v>775556548.90001011</v>
      </c>
      <c r="F20" s="42">
        <f>F19*'Fossil Gas Calcs for Part b'!D195</f>
        <v>650634544.50384533</v>
      </c>
      <c r="G20" s="42">
        <f>G19*'Fossil Gas Calcs for Part b'!E195</f>
        <v>348860388.56579781</v>
      </c>
      <c r="H20" s="42">
        <f>H19*'Fossil Gas Calcs for Part b'!F195</f>
        <v>0</v>
      </c>
      <c r="J20" s="22" t="s">
        <v>39</v>
      </c>
      <c r="K20" s="42">
        <f>K19*'Fossil Gas Calcs for Part b'!N195</f>
        <v>775556540.76653492</v>
      </c>
      <c r="L20" s="42">
        <f>L19*'Fossil Gas Calcs for Part b'!O195</f>
        <v>663023559.03687072</v>
      </c>
      <c r="M20" s="42">
        <f>M19*'Fossil Gas Calcs for Part b'!P195</f>
        <v>265069140.18593925</v>
      </c>
      <c r="N20" s="42">
        <f>N19*'Fossil Gas Calcs for Part b'!Q195</f>
        <v>0</v>
      </c>
    </row>
    <row r="21" spans="2:14" x14ac:dyDescent="0.25">
      <c r="B21" s="22" t="s">
        <v>40</v>
      </c>
      <c r="C21" s="22" t="s">
        <v>41</v>
      </c>
      <c r="D21" s="22" t="s">
        <v>42</v>
      </c>
      <c r="E21" s="42">
        <f>'Fossil Gas Calcs for Part b'!C75</f>
        <v>4660957386.5831652</v>
      </c>
      <c r="F21" s="42">
        <f>'Fossil Gas Calcs for Part b'!D75</f>
        <v>10267050266.140108</v>
      </c>
      <c r="G21" s="42">
        <f>'Fossil Gas Calcs for Part b'!E75</f>
        <v>5762624500.5718212</v>
      </c>
      <c r="H21" s="42">
        <f>'Fossil Gas Calcs for Part b'!F75</f>
        <v>0</v>
      </c>
      <c r="J21" s="22" t="s">
        <v>42</v>
      </c>
      <c r="K21" s="42">
        <f>'Fossil Gas Calcs for Part b'!C100</f>
        <v>4660957336.9625931</v>
      </c>
      <c r="L21" s="42">
        <f>'Fossil Gas Calcs for Part b'!D100</f>
        <v>15116516537.234684</v>
      </c>
      <c r="M21" s="42">
        <f>'Fossil Gas Calcs for Part b'!E100</f>
        <v>6195278649.5217896</v>
      </c>
      <c r="N21" s="42">
        <f>'Fossil Gas Calcs for Part b'!F100</f>
        <v>0</v>
      </c>
    </row>
    <row r="22" spans="2:14" x14ac:dyDescent="0.25">
      <c r="B22" s="22"/>
      <c r="C22" s="22"/>
      <c r="D22" s="41" t="s">
        <v>43</v>
      </c>
      <c r="E22" s="40"/>
      <c r="F22" s="40"/>
      <c r="G22" s="40"/>
      <c r="H22" s="40"/>
      <c r="J22" s="41" t="s">
        <v>43</v>
      </c>
      <c r="K22" s="40"/>
      <c r="L22" s="40"/>
      <c r="M22" s="40"/>
      <c r="N22" s="40"/>
    </row>
    <row r="23" spans="2:14" x14ac:dyDescent="0.25">
      <c r="B23" s="22" t="s">
        <v>14</v>
      </c>
      <c r="C23" s="22" t="s">
        <v>44</v>
      </c>
      <c r="D23" s="22" t="s">
        <v>28</v>
      </c>
      <c r="E23" s="22"/>
      <c r="F23" s="22"/>
      <c r="G23" s="22"/>
      <c r="H23" s="22"/>
      <c r="J23" s="22" t="s">
        <v>28</v>
      </c>
      <c r="K23" s="22"/>
      <c r="L23" s="22"/>
      <c r="M23" s="22"/>
      <c r="N23" s="22"/>
    </row>
    <row r="24" spans="2:14" x14ac:dyDescent="0.25">
      <c r="B24" s="22" t="s">
        <v>29</v>
      </c>
      <c r="C24" s="22" t="s">
        <v>20</v>
      </c>
      <c r="D24" s="22" t="s">
        <v>30</v>
      </c>
      <c r="E24" s="52">
        <f>'Fossil Gas, RNG &amp; Hydrogen'!L27</f>
        <v>2265500.7949125599</v>
      </c>
      <c r="F24" s="52">
        <f>'Fossil Gas, RNG &amp; Hydrogen'!M27</f>
        <v>3579756.2268150528</v>
      </c>
      <c r="G24" s="52">
        <f>'Fossil Gas, RNG &amp; Hydrogen'!N27</f>
        <v>4213036.5659777429</v>
      </c>
      <c r="H24" s="52">
        <f>'Fossil Gas, RNG &amp; Hydrogen'!O27</f>
        <v>4213036.5659777429</v>
      </c>
      <c r="J24" s="22" t="s">
        <v>30</v>
      </c>
      <c r="K24" s="42">
        <f>'Fossil Gas, RNG &amp; Hydrogen'!E27</f>
        <v>2265500.7949125594</v>
      </c>
      <c r="L24" s="42">
        <f>'Fossil Gas, RNG &amp; Hydrogen'!F27</f>
        <v>3579756.2268150495</v>
      </c>
      <c r="M24" s="42">
        <f>'Fossil Gas, RNG &amp; Hydrogen'!G27</f>
        <v>4213036.5659777429</v>
      </c>
      <c r="N24" s="42">
        <f>'Fossil Gas, RNG &amp; Hydrogen'!H27</f>
        <v>4213036.5659777429</v>
      </c>
    </row>
    <row r="25" spans="2:14" x14ac:dyDescent="0.25">
      <c r="B25" s="22" t="s">
        <v>45</v>
      </c>
      <c r="C25" s="22"/>
      <c r="D25" s="22" t="s">
        <v>33</v>
      </c>
      <c r="E25" s="42">
        <f>'Fossil Gas Calcs for Part b'!C42</f>
        <v>0</v>
      </c>
      <c r="F25" s="42">
        <f>'Fossil Gas Calcs for Part b'!D42</f>
        <v>171398728.13990501</v>
      </c>
      <c r="G25" s="42">
        <f>'Fossil Gas Calcs for Part b'!E42</f>
        <v>483825119.236884</v>
      </c>
      <c r="H25" s="42">
        <f>'Fossil Gas Calcs for Part b'!F42</f>
        <v>566886243.90040195</v>
      </c>
      <c r="J25" s="22" t="s">
        <v>33</v>
      </c>
      <c r="K25" s="42">
        <f>'Fossil Gas Calcs for Part b'!C56</f>
        <v>0</v>
      </c>
      <c r="L25" s="42">
        <f>'Fossil Gas Calcs for Part b'!D56</f>
        <v>0</v>
      </c>
      <c r="M25" s="42">
        <f>'Fossil Gas Calcs for Part b'!E56</f>
        <v>271488076.31160599</v>
      </c>
      <c r="N25" s="42">
        <f>'Fossil Gas Calcs for Part b'!F56</f>
        <v>436021155.81407201</v>
      </c>
    </row>
    <row r="26" spans="2:14" x14ac:dyDescent="0.25">
      <c r="B26" s="22" t="s">
        <v>19</v>
      </c>
      <c r="C26" s="22" t="s">
        <v>46</v>
      </c>
      <c r="D26" s="22" t="s">
        <v>47</v>
      </c>
      <c r="E26" s="42">
        <f>'Fossil Gas, RNG &amp; Hydrogen'!$E$39</f>
        <v>527381.94444444438</v>
      </c>
      <c r="F26" s="42">
        <f>'Fossil Gas, RNG &amp; Hydrogen'!$E$39</f>
        <v>527381.94444444438</v>
      </c>
      <c r="G26" s="42">
        <f>'Fossil Gas, RNG &amp; Hydrogen'!$E$39</f>
        <v>527381.94444444438</v>
      </c>
      <c r="H26" s="42">
        <f>'Fossil Gas, RNG &amp; Hydrogen'!$E$39</f>
        <v>527381.94444444438</v>
      </c>
      <c r="J26" s="22" t="s">
        <v>47</v>
      </c>
      <c r="K26" s="42">
        <f>'Fossil Gas, RNG &amp; Hydrogen'!$E$39</f>
        <v>527381.94444444438</v>
      </c>
      <c r="L26" s="42">
        <f>'Fossil Gas, RNG &amp; Hydrogen'!$E$39</f>
        <v>527381.94444444438</v>
      </c>
      <c r="M26" s="42">
        <f>'Fossil Gas, RNG &amp; Hydrogen'!$E$39</f>
        <v>527381.94444444438</v>
      </c>
      <c r="N26" s="42">
        <f>'Fossil Gas, RNG &amp; Hydrogen'!$E$39</f>
        <v>527381.94444444438</v>
      </c>
    </row>
    <row r="27" spans="2:14" x14ac:dyDescent="0.25">
      <c r="B27" s="22" t="s">
        <v>48</v>
      </c>
      <c r="C27" s="22"/>
      <c r="D27" s="22" t="s">
        <v>49</v>
      </c>
      <c r="E27" s="42">
        <f>E26*'Fossil Gas Calcs for Part b'!C197</f>
        <v>0</v>
      </c>
      <c r="F27" s="42">
        <f>F26*'Fossil Gas Calcs for Part b'!D197</f>
        <v>25251047.500000022</v>
      </c>
      <c r="G27" s="42">
        <f>G26*'Fossil Gas Calcs for Part b'!E197</f>
        <v>60564542.500000015</v>
      </c>
      <c r="H27" s="42">
        <f>H26*'Fossil Gas Calcs for Part b'!F197</f>
        <v>70962016.328386396</v>
      </c>
      <c r="J27" s="22" t="s">
        <v>49</v>
      </c>
      <c r="K27" s="42">
        <f>K26*'Fossil Gas Calcs for Part b'!N197</f>
        <v>0</v>
      </c>
      <c r="L27" s="42">
        <f>L26*'Fossil Gas Calcs for Part b'!O197</f>
        <v>0</v>
      </c>
      <c r="M27" s="42">
        <f>M26*'Fossil Gas Calcs for Part b'!P197</f>
        <v>33984492.500000022</v>
      </c>
      <c r="N27" s="42">
        <f>N26*'Fossil Gas Calcs for Part b'!Q197</f>
        <v>54580510.13112285</v>
      </c>
    </row>
    <row r="28" spans="2:14" x14ac:dyDescent="0.25">
      <c r="B28" s="22" t="s">
        <v>50</v>
      </c>
      <c r="C28" s="22" t="s">
        <v>34</v>
      </c>
      <c r="D28" s="22" t="s">
        <v>35</v>
      </c>
      <c r="E28" s="42"/>
      <c r="F28" s="42"/>
      <c r="G28" s="42"/>
      <c r="H28" s="42"/>
      <c r="J28" s="22" t="s">
        <v>35</v>
      </c>
      <c r="K28" s="42"/>
      <c r="L28" s="42"/>
      <c r="M28" s="42"/>
      <c r="N28" s="42"/>
    </row>
    <row r="29" spans="2:14" x14ac:dyDescent="0.25">
      <c r="B29" s="22" t="s">
        <v>19</v>
      </c>
      <c r="C29" s="22" t="s">
        <v>51</v>
      </c>
      <c r="D29" s="22" t="s">
        <v>37</v>
      </c>
      <c r="E29" s="42">
        <f>E19</f>
        <v>838089.62846289936</v>
      </c>
      <c r="F29" s="42">
        <f>F19</f>
        <v>838091.79710131499</v>
      </c>
      <c r="G29" s="42">
        <f>G19</f>
        <v>838091.79710131441</v>
      </c>
      <c r="H29" s="42">
        <f>H19</f>
        <v>838091.7971013129</v>
      </c>
      <c r="J29" s="22" t="s">
        <v>37</v>
      </c>
      <c r="K29" s="42">
        <f>K19</f>
        <v>838089.62846332253</v>
      </c>
      <c r="L29" s="42">
        <f>L19</f>
        <v>838086.95131430496</v>
      </c>
      <c r="M29" s="42">
        <f>M19</f>
        <v>838091.79710131499</v>
      </c>
      <c r="N29" s="42">
        <f>N19</f>
        <v>838091.7971013143</v>
      </c>
    </row>
    <row r="30" spans="2:14" x14ac:dyDescent="0.25">
      <c r="B30" s="22" t="s">
        <v>52</v>
      </c>
      <c r="C30" s="22"/>
      <c r="D30" s="22" t="s">
        <v>39</v>
      </c>
      <c r="E30" s="42">
        <f>E29*'Fossil Gas Calcs for Part b'!C197</f>
        <v>0</v>
      </c>
      <c r="F30" s="42">
        <f>F29*'Fossil Gas Calcs for Part b'!D197</f>
        <v>40127835.245210998</v>
      </c>
      <c r="G30" s="42">
        <f>G29*'Fossil Gas Calcs for Part b'!E197</f>
        <v>96246461.97911498</v>
      </c>
      <c r="H30" s="42">
        <f>H29*'Fossil Gas Calcs for Part b'!F197</f>
        <v>112769662.32365026</v>
      </c>
      <c r="J30" s="22" t="s">
        <v>39</v>
      </c>
      <c r="K30" s="42">
        <f>'Fossil Gas Calcs for Part b'!N197*K29</f>
        <v>0</v>
      </c>
      <c r="L30" s="42">
        <f>'Fossil Gas Calcs for Part b'!O197*L29</f>
        <v>0</v>
      </c>
      <c r="M30" s="42">
        <f>'Fossil Gas Calcs for Part b'!P197*M29</f>
        <v>54006635.405208781</v>
      </c>
      <c r="N30" s="42">
        <f>'Fossil Gas Calcs for Part b'!Q197*N29</f>
        <v>86736905.395360887</v>
      </c>
    </row>
    <row r="31" spans="2:14" x14ac:dyDescent="0.25">
      <c r="B31" s="22" t="s">
        <v>53</v>
      </c>
      <c r="C31" s="22"/>
      <c r="D31" s="22" t="s">
        <v>54</v>
      </c>
      <c r="E31" s="42">
        <f>'Fossil Gas Calcs for Part b'!C124</f>
        <v>0</v>
      </c>
      <c r="F31" s="42">
        <f>'Fossil Gas Calcs for Part b'!D124</f>
        <v>266956029.35349333</v>
      </c>
      <c r="G31" s="42">
        <f>'Fossil Gas Calcs for Part b'!E124</f>
        <v>714544333.52245605</v>
      </c>
      <c r="H31" s="42">
        <f>'Fossil Gas Calcs for Part b'!F124</f>
        <v>837214392.6089505</v>
      </c>
      <c r="J31" s="22" t="s">
        <v>54</v>
      </c>
      <c r="K31" s="42">
        <f>'Fossil Gas Calcs for Part b'!C139</f>
        <v>0</v>
      </c>
      <c r="L31" s="42">
        <f>'Fossil Gas Calcs for Part b'!D139</f>
        <v>0</v>
      </c>
      <c r="M31" s="42">
        <f>'Fossil Gas Calcs for Part b'!E139</f>
        <v>435702288.42221153</v>
      </c>
      <c r="N31" s="42">
        <f>'Fossil Gas Calcs for Part b'!F139</f>
        <v>699756018.64238238</v>
      </c>
    </row>
    <row r="32" spans="2:14" x14ac:dyDescent="0.25">
      <c r="B32" s="22"/>
      <c r="C32" s="22"/>
      <c r="D32" s="41" t="s">
        <v>55</v>
      </c>
      <c r="E32" s="40"/>
      <c r="F32" s="40"/>
      <c r="G32" s="40"/>
      <c r="H32" s="40"/>
      <c r="J32" s="41" t="s">
        <v>55</v>
      </c>
      <c r="K32" s="40"/>
      <c r="L32" s="40"/>
      <c r="M32" s="40"/>
      <c r="N32" s="40"/>
    </row>
    <row r="33" spans="2:14" x14ac:dyDescent="0.25">
      <c r="B33" s="22" t="s">
        <v>56</v>
      </c>
      <c r="C33" s="22"/>
      <c r="D33" s="22" t="s">
        <v>28</v>
      </c>
      <c r="E33" s="22"/>
      <c r="F33" s="22"/>
      <c r="G33" s="22"/>
      <c r="H33" s="22"/>
      <c r="J33" s="22" t="s">
        <v>28</v>
      </c>
      <c r="K33" s="22"/>
      <c r="L33" s="22"/>
      <c r="M33" s="22"/>
      <c r="N33" s="22"/>
    </row>
    <row r="34" spans="2:14" x14ac:dyDescent="0.25">
      <c r="B34" s="22" t="s">
        <v>19</v>
      </c>
      <c r="C34" s="22" t="s">
        <v>20</v>
      </c>
      <c r="D34" s="22" t="s">
        <v>30</v>
      </c>
      <c r="E34" s="42" t="str">
        <f>'Fossil Gas, RNG &amp; Hydrogen'!L46</f>
        <v>N/A</v>
      </c>
      <c r="F34" s="42">
        <f>'Fossil Gas, RNG &amp; Hydrogen'!M46</f>
        <v>23546424.234553326</v>
      </c>
      <c r="G34" s="42">
        <f>'Fossil Gas, RNG &amp; Hydrogen'!N46</f>
        <v>22261852.128712073</v>
      </c>
      <c r="H34" s="42">
        <f>'Fossil Gas, RNG &amp; Hydrogen'!O46</f>
        <v>21786704.452262197</v>
      </c>
      <c r="J34" s="22" t="s">
        <v>30</v>
      </c>
      <c r="K34" s="42" t="str">
        <f>'Fossil Gas, RNG &amp; Hydrogen'!E46</f>
        <v>N/A</v>
      </c>
      <c r="L34" s="42" t="str">
        <f>'Fossil Gas, RNG &amp; Hydrogen'!F46</f>
        <v>N/A</v>
      </c>
      <c r="M34" s="42">
        <f>'Fossil Gas, RNG &amp; Hydrogen'!G46</f>
        <v>22593348.554310866</v>
      </c>
      <c r="N34" s="42">
        <f>'Fossil Gas, RNG &amp; Hydrogen'!H46</f>
        <v>21657590.069390889</v>
      </c>
    </row>
    <row r="35" spans="2:14" x14ac:dyDescent="0.25">
      <c r="B35" s="22" t="s">
        <v>19</v>
      </c>
      <c r="C35" s="22" t="s">
        <v>20</v>
      </c>
      <c r="D35" s="22" t="s">
        <v>33</v>
      </c>
      <c r="E35" s="42">
        <f>'Fossil Gas, RNG &amp; Hydrogen'!L44*10^6</f>
        <v>0</v>
      </c>
      <c r="F35" s="42">
        <f>'Fossil Gas, RNG &amp; Hydrogen'!M44*10^6</f>
        <v>1042635665.1060201</v>
      </c>
      <c r="G35" s="42">
        <f>'Fossil Gas, RNG &amp; Hydrogen'!N44*10^6</f>
        <v>2035623758.6494298</v>
      </c>
      <c r="H35" s="42">
        <f>'Fossil Gas, RNG &amp; Hydrogen'!O44*10^6</f>
        <v>3717683247.7340393</v>
      </c>
      <c r="J35" s="22" t="s">
        <v>33</v>
      </c>
      <c r="K35" s="42">
        <f>'Fossil Gas, RNG &amp; Hydrogen'!E44*10^6</f>
        <v>0</v>
      </c>
      <c r="L35" s="42">
        <f>'Fossil Gas, RNG &amp; Hydrogen'!F44*10^6</f>
        <v>0</v>
      </c>
      <c r="M35" s="42">
        <f>'Fossil Gas, RNG &amp; Hydrogen'!G44*10^6</f>
        <v>1333911298.6465099</v>
      </c>
      <c r="N35" s="42">
        <f>'Fossil Gas, RNG &amp; Hydrogen'!H44*10^6</f>
        <v>1567143217.4211249</v>
      </c>
    </row>
    <row r="36" spans="2:14" x14ac:dyDescent="0.25">
      <c r="B36" s="22" t="s">
        <v>50</v>
      </c>
      <c r="C36" s="22" t="s">
        <v>34</v>
      </c>
      <c r="D36" s="22" t="s">
        <v>35</v>
      </c>
      <c r="E36" s="42"/>
      <c r="F36" s="42"/>
      <c r="G36" s="42"/>
      <c r="H36" s="42"/>
      <c r="J36" s="22" t="s">
        <v>35</v>
      </c>
      <c r="K36" s="22"/>
      <c r="L36" s="22"/>
      <c r="M36" s="22"/>
      <c r="N36" s="22"/>
    </row>
    <row r="37" spans="2:14" x14ac:dyDescent="0.25">
      <c r="B37" s="22" t="s">
        <v>19</v>
      </c>
      <c r="C37" s="22" t="s">
        <v>36</v>
      </c>
      <c r="D37" s="22" t="s">
        <v>37</v>
      </c>
      <c r="E37" s="42">
        <f>E19</f>
        <v>838089.62846289936</v>
      </c>
      <c r="F37" s="42">
        <f>F19</f>
        <v>838091.79710131499</v>
      </c>
      <c r="G37" s="42">
        <f>G19</f>
        <v>838091.79710131441</v>
      </c>
      <c r="H37" s="42">
        <f>H19</f>
        <v>838091.7971013129</v>
      </c>
      <c r="J37" s="22" t="s">
        <v>37</v>
      </c>
      <c r="K37" s="52">
        <f>K19</f>
        <v>838089.62846332253</v>
      </c>
      <c r="L37" s="52">
        <f>L19</f>
        <v>838086.95131430496</v>
      </c>
      <c r="M37" s="52">
        <f>M19</f>
        <v>838091.79710131499</v>
      </c>
      <c r="N37" s="52">
        <f>N19</f>
        <v>838091.7971013143</v>
      </c>
    </row>
    <row r="38" spans="2:14" x14ac:dyDescent="0.25">
      <c r="B38" s="22" t="s">
        <v>57</v>
      </c>
      <c r="C38" s="22"/>
      <c r="D38" s="22" t="s">
        <v>39</v>
      </c>
      <c r="E38" s="42">
        <f>E37*'Fossil Gas, RNG &amp; Hydrogen'!L45</f>
        <v>0</v>
      </c>
      <c r="F38" s="42">
        <f>F37*'Fossil Gas, RNG &amp; Hydrogen'!M45</f>
        <v>37110704.775646187</v>
      </c>
      <c r="G38" s="42">
        <f>G37*'Fossil Gas, RNG &amp; Hydrogen'!N45</f>
        <v>76635113.926944107</v>
      </c>
      <c r="H38" s="42">
        <f>H37*'Fossil Gas, RNG &amp; Hydrogen'!O45</f>
        <v>143011984.25736874</v>
      </c>
      <c r="J38" s="22" t="s">
        <v>39</v>
      </c>
      <c r="K38" s="52">
        <f>K37*'Fossil Gas, RNG &amp; Hydrogen'!E45</f>
        <v>0</v>
      </c>
      <c r="L38" s="52">
        <f>L37*'Fossil Gas, RNG &amp; Hydrogen'!F45</f>
        <v>0</v>
      </c>
      <c r="M38" s="52">
        <f>M37*'Fossil Gas, RNG &amp; Hydrogen'!G45</f>
        <v>49480939.700861506</v>
      </c>
      <c r="N38" s="52">
        <f>N37*'Fossil Gas, RNG &amp; Hydrogen'!H45</f>
        <v>60644322.438251115</v>
      </c>
    </row>
    <row r="39" spans="2:14" x14ac:dyDescent="0.25">
      <c r="B39" s="22" t="s">
        <v>58</v>
      </c>
      <c r="C39" s="22"/>
      <c r="D39" s="22" t="s">
        <v>59</v>
      </c>
      <c r="E39" s="42">
        <f>'Fossil Gas Calcs for Part b'!C156</f>
        <v>0</v>
      </c>
      <c r="F39" s="42">
        <f>'Fossil Gas Calcs for Part b'!D156</f>
        <v>1052141433.5374056</v>
      </c>
      <c r="G39" s="42">
        <f>'Fossil Gas Calcs for Part b'!E156</f>
        <v>2134681507.493109</v>
      </c>
      <c r="H39" s="42">
        <f>'Fossil Gas Calcs for Part b'!F156</f>
        <v>3912518246.2666707</v>
      </c>
      <c r="J39" s="22" t="s">
        <v>59</v>
      </c>
      <c r="K39" s="52">
        <f>'Fossil Gas Calcs for Part b'!C176</f>
        <v>0</v>
      </c>
      <c r="L39" s="52">
        <f>'Fossil Gas Calcs for Part b'!D176</f>
        <v>0</v>
      </c>
      <c r="M39" s="52">
        <f>'Fossil Gas Calcs for Part b'!E176</f>
        <v>1380046185.4571557</v>
      </c>
      <c r="N39" s="52">
        <f>'Fossil Gas Calcs for Part b'!F176</f>
        <v>1661248068.7615142</v>
      </c>
    </row>
    <row r="40" spans="2:14" x14ac:dyDescent="0.25">
      <c r="B40" s="22"/>
      <c r="C40" s="22"/>
      <c r="D40" s="41" t="s">
        <v>60</v>
      </c>
      <c r="E40" s="40"/>
      <c r="F40" s="40"/>
      <c r="G40" s="40"/>
      <c r="H40" s="40"/>
      <c r="J40" s="41" t="s">
        <v>60</v>
      </c>
      <c r="K40" s="40"/>
      <c r="L40" s="40"/>
      <c r="M40" s="40"/>
      <c r="N40" s="40"/>
    </row>
    <row r="41" spans="2:14" x14ac:dyDescent="0.25">
      <c r="B41" s="22" t="s">
        <v>50</v>
      </c>
      <c r="C41" s="22" t="s">
        <v>61</v>
      </c>
      <c r="D41" s="22" t="s">
        <v>28</v>
      </c>
      <c r="E41" s="22"/>
      <c r="F41" s="22"/>
      <c r="G41" s="42"/>
      <c r="H41" s="42"/>
      <c r="J41" s="22" t="s">
        <v>28</v>
      </c>
      <c r="K41" s="22"/>
      <c r="L41" s="22"/>
      <c r="M41" s="22"/>
      <c r="N41" s="22"/>
    </row>
    <row r="42" spans="2:14" x14ac:dyDescent="0.25">
      <c r="B42" s="22" t="s">
        <v>19</v>
      </c>
      <c r="C42" s="22" t="s">
        <v>20</v>
      </c>
      <c r="D42" s="22" t="s">
        <v>62</v>
      </c>
      <c r="E42" s="42" t="str">
        <f>'Fossil Gas, RNG &amp; Hydrogen'!L52</f>
        <v>N/A</v>
      </c>
      <c r="F42" s="42" t="str">
        <f>'Fossil Gas, RNG &amp; Hydrogen'!M52</f>
        <v>N/A</v>
      </c>
      <c r="G42" s="42">
        <f>'Fossil Gas, RNG &amp; Hydrogen'!N52</f>
        <v>17845808.362437468</v>
      </c>
      <c r="H42" s="42">
        <f>'Fossil Gas, RNG &amp; Hydrogen'!O52</f>
        <v>16696804.318334732</v>
      </c>
      <c r="J42" s="22" t="s">
        <v>62</v>
      </c>
      <c r="K42" s="42" t="str">
        <f>'Fossil Gas, RNG &amp; Hydrogen'!E52</f>
        <v>N/A</v>
      </c>
      <c r="L42" s="42" t="str">
        <f>'Fossil Gas, RNG &amp; Hydrogen'!F52</f>
        <v>N/A</v>
      </c>
      <c r="M42" s="42" t="str">
        <f>'Fossil Gas, RNG &amp; Hydrogen'!G52</f>
        <v>N/A</v>
      </c>
      <c r="N42" s="42">
        <f>'Fossil Gas, RNG &amp; Hydrogen'!H52</f>
        <v>17228717.845647532</v>
      </c>
    </row>
    <row r="43" spans="2:14" x14ac:dyDescent="0.25">
      <c r="B43" s="22" t="s">
        <v>19</v>
      </c>
      <c r="C43" s="22" t="s">
        <v>20</v>
      </c>
      <c r="D43" s="22" t="s">
        <v>33</v>
      </c>
      <c r="E43" s="42">
        <f>'Fossil Gas, RNG &amp; Hydrogen'!L50</f>
        <v>0</v>
      </c>
      <c r="F43" s="42">
        <f>'Fossil Gas, RNG &amp; Hydrogen'!M50</f>
        <v>0</v>
      </c>
      <c r="G43" s="42">
        <f>'Fossil Gas, RNG &amp; Hydrogen'!N50</f>
        <v>3245046506.5285501</v>
      </c>
      <c r="H43" s="42">
        <f>'Fossil Gas, RNG &amp; Hydrogen'!O50</f>
        <v>8536052691.0777111</v>
      </c>
      <c r="J43" s="22" t="s">
        <v>33</v>
      </c>
      <c r="K43" s="42">
        <f>'Fossil Gas, RNG &amp; Hydrogen'!E50</f>
        <v>0</v>
      </c>
      <c r="L43" s="42">
        <f>'Fossil Gas, RNG &amp; Hydrogen'!F50</f>
        <v>0</v>
      </c>
      <c r="M43" s="42">
        <f>'Fossil Gas, RNG &amp; Hydrogen'!G50</f>
        <v>0</v>
      </c>
      <c r="N43" s="42">
        <f>'Fossil Gas, RNG &amp; Hydrogen'!H50</f>
        <v>1852490151.8036735</v>
      </c>
    </row>
    <row r="44" spans="2:14" x14ac:dyDescent="0.25">
      <c r="B44" s="22" t="s">
        <v>50</v>
      </c>
      <c r="C44" s="22" t="s">
        <v>34</v>
      </c>
      <c r="D44" s="22" t="s">
        <v>35</v>
      </c>
      <c r="E44" s="22"/>
      <c r="F44" s="22"/>
      <c r="G44" s="22"/>
      <c r="H44" s="22"/>
      <c r="J44" s="22" t="s">
        <v>35</v>
      </c>
      <c r="K44" s="22"/>
      <c r="L44" s="22"/>
      <c r="M44" s="22"/>
      <c r="N44" s="22"/>
    </row>
    <row r="45" spans="2:14" x14ac:dyDescent="0.25">
      <c r="B45" s="22" t="s">
        <v>19</v>
      </c>
      <c r="C45" s="22" t="s">
        <v>63</v>
      </c>
      <c r="D45" s="22" t="s">
        <v>37</v>
      </c>
      <c r="E45" s="22" t="str">
        <f>'Fossil Gas, RNG &amp; Hydrogen'!L19</f>
        <v>N/A</v>
      </c>
      <c r="F45" s="42">
        <f>'Fossil Gas, RNG &amp; Hydrogen'!M19</f>
        <v>2051771.149296223</v>
      </c>
      <c r="G45" s="42">
        <f>'Fossil Gas, RNG &amp; Hydrogen'!N19</f>
        <v>2062762.6788845302</v>
      </c>
      <c r="H45" s="42">
        <f>'Fossil Gas, RNG &amp; Hydrogen'!O19</f>
        <v>2064908.636273687</v>
      </c>
      <c r="J45" s="22" t="s">
        <v>37</v>
      </c>
      <c r="K45" s="22" t="str">
        <f>'Fossil Gas, RNG &amp; Hydrogen'!E19</f>
        <v>N/A</v>
      </c>
      <c r="L45" s="42">
        <f>'Fossil Gas, RNG &amp; Hydrogen'!F19</f>
        <v>2030545.8930687921</v>
      </c>
      <c r="M45" s="42">
        <f>'Fossil Gas, RNG &amp; Hydrogen'!G19</f>
        <v>2030605.9026950798</v>
      </c>
      <c r="N45" s="42">
        <f>'Fossil Gas, RNG &amp; Hydrogen'!H19</f>
        <v>2031369.5193810314</v>
      </c>
    </row>
    <row r="46" spans="2:14" x14ac:dyDescent="0.25">
      <c r="B46" s="22" t="s">
        <v>64</v>
      </c>
      <c r="C46" s="22"/>
      <c r="D46" s="22" t="s">
        <v>39</v>
      </c>
      <c r="E46" s="22">
        <f>'Fossil Gas, RNG &amp; Hydrogen'!L20</f>
        <v>0</v>
      </c>
      <c r="F46" s="42">
        <f>F45*'Fossil Gas, RNG &amp; Hydrogen'!M51</f>
        <v>0</v>
      </c>
      <c r="G46" s="42">
        <f>G45*'Fossil Gas, RNG &amp; Hydrogen'!N51</f>
        <v>375088686.87624145</v>
      </c>
      <c r="H46" s="42">
        <f>H45*'Fossil Gas, RNG &amp; Hydrogen'!O51</f>
        <v>1055661226.2706071</v>
      </c>
      <c r="J46" s="22" t="s">
        <v>39</v>
      </c>
      <c r="K46" s="22">
        <f>'Fossil Gas, RNG &amp; Hydrogen'!E20</f>
        <v>0</v>
      </c>
      <c r="L46" s="22">
        <f>L45*'Fossil Gas, RNG &amp; Hydrogen'!F51</f>
        <v>0</v>
      </c>
      <c r="M46" s="22">
        <f>M45*'Fossil Gas, RNG &amp; Hydrogen'!G51</f>
        <v>0</v>
      </c>
      <c r="N46" s="22">
        <f>N45*'Fossil Gas, RNG &amp; Hydrogen'!H51</f>
        <v>218419737.50113893</v>
      </c>
    </row>
    <row r="47" spans="2:14" x14ac:dyDescent="0.25">
      <c r="B47" s="22" t="s">
        <v>58</v>
      </c>
      <c r="C47" s="22"/>
      <c r="D47" s="22" t="s">
        <v>65</v>
      </c>
      <c r="E47" s="52">
        <f>E46+E43</f>
        <v>0</v>
      </c>
      <c r="F47" s="52">
        <f>F46+F43</f>
        <v>0</v>
      </c>
      <c r="G47" s="52">
        <f>G46+G43</f>
        <v>3620135193.4047918</v>
      </c>
      <c r="H47" s="52">
        <f>H46+H43</f>
        <v>9591713917.3483181</v>
      </c>
      <c r="J47" s="22" t="s">
        <v>65</v>
      </c>
      <c r="K47" s="52">
        <f>K46+K43</f>
        <v>0</v>
      </c>
      <c r="L47" s="52">
        <f>L46+L43</f>
        <v>0</v>
      </c>
      <c r="M47" s="52">
        <f>M46+M43</f>
        <v>0</v>
      </c>
      <c r="N47" s="52">
        <f>N46+N43</f>
        <v>2070909889.3048124</v>
      </c>
    </row>
    <row r="48" spans="2:14" x14ac:dyDescent="0.25">
      <c r="B48" s="22"/>
      <c r="C48" s="22"/>
      <c r="D48" s="41" t="s">
        <v>66</v>
      </c>
      <c r="E48" s="40"/>
      <c r="F48" s="40"/>
      <c r="G48" s="40"/>
      <c r="H48" s="40"/>
      <c r="J48" s="41" t="s">
        <v>66</v>
      </c>
      <c r="K48" s="40"/>
      <c r="L48" s="40"/>
      <c r="M48" s="40"/>
      <c r="N48" s="40"/>
    </row>
    <row r="49" spans="2:14" x14ac:dyDescent="0.25">
      <c r="B49" s="22" t="s">
        <v>67</v>
      </c>
      <c r="C49" s="22"/>
      <c r="D49" s="22" t="s">
        <v>28</v>
      </c>
      <c r="E49" s="22"/>
      <c r="F49" s="22"/>
      <c r="G49" s="22"/>
      <c r="H49" s="22"/>
      <c r="J49" s="22" t="s">
        <v>28</v>
      </c>
      <c r="K49" s="22"/>
      <c r="L49" s="22"/>
      <c r="M49" s="22"/>
      <c r="N49" s="22"/>
    </row>
    <row r="50" spans="2:14" x14ac:dyDescent="0.25">
      <c r="B50" s="22" t="s">
        <v>19</v>
      </c>
      <c r="C50" s="22" t="s">
        <v>20</v>
      </c>
      <c r="D50" s="22" t="s">
        <v>68</v>
      </c>
      <c r="E50" s="22" t="str">
        <f>'Fossil Gas, RNG &amp; Hydrogen'!L57</f>
        <v>N/A</v>
      </c>
      <c r="F50" s="42">
        <f>'Fossil Gas, RNG &amp; Hydrogen'!M57</f>
        <v>13671878.621789817</v>
      </c>
      <c r="G50" s="42">
        <f>'Fossil Gas, RNG &amp; Hydrogen'!N57</f>
        <v>7363186.5373708233</v>
      </c>
      <c r="H50" s="42">
        <f>'Fossil Gas, RNG &amp; Hydrogen'!O57</f>
        <v>5353326.163454392</v>
      </c>
      <c r="J50" s="22" t="s">
        <v>68</v>
      </c>
      <c r="K50" s="22" t="str">
        <f>'Fossil Gas, RNG &amp; Hydrogen'!E57</f>
        <v>N/A</v>
      </c>
      <c r="L50" s="42">
        <f>'Fossil Gas, RNG &amp; Hydrogen'!F57</f>
        <v>14196877.784911543</v>
      </c>
      <c r="M50" s="42">
        <f>'Fossil Gas, RNG &amp; Hydrogen'!G57</f>
        <v>8525289.7857875675</v>
      </c>
      <c r="N50" s="42">
        <f>'Fossil Gas, RNG &amp; Hydrogen'!H57</f>
        <v>5834028.45190184</v>
      </c>
    </row>
    <row r="51" spans="2:14" x14ac:dyDescent="0.25">
      <c r="B51" s="22" t="s">
        <v>19</v>
      </c>
      <c r="C51" s="22" t="s">
        <v>20</v>
      </c>
      <c r="D51" s="22" t="s">
        <v>33</v>
      </c>
      <c r="E51" s="42">
        <f>'Fossil Gas, RNG &amp; Hydrogen'!L55</f>
        <v>0</v>
      </c>
      <c r="F51" s="42">
        <f>'Fossil Gas, RNG &amp; Hydrogen'!M55</f>
        <v>2131518048.0878601</v>
      </c>
      <c r="G51" s="42">
        <f>'Fossil Gas, RNG &amp; Hydrogen'!N55</f>
        <v>2168565453.88342</v>
      </c>
      <c r="H51" s="42">
        <f>'Fossil Gas, RNG &amp; Hydrogen'!O55</f>
        <v>1546403911.300375</v>
      </c>
      <c r="J51" s="22" t="s">
        <v>33</v>
      </c>
      <c r="K51" s="42">
        <f>'Fossil Gas, RNG &amp; Hydrogen'!E55</f>
        <v>0</v>
      </c>
      <c r="L51" s="42">
        <f>'Fossil Gas, RNG &amp; Hydrogen'!F55</f>
        <v>847981546.33415198</v>
      </c>
      <c r="M51" s="42">
        <f>'Fossil Gas, RNG &amp; Hydrogen'!G55</f>
        <v>1313597070.2730401</v>
      </c>
      <c r="N51" s="42">
        <f>'Fossil Gas, RNG &amp; Hydrogen'!H55</f>
        <v>898921077.74256206</v>
      </c>
    </row>
    <row r="52" spans="2:14" x14ac:dyDescent="0.25">
      <c r="B52" s="22" t="s">
        <v>50</v>
      </c>
      <c r="C52" s="22" t="s">
        <v>34</v>
      </c>
      <c r="D52" s="22" t="s">
        <v>35</v>
      </c>
      <c r="E52" s="22"/>
      <c r="F52" s="22"/>
      <c r="G52" s="22"/>
      <c r="H52" s="22"/>
      <c r="J52" s="22" t="s">
        <v>35</v>
      </c>
      <c r="K52" s="22"/>
      <c r="L52" s="22"/>
      <c r="M52" s="22"/>
      <c r="N52" s="22"/>
    </row>
    <row r="53" spans="2:14" x14ac:dyDescent="0.25">
      <c r="B53" s="22" t="s">
        <v>19</v>
      </c>
      <c r="C53" s="22" t="s">
        <v>69</v>
      </c>
      <c r="D53" s="22" t="s">
        <v>37</v>
      </c>
      <c r="E53" s="22" t="str">
        <f>E45</f>
        <v>N/A</v>
      </c>
      <c r="F53" s="42">
        <f>F45</f>
        <v>2051771.149296223</v>
      </c>
      <c r="G53" s="42">
        <f>G45</f>
        <v>2062762.6788845302</v>
      </c>
      <c r="H53" s="42">
        <f>H45</f>
        <v>2064908.636273687</v>
      </c>
      <c r="J53" s="22" t="s">
        <v>37</v>
      </c>
      <c r="K53" s="42" t="str">
        <f>K45</f>
        <v>N/A</v>
      </c>
      <c r="L53" s="42">
        <f>L45</f>
        <v>2030545.8930687921</v>
      </c>
      <c r="M53" s="42">
        <f>M45</f>
        <v>2030605.9026950798</v>
      </c>
      <c r="N53" s="42">
        <f>N45</f>
        <v>2031369.5193810314</v>
      </c>
    </row>
    <row r="54" spans="2:14" x14ac:dyDescent="0.25">
      <c r="B54" s="22" t="s">
        <v>70</v>
      </c>
      <c r="C54" s="22"/>
      <c r="D54" s="22" t="s">
        <v>39</v>
      </c>
      <c r="E54" s="42">
        <f>E46</f>
        <v>0</v>
      </c>
      <c r="F54" s="42">
        <f>F53*'Fossil Gas, RNG &amp; Hydrogen'!M56</f>
        <v>319881953.04050618</v>
      </c>
      <c r="G54" s="42">
        <f>G53*'Fossil Gas, RNG &amp; Hydrogen'!N56</f>
        <v>607513589.70545256</v>
      </c>
      <c r="H54" s="42">
        <f>H53*'Fossil Gas, RNG &amp; Hydrogen'!O56</f>
        <v>596485753.73764586</v>
      </c>
      <c r="J54" s="22" t="s">
        <v>39</v>
      </c>
      <c r="K54" s="42">
        <f>K46</f>
        <v>0</v>
      </c>
      <c r="L54" s="42">
        <f>L53*'Fossil Gas, RNG &amp; Hydrogen'!F56</f>
        <v>121284797.43179421</v>
      </c>
      <c r="M54" s="42">
        <f>M53*'Fossil Gas, RNG &amp; Hydrogen'!G56</f>
        <v>312880621.2671144</v>
      </c>
      <c r="N54" s="42">
        <f>N53*'Fossil Gas, RNG &amp; Hydrogen'!H56</f>
        <v>312998281.15512782</v>
      </c>
    </row>
    <row r="55" spans="2:14" x14ac:dyDescent="0.25">
      <c r="B55" s="22" t="s">
        <v>58</v>
      </c>
      <c r="C55" s="22"/>
      <c r="D55" s="22" t="s">
        <v>71</v>
      </c>
      <c r="E55" s="52">
        <f>E54+E51</f>
        <v>0</v>
      </c>
      <c r="F55" s="52">
        <f>F54+F51</f>
        <v>2451400001.1283665</v>
      </c>
      <c r="G55" s="52">
        <f>G54+G51</f>
        <v>2776079043.5888724</v>
      </c>
      <c r="H55" s="52">
        <f>H54+H51</f>
        <v>2142889665.0380208</v>
      </c>
      <c r="J55" s="22" t="s">
        <v>71</v>
      </c>
      <c r="K55" s="52">
        <f>K54+K51</f>
        <v>0</v>
      </c>
      <c r="L55" s="52">
        <f>L54+L51</f>
        <v>969266343.76594615</v>
      </c>
      <c r="M55" s="52">
        <f>M54+M51</f>
        <v>1626477691.5401545</v>
      </c>
      <c r="N55" s="52">
        <f>N54+N51</f>
        <v>1211919358.8976898</v>
      </c>
    </row>
    <row r="58" spans="2:14" x14ac:dyDescent="0.25">
      <c r="D58" t="s">
        <v>72</v>
      </c>
    </row>
    <row r="59" spans="2:14" x14ac:dyDescent="0.25">
      <c r="D59" t="s">
        <v>73</v>
      </c>
    </row>
  </sheetData>
  <mergeCells count="4">
    <mergeCell ref="D2:H2"/>
    <mergeCell ref="J2:N2"/>
    <mergeCell ref="E7:H7"/>
    <mergeCell ref="K7:N7"/>
  </mergeCells>
  <pageMargins left="0.7" right="0.7" top="0.75" bottom="0.75" header="0.3" footer="0.3"/>
  <pageSetup scale="27" orientation="landscape" r:id="rId1"/>
  <headerFooter>
    <oddHeader>&amp;R&amp;"Arial,Regular"&amp;10Filed: 2023-04-12
EB-2022-0200
Exhibit JT1.25
Attachment 1
Page &amp;P of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F1029-FBE1-4C89-AA3C-4EE9E76C0C9A}">
  <dimension ref="A1:AG54"/>
  <sheetViews>
    <sheetView view="pageBreakPreview" topLeftCell="A19" zoomScale="60" zoomScaleNormal="85" workbookViewId="0">
      <selection activeCell="O19" sqref="O1:P1048576"/>
    </sheetView>
  </sheetViews>
  <sheetFormatPr defaultRowHeight="15" x14ac:dyDescent="0.25"/>
  <cols>
    <col min="1" max="1" width="18.85546875" bestFit="1" customWidth="1"/>
    <col min="3" max="3" width="11.85546875" bestFit="1" customWidth="1"/>
    <col min="4" max="5" width="14.28515625" bestFit="1" customWidth="1"/>
    <col min="12" max="12" width="26.42578125" bestFit="1" customWidth="1"/>
    <col min="13" max="13" width="11.140625" bestFit="1" customWidth="1"/>
    <col min="14" max="14" width="15.28515625" bestFit="1" customWidth="1"/>
    <col min="15" max="15" width="15.140625" bestFit="1" customWidth="1"/>
    <col min="16" max="16" width="15.5703125" bestFit="1" customWidth="1"/>
    <col min="22" max="22" width="14.28515625" bestFit="1" customWidth="1"/>
    <col min="32" max="32" width="12.5703125" bestFit="1" customWidth="1"/>
  </cols>
  <sheetData>
    <row r="1" spans="1:32" hidden="1" x14ac:dyDescent="0.25">
      <c r="A1" t="s">
        <v>74</v>
      </c>
      <c r="B1" t="s">
        <v>75</v>
      </c>
    </row>
    <row r="2" spans="1:32" hidden="1" x14ac:dyDescent="0.25">
      <c r="A2" t="s">
        <v>76</v>
      </c>
    </row>
    <row r="3" spans="1:32" hidden="1" x14ac:dyDescent="0.25">
      <c r="A3" s="13" t="s">
        <v>77</v>
      </c>
      <c r="B3" s="13" t="s">
        <v>78</v>
      </c>
      <c r="C3" s="13" t="s">
        <v>78</v>
      </c>
      <c r="D3" s="13" t="s">
        <v>78</v>
      </c>
      <c r="E3" s="13" t="s">
        <v>78</v>
      </c>
      <c r="F3" s="13" t="s">
        <v>78</v>
      </c>
      <c r="G3" s="13" t="s">
        <v>78</v>
      </c>
      <c r="H3" s="13" t="s">
        <v>78</v>
      </c>
      <c r="I3" s="13" t="s">
        <v>78</v>
      </c>
      <c r="J3" s="13" t="s">
        <v>78</v>
      </c>
      <c r="K3" s="13" t="s">
        <v>78</v>
      </c>
      <c r="L3" s="13" t="s">
        <v>78</v>
      </c>
      <c r="M3" s="13" t="s">
        <v>79</v>
      </c>
      <c r="N3" s="13" t="s">
        <v>79</v>
      </c>
      <c r="O3" s="13" t="s">
        <v>79</v>
      </c>
      <c r="P3" s="13" t="s">
        <v>79</v>
      </c>
      <c r="Q3" s="13" t="s">
        <v>79</v>
      </c>
      <c r="R3" s="13" t="s">
        <v>79</v>
      </c>
      <c r="S3" s="13" t="s">
        <v>79</v>
      </c>
      <c r="T3" s="13" t="s">
        <v>79</v>
      </c>
      <c r="U3" s="13" t="s">
        <v>79</v>
      </c>
      <c r="V3" s="13" t="s">
        <v>79</v>
      </c>
      <c r="W3" s="13" t="s">
        <v>80</v>
      </c>
      <c r="X3" s="13" t="s">
        <v>80</v>
      </c>
      <c r="Y3" s="13" t="s">
        <v>80</v>
      </c>
      <c r="Z3" s="13" t="s">
        <v>80</v>
      </c>
      <c r="AA3" s="13" t="s">
        <v>80</v>
      </c>
      <c r="AB3" s="13" t="s">
        <v>80</v>
      </c>
      <c r="AC3" s="13" t="s">
        <v>80</v>
      </c>
      <c r="AD3" s="13" t="s">
        <v>80</v>
      </c>
      <c r="AE3" s="13" t="s">
        <v>80</v>
      </c>
      <c r="AF3" s="13" t="s">
        <v>80</v>
      </c>
    </row>
    <row r="4" spans="1:32" s="9" customFormat="1" hidden="1" x14ac:dyDescent="0.25">
      <c r="A4" s="9" t="s">
        <v>81</v>
      </c>
      <c r="B4" s="9">
        <v>2020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9">
        <v>2032</v>
      </c>
      <c r="O4" s="9">
        <v>2033</v>
      </c>
      <c r="P4" s="9">
        <v>2034</v>
      </c>
      <c r="Q4" s="9">
        <v>2035</v>
      </c>
      <c r="R4" s="9">
        <v>2036</v>
      </c>
      <c r="S4" s="9">
        <v>2037</v>
      </c>
      <c r="T4" s="9">
        <v>2038</v>
      </c>
      <c r="U4" s="9">
        <v>2039</v>
      </c>
      <c r="V4" s="9">
        <v>2040</v>
      </c>
      <c r="W4" s="9">
        <v>2041</v>
      </c>
      <c r="X4" s="9">
        <v>2042</v>
      </c>
      <c r="Y4" s="9">
        <v>2043</v>
      </c>
      <c r="Z4" s="9">
        <v>2044</v>
      </c>
      <c r="AA4" s="9">
        <v>2045</v>
      </c>
      <c r="AB4" s="9">
        <v>2046</v>
      </c>
      <c r="AC4" s="9">
        <v>2047</v>
      </c>
      <c r="AD4" s="9">
        <v>2048</v>
      </c>
      <c r="AE4" s="9">
        <v>2049</v>
      </c>
      <c r="AF4" s="9">
        <v>2050</v>
      </c>
    </row>
    <row r="5" spans="1:32" hidden="1" x14ac:dyDescent="0.25">
      <c r="A5" t="s">
        <v>82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14">
        <v>1594089926.1913018</v>
      </c>
      <c r="M5" s="14">
        <v>20881875</v>
      </c>
      <c r="N5" s="14">
        <v>20881875</v>
      </c>
      <c r="O5" s="14">
        <v>20881875</v>
      </c>
      <c r="P5" s="14">
        <v>20881875</v>
      </c>
      <c r="Q5" s="14">
        <v>20881875</v>
      </c>
      <c r="R5" s="14">
        <v>20881875</v>
      </c>
      <c r="S5" s="14">
        <v>20881875</v>
      </c>
      <c r="T5" s="14">
        <v>20881875</v>
      </c>
      <c r="U5" s="14">
        <v>20881875</v>
      </c>
      <c r="V5" s="14">
        <v>1308623611.2666121</v>
      </c>
      <c r="W5" s="14">
        <v>42892500</v>
      </c>
      <c r="X5" s="14">
        <v>42892500</v>
      </c>
      <c r="Y5" s="14">
        <v>42892500</v>
      </c>
      <c r="Z5" s="14">
        <v>42892500</v>
      </c>
      <c r="AA5" s="14">
        <v>42892500</v>
      </c>
      <c r="AB5" s="14">
        <v>42892500</v>
      </c>
      <c r="AC5" s="14">
        <v>42892500</v>
      </c>
      <c r="AD5" s="14">
        <v>42892500</v>
      </c>
      <c r="AE5" s="14">
        <v>42892500</v>
      </c>
      <c r="AF5" s="14">
        <v>134575619.3122977</v>
      </c>
    </row>
    <row r="6" spans="1:32" hidden="1" x14ac:dyDescent="0.25">
      <c r="A6" t="s">
        <v>83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 s="14">
        <v>1272932661.9933329</v>
      </c>
      <c r="M6" s="14">
        <v>20881875</v>
      </c>
      <c r="N6" s="14">
        <v>20881875</v>
      </c>
      <c r="O6" s="14">
        <v>20881875</v>
      </c>
      <c r="P6" s="14">
        <v>20881875</v>
      </c>
      <c r="Q6" s="14">
        <v>20881875</v>
      </c>
      <c r="R6" s="14">
        <v>20881875</v>
      </c>
      <c r="S6" s="14">
        <v>20881875</v>
      </c>
      <c r="T6" s="14">
        <v>20881875</v>
      </c>
      <c r="U6" s="14">
        <v>20881875</v>
      </c>
      <c r="V6" s="14">
        <v>696551166.55684209</v>
      </c>
      <c r="W6" s="14">
        <v>42892500</v>
      </c>
      <c r="X6" s="14">
        <v>42892500</v>
      </c>
      <c r="Y6" s="14">
        <v>42892500</v>
      </c>
      <c r="Z6" s="14">
        <v>42892500</v>
      </c>
      <c r="AA6" s="14">
        <v>42892500</v>
      </c>
      <c r="AB6" s="14">
        <v>42892500</v>
      </c>
      <c r="AC6" s="14">
        <v>42892500</v>
      </c>
      <c r="AD6" s="14">
        <v>42892500</v>
      </c>
      <c r="AE6" s="14">
        <v>42892500</v>
      </c>
      <c r="AF6" s="14">
        <v>24993750</v>
      </c>
    </row>
    <row r="7" spans="1:32" hidden="1" x14ac:dyDescent="0.25"/>
    <row r="8" spans="1:32" hidden="1" x14ac:dyDescent="0.25">
      <c r="A8" t="s">
        <v>84</v>
      </c>
      <c r="B8">
        <v>2020</v>
      </c>
      <c r="C8">
        <v>2030</v>
      </c>
      <c r="D8">
        <v>2040</v>
      </c>
      <c r="E8">
        <v>2050</v>
      </c>
    </row>
    <row r="9" spans="1:32" hidden="1" x14ac:dyDescent="0.25">
      <c r="A9" t="s">
        <v>82</v>
      </c>
      <c r="B9">
        <f>B5</f>
        <v>0</v>
      </c>
      <c r="C9">
        <f>SUM(C5:L5)/10</f>
        <v>159408992.61913019</v>
      </c>
      <c r="D9" s="14">
        <f>SUM(M5:V5)/10</f>
        <v>149656048.62666121</v>
      </c>
      <c r="E9" s="14">
        <f>SUM(W5:AF5)/10</f>
        <v>52060811.93122977</v>
      </c>
    </row>
    <row r="10" spans="1:32" hidden="1" x14ac:dyDescent="0.25">
      <c r="A10" t="s">
        <v>83</v>
      </c>
      <c r="B10">
        <f>B6</f>
        <v>0</v>
      </c>
      <c r="C10">
        <f>SUM(C6:L6)/10</f>
        <v>127293266.19933328</v>
      </c>
      <c r="D10" s="15">
        <f>SUM(M6:V6)/10</f>
        <v>88448804.155684203</v>
      </c>
      <c r="E10" s="15">
        <f>SUM(W6:AF6)/10</f>
        <v>41102625</v>
      </c>
    </row>
    <row r="11" spans="1:32" hidden="1" x14ac:dyDescent="0.25"/>
    <row r="12" spans="1:32" hidden="1" x14ac:dyDescent="0.25">
      <c r="A12" t="s">
        <v>85</v>
      </c>
      <c r="B12">
        <v>2020</v>
      </c>
      <c r="C12">
        <v>2030</v>
      </c>
      <c r="D12">
        <v>2040</v>
      </c>
      <c r="E12">
        <v>2050</v>
      </c>
    </row>
    <row r="13" spans="1:32" hidden="1" x14ac:dyDescent="0.25">
      <c r="A13" t="s">
        <v>82</v>
      </c>
      <c r="B13" s="17">
        <v>39.86148</v>
      </c>
      <c r="C13" s="17">
        <v>59.23983900361074</v>
      </c>
      <c r="D13" s="17">
        <v>104.07545797257497</v>
      </c>
      <c r="E13" s="17">
        <v>147.62361373224394</v>
      </c>
      <c r="F13" s="6" t="s">
        <v>86</v>
      </c>
    </row>
    <row r="14" spans="1:32" hidden="1" x14ac:dyDescent="0.25">
      <c r="A14" t="s">
        <v>83</v>
      </c>
      <c r="B14" s="17">
        <v>39.86148</v>
      </c>
      <c r="C14" s="17">
        <v>51.526627138432545</v>
      </c>
      <c r="D14" s="17">
        <v>82.982179429060963</v>
      </c>
      <c r="E14" s="17">
        <v>129.28958371023884</v>
      </c>
      <c r="F14" s="6" t="s">
        <v>87</v>
      </c>
    </row>
    <row r="15" spans="1:32" hidden="1" x14ac:dyDescent="0.25"/>
    <row r="16" spans="1:32" hidden="1" x14ac:dyDescent="0.25">
      <c r="A16" t="s">
        <v>88</v>
      </c>
    </row>
    <row r="17" spans="1:20" hidden="1" x14ac:dyDescent="0.25">
      <c r="A17" t="s">
        <v>82</v>
      </c>
      <c r="B17">
        <f>(B9)/(B13*$H$17)</f>
        <v>0</v>
      </c>
      <c r="C17">
        <f t="shared" ref="C17:E18" si="0">(C9)/(C13*$H$17)</f>
        <v>2690.9086064432759</v>
      </c>
      <c r="D17">
        <f t="shared" si="0"/>
        <v>1437.9571470739743</v>
      </c>
      <c r="E17">
        <f t="shared" si="0"/>
        <v>352.65910795041492</v>
      </c>
      <c r="G17" t="s">
        <v>89</v>
      </c>
      <c r="H17">
        <v>1000</v>
      </c>
    </row>
    <row r="18" spans="1:20" hidden="1" x14ac:dyDescent="0.25">
      <c r="A18" t="s">
        <v>83</v>
      </c>
      <c r="B18">
        <f>(B10)/(B14*$H$17)</f>
        <v>0</v>
      </c>
      <c r="C18">
        <f t="shared" si="0"/>
        <v>2470.4366124595049</v>
      </c>
      <c r="D18">
        <f t="shared" si="0"/>
        <v>1065.8770926991197</v>
      </c>
      <c r="E18">
        <f t="shared" si="0"/>
        <v>317.91134150542518</v>
      </c>
    </row>
    <row r="19" spans="1:20" x14ac:dyDescent="0.25">
      <c r="A19" s="9" t="s">
        <v>90</v>
      </c>
      <c r="B19" s="9"/>
    </row>
    <row r="20" spans="1:20" x14ac:dyDescent="0.25">
      <c r="A20" s="9"/>
      <c r="B20" s="9"/>
    </row>
    <row r="21" spans="1:20" x14ac:dyDescent="0.25">
      <c r="A21" t="s">
        <v>91</v>
      </c>
      <c r="B21" t="s">
        <v>92</v>
      </c>
    </row>
    <row r="22" spans="1:20" x14ac:dyDescent="0.25">
      <c r="A22" t="s">
        <v>82</v>
      </c>
      <c r="B22" t="s">
        <v>86</v>
      </c>
      <c r="L22" t="s">
        <v>93</v>
      </c>
      <c r="M22">
        <v>2020</v>
      </c>
      <c r="N22">
        <v>2030</v>
      </c>
      <c r="O22">
        <v>2040</v>
      </c>
      <c r="P22">
        <v>2050</v>
      </c>
      <c r="S22" t="s">
        <v>94</v>
      </c>
      <c r="T22">
        <v>70</v>
      </c>
    </row>
    <row r="23" spans="1:20" x14ac:dyDescent="0.25">
      <c r="A23" t="s">
        <v>95</v>
      </c>
      <c r="B23" t="s">
        <v>96</v>
      </c>
      <c r="C23" t="s">
        <v>97</v>
      </c>
      <c r="D23" t="s">
        <v>98</v>
      </c>
      <c r="E23" t="s">
        <v>99</v>
      </c>
      <c r="F23" t="s">
        <v>100</v>
      </c>
      <c r="G23" t="s">
        <v>101</v>
      </c>
      <c r="H23" t="s">
        <v>102</v>
      </c>
      <c r="I23" t="s">
        <v>103</v>
      </c>
      <c r="L23" t="s">
        <v>104</v>
      </c>
      <c r="M23" s="2">
        <f>INDEX($I$24:$I$27,MATCH(M22,$H$24:$H$27,0))</f>
        <v>0</v>
      </c>
      <c r="N23" s="2">
        <f>INDEX($I$24:$I$27,MATCH(N22,$H$24:$H$27,0))</f>
        <v>17388.495166969002</v>
      </c>
      <c r="O23" s="2">
        <f t="shared" ref="O23:P23" si="1">INDEX($I$24:$I$27,MATCH(O22,$H$24:$H$27,0))</f>
        <v>49641.443115729802</v>
      </c>
      <c r="P23" s="2">
        <f t="shared" si="1"/>
        <v>64386.117519751999</v>
      </c>
    </row>
    <row r="24" spans="1:20" x14ac:dyDescent="0.25">
      <c r="A24" t="s">
        <v>105</v>
      </c>
      <c r="B24" t="s">
        <v>106</v>
      </c>
      <c r="C24" t="s">
        <v>107</v>
      </c>
      <c r="D24" t="s">
        <v>104</v>
      </c>
      <c r="E24" t="s">
        <v>108</v>
      </c>
      <c r="F24" t="s">
        <v>108</v>
      </c>
      <c r="G24" t="s">
        <v>4</v>
      </c>
      <c r="H24">
        <v>2020</v>
      </c>
      <c r="I24">
        <v>0</v>
      </c>
    </row>
    <row r="25" spans="1:20" x14ac:dyDescent="0.25">
      <c r="A25" t="s">
        <v>105</v>
      </c>
      <c r="B25" t="s">
        <v>106</v>
      </c>
      <c r="C25" t="s">
        <v>107</v>
      </c>
      <c r="D25" t="s">
        <v>104</v>
      </c>
      <c r="E25" t="s">
        <v>108</v>
      </c>
      <c r="F25" t="s">
        <v>108</v>
      </c>
      <c r="G25" t="s">
        <v>4</v>
      </c>
      <c r="H25">
        <v>2030</v>
      </c>
      <c r="I25">
        <v>17388.495166969002</v>
      </c>
      <c r="L25" t="s">
        <v>109</v>
      </c>
      <c r="M25">
        <v>2020</v>
      </c>
      <c r="N25">
        <v>2030</v>
      </c>
      <c r="O25">
        <v>2040</v>
      </c>
      <c r="P25">
        <v>2050</v>
      </c>
    </row>
    <row r="26" spans="1:20" x14ac:dyDescent="0.25">
      <c r="A26" t="s">
        <v>105</v>
      </c>
      <c r="B26" t="s">
        <v>106</v>
      </c>
      <c r="C26" t="s">
        <v>107</v>
      </c>
      <c r="D26" t="s">
        <v>104</v>
      </c>
      <c r="E26" t="s">
        <v>108</v>
      </c>
      <c r="F26" t="s">
        <v>108</v>
      </c>
      <c r="G26" t="s">
        <v>4</v>
      </c>
      <c r="H26">
        <v>2040</v>
      </c>
      <c r="I26">
        <v>49641.443115729802</v>
      </c>
      <c r="L26" t="s">
        <v>108</v>
      </c>
      <c r="M26">
        <f>SUMIFS($B$36:$AF$36,$B$35:$AF$35, M$25)</f>
        <v>0</v>
      </c>
      <c r="N26" s="2">
        <f>SUMIFS($B$36:$AF$36,$B$35:$AF$35, N$25)</f>
        <v>946751801.19130194</v>
      </c>
      <c r="O26" s="2">
        <f>SUMIFS($B$36:$AF$36,$B$35:$AF$35, O$25)</f>
        <v>919849861.26661205</v>
      </c>
      <c r="P26" s="2">
        <f>SUMIFS($B$36:$AF$36,$B$35:$AF$35, P$25)</f>
        <v>38228744.312297702</v>
      </c>
    </row>
    <row r="27" spans="1:20" x14ac:dyDescent="0.25">
      <c r="A27" t="s">
        <v>105</v>
      </c>
      <c r="B27" t="s">
        <v>106</v>
      </c>
      <c r="C27" t="s">
        <v>107</v>
      </c>
      <c r="D27" t="s">
        <v>104</v>
      </c>
      <c r="E27" t="s">
        <v>108</v>
      </c>
      <c r="F27" t="s">
        <v>108</v>
      </c>
      <c r="G27" t="s">
        <v>4</v>
      </c>
      <c r="H27">
        <v>2050</v>
      </c>
      <c r="I27">
        <v>64386.117519751999</v>
      </c>
    </row>
    <row r="28" spans="1:20" x14ac:dyDescent="0.25">
      <c r="A28" t="s">
        <v>105</v>
      </c>
      <c r="B28" t="s">
        <v>110</v>
      </c>
      <c r="C28" t="s">
        <v>107</v>
      </c>
      <c r="D28" t="s">
        <v>104</v>
      </c>
      <c r="E28" t="s">
        <v>108</v>
      </c>
      <c r="F28" t="s">
        <v>108</v>
      </c>
      <c r="G28" t="s">
        <v>4</v>
      </c>
      <c r="H28">
        <v>2020</v>
      </c>
      <c r="I28">
        <v>23000</v>
      </c>
      <c r="L28" t="s">
        <v>111</v>
      </c>
      <c r="M28">
        <f>MIN($T$22,$P$25+1-M25)</f>
        <v>31</v>
      </c>
      <c r="N28">
        <f>MIN($T$22,$P$25+1-N25)</f>
        <v>21</v>
      </c>
      <c r="O28">
        <f>MIN($T$22,$P$25+1-O25)</f>
        <v>11</v>
      </c>
      <c r="P28">
        <f>MIN($T$22,$P$25+1-P25)</f>
        <v>1</v>
      </c>
    </row>
    <row r="29" spans="1:20" x14ac:dyDescent="0.25">
      <c r="A29" t="s">
        <v>105</v>
      </c>
      <c r="B29" t="s">
        <v>110</v>
      </c>
      <c r="C29" t="s">
        <v>107</v>
      </c>
      <c r="D29" t="s">
        <v>104</v>
      </c>
      <c r="E29" t="s">
        <v>108</v>
      </c>
      <c r="F29" t="s">
        <v>108</v>
      </c>
      <c r="G29" t="s">
        <v>4</v>
      </c>
      <c r="H29">
        <v>2030</v>
      </c>
      <c r="I29">
        <v>23000</v>
      </c>
      <c r="L29" s="31" t="s">
        <v>112</v>
      </c>
      <c r="M29" s="31">
        <f>M26/M28</f>
        <v>0</v>
      </c>
      <c r="N29" s="33">
        <f>N26/N28</f>
        <v>45083419.104347713</v>
      </c>
      <c r="O29" s="33">
        <f>O26/O28</f>
        <v>83622714.660601094</v>
      </c>
      <c r="P29" s="33">
        <f>P26/P28</f>
        <v>38228744.312297702</v>
      </c>
    </row>
    <row r="30" spans="1:20" x14ac:dyDescent="0.25">
      <c r="A30" t="s">
        <v>105</v>
      </c>
      <c r="B30" t="s">
        <v>110</v>
      </c>
      <c r="C30" t="s">
        <v>107</v>
      </c>
      <c r="D30" t="s">
        <v>104</v>
      </c>
      <c r="E30" t="s">
        <v>108</v>
      </c>
      <c r="F30" t="s">
        <v>108</v>
      </c>
      <c r="G30" t="s">
        <v>4</v>
      </c>
      <c r="H30">
        <v>2040</v>
      </c>
      <c r="I30">
        <v>23000</v>
      </c>
      <c r="L30" s="74" t="s">
        <v>113</v>
      </c>
      <c r="M30" s="72">
        <f>0</f>
        <v>0</v>
      </c>
      <c r="N30" s="33">
        <f>SUM($M29:N$29)</f>
        <v>45083419.104347713</v>
      </c>
      <c r="O30" s="33">
        <f>SUM($M29:O$29)</f>
        <v>128706133.76494882</v>
      </c>
      <c r="P30" s="33">
        <f>SUM($M29:P$29)</f>
        <v>166934878.07724652</v>
      </c>
    </row>
    <row r="31" spans="1:20" x14ac:dyDescent="0.25">
      <c r="A31" t="s">
        <v>105</v>
      </c>
      <c r="B31" t="s">
        <v>110</v>
      </c>
      <c r="C31" t="s">
        <v>107</v>
      </c>
      <c r="D31" t="s">
        <v>104</v>
      </c>
      <c r="E31" t="s">
        <v>108</v>
      </c>
      <c r="F31" t="s">
        <v>108</v>
      </c>
      <c r="G31" t="s">
        <v>4</v>
      </c>
      <c r="H31">
        <v>2050</v>
      </c>
      <c r="I31">
        <v>23000</v>
      </c>
      <c r="L31" s="28" t="s">
        <v>114</v>
      </c>
      <c r="M31" s="32">
        <f>0</f>
        <v>0</v>
      </c>
      <c r="N31" s="34">
        <f>N30/N23</f>
        <v>2592.7153943710832</v>
      </c>
      <c r="O31" s="34">
        <f>O30/O23</f>
        <v>2592.7153943710778</v>
      </c>
      <c r="P31" s="34">
        <f>P30/P23</f>
        <v>2592.71539437108</v>
      </c>
    </row>
    <row r="33" spans="1:33" x14ac:dyDescent="0.25">
      <c r="A33" t="s">
        <v>91</v>
      </c>
      <c r="B33" t="s">
        <v>115</v>
      </c>
    </row>
    <row r="34" spans="1:33" x14ac:dyDescent="0.25">
      <c r="A34" t="s">
        <v>82</v>
      </c>
      <c r="B34" t="s">
        <v>116</v>
      </c>
    </row>
    <row r="35" spans="1:33" x14ac:dyDescent="0.25">
      <c r="A35" s="27" t="s">
        <v>77</v>
      </c>
      <c r="B35" s="27">
        <v>2020</v>
      </c>
      <c r="C35" s="27">
        <v>2021</v>
      </c>
      <c r="D35" s="27">
        <v>2022</v>
      </c>
      <c r="E35" s="27">
        <v>2023</v>
      </c>
      <c r="F35" s="27">
        <v>2024</v>
      </c>
      <c r="G35" s="27">
        <v>2025</v>
      </c>
      <c r="H35" s="27">
        <v>2026</v>
      </c>
      <c r="I35" s="27">
        <v>2027</v>
      </c>
      <c r="J35" s="27">
        <v>2028</v>
      </c>
      <c r="K35" s="27">
        <v>2029</v>
      </c>
      <c r="L35" s="27">
        <v>2030</v>
      </c>
      <c r="M35" s="27">
        <v>2031</v>
      </c>
      <c r="N35" s="27">
        <v>2032</v>
      </c>
      <c r="O35" s="27">
        <v>2033</v>
      </c>
      <c r="P35" s="27">
        <v>2034</v>
      </c>
      <c r="Q35" s="27">
        <v>2035</v>
      </c>
      <c r="R35" s="27">
        <v>2036</v>
      </c>
      <c r="S35" s="27">
        <v>2037</v>
      </c>
      <c r="T35" s="27">
        <v>2038</v>
      </c>
      <c r="U35" s="27">
        <v>2039</v>
      </c>
      <c r="V35" s="27">
        <v>2040</v>
      </c>
      <c r="W35" s="27">
        <v>2041</v>
      </c>
      <c r="X35" s="27">
        <v>2042</v>
      </c>
      <c r="Y35" s="27">
        <v>2043</v>
      </c>
      <c r="Z35" s="27">
        <v>2044</v>
      </c>
      <c r="AA35" s="27">
        <v>2045</v>
      </c>
      <c r="AB35" s="27">
        <v>2046</v>
      </c>
      <c r="AC35" s="27">
        <v>2047</v>
      </c>
      <c r="AD35" s="27">
        <v>2048</v>
      </c>
      <c r="AE35" s="27">
        <v>2049</v>
      </c>
      <c r="AF35" s="27">
        <v>2050</v>
      </c>
    </row>
    <row r="36" spans="1:33" x14ac:dyDescent="0.25">
      <c r="A36" s="24" t="s">
        <v>108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6">
        <v>946751801.19130194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  <c r="R36" s="26">
        <v>0</v>
      </c>
      <c r="S36" s="26">
        <v>0</v>
      </c>
      <c r="T36" s="26">
        <v>0</v>
      </c>
      <c r="U36" s="26">
        <v>0</v>
      </c>
      <c r="V36" s="26">
        <v>919849861.26661205</v>
      </c>
      <c r="W36" s="26">
        <v>0</v>
      </c>
      <c r="X36" s="26">
        <v>0</v>
      </c>
      <c r="Y36" s="26">
        <v>0</v>
      </c>
      <c r="Z36" s="26">
        <v>0</v>
      </c>
      <c r="AA36" s="26">
        <v>0</v>
      </c>
      <c r="AB36" s="26">
        <v>0</v>
      </c>
      <c r="AC36" s="26">
        <v>0</v>
      </c>
      <c r="AD36" s="26">
        <v>0</v>
      </c>
      <c r="AE36" s="26">
        <v>0</v>
      </c>
      <c r="AF36" s="26">
        <v>38228744.312297702</v>
      </c>
      <c r="AG36" s="26"/>
    </row>
    <row r="40" spans="1:33" x14ac:dyDescent="0.25">
      <c r="A40" t="s">
        <v>91</v>
      </c>
      <c r="B40" t="s">
        <v>92</v>
      </c>
    </row>
    <row r="41" spans="1:33" x14ac:dyDescent="0.25">
      <c r="A41" t="s">
        <v>117</v>
      </c>
      <c r="B41" t="s">
        <v>87</v>
      </c>
      <c r="L41" t="s">
        <v>93</v>
      </c>
      <c r="M41">
        <v>2020</v>
      </c>
      <c r="N41">
        <v>2030</v>
      </c>
      <c r="O41">
        <v>2040</v>
      </c>
      <c r="P41">
        <v>2050</v>
      </c>
    </row>
    <row r="42" spans="1:33" x14ac:dyDescent="0.25">
      <c r="A42" t="s">
        <v>118</v>
      </c>
      <c r="B42" t="s">
        <v>106</v>
      </c>
      <c r="C42" t="s">
        <v>107</v>
      </c>
      <c r="D42" t="s">
        <v>104</v>
      </c>
      <c r="E42" t="s">
        <v>108</v>
      </c>
      <c r="F42" t="s">
        <v>108</v>
      </c>
      <c r="G42" t="s">
        <v>4</v>
      </c>
      <c r="H42">
        <v>2020</v>
      </c>
      <c r="I42">
        <v>0</v>
      </c>
      <c r="L42" t="s">
        <v>104</v>
      </c>
      <c r="M42" s="2">
        <f>INDEX($I$42:$I$49,MATCH(M41,$H$42:$H$49,0))</f>
        <v>0</v>
      </c>
      <c r="N42" s="2">
        <f>INDEX($I$42:$I$49,MATCH(N41,$H$42:$H$49,0))</f>
        <v>11489.9676655516</v>
      </c>
      <c r="O42" s="2">
        <f>INDEX($I$42:$I$49,MATCH(O41,$H$42:$H$49,0))</f>
        <v>22281.6516283485</v>
      </c>
      <c r="P42" s="2">
        <f>INDEX($I$42:$I$49,MATCH(P41,$H$42:$H$49,0))</f>
        <v>31315.666726493699</v>
      </c>
    </row>
    <row r="43" spans="1:33" x14ac:dyDescent="0.25">
      <c r="A43" t="s">
        <v>118</v>
      </c>
      <c r="B43" t="s">
        <v>106</v>
      </c>
      <c r="C43" t="s">
        <v>107</v>
      </c>
      <c r="D43" t="s">
        <v>104</v>
      </c>
      <c r="E43" t="s">
        <v>108</v>
      </c>
      <c r="F43" t="s">
        <v>108</v>
      </c>
      <c r="G43" t="s">
        <v>4</v>
      </c>
      <c r="H43">
        <v>2030</v>
      </c>
      <c r="I43">
        <v>11489.9676655516</v>
      </c>
    </row>
    <row r="44" spans="1:33" x14ac:dyDescent="0.25">
      <c r="A44" t="s">
        <v>118</v>
      </c>
      <c r="B44" t="s">
        <v>106</v>
      </c>
      <c r="C44" t="s">
        <v>107</v>
      </c>
      <c r="D44" t="s">
        <v>104</v>
      </c>
      <c r="E44" t="s">
        <v>108</v>
      </c>
      <c r="F44" t="s">
        <v>108</v>
      </c>
      <c r="G44" t="s">
        <v>4</v>
      </c>
      <c r="H44">
        <v>2040</v>
      </c>
      <c r="I44">
        <v>22281.6516283485</v>
      </c>
      <c r="L44" t="s">
        <v>109</v>
      </c>
      <c r="M44">
        <v>2020</v>
      </c>
      <c r="N44">
        <v>2030</v>
      </c>
      <c r="O44">
        <v>2040</v>
      </c>
      <c r="P44">
        <v>2050</v>
      </c>
    </row>
    <row r="45" spans="1:33" x14ac:dyDescent="0.25">
      <c r="A45" t="s">
        <v>118</v>
      </c>
      <c r="B45" t="s">
        <v>106</v>
      </c>
      <c r="C45" t="s">
        <v>107</v>
      </c>
      <c r="D45" t="s">
        <v>104</v>
      </c>
      <c r="E45" t="s">
        <v>108</v>
      </c>
      <c r="F45" t="s">
        <v>108</v>
      </c>
      <c r="G45" t="s">
        <v>4</v>
      </c>
      <c r="H45">
        <v>2050</v>
      </c>
      <c r="I45">
        <v>31315.666726493699</v>
      </c>
      <c r="L45" t="s">
        <v>108</v>
      </c>
      <c r="M45" s="2">
        <f>SUMIFS($B$54:$AF$54,$B$53:$AF$53,M$44)</f>
        <v>0</v>
      </c>
      <c r="N45" s="2">
        <f>SUMIFS($B$54:$AF$54,$B$53:$AF$53,N$44)</f>
        <v>625594536.99333298</v>
      </c>
      <c r="O45" s="2">
        <f>SUMIFS($B$54:$AF$54,$B$53:$AF$53,O$44)</f>
        <v>307777416.55684203</v>
      </c>
      <c r="P45" s="2">
        <f>SUMIFS($B$54:$AF$54,$B$53:$AF$53,P$44)</f>
        <v>23422630.017941799</v>
      </c>
    </row>
    <row r="46" spans="1:33" x14ac:dyDescent="0.25">
      <c r="A46" t="s">
        <v>118</v>
      </c>
      <c r="B46" t="s">
        <v>110</v>
      </c>
      <c r="C46" t="s">
        <v>107</v>
      </c>
      <c r="D46" t="s">
        <v>104</v>
      </c>
      <c r="E46" t="s">
        <v>108</v>
      </c>
      <c r="F46" t="s">
        <v>108</v>
      </c>
      <c r="G46" t="s">
        <v>4</v>
      </c>
      <c r="H46">
        <v>2020</v>
      </c>
      <c r="I46">
        <v>23000</v>
      </c>
    </row>
    <row r="47" spans="1:33" x14ac:dyDescent="0.25">
      <c r="A47" t="s">
        <v>118</v>
      </c>
      <c r="B47" t="s">
        <v>110</v>
      </c>
      <c r="C47" t="s">
        <v>107</v>
      </c>
      <c r="D47" t="s">
        <v>104</v>
      </c>
      <c r="E47" t="s">
        <v>108</v>
      </c>
      <c r="F47" t="s">
        <v>108</v>
      </c>
      <c r="G47" t="s">
        <v>4</v>
      </c>
      <c r="H47">
        <v>2030</v>
      </c>
      <c r="I47">
        <v>23000</v>
      </c>
      <c r="L47" t="s">
        <v>111</v>
      </c>
      <c r="M47">
        <f>MIN($T$22,$P$25+1-M44)</f>
        <v>31</v>
      </c>
      <c r="N47">
        <f>MIN($T$22,$P$25+1-N44)</f>
        <v>21</v>
      </c>
      <c r="O47">
        <f>MIN($T$22,$P$25+1-O44)</f>
        <v>11</v>
      </c>
      <c r="P47">
        <f>MIN($T$22,$P$25+1-P44)</f>
        <v>1</v>
      </c>
    </row>
    <row r="48" spans="1:33" x14ac:dyDescent="0.25">
      <c r="A48" t="s">
        <v>118</v>
      </c>
      <c r="B48" t="s">
        <v>110</v>
      </c>
      <c r="C48" t="s">
        <v>107</v>
      </c>
      <c r="D48" t="s">
        <v>104</v>
      </c>
      <c r="E48" t="s">
        <v>108</v>
      </c>
      <c r="F48" t="s">
        <v>108</v>
      </c>
      <c r="G48" t="s">
        <v>4</v>
      </c>
      <c r="H48">
        <v>2040</v>
      </c>
      <c r="I48">
        <v>23000</v>
      </c>
      <c r="L48" s="31" t="s">
        <v>112</v>
      </c>
      <c r="M48" s="31">
        <f>M45/M47</f>
        <v>0</v>
      </c>
      <c r="N48" s="33">
        <f>N45/N47</f>
        <v>29790216.047301572</v>
      </c>
      <c r="O48" s="33">
        <f>O45/O47</f>
        <v>27979765.141531095</v>
      </c>
      <c r="P48" s="33">
        <f>P45/P47</f>
        <v>23422630.017941799</v>
      </c>
    </row>
    <row r="49" spans="1:32" x14ac:dyDescent="0.25">
      <c r="A49" t="s">
        <v>118</v>
      </c>
      <c r="B49" t="s">
        <v>110</v>
      </c>
      <c r="C49" t="s">
        <v>107</v>
      </c>
      <c r="D49" t="s">
        <v>104</v>
      </c>
      <c r="E49" t="s">
        <v>108</v>
      </c>
      <c r="F49" t="s">
        <v>108</v>
      </c>
      <c r="G49" t="s">
        <v>4</v>
      </c>
      <c r="H49">
        <v>2050</v>
      </c>
      <c r="I49">
        <v>23000</v>
      </c>
      <c r="L49" s="74" t="s">
        <v>113</v>
      </c>
      <c r="M49" s="31">
        <f>0</f>
        <v>0</v>
      </c>
      <c r="N49" s="73">
        <f>SUM($M$48:N48)</f>
        <v>29790216.047301572</v>
      </c>
      <c r="O49" s="73">
        <f>SUM($M$48:O48)</f>
        <v>57769981.18883267</v>
      </c>
      <c r="P49" s="73">
        <f>SUM($M$48:P48)</f>
        <v>81192611.206774473</v>
      </c>
      <c r="S49" t="s">
        <v>119</v>
      </c>
    </row>
    <row r="50" spans="1:32" x14ac:dyDescent="0.25">
      <c r="L50" s="28" t="s">
        <v>114</v>
      </c>
      <c r="M50" s="32">
        <f>0</f>
        <v>0</v>
      </c>
      <c r="N50" s="34">
        <f>N49/N42</f>
        <v>2592.71539437108</v>
      </c>
      <c r="O50" s="34">
        <f>O49/O42</f>
        <v>2592.7153943710832</v>
      </c>
      <c r="P50" s="34">
        <f>P49/P42</f>
        <v>2592.7153943710819</v>
      </c>
    </row>
    <row r="51" spans="1:32" x14ac:dyDescent="0.25">
      <c r="A51" t="s">
        <v>91</v>
      </c>
      <c r="B51" t="s">
        <v>115</v>
      </c>
    </row>
    <row r="52" spans="1:32" x14ac:dyDescent="0.25">
      <c r="A52" t="s">
        <v>117</v>
      </c>
      <c r="B52" t="s">
        <v>120</v>
      </c>
    </row>
    <row r="53" spans="1:32" x14ac:dyDescent="0.25">
      <c r="A53" s="27" t="s">
        <v>77</v>
      </c>
      <c r="B53" s="27">
        <v>2020</v>
      </c>
      <c r="C53" s="27">
        <v>2021</v>
      </c>
      <c r="D53" s="27">
        <v>2022</v>
      </c>
      <c r="E53" s="27">
        <v>2023</v>
      </c>
      <c r="F53" s="27">
        <v>2024</v>
      </c>
      <c r="G53" s="27">
        <v>2025</v>
      </c>
      <c r="H53" s="27">
        <v>2026</v>
      </c>
      <c r="I53" s="27">
        <v>2027</v>
      </c>
      <c r="J53" s="27">
        <v>2028</v>
      </c>
      <c r="K53" s="27">
        <v>2029</v>
      </c>
      <c r="L53" s="27">
        <v>2030</v>
      </c>
      <c r="M53" s="27">
        <v>2031</v>
      </c>
      <c r="N53" s="27">
        <v>2032</v>
      </c>
      <c r="O53" s="27">
        <v>2033</v>
      </c>
      <c r="P53" s="27">
        <v>2034</v>
      </c>
      <c r="Q53" s="27">
        <v>2035</v>
      </c>
      <c r="R53" s="27">
        <v>2036</v>
      </c>
      <c r="S53" s="27">
        <v>2037</v>
      </c>
      <c r="T53" s="27">
        <v>2038</v>
      </c>
      <c r="U53" s="27">
        <v>2039</v>
      </c>
      <c r="V53" s="27">
        <v>2040</v>
      </c>
      <c r="W53" s="27">
        <v>2041</v>
      </c>
      <c r="X53" s="27">
        <v>2042</v>
      </c>
      <c r="Y53" s="27">
        <v>2043</v>
      </c>
      <c r="Z53" s="27">
        <v>2044</v>
      </c>
      <c r="AA53" s="27">
        <v>2045</v>
      </c>
      <c r="AB53" s="27">
        <v>2046</v>
      </c>
      <c r="AC53" s="27">
        <v>2047</v>
      </c>
      <c r="AD53" s="27">
        <v>2048</v>
      </c>
      <c r="AE53" s="27">
        <v>2049</v>
      </c>
      <c r="AF53" s="27">
        <v>2050</v>
      </c>
    </row>
    <row r="54" spans="1:32" x14ac:dyDescent="0.25">
      <c r="A54" s="24" t="s">
        <v>108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6">
        <v>625594536.99333298</v>
      </c>
      <c r="M54" s="26">
        <v>0</v>
      </c>
      <c r="N54" s="26">
        <v>0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307777416.55684203</v>
      </c>
      <c r="W54" s="26">
        <v>0</v>
      </c>
      <c r="X54" s="26">
        <v>0</v>
      </c>
      <c r="Y54" s="26">
        <v>0</v>
      </c>
      <c r="Z54" s="26">
        <v>0</v>
      </c>
      <c r="AA54" s="26">
        <v>0</v>
      </c>
      <c r="AB54" s="26">
        <v>0</v>
      </c>
      <c r="AC54" s="26">
        <v>0</v>
      </c>
      <c r="AD54" s="26">
        <v>0</v>
      </c>
      <c r="AE54" s="26">
        <v>0</v>
      </c>
      <c r="AF54" s="26">
        <v>23422630.017941799</v>
      </c>
    </row>
  </sheetData>
  <hyperlinks>
    <hyperlink ref="F13" r:id="rId1" display="../../../../../:x:/r/sites/engf0juqctjfa1lh/Shared Documents/07_Interrogatories/08_Intervenor_Requests/April 4th Deliverable/JT1.28-Attachment-6-LCP Results ON Electrification Scenario.xlsx?d=w91f2329fad4340f4811da9423a09b7c4&amp;csf=1&amp;web=1&amp;e=gQsBa9" xr:uid="{9A1F2C61-2C9B-4773-B611-1EFE2184CE26}"/>
    <hyperlink ref="F14" r:id="rId2" display="../../../../../:x:/r/sites/engf0juqctjfa1lh/Shared Documents/07_Interrogatories/08_Intervenor_Requests/April 4th Deliverable/JT1.28-Attachment-7-LCP Results ON Diversified Scenario.xlsx?d=wcdcb468024f7431dbaf590b662269bc3&amp;csf=1&amp;web=1&amp;e=2EWce8" xr:uid="{6D8FBAD4-D870-4C68-8BCC-960BAEB7A71A}"/>
  </hyperlinks>
  <pageMargins left="0.7" right="0.7" top="0.75" bottom="0.75" header="0.3" footer="0.3"/>
  <pageSetup scale="25" orientation="landscape" r:id="rId3"/>
  <headerFooter>
    <oddHeader>&amp;R&amp;"Arial,Regular"&amp;10Filed: 2023-04-12
EB-2022-0200
Exhibit JT1.25
Attachment 1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297E-A88B-4A00-B726-9692E3FA15CD}">
  <dimension ref="B1:Q57"/>
  <sheetViews>
    <sheetView view="pageBreakPreview" topLeftCell="C1" zoomScale="60" zoomScaleNormal="80" workbookViewId="0">
      <selection activeCell="C19" sqref="C19"/>
    </sheetView>
  </sheetViews>
  <sheetFormatPr defaultRowHeight="15" x14ac:dyDescent="0.25"/>
  <cols>
    <col min="1" max="1" width="6.140625" customWidth="1"/>
    <col min="2" max="2" width="34.42578125" customWidth="1"/>
    <col min="4" max="4" width="47.42578125" bestFit="1" customWidth="1"/>
    <col min="5" max="5" width="16.85546875" bestFit="1" customWidth="1"/>
    <col min="6" max="6" width="20.5703125" bestFit="1" customWidth="1"/>
    <col min="7" max="7" width="19.42578125" customWidth="1"/>
    <col min="8" max="8" width="16.28515625" bestFit="1" customWidth="1"/>
    <col min="11" max="11" width="52.140625" bestFit="1" customWidth="1"/>
    <col min="12" max="12" width="17.5703125" customWidth="1"/>
    <col min="13" max="13" width="16.85546875" bestFit="1" customWidth="1"/>
    <col min="14" max="14" width="16" customWidth="1"/>
    <col min="15" max="15" width="16.5703125" customWidth="1"/>
  </cols>
  <sheetData>
    <row r="1" spans="2:16" x14ac:dyDescent="0.25">
      <c r="D1" s="9" t="s">
        <v>121</v>
      </c>
      <c r="E1" s="2"/>
      <c r="F1" s="2"/>
      <c r="G1" s="2"/>
      <c r="H1" s="2"/>
      <c r="K1" s="9" t="s">
        <v>122</v>
      </c>
      <c r="L1" s="2"/>
      <c r="M1" s="2"/>
      <c r="N1" s="2"/>
      <c r="O1" s="2"/>
    </row>
    <row r="2" spans="2:16" x14ac:dyDescent="0.25">
      <c r="E2" s="17"/>
      <c r="F2" s="17"/>
      <c r="G2" s="17"/>
      <c r="H2" s="17"/>
      <c r="L2" s="17"/>
      <c r="M2" s="17"/>
      <c r="N2" s="17"/>
      <c r="O2" s="17"/>
    </row>
    <row r="3" spans="2:16" x14ac:dyDescent="0.25">
      <c r="E3" s="16"/>
      <c r="F3" s="16"/>
      <c r="G3" s="16"/>
      <c r="H3" s="16"/>
      <c r="L3" s="16"/>
      <c r="M3" s="16"/>
      <c r="N3" s="16"/>
      <c r="O3" s="16"/>
    </row>
    <row r="4" spans="2:16" x14ac:dyDescent="0.25">
      <c r="B4" t="s">
        <v>123</v>
      </c>
      <c r="D4" s="23" t="s">
        <v>124</v>
      </c>
      <c r="E4" s="23">
        <v>2020</v>
      </c>
      <c r="F4" s="23">
        <v>2030</v>
      </c>
      <c r="G4" s="23">
        <v>2040</v>
      </c>
      <c r="H4" s="23">
        <v>2050</v>
      </c>
      <c r="I4" s="9" t="s">
        <v>125</v>
      </c>
      <c r="J4" s="9"/>
      <c r="K4" s="23" t="s">
        <v>124</v>
      </c>
      <c r="L4" s="23">
        <v>2020</v>
      </c>
      <c r="M4" s="23">
        <v>2030</v>
      </c>
      <c r="N4" s="23">
        <v>2040</v>
      </c>
      <c r="O4" s="23">
        <v>2050</v>
      </c>
      <c r="P4" s="9" t="s">
        <v>125</v>
      </c>
    </row>
    <row r="5" spans="2:16" x14ac:dyDescent="0.25">
      <c r="B5" s="29" t="s">
        <v>126</v>
      </c>
      <c r="D5" s="1" t="s">
        <v>127</v>
      </c>
      <c r="E5" s="18">
        <f>'Pipeline Costs'!C4</f>
        <v>775556540.76653504</v>
      </c>
      <c r="F5" s="18">
        <f>'Pipeline Costs'!D4</f>
        <v>661976965.29588199</v>
      </c>
      <c r="G5" s="18">
        <f>'Pipeline Costs'!E4</f>
        <v>367923131.75175899</v>
      </c>
      <c r="H5" s="18">
        <f>'Pipeline Costs'!F4</f>
        <v>147381227.83361199</v>
      </c>
      <c r="I5" t="s">
        <v>75</v>
      </c>
      <c r="K5" s="1" t="s">
        <v>127</v>
      </c>
      <c r="L5" s="18">
        <f>'Pipeline Costs'!I4</f>
        <v>775556548.90000999</v>
      </c>
      <c r="M5" s="18">
        <f>'Pipeline Costs'!J4</f>
        <v>727112349.45260799</v>
      </c>
      <c r="N5" s="18">
        <f>'Pipeline Costs'!K4</f>
        <v>520847193.34066403</v>
      </c>
      <c r="O5" s="18">
        <f>'Pipeline Costs'!L4</f>
        <v>255781646.58101901</v>
      </c>
      <c r="P5" t="s">
        <v>120</v>
      </c>
    </row>
    <row r="6" spans="2:16" x14ac:dyDescent="0.25">
      <c r="B6" t="s">
        <v>128</v>
      </c>
      <c r="D6" s="1" t="s">
        <v>129</v>
      </c>
      <c r="E6" s="18">
        <v>925.38615731178425</v>
      </c>
      <c r="F6" s="18">
        <v>791.11547793114278</v>
      </c>
      <c r="G6" s="18">
        <v>439.75697717926192</v>
      </c>
      <c r="H6" s="18">
        <v>175.85332339888723</v>
      </c>
      <c r="I6" t="s">
        <v>86</v>
      </c>
      <c r="K6" s="1" t="s">
        <v>129</v>
      </c>
      <c r="L6" s="18">
        <v>925.38616701703097</v>
      </c>
      <c r="M6" s="18">
        <v>868.48849617926896</v>
      </c>
      <c r="N6" s="18">
        <v>622.53558175416094</v>
      </c>
      <c r="O6" s="18">
        <v>305.19526317485099</v>
      </c>
      <c r="P6" t="s">
        <v>130</v>
      </c>
    </row>
    <row r="7" spans="2:16" x14ac:dyDescent="0.25">
      <c r="B7" t="s">
        <v>131</v>
      </c>
      <c r="D7" s="1" t="s">
        <v>132</v>
      </c>
      <c r="E7" s="19">
        <v>0</v>
      </c>
      <c r="F7" s="47">
        <v>1.2487889703419073</v>
      </c>
      <c r="G7" s="47">
        <v>0.7559834643913339</v>
      </c>
      <c r="H7" s="19">
        <v>0</v>
      </c>
      <c r="I7" t="s">
        <v>86</v>
      </c>
      <c r="K7" s="1" t="s">
        <v>132</v>
      </c>
      <c r="L7" s="19">
        <v>0</v>
      </c>
      <c r="M7" s="47">
        <v>0.90769898324418019</v>
      </c>
      <c r="N7" s="47">
        <v>1.0676290285714298</v>
      </c>
      <c r="O7" s="19">
        <v>0</v>
      </c>
      <c r="P7" t="s">
        <v>130</v>
      </c>
    </row>
    <row r="8" spans="2:16" ht="60" x14ac:dyDescent="0.25">
      <c r="B8" s="29" t="s">
        <v>133</v>
      </c>
      <c r="D8" s="1" t="s">
        <v>134</v>
      </c>
      <c r="E8" s="4">
        <f>E5/(E6-E7)</f>
        <v>838089.62846332253</v>
      </c>
      <c r="F8" s="4">
        <f t="shared" ref="F8:H8" si="0">F5/(F6-F7)</f>
        <v>838086.95131430496</v>
      </c>
      <c r="G8" s="4">
        <f>G5/(G6-G7)</f>
        <v>838091.79710131499</v>
      </c>
      <c r="H8" s="4">
        <f t="shared" si="0"/>
        <v>838091.7971013143</v>
      </c>
      <c r="I8" s="5" t="s">
        <v>135</v>
      </c>
      <c r="K8" s="1" t="s">
        <v>134</v>
      </c>
      <c r="L8" s="4">
        <f>L5/(L6-L7)</f>
        <v>838089.62846289936</v>
      </c>
      <c r="M8" s="3">
        <f t="shared" ref="M8" si="1">M5/(M6-M7)</f>
        <v>838091.79710131499</v>
      </c>
      <c r="N8" s="4">
        <f t="shared" ref="N8" si="2">N5/(N6-N7)</f>
        <v>838091.79710131441</v>
      </c>
      <c r="O8" s="4">
        <f t="shared" ref="O8" si="3">O5/(O6-O7)</f>
        <v>838091.7971013129</v>
      </c>
    </row>
    <row r="12" spans="2:16" x14ac:dyDescent="0.25">
      <c r="D12" s="23" t="s">
        <v>136</v>
      </c>
      <c r="E12" s="23">
        <v>2020</v>
      </c>
      <c r="F12" s="23">
        <v>2030</v>
      </c>
      <c r="G12" s="23">
        <v>2040</v>
      </c>
      <c r="H12" s="23">
        <v>2050</v>
      </c>
      <c r="I12" s="9" t="s">
        <v>125</v>
      </c>
      <c r="J12" s="9"/>
      <c r="K12" s="23" t="s">
        <v>136</v>
      </c>
      <c r="L12" s="23">
        <v>2020</v>
      </c>
      <c r="M12" s="23">
        <v>2030</v>
      </c>
      <c r="N12" s="23">
        <v>2040</v>
      </c>
      <c r="O12" s="23">
        <v>2050</v>
      </c>
    </row>
    <row r="13" spans="2:16" x14ac:dyDescent="0.25">
      <c r="B13" s="29" t="s">
        <v>137</v>
      </c>
      <c r="D13" s="1" t="s">
        <v>138</v>
      </c>
      <c r="E13" s="19">
        <v>0</v>
      </c>
      <c r="F13" s="19">
        <v>23605582.023410201</v>
      </c>
      <c r="G13" s="19">
        <v>23665859.978768099</v>
      </c>
      <c r="H13" s="19">
        <v>2255881.1706106798</v>
      </c>
      <c r="I13" t="s">
        <v>75</v>
      </c>
      <c r="K13" s="1" t="s">
        <v>138</v>
      </c>
      <c r="L13" s="19">
        <v>0</v>
      </c>
      <c r="M13" s="19">
        <v>124755358.487215</v>
      </c>
      <c r="N13" s="19">
        <v>203691450.511702</v>
      </c>
      <c r="O13" s="19">
        <v>21541693.464485701</v>
      </c>
      <c r="P13" t="s">
        <v>120</v>
      </c>
    </row>
    <row r="14" spans="2:16" x14ac:dyDescent="0.25">
      <c r="B14" s="29" t="s">
        <v>139</v>
      </c>
      <c r="D14" s="1" t="s">
        <v>140</v>
      </c>
      <c r="E14" s="19">
        <v>0</v>
      </c>
      <c r="F14" s="19">
        <v>110846468.66843601</v>
      </c>
      <c r="G14" s="19">
        <v>305168522.81711501</v>
      </c>
      <c r="H14" s="19">
        <v>511715728.51381898</v>
      </c>
      <c r="I14" t="s">
        <v>75</v>
      </c>
      <c r="K14" s="1" t="s">
        <v>140</v>
      </c>
      <c r="L14" s="19"/>
      <c r="M14" s="19">
        <v>291122573.17470801</v>
      </c>
      <c r="N14" s="19">
        <v>941970860.558483</v>
      </c>
      <c r="O14" s="19">
        <v>1704303201.46295</v>
      </c>
      <c r="P14" t="s">
        <v>120</v>
      </c>
    </row>
    <row r="15" spans="2:16" x14ac:dyDescent="0.25">
      <c r="B15" t="s">
        <v>141</v>
      </c>
      <c r="D15" s="1" t="s">
        <v>142</v>
      </c>
      <c r="E15" s="19">
        <v>0</v>
      </c>
      <c r="F15" s="19">
        <v>59.73014342881698</v>
      </c>
      <c r="G15" s="19">
        <v>156.39135834471213</v>
      </c>
      <c r="H15" s="19">
        <v>266.14130177941092</v>
      </c>
      <c r="I15" t="s">
        <v>86</v>
      </c>
      <c r="K15" s="1" t="s">
        <v>142</v>
      </c>
      <c r="L15" s="19">
        <v>0</v>
      </c>
      <c r="M15" s="19">
        <v>155.90527878814785</v>
      </c>
      <c r="N15" s="19">
        <v>493.28235302505033</v>
      </c>
      <c r="O15" s="19">
        <v>853.80406082199113</v>
      </c>
      <c r="P15" t="s">
        <v>130</v>
      </c>
    </row>
    <row r="16" spans="2:16" x14ac:dyDescent="0.25">
      <c r="D16" s="1" t="s">
        <v>143</v>
      </c>
      <c r="E16" s="19">
        <f>E13/($H$12+1-E12)</f>
        <v>0</v>
      </c>
      <c r="F16" s="19">
        <f t="shared" ref="F16:G16" si="4">F13/($H$12+1-F12)</f>
        <v>1124075.3344481047</v>
      </c>
      <c r="G16" s="19">
        <f t="shared" si="4"/>
        <v>2151441.8162516453</v>
      </c>
      <c r="H16" s="19">
        <f>H13/($H$12+1-H12)</f>
        <v>2255881.1706106798</v>
      </c>
      <c r="K16" s="1" t="s">
        <v>143</v>
      </c>
      <c r="L16" s="19">
        <f>L13/($O$12+1-L12)</f>
        <v>0</v>
      </c>
      <c r="M16" s="19">
        <f t="shared" ref="M16:O16" si="5">M13/($O$12+1-M12)</f>
        <v>5940731.3565340471</v>
      </c>
      <c r="N16" s="19">
        <f t="shared" si="5"/>
        <v>18517404.59197291</v>
      </c>
      <c r="O16" s="19">
        <f t="shared" si="5"/>
        <v>21541693.464485701</v>
      </c>
    </row>
    <row r="17" spans="2:17" x14ac:dyDescent="0.25">
      <c r="D17" s="1" t="s">
        <v>144</v>
      </c>
      <c r="E17" s="19">
        <f>0</f>
        <v>0</v>
      </c>
      <c r="F17" s="19">
        <f>SUM($E$16:F16)</f>
        <v>1124075.3344481047</v>
      </c>
      <c r="G17" s="19">
        <f>SUM($E$16:G16)</f>
        <v>3275517.1506997501</v>
      </c>
      <c r="H17" s="19">
        <f>SUM($E$16:H16)</f>
        <v>5531398.3213104298</v>
      </c>
      <c r="K17" s="1" t="s">
        <v>144</v>
      </c>
      <c r="L17" s="19">
        <f>0</f>
        <v>0</v>
      </c>
      <c r="M17" s="19">
        <f>SUM($L$16:M16)</f>
        <v>5940731.3565340471</v>
      </c>
      <c r="N17" s="19">
        <f>SUM($L$16:N16)</f>
        <v>24458135.948506959</v>
      </c>
      <c r="O17" s="19">
        <f>SUM($L$16:O16)</f>
        <v>45999829.412992656</v>
      </c>
    </row>
    <row r="18" spans="2:17" x14ac:dyDescent="0.25">
      <c r="D18" s="1" t="s">
        <v>145</v>
      </c>
      <c r="E18" s="19">
        <f>0</f>
        <v>0</v>
      </c>
      <c r="F18" s="19">
        <v>4.5870686600603552</v>
      </c>
      <c r="G18" s="19">
        <v>4.4938190149786843</v>
      </c>
      <c r="H18" s="19">
        <v>11.511544908422136</v>
      </c>
      <c r="I18" t="s">
        <v>146</v>
      </c>
      <c r="K18" s="1" t="s">
        <v>145</v>
      </c>
      <c r="L18" s="19">
        <f>0</f>
        <v>0</v>
      </c>
      <c r="M18" s="19">
        <v>11.121439404726541</v>
      </c>
      <c r="N18" s="19">
        <v>24.77038778550035</v>
      </c>
      <c r="O18" s="19">
        <v>6.1621845041500238</v>
      </c>
      <c r="P18" t="s">
        <v>147</v>
      </c>
    </row>
    <row r="19" spans="2:17" x14ac:dyDescent="0.25">
      <c r="D19" s="1" t="s">
        <v>134</v>
      </c>
      <c r="E19" s="21" t="str">
        <f>IFERROR(SUM(E17,E14)/(E15-E18),"N/A")</f>
        <v>N/A</v>
      </c>
      <c r="F19" s="21">
        <f>IFERROR(SUM(F17,F14)/(F15-F18),"N/A")</f>
        <v>2030545.8930687921</v>
      </c>
      <c r="G19" s="21">
        <f>IFERROR(SUM(G17,G14)/(G15-G18),"N/A")</f>
        <v>2030605.9026950798</v>
      </c>
      <c r="H19" s="21">
        <f>IFERROR(SUM(H17,H14)/(H15-H18),"N/A")</f>
        <v>2031369.5193810314</v>
      </c>
      <c r="I19" s="5" t="s">
        <v>148</v>
      </c>
      <c r="K19" s="1" t="s">
        <v>134</v>
      </c>
      <c r="L19" s="21" t="str">
        <f>IFERROR(SUM(L17,L14)/(L15-L18),"N/A")</f>
        <v>N/A</v>
      </c>
      <c r="M19" s="21">
        <f>IFERROR(SUM(M17,M14)/(M15-M18),"N/A")</f>
        <v>2051771.149296223</v>
      </c>
      <c r="N19" s="21">
        <f>IFERROR(SUM(N17,N14)/(N15-N18),"N/A")</f>
        <v>2062762.6788845302</v>
      </c>
      <c r="O19" s="21">
        <f>IFERROR(SUM(O17,O14)/(O15-O18),"N/A")</f>
        <v>2064908.636273687</v>
      </c>
    </row>
    <row r="20" spans="2:17" x14ac:dyDescent="0.25">
      <c r="E20" s="43"/>
      <c r="F20" s="43"/>
      <c r="G20" s="43"/>
      <c r="H20" s="43"/>
      <c r="L20" s="43"/>
      <c r="M20" s="43"/>
      <c r="N20" s="43"/>
      <c r="O20" s="43"/>
    </row>
    <row r="21" spans="2:17" x14ac:dyDescent="0.25">
      <c r="E21" s="43"/>
      <c r="F21" s="43"/>
      <c r="G21" s="43"/>
      <c r="H21" s="43"/>
      <c r="L21" s="43"/>
      <c r="M21" s="43"/>
      <c r="N21" s="43"/>
      <c r="O21" s="43"/>
    </row>
    <row r="22" spans="2:17" x14ac:dyDescent="0.25"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2:17" x14ac:dyDescent="0.25">
      <c r="D23" t="s">
        <v>149</v>
      </c>
      <c r="F23" s="46"/>
      <c r="G23" s="46"/>
      <c r="H23" s="46"/>
      <c r="I23" s="45"/>
      <c r="J23" s="45"/>
      <c r="K23" s="45"/>
      <c r="L23" s="45"/>
      <c r="M23" s="46"/>
      <c r="N23" s="46"/>
      <c r="O23" s="46"/>
    </row>
    <row r="24" spans="2:17" x14ac:dyDescent="0.25">
      <c r="D24" s="23" t="s">
        <v>150</v>
      </c>
      <c r="E24" s="23">
        <v>2020</v>
      </c>
      <c r="F24" s="23">
        <v>2030</v>
      </c>
      <c r="G24" s="23">
        <v>2040</v>
      </c>
      <c r="H24" s="23">
        <v>2050</v>
      </c>
      <c r="I24" s="9" t="s">
        <v>74</v>
      </c>
      <c r="J24" s="9"/>
      <c r="K24" s="23" t="s">
        <v>150</v>
      </c>
      <c r="L24" s="23">
        <v>2020</v>
      </c>
      <c r="M24" s="23">
        <v>2030</v>
      </c>
      <c r="N24" s="23">
        <v>2040</v>
      </c>
      <c r="O24" s="23">
        <v>2050</v>
      </c>
    </row>
    <row r="25" spans="2:17" x14ac:dyDescent="0.25">
      <c r="D25" s="1" t="s">
        <v>151</v>
      </c>
      <c r="E25" s="92">
        <v>8.1558028616852152</v>
      </c>
      <c r="F25" s="92">
        <v>12.887122416534179</v>
      </c>
      <c r="G25" s="92">
        <v>15.166931637519873</v>
      </c>
      <c r="H25" s="92">
        <v>15.166931637519873</v>
      </c>
      <c r="I25" t="s">
        <v>152</v>
      </c>
      <c r="K25" s="1" t="s">
        <v>151</v>
      </c>
      <c r="L25" s="92">
        <v>8.1558028616852205</v>
      </c>
      <c r="M25" s="92">
        <v>12.887122416534201</v>
      </c>
      <c r="N25" s="92">
        <v>15.166931637519873</v>
      </c>
      <c r="O25" s="92">
        <v>15.166931637519873</v>
      </c>
      <c r="P25" t="s">
        <v>152</v>
      </c>
      <c r="Q25" s="2"/>
    </row>
    <row r="26" spans="2:17" x14ac:dyDescent="0.25">
      <c r="D26" s="1" t="s">
        <v>153</v>
      </c>
      <c r="E26" s="92">
        <v>8.1558028616852152</v>
      </c>
      <c r="F26" s="92">
        <v>12.887122416534179</v>
      </c>
      <c r="G26" s="92">
        <v>15.166931637519873</v>
      </c>
      <c r="H26" s="92">
        <v>15.166931637519873</v>
      </c>
      <c r="I26" t="s">
        <v>152</v>
      </c>
      <c r="K26" s="1" t="s">
        <v>153</v>
      </c>
      <c r="L26" s="92">
        <v>8.1558028616852152</v>
      </c>
      <c r="M26" s="92">
        <v>12.887122416534179</v>
      </c>
      <c r="N26" s="92">
        <v>15.166931637519873</v>
      </c>
      <c r="O26" s="92">
        <v>15.166931637519873</v>
      </c>
      <c r="P26" t="s">
        <v>152</v>
      </c>
    </row>
    <row r="27" spans="2:17" x14ac:dyDescent="0.25">
      <c r="D27" s="1" t="s">
        <v>154</v>
      </c>
      <c r="E27" s="4">
        <f>(AVERAGE(E25:E26)/3.6)*10^6</f>
        <v>2265500.7949125594</v>
      </c>
      <c r="F27" s="4">
        <f>(AVERAGE(F25:F26)/3.6)*10^6</f>
        <v>3579756.2268150495</v>
      </c>
      <c r="G27" s="4">
        <f>(AVERAGE(G25:G26)/3.6)*10^6</f>
        <v>4213036.5659777429</v>
      </c>
      <c r="H27" s="4">
        <f>(AVERAGE(H25:H26)/3.6)*10^6</f>
        <v>4213036.5659777429</v>
      </c>
      <c r="K27" s="1" t="s">
        <v>154</v>
      </c>
      <c r="L27" s="4">
        <f>(AVERAGE(L25:L26)/3.6)*10^6</f>
        <v>2265500.7949125599</v>
      </c>
      <c r="M27" s="4">
        <f>(AVERAGE(M25:M26)/3.6)*10^6</f>
        <v>3579756.2268150528</v>
      </c>
      <c r="N27" s="4">
        <f>(AVERAGE(N25:N26)/3.6)*10^6</f>
        <v>4213036.5659777429</v>
      </c>
      <c r="O27" s="4">
        <f>(AVERAGE(O25:O26)/3.6)*10^6</f>
        <v>4213036.5659777429</v>
      </c>
    </row>
    <row r="29" spans="2:17" x14ac:dyDescent="0.25">
      <c r="D29" t="s">
        <v>149</v>
      </c>
      <c r="K29" t="s">
        <v>149</v>
      </c>
    </row>
    <row r="30" spans="2:17" x14ac:dyDescent="0.25">
      <c r="D30" s="23" t="s">
        <v>150</v>
      </c>
      <c r="E30" s="23">
        <v>2020</v>
      </c>
      <c r="F30" s="23">
        <v>2030</v>
      </c>
      <c r="G30" s="23">
        <v>2040</v>
      </c>
      <c r="H30" s="23">
        <v>2050</v>
      </c>
      <c r="I30" s="9"/>
      <c r="J30" s="9"/>
      <c r="K30" s="23" t="s">
        <v>150</v>
      </c>
      <c r="L30" s="23">
        <v>2020</v>
      </c>
      <c r="M30" s="23">
        <v>2030</v>
      </c>
      <c r="N30" s="23">
        <v>2040</v>
      </c>
      <c r="O30" s="23">
        <v>2050</v>
      </c>
      <c r="P30" s="6"/>
    </row>
    <row r="31" spans="2:17" x14ac:dyDescent="0.25">
      <c r="D31" s="1" t="s">
        <v>155</v>
      </c>
      <c r="E31" s="91">
        <v>8.1558028616852152</v>
      </c>
      <c r="F31" s="91">
        <v>12.887122416534179</v>
      </c>
      <c r="G31" s="91">
        <v>15.166931637519873</v>
      </c>
      <c r="H31" s="91">
        <v>15.166931637519873</v>
      </c>
      <c r="I31" t="s">
        <v>152</v>
      </c>
      <c r="K31" s="1" t="s">
        <v>155</v>
      </c>
      <c r="L31" s="91">
        <v>8.1558028616852152</v>
      </c>
      <c r="M31" s="91">
        <v>12.887122416534179</v>
      </c>
      <c r="N31" s="91">
        <v>15.166931637519873</v>
      </c>
      <c r="O31" s="91">
        <v>15.166931637519873</v>
      </c>
      <c r="P31" t="s">
        <v>152</v>
      </c>
    </row>
    <row r="32" spans="2:17" x14ac:dyDescent="0.25">
      <c r="B32" t="s">
        <v>156</v>
      </c>
      <c r="D32" s="1" t="s">
        <v>154</v>
      </c>
      <c r="E32" s="7">
        <f>(E31/3.6)*10^6</f>
        <v>2265500.7949125594</v>
      </c>
      <c r="F32" s="7">
        <f>(F31/3.6)*10^6</f>
        <v>3579756.2268150495</v>
      </c>
      <c r="G32" s="7">
        <f>(G31/3.6)*10^6</f>
        <v>4213036.5659777429</v>
      </c>
      <c r="H32" s="7">
        <f>(H31/3.6)*10^6</f>
        <v>4213036.5659777429</v>
      </c>
      <c r="K32" s="1" t="s">
        <v>154</v>
      </c>
      <c r="L32" s="7">
        <f>(L31/3.6)*10^6</f>
        <v>2265500.7949125594</v>
      </c>
      <c r="M32" s="7">
        <f>(M31/3.6)*10^6</f>
        <v>3579756.2268150495</v>
      </c>
      <c r="N32" s="7">
        <f>(N31/3.6)*10^6</f>
        <v>4213036.5659777429</v>
      </c>
      <c r="O32" s="7">
        <f>(O31/3.6)*10^6</f>
        <v>4213036.5659777429</v>
      </c>
    </row>
    <row r="33" spans="2:16" x14ac:dyDescent="0.25">
      <c r="B33" t="s">
        <v>157</v>
      </c>
    </row>
    <row r="34" spans="2:16" x14ac:dyDescent="0.25">
      <c r="D34" s="1" t="s">
        <v>158</v>
      </c>
      <c r="E34" s="1" t="s">
        <v>159</v>
      </c>
      <c r="F34" s="1" t="s">
        <v>160</v>
      </c>
      <c r="G34" t="s">
        <v>74</v>
      </c>
    </row>
    <row r="35" spans="2:16" x14ac:dyDescent="0.25">
      <c r="D35" s="1"/>
      <c r="E35" s="1">
        <v>95</v>
      </c>
      <c r="F35" s="1" t="s">
        <v>161</v>
      </c>
    </row>
    <row r="36" spans="2:16" x14ac:dyDescent="0.25">
      <c r="D36" s="1" t="s">
        <v>162</v>
      </c>
      <c r="E36" s="20">
        <v>1.9984999999999999E-2</v>
      </c>
      <c r="F36" s="1" t="s">
        <v>163</v>
      </c>
      <c r="G36" t="s">
        <v>164</v>
      </c>
    </row>
    <row r="37" spans="2:16" x14ac:dyDescent="0.25">
      <c r="D37" s="1" t="s">
        <v>162</v>
      </c>
      <c r="E37" s="1">
        <f>E36*10^6</f>
        <v>19985</v>
      </c>
      <c r="F37" s="1" t="s">
        <v>165</v>
      </c>
    </row>
    <row r="38" spans="2:16" x14ac:dyDescent="0.25">
      <c r="D38" s="1" t="s">
        <v>162</v>
      </c>
      <c r="E38" s="1">
        <f>E37/3.6</f>
        <v>5551.3888888888887</v>
      </c>
      <c r="F38" s="1" t="s">
        <v>166</v>
      </c>
    </row>
    <row r="39" spans="2:16" x14ac:dyDescent="0.25">
      <c r="D39" s="1" t="s">
        <v>167</v>
      </c>
      <c r="E39" s="1">
        <f>E38*E35</f>
        <v>527381.94444444438</v>
      </c>
      <c r="F39" s="1" t="s">
        <v>168</v>
      </c>
    </row>
    <row r="43" spans="2:16" x14ac:dyDescent="0.25">
      <c r="D43" s="23" t="s">
        <v>169</v>
      </c>
      <c r="E43" s="23">
        <v>2020</v>
      </c>
      <c r="F43" s="23">
        <v>2030</v>
      </c>
      <c r="G43" s="23">
        <v>2040</v>
      </c>
      <c r="H43" s="23">
        <v>2050</v>
      </c>
      <c r="K43" s="23" t="s">
        <v>169</v>
      </c>
      <c r="L43" s="23">
        <v>2020</v>
      </c>
      <c r="M43" s="23">
        <v>2030</v>
      </c>
      <c r="N43" s="23">
        <v>2040</v>
      </c>
      <c r="O43" s="23">
        <v>2050</v>
      </c>
    </row>
    <row r="44" spans="2:16" x14ac:dyDescent="0.25">
      <c r="B44" t="s">
        <v>170</v>
      </c>
      <c r="D44" s="1" t="s">
        <v>171</v>
      </c>
      <c r="E44" s="1">
        <v>0</v>
      </c>
      <c r="F44" s="1">
        <v>0</v>
      </c>
      <c r="G44" s="37">
        <f>13339.1129864651/10</f>
        <v>1333.91129864651</v>
      </c>
      <c r="H44" s="37">
        <v>1567.143217421125</v>
      </c>
      <c r="I44" t="s">
        <v>172</v>
      </c>
      <c r="K44" s="1" t="s">
        <v>171</v>
      </c>
      <c r="L44" s="1">
        <v>0</v>
      </c>
      <c r="M44" s="37">
        <f>10426.3566510602/10</f>
        <v>1042.63566510602</v>
      </c>
      <c r="N44" s="37">
        <f>20356.2375864943/10</f>
        <v>2035.6237586494299</v>
      </c>
      <c r="O44" s="37">
        <v>3717.6832477340395</v>
      </c>
      <c r="P44" t="s">
        <v>172</v>
      </c>
    </row>
    <row r="45" spans="2:16" x14ac:dyDescent="0.25">
      <c r="B45" t="s">
        <v>173</v>
      </c>
      <c r="D45" s="1" t="s">
        <v>174</v>
      </c>
      <c r="E45" s="1">
        <v>0</v>
      </c>
      <c r="F45" s="1">
        <v>0</v>
      </c>
      <c r="G45" s="1">
        <v>59.039999999999843</v>
      </c>
      <c r="H45" s="1">
        <v>72.360000000000014</v>
      </c>
      <c r="K45" s="1" t="s">
        <v>174</v>
      </c>
      <c r="L45" s="1">
        <v>0</v>
      </c>
      <c r="M45" s="1">
        <v>44.279999999999951</v>
      </c>
      <c r="N45" s="1">
        <v>91.439999999999898</v>
      </c>
      <c r="O45" s="1">
        <v>170.64000000000084</v>
      </c>
    </row>
    <row r="46" spans="2:16" x14ac:dyDescent="0.25">
      <c r="B46" t="s">
        <v>175</v>
      </c>
      <c r="D46" s="4" t="s">
        <v>167</v>
      </c>
      <c r="E46" s="21" t="str">
        <f>IFERROR(E44*10^6/E45,"N/A")</f>
        <v>N/A</v>
      </c>
      <c r="F46" s="21" t="str">
        <f t="shared" ref="F46:G46" si="6">IFERROR(F44*10^6/F45,"N/A")</f>
        <v>N/A</v>
      </c>
      <c r="G46" s="21">
        <f t="shared" si="6"/>
        <v>22593348.554310866</v>
      </c>
      <c r="H46" s="21">
        <f>IFERROR(H44*10^6/H45,"N/A")</f>
        <v>21657590.069390889</v>
      </c>
      <c r="K46" s="4" t="s">
        <v>167</v>
      </c>
      <c r="L46" s="21" t="str">
        <f>IFERROR(L44*10^6/L45,"N/A")</f>
        <v>N/A</v>
      </c>
      <c r="M46" s="21">
        <f t="shared" ref="M46" si="7">IFERROR(M44*10^6/M45,"N/A")</f>
        <v>23546424.234553326</v>
      </c>
      <c r="N46" s="21">
        <f t="shared" ref="N46" si="8">IFERROR(N44*10^6/N45,"N/A")</f>
        <v>22261852.128712073</v>
      </c>
      <c r="O46" s="21">
        <f>IFERROR(O44*10^6/O45,"N/A")</f>
        <v>21786704.452262197</v>
      </c>
    </row>
    <row r="49" spans="2:16" x14ac:dyDescent="0.25">
      <c r="D49" s="23" t="s">
        <v>176</v>
      </c>
      <c r="E49" s="23">
        <v>2020</v>
      </c>
      <c r="F49" s="23">
        <v>2030</v>
      </c>
      <c r="G49" s="23">
        <v>2040</v>
      </c>
      <c r="H49" s="23">
        <v>2050</v>
      </c>
      <c r="K49" s="23" t="s">
        <v>176</v>
      </c>
      <c r="L49" s="23">
        <v>2020</v>
      </c>
      <c r="M49" s="23">
        <v>2030</v>
      </c>
      <c r="N49" s="23">
        <v>2040</v>
      </c>
      <c r="O49" s="23">
        <v>2050</v>
      </c>
    </row>
    <row r="50" spans="2:16" x14ac:dyDescent="0.25">
      <c r="B50" t="s">
        <v>177</v>
      </c>
      <c r="D50" s="1" t="s">
        <v>178</v>
      </c>
      <c r="E50" s="1">
        <v>0</v>
      </c>
      <c r="F50" s="1">
        <v>0</v>
      </c>
      <c r="G50" s="1">
        <v>0</v>
      </c>
      <c r="H50" s="37">
        <v>1852490151.8036735</v>
      </c>
      <c r="I50" t="s">
        <v>172</v>
      </c>
      <c r="K50" s="1" t="s">
        <v>178</v>
      </c>
      <c r="L50" s="1">
        <v>0</v>
      </c>
      <c r="M50" s="1">
        <v>0</v>
      </c>
      <c r="N50" s="37">
        <f>32450465065.2855/10</f>
        <v>3245046506.5285501</v>
      </c>
      <c r="O50" s="37">
        <v>8536052691.0777111</v>
      </c>
      <c r="P50" t="s">
        <v>172</v>
      </c>
    </row>
    <row r="51" spans="2:16" x14ac:dyDescent="0.25">
      <c r="B51" t="s">
        <v>179</v>
      </c>
      <c r="D51" s="1" t="s">
        <v>174</v>
      </c>
      <c r="E51" s="1"/>
      <c r="F51" s="1"/>
      <c r="G51" s="1"/>
      <c r="H51" s="20">
        <v>107.52339021395404</v>
      </c>
      <c r="K51" s="1" t="s">
        <v>174</v>
      </c>
      <c r="L51" s="1">
        <v>0</v>
      </c>
      <c r="M51" s="1">
        <v>0</v>
      </c>
      <c r="N51" s="20">
        <v>181.83802272352352</v>
      </c>
      <c r="O51" s="20">
        <v>511.23870941604594</v>
      </c>
    </row>
    <row r="52" spans="2:16" x14ac:dyDescent="0.25">
      <c r="B52" t="s">
        <v>180</v>
      </c>
      <c r="D52" s="4" t="s">
        <v>167</v>
      </c>
      <c r="E52" s="21" t="str">
        <f>IFERROR(E50/E51,"N/A")</f>
        <v>N/A</v>
      </c>
      <c r="F52" s="21" t="str">
        <f t="shared" ref="F52:H52" si="9">IFERROR(F50/F51,"N/A")</f>
        <v>N/A</v>
      </c>
      <c r="G52" s="21" t="str">
        <f t="shared" si="9"/>
        <v>N/A</v>
      </c>
      <c r="H52" s="21">
        <f t="shared" si="9"/>
        <v>17228717.845647532</v>
      </c>
      <c r="I52" s="5" t="s">
        <v>181</v>
      </c>
      <c r="K52" s="4" t="s">
        <v>167</v>
      </c>
      <c r="L52" s="21" t="str">
        <f>IFERROR(L50/L51,"N/A")</f>
        <v>N/A</v>
      </c>
      <c r="M52" s="21" t="str">
        <f>IFERROR(M50/M51,"N/A")</f>
        <v>N/A</v>
      </c>
      <c r="N52" s="21">
        <f>IFERROR(N50/N51,"N/A")</f>
        <v>17845808.362437468</v>
      </c>
      <c r="O52" s="21">
        <f>IFERROR(O50/O51,"N/A")</f>
        <v>16696804.318334732</v>
      </c>
    </row>
    <row r="54" spans="2:16" x14ac:dyDescent="0.25">
      <c r="D54" s="23" t="s">
        <v>182</v>
      </c>
      <c r="E54" s="23">
        <v>2020</v>
      </c>
      <c r="F54" s="23">
        <v>2030</v>
      </c>
      <c r="G54" s="23">
        <v>2040</v>
      </c>
      <c r="H54" s="23">
        <v>2050</v>
      </c>
      <c r="K54" s="23" t="s">
        <v>182</v>
      </c>
      <c r="L54" s="23">
        <v>2020</v>
      </c>
      <c r="M54" s="23">
        <v>2030</v>
      </c>
      <c r="N54" s="23">
        <v>2040</v>
      </c>
      <c r="O54" s="23">
        <v>2050</v>
      </c>
    </row>
    <row r="55" spans="2:16" x14ac:dyDescent="0.25">
      <c r="B55" t="s">
        <v>183</v>
      </c>
      <c r="D55" s="1" t="s">
        <v>184</v>
      </c>
      <c r="E55" s="1">
        <v>0</v>
      </c>
      <c r="F55" s="37">
        <f>8479815463.34152/10</f>
        <v>847981546.33415198</v>
      </c>
      <c r="G55" s="37">
        <f>13135970702.7304/10</f>
        <v>1313597070.2730401</v>
      </c>
      <c r="H55" s="37">
        <v>898921077.74256206</v>
      </c>
      <c r="I55" t="s">
        <v>172</v>
      </c>
      <c r="K55" s="1" t="s">
        <v>184</v>
      </c>
      <c r="L55" s="1">
        <v>0</v>
      </c>
      <c r="M55" s="37">
        <f>21315180480.8786/10</f>
        <v>2131518048.0878601</v>
      </c>
      <c r="N55" s="37">
        <f>21685654538.8342/10</f>
        <v>2168565453.88342</v>
      </c>
      <c r="O55" s="37">
        <v>1546403911.300375</v>
      </c>
      <c r="P55" t="s">
        <v>172</v>
      </c>
    </row>
    <row r="56" spans="2:16" x14ac:dyDescent="0.25">
      <c r="B56" t="s">
        <v>179</v>
      </c>
      <c r="D56" s="1" t="s">
        <v>174</v>
      </c>
      <c r="E56" s="1">
        <v>0</v>
      </c>
      <c r="F56" s="20">
        <v>59.73014342881698</v>
      </c>
      <c r="G56" s="20">
        <v>154.08239523575207</v>
      </c>
      <c r="H56" s="20">
        <v>154.08239523575207</v>
      </c>
      <c r="K56" s="1" t="s">
        <v>174</v>
      </c>
      <c r="L56" s="1">
        <v>0</v>
      </c>
      <c r="M56" s="20">
        <v>155.90527878814785</v>
      </c>
      <c r="N56" s="20">
        <v>294.51453428175006</v>
      </c>
      <c r="O56" s="20">
        <v>288.86786720697626</v>
      </c>
    </row>
    <row r="57" spans="2:16" x14ac:dyDescent="0.25">
      <c r="B57" t="s">
        <v>180</v>
      </c>
      <c r="D57" s="4" t="s">
        <v>167</v>
      </c>
      <c r="E57" s="21" t="str">
        <f>IFERROR(E55/E56,"N/A")</f>
        <v>N/A</v>
      </c>
      <c r="F57" s="21">
        <f>IFERROR(F55/F56,"N/A")</f>
        <v>14196877.784911543</v>
      </c>
      <c r="G57" s="21">
        <f>IFERROR(G55/G56,"N/A")</f>
        <v>8525289.7857875675</v>
      </c>
      <c r="H57" s="21">
        <f>IFERROR(H55/H56,"N/A")</f>
        <v>5834028.45190184</v>
      </c>
      <c r="I57" s="5" t="s">
        <v>185</v>
      </c>
      <c r="K57" s="4" t="s">
        <v>167</v>
      </c>
      <c r="L57" s="21" t="str">
        <f>IFERROR(L55/L56,"N/A")</f>
        <v>N/A</v>
      </c>
      <c r="M57" s="21">
        <f>IFERROR(M55/M56,"N/A")</f>
        <v>13671878.621789817</v>
      </c>
      <c r="N57" s="21">
        <f>IFERROR(N55/N56,"N/A")</f>
        <v>7363186.5373708233</v>
      </c>
      <c r="O57" s="21">
        <f>IFERROR(O55/O56,"N/A")</f>
        <v>5353326.163454392</v>
      </c>
    </row>
  </sheetData>
  <pageMargins left="0.7" right="0.7" top="0.75" bottom="0.75" header="0.3" footer="0.3"/>
  <pageSetup scale="22" orientation="landscape" r:id="rId1"/>
  <headerFooter>
    <oddHeader>&amp;R&amp;"Arial,Regular"&amp;10Filed: 2023-04-12
EB-2022-0200
Exhibit JT1.25
Attachment 1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55F90-EE50-4698-A1DE-D45D1BC48BE6}">
  <dimension ref="B1:O55"/>
  <sheetViews>
    <sheetView view="pageBreakPreview" zoomScale="60" zoomScaleNormal="100" workbookViewId="0">
      <selection activeCell="K1" sqref="K1:N1048576"/>
    </sheetView>
  </sheetViews>
  <sheetFormatPr defaultRowHeight="15" x14ac:dyDescent="0.25"/>
  <cols>
    <col min="2" max="2" width="23.7109375" customWidth="1"/>
    <col min="3" max="3" width="13.28515625" bestFit="1" customWidth="1"/>
    <col min="4" max="4" width="16.42578125" bestFit="1" customWidth="1"/>
    <col min="5" max="5" width="10.5703125" bestFit="1" customWidth="1"/>
    <col min="10" max="10" width="23.140625" customWidth="1"/>
    <col min="11" max="14" width="26" customWidth="1"/>
  </cols>
  <sheetData>
    <row r="1" spans="2:15" ht="18.75" x14ac:dyDescent="0.3">
      <c r="B1" s="81" t="s">
        <v>186</v>
      </c>
    </row>
    <row r="2" spans="2:15" x14ac:dyDescent="0.25">
      <c r="B2" t="s">
        <v>187</v>
      </c>
      <c r="J2" t="s">
        <v>188</v>
      </c>
    </row>
    <row r="3" spans="2:15" x14ac:dyDescent="0.25">
      <c r="B3" t="s">
        <v>189</v>
      </c>
      <c r="C3" t="s">
        <v>130</v>
      </c>
      <c r="J3" t="s">
        <v>189</v>
      </c>
      <c r="K3" t="s">
        <v>86</v>
      </c>
    </row>
    <row r="5" spans="2:15" x14ac:dyDescent="0.25">
      <c r="B5">
        <v>2030</v>
      </c>
      <c r="C5" t="s">
        <v>190</v>
      </c>
      <c r="D5" t="s">
        <v>191</v>
      </c>
      <c r="G5">
        <v>-1251502.96878836</v>
      </c>
      <c r="J5">
        <v>2030</v>
      </c>
      <c r="K5" t="s">
        <v>190</v>
      </c>
      <c r="L5" t="s">
        <v>191</v>
      </c>
      <c r="O5">
        <v>-535258.34727149503</v>
      </c>
    </row>
    <row r="6" spans="2:15" x14ac:dyDescent="0.25">
      <c r="B6">
        <v>2030</v>
      </c>
      <c r="C6" t="s">
        <v>192</v>
      </c>
      <c r="D6" t="s">
        <v>191</v>
      </c>
      <c r="G6">
        <v>-195188.10821206999</v>
      </c>
      <c r="J6">
        <v>2030</v>
      </c>
      <c r="K6" t="s">
        <v>192</v>
      </c>
      <c r="L6" t="s">
        <v>191</v>
      </c>
      <c r="O6">
        <v>0</v>
      </c>
    </row>
    <row r="7" spans="2:15" x14ac:dyDescent="0.25">
      <c r="B7">
        <v>2030</v>
      </c>
      <c r="C7" t="s">
        <v>193</v>
      </c>
      <c r="D7" t="s">
        <v>191</v>
      </c>
      <c r="G7">
        <v>-1642597.64653472</v>
      </c>
      <c r="J7">
        <v>2030</v>
      </c>
      <c r="K7" t="s">
        <v>193</v>
      </c>
      <c r="L7" t="s">
        <v>191</v>
      </c>
      <c r="O7">
        <v>-647418.62102035596</v>
      </c>
    </row>
    <row r="8" spans="2:15" x14ac:dyDescent="0.25">
      <c r="B8">
        <v>2030</v>
      </c>
      <c r="C8" t="s">
        <v>194</v>
      </c>
      <c r="D8" t="s">
        <v>191</v>
      </c>
      <c r="G8">
        <v>0</v>
      </c>
      <c r="J8">
        <v>2030</v>
      </c>
      <c r="K8" t="s">
        <v>194</v>
      </c>
      <c r="L8" t="s">
        <v>191</v>
      </c>
      <c r="O8">
        <v>0</v>
      </c>
    </row>
    <row r="9" spans="2:15" x14ac:dyDescent="0.25">
      <c r="B9">
        <v>2030</v>
      </c>
      <c r="C9" t="s">
        <v>195</v>
      </c>
      <c r="D9" t="s">
        <v>191</v>
      </c>
      <c r="G9">
        <v>0</v>
      </c>
      <c r="J9">
        <v>2030</v>
      </c>
      <c r="K9" t="s">
        <v>195</v>
      </c>
      <c r="L9" t="s">
        <v>191</v>
      </c>
      <c r="O9">
        <v>-91508.770613803106</v>
      </c>
    </row>
    <row r="10" spans="2:15" x14ac:dyDescent="0.25">
      <c r="B10">
        <v>2040</v>
      </c>
      <c r="C10" t="s">
        <v>190</v>
      </c>
      <c r="D10" t="s">
        <v>191</v>
      </c>
      <c r="G10">
        <v>-1183896.74625711</v>
      </c>
      <c r="J10">
        <v>2040</v>
      </c>
      <c r="K10" t="s">
        <v>190</v>
      </c>
      <c r="L10" t="s">
        <v>191</v>
      </c>
      <c r="O10">
        <v>0</v>
      </c>
    </row>
    <row r="11" spans="2:15" x14ac:dyDescent="0.25">
      <c r="B11">
        <v>2040</v>
      </c>
      <c r="C11" t="s">
        <v>192</v>
      </c>
      <c r="D11" t="s">
        <v>191</v>
      </c>
      <c r="G11">
        <v>0</v>
      </c>
      <c r="J11">
        <v>2040</v>
      </c>
      <c r="K11" t="s">
        <v>192</v>
      </c>
      <c r="L11" t="s">
        <v>191</v>
      </c>
      <c r="O11">
        <v>0</v>
      </c>
    </row>
    <row r="12" spans="2:15" x14ac:dyDescent="0.25">
      <c r="B12">
        <v>2040</v>
      </c>
      <c r="C12" t="s">
        <v>193</v>
      </c>
      <c r="D12" t="s">
        <v>191</v>
      </c>
      <c r="G12">
        <v>-5520301.3821892496</v>
      </c>
      <c r="J12">
        <v>2040</v>
      </c>
      <c r="K12" t="s">
        <v>193</v>
      </c>
      <c r="L12" t="s">
        <v>191</v>
      </c>
      <c r="O12">
        <v>-109618.93649202101</v>
      </c>
    </row>
    <row r="13" spans="2:15" x14ac:dyDescent="0.25">
      <c r="B13">
        <v>2040</v>
      </c>
      <c r="C13" t="s">
        <v>194</v>
      </c>
      <c r="D13" t="s">
        <v>191</v>
      </c>
      <c r="G13">
        <v>0</v>
      </c>
      <c r="J13">
        <v>2040</v>
      </c>
      <c r="K13" t="s">
        <v>194</v>
      </c>
      <c r="L13" t="s">
        <v>191</v>
      </c>
      <c r="O13">
        <v>0</v>
      </c>
    </row>
    <row r="14" spans="2:15" x14ac:dyDescent="0.25">
      <c r="B14">
        <v>2040</v>
      </c>
      <c r="C14" t="s">
        <v>195</v>
      </c>
      <c r="D14" t="s">
        <v>191</v>
      </c>
      <c r="G14">
        <v>-176465.14530373801</v>
      </c>
      <c r="J14">
        <v>2040</v>
      </c>
      <c r="K14" t="s">
        <v>195</v>
      </c>
      <c r="L14" t="s">
        <v>191</v>
      </c>
      <c r="O14">
        <v>-1138664.1232242801</v>
      </c>
    </row>
    <row r="15" spans="2:15" x14ac:dyDescent="0.25">
      <c r="B15">
        <v>2050</v>
      </c>
      <c r="C15" t="s">
        <v>190</v>
      </c>
      <c r="D15" t="s">
        <v>191</v>
      </c>
      <c r="G15">
        <v>0</v>
      </c>
      <c r="J15">
        <v>2050</v>
      </c>
      <c r="K15" t="s">
        <v>190</v>
      </c>
      <c r="L15" t="s">
        <v>191</v>
      </c>
      <c r="O15">
        <v>-509293.11957438599</v>
      </c>
    </row>
    <row r="16" spans="2:15" x14ac:dyDescent="0.25">
      <c r="B16">
        <v>2050</v>
      </c>
      <c r="C16" t="s">
        <v>192</v>
      </c>
      <c r="D16" t="s">
        <v>191</v>
      </c>
      <c r="G16">
        <v>0</v>
      </c>
      <c r="J16">
        <v>2050</v>
      </c>
      <c r="K16" t="s">
        <v>192</v>
      </c>
      <c r="L16" t="s">
        <v>191</v>
      </c>
      <c r="O16">
        <v>0</v>
      </c>
    </row>
    <row r="17" spans="2:15" x14ac:dyDescent="0.25">
      <c r="B17">
        <v>2050</v>
      </c>
      <c r="C17" t="s">
        <v>193</v>
      </c>
      <c r="D17" t="s">
        <v>191</v>
      </c>
      <c r="G17">
        <v>-949189.62366160098</v>
      </c>
      <c r="J17">
        <v>2050</v>
      </c>
      <c r="K17" t="s">
        <v>193</v>
      </c>
      <c r="L17" t="s">
        <v>191</v>
      </c>
      <c r="O17">
        <v>-772819.052014897</v>
      </c>
    </row>
    <row r="18" spans="2:15" x14ac:dyDescent="0.25">
      <c r="B18">
        <v>2050</v>
      </c>
      <c r="C18" t="s">
        <v>194</v>
      </c>
      <c r="D18" t="s">
        <v>191</v>
      </c>
      <c r="G18">
        <v>0</v>
      </c>
      <c r="J18">
        <v>2050</v>
      </c>
      <c r="K18" t="s">
        <v>194</v>
      </c>
      <c r="L18" t="s">
        <v>191</v>
      </c>
      <c r="O18">
        <v>0</v>
      </c>
    </row>
    <row r="19" spans="2:15" x14ac:dyDescent="0.25">
      <c r="B19">
        <v>2050</v>
      </c>
      <c r="C19" t="s">
        <v>195</v>
      </c>
      <c r="D19" t="s">
        <v>191</v>
      </c>
      <c r="G19">
        <v>-762528.29415784997</v>
      </c>
      <c r="J19">
        <v>2050</v>
      </c>
      <c r="K19" t="s">
        <v>195</v>
      </c>
      <c r="L19" t="s">
        <v>191</v>
      </c>
      <c r="O19">
        <v>-1915539.19186131</v>
      </c>
    </row>
    <row r="21" spans="2:15" x14ac:dyDescent="0.25">
      <c r="C21">
        <v>2030</v>
      </c>
      <c r="D21">
        <v>2040</v>
      </c>
      <c r="E21">
        <v>2050</v>
      </c>
      <c r="K21">
        <v>2030</v>
      </c>
      <c r="L21">
        <v>2040</v>
      </c>
      <c r="M21">
        <v>2050</v>
      </c>
    </row>
    <row r="22" spans="2:15" x14ac:dyDescent="0.25">
      <c r="B22" t="s">
        <v>196</v>
      </c>
      <c r="C22" s="48">
        <f>-SUMIFS($G$5:$G$19,$B$5:$B$19,C21)</f>
        <v>3089288.7235351503</v>
      </c>
      <c r="D22" s="48">
        <f t="shared" ref="D22:E22" si="0">-SUMIFS($G$5:$G$19,$B$5:$B$19,D21)</f>
        <v>6880663.2737500975</v>
      </c>
      <c r="E22" s="48">
        <f t="shared" si="0"/>
        <v>1711717.9178194511</v>
      </c>
      <c r="J22" t="s">
        <v>196</v>
      </c>
      <c r="K22" s="48">
        <f>-SUMIFS($O$5:$O$19,$J$5:$J$19,K21)</f>
        <v>1274185.7389056541</v>
      </c>
      <c r="L22" s="48">
        <f t="shared" ref="L22:M22" si="1">-SUMIFS($O$5:$O$19,$J$5:$J$19,L21)</f>
        <v>1248283.059716301</v>
      </c>
      <c r="M22" s="48">
        <f t="shared" si="1"/>
        <v>3197651.3634505933</v>
      </c>
    </row>
    <row r="23" spans="2:15" x14ac:dyDescent="0.25">
      <c r="B23" t="s">
        <v>197</v>
      </c>
      <c r="C23" s="44">
        <f>C22/10^6*3.6</f>
        <v>11.121439404726541</v>
      </c>
      <c r="D23" s="44">
        <f t="shared" ref="D23:E23" si="2">D22/10^6*3.6</f>
        <v>24.77038778550035</v>
      </c>
      <c r="E23" s="44">
        <f t="shared" si="2"/>
        <v>6.1621845041500238</v>
      </c>
      <c r="J23" t="s">
        <v>197</v>
      </c>
      <c r="K23" s="44">
        <f t="shared" ref="K23:M23" si="3">K22/10^6*3.6</f>
        <v>4.5870686600603552</v>
      </c>
      <c r="L23" s="44">
        <f t="shared" si="3"/>
        <v>4.4938190149786843</v>
      </c>
      <c r="M23" s="44">
        <f t="shared" si="3"/>
        <v>11.511544908422136</v>
      </c>
    </row>
    <row r="24" spans="2:15" x14ac:dyDescent="0.25">
      <c r="C24" s="44"/>
      <c r="D24" s="44"/>
      <c r="E24" s="44"/>
      <c r="K24" s="44"/>
      <c r="L24" s="44"/>
      <c r="M24" s="44"/>
    </row>
    <row r="25" spans="2:15" x14ac:dyDescent="0.25">
      <c r="C25" s="44"/>
      <c r="D25" s="44"/>
      <c r="E25" s="44"/>
      <c r="K25" s="44"/>
      <c r="L25" s="44"/>
      <c r="M25" s="44"/>
    </row>
    <row r="26" spans="2:15" ht="18.75" x14ac:dyDescent="0.3">
      <c r="B26" s="81" t="s">
        <v>198</v>
      </c>
    </row>
    <row r="27" spans="2:15" x14ac:dyDescent="0.25">
      <c r="B27" t="s">
        <v>187</v>
      </c>
      <c r="J27" t="s">
        <v>188</v>
      </c>
    </row>
    <row r="28" spans="2:15" x14ac:dyDescent="0.25">
      <c r="B28" t="s">
        <v>189</v>
      </c>
      <c r="C28" t="s">
        <v>130</v>
      </c>
      <c r="J28" t="s">
        <v>189</v>
      </c>
      <c r="K28" t="s">
        <v>86</v>
      </c>
    </row>
    <row r="30" spans="2:15" x14ac:dyDescent="0.25">
      <c r="B30">
        <v>2030</v>
      </c>
      <c r="C30" t="s">
        <v>195</v>
      </c>
      <c r="D30" t="s">
        <v>199</v>
      </c>
      <c r="G30">
        <v>-239807.04614131001</v>
      </c>
      <c r="J30">
        <v>2030</v>
      </c>
      <c r="K30" t="s">
        <v>195</v>
      </c>
      <c r="L30" t="s">
        <v>199</v>
      </c>
      <c r="O30">
        <v>-333746.02219097997</v>
      </c>
    </row>
    <row r="31" spans="2:15" x14ac:dyDescent="0.25">
      <c r="B31">
        <v>2030</v>
      </c>
      <c r="C31" t="s">
        <v>195</v>
      </c>
      <c r="D31" t="s">
        <v>200</v>
      </c>
      <c r="G31">
        <v>-12331.560315406699</v>
      </c>
      <c r="J31">
        <v>2030</v>
      </c>
      <c r="K31" t="s">
        <v>195</v>
      </c>
      <c r="L31" t="s">
        <v>200</v>
      </c>
      <c r="O31">
        <v>-13139.802903994299</v>
      </c>
    </row>
    <row r="32" spans="2:15" x14ac:dyDescent="0.25">
      <c r="B32">
        <v>2040</v>
      </c>
      <c r="C32" t="s">
        <v>190</v>
      </c>
      <c r="D32" t="s">
        <v>199</v>
      </c>
      <c r="G32">
        <v>0</v>
      </c>
      <c r="J32">
        <v>2040</v>
      </c>
      <c r="K32" t="s">
        <v>190</v>
      </c>
      <c r="L32" t="s">
        <v>199</v>
      </c>
      <c r="O32">
        <v>0</v>
      </c>
    </row>
    <row r="33" spans="2:15" x14ac:dyDescent="0.25">
      <c r="B33">
        <v>2040</v>
      </c>
      <c r="C33" t="s">
        <v>190</v>
      </c>
      <c r="D33" t="s">
        <v>200</v>
      </c>
      <c r="G33">
        <v>0</v>
      </c>
      <c r="J33">
        <v>2040</v>
      </c>
      <c r="K33" t="s">
        <v>190</v>
      </c>
      <c r="L33" t="s">
        <v>200</v>
      </c>
      <c r="O33">
        <v>0</v>
      </c>
    </row>
    <row r="34" spans="2:15" x14ac:dyDescent="0.25">
      <c r="B34">
        <v>2040</v>
      </c>
      <c r="C34" t="s">
        <v>192</v>
      </c>
      <c r="D34" t="s">
        <v>199</v>
      </c>
      <c r="G34">
        <v>0</v>
      </c>
      <c r="J34">
        <v>2040</v>
      </c>
      <c r="K34" t="s">
        <v>192</v>
      </c>
      <c r="L34" t="s">
        <v>199</v>
      </c>
      <c r="O34">
        <v>0</v>
      </c>
    </row>
    <row r="35" spans="2:15" x14ac:dyDescent="0.25">
      <c r="B35">
        <v>2040</v>
      </c>
      <c r="C35" t="s">
        <v>192</v>
      </c>
      <c r="D35" t="s">
        <v>200</v>
      </c>
      <c r="G35">
        <v>0</v>
      </c>
      <c r="J35">
        <v>2040</v>
      </c>
      <c r="K35" t="s">
        <v>192</v>
      </c>
      <c r="L35" t="s">
        <v>200</v>
      </c>
      <c r="O35">
        <v>0</v>
      </c>
    </row>
    <row r="36" spans="2:15" x14ac:dyDescent="0.25">
      <c r="B36">
        <v>2040</v>
      </c>
      <c r="C36" t="s">
        <v>193</v>
      </c>
      <c r="D36" t="s">
        <v>199</v>
      </c>
      <c r="G36">
        <v>0</v>
      </c>
      <c r="J36">
        <v>2040</v>
      </c>
      <c r="K36" t="s">
        <v>193</v>
      </c>
      <c r="L36" t="s">
        <v>199</v>
      </c>
      <c r="O36">
        <v>0</v>
      </c>
    </row>
    <row r="37" spans="2:15" x14ac:dyDescent="0.25">
      <c r="B37">
        <v>2040</v>
      </c>
      <c r="C37" t="s">
        <v>193</v>
      </c>
      <c r="D37" t="s">
        <v>200</v>
      </c>
      <c r="G37">
        <v>0</v>
      </c>
      <c r="J37">
        <v>2040</v>
      </c>
      <c r="K37" t="s">
        <v>193</v>
      </c>
      <c r="L37" t="s">
        <v>200</v>
      </c>
      <c r="O37">
        <v>0</v>
      </c>
    </row>
    <row r="38" spans="2:15" x14ac:dyDescent="0.25">
      <c r="B38">
        <v>2040</v>
      </c>
      <c r="C38" t="s">
        <v>194</v>
      </c>
      <c r="D38" t="s">
        <v>199</v>
      </c>
      <c r="G38">
        <v>0</v>
      </c>
      <c r="J38">
        <v>2040</v>
      </c>
      <c r="K38" t="s">
        <v>194</v>
      </c>
      <c r="L38" t="s">
        <v>199</v>
      </c>
      <c r="O38">
        <v>0</v>
      </c>
    </row>
    <row r="39" spans="2:15" x14ac:dyDescent="0.25">
      <c r="B39">
        <v>2040</v>
      </c>
      <c r="C39" t="s">
        <v>194</v>
      </c>
      <c r="D39" t="s">
        <v>200</v>
      </c>
      <c r="G39">
        <v>0</v>
      </c>
      <c r="J39">
        <v>2040</v>
      </c>
      <c r="K39" t="s">
        <v>194</v>
      </c>
      <c r="L39" t="s">
        <v>200</v>
      </c>
      <c r="O39">
        <v>0</v>
      </c>
    </row>
    <row r="40" spans="2:15" x14ac:dyDescent="0.25">
      <c r="B40">
        <v>2040</v>
      </c>
      <c r="C40" t="s">
        <v>195</v>
      </c>
      <c r="D40" t="s">
        <v>199</v>
      </c>
      <c r="G40">
        <v>-205135.04761904801</v>
      </c>
      <c r="J40">
        <v>2040</v>
      </c>
      <c r="K40" t="s">
        <v>195</v>
      </c>
      <c r="L40" t="s">
        <v>199</v>
      </c>
      <c r="O40">
        <v>-155396.36506188201</v>
      </c>
    </row>
    <row r="41" spans="2:15" x14ac:dyDescent="0.25">
      <c r="B41">
        <v>2040</v>
      </c>
      <c r="C41" t="s">
        <v>195</v>
      </c>
      <c r="D41" t="s">
        <v>200</v>
      </c>
      <c r="G41">
        <v>-91428.571428571406</v>
      </c>
      <c r="J41">
        <v>2040</v>
      </c>
      <c r="K41" t="s">
        <v>195</v>
      </c>
      <c r="L41" t="s">
        <v>200</v>
      </c>
      <c r="O41">
        <v>-54599.041713488499</v>
      </c>
    </row>
    <row r="42" spans="2:15" x14ac:dyDescent="0.25">
      <c r="B42">
        <v>2050</v>
      </c>
      <c r="C42" t="s">
        <v>190</v>
      </c>
      <c r="D42" t="s">
        <v>199</v>
      </c>
      <c r="G42">
        <v>0</v>
      </c>
      <c r="J42">
        <v>2050</v>
      </c>
      <c r="K42" t="s">
        <v>190</v>
      </c>
      <c r="L42" t="s">
        <v>199</v>
      </c>
      <c r="O42">
        <v>0</v>
      </c>
    </row>
    <row r="43" spans="2:15" x14ac:dyDescent="0.25">
      <c r="B43">
        <v>2050</v>
      </c>
      <c r="C43" t="s">
        <v>190</v>
      </c>
      <c r="D43" t="s">
        <v>200</v>
      </c>
      <c r="G43">
        <v>0</v>
      </c>
      <c r="J43">
        <v>2050</v>
      </c>
      <c r="K43" t="s">
        <v>190</v>
      </c>
      <c r="L43" t="s">
        <v>200</v>
      </c>
      <c r="O43">
        <v>0</v>
      </c>
    </row>
    <row r="44" spans="2:15" x14ac:dyDescent="0.25">
      <c r="B44">
        <v>2050</v>
      </c>
      <c r="C44" t="s">
        <v>192</v>
      </c>
      <c r="D44" t="s">
        <v>199</v>
      </c>
      <c r="G44">
        <v>0</v>
      </c>
      <c r="J44">
        <v>2050</v>
      </c>
      <c r="K44" t="s">
        <v>192</v>
      </c>
      <c r="L44" t="s">
        <v>199</v>
      </c>
      <c r="O44">
        <v>0</v>
      </c>
    </row>
    <row r="45" spans="2:15" x14ac:dyDescent="0.25">
      <c r="B45">
        <v>2050</v>
      </c>
      <c r="C45" t="s">
        <v>192</v>
      </c>
      <c r="D45" t="s">
        <v>200</v>
      </c>
      <c r="G45">
        <v>0</v>
      </c>
      <c r="J45">
        <v>2050</v>
      </c>
      <c r="K45" t="s">
        <v>192</v>
      </c>
      <c r="L45" t="s">
        <v>200</v>
      </c>
      <c r="O45">
        <v>0</v>
      </c>
    </row>
    <row r="46" spans="2:15" x14ac:dyDescent="0.25">
      <c r="B46">
        <v>2050</v>
      </c>
      <c r="C46" t="s">
        <v>193</v>
      </c>
      <c r="D46" t="s">
        <v>199</v>
      </c>
      <c r="G46">
        <v>0</v>
      </c>
      <c r="J46">
        <v>2050</v>
      </c>
      <c r="K46" t="s">
        <v>193</v>
      </c>
      <c r="L46" t="s">
        <v>199</v>
      </c>
      <c r="O46">
        <v>0</v>
      </c>
    </row>
    <row r="47" spans="2:15" x14ac:dyDescent="0.25">
      <c r="B47">
        <v>2050</v>
      </c>
      <c r="C47" t="s">
        <v>193</v>
      </c>
      <c r="D47" t="s">
        <v>200</v>
      </c>
      <c r="G47">
        <v>0</v>
      </c>
      <c r="J47">
        <v>2050</v>
      </c>
      <c r="K47" t="s">
        <v>193</v>
      </c>
      <c r="L47" t="s">
        <v>200</v>
      </c>
      <c r="O47">
        <v>0</v>
      </c>
    </row>
    <row r="48" spans="2:15" x14ac:dyDescent="0.25">
      <c r="B48">
        <v>2050</v>
      </c>
      <c r="C48" t="s">
        <v>194</v>
      </c>
      <c r="D48" t="s">
        <v>199</v>
      </c>
      <c r="G48">
        <v>0</v>
      </c>
      <c r="J48">
        <v>2050</v>
      </c>
      <c r="K48" t="s">
        <v>194</v>
      </c>
      <c r="L48" t="s">
        <v>199</v>
      </c>
      <c r="O48">
        <v>0</v>
      </c>
    </row>
    <row r="49" spans="2:15" x14ac:dyDescent="0.25">
      <c r="B49">
        <v>2050</v>
      </c>
      <c r="C49" t="s">
        <v>194</v>
      </c>
      <c r="D49" t="s">
        <v>200</v>
      </c>
      <c r="G49">
        <v>0</v>
      </c>
      <c r="J49">
        <v>2050</v>
      </c>
      <c r="K49" t="s">
        <v>194</v>
      </c>
      <c r="L49" t="s">
        <v>200</v>
      </c>
      <c r="O49">
        <v>0</v>
      </c>
    </row>
    <row r="50" spans="2:15" x14ac:dyDescent="0.25">
      <c r="B50">
        <v>2050</v>
      </c>
      <c r="C50" t="s">
        <v>195</v>
      </c>
      <c r="D50" t="s">
        <v>199</v>
      </c>
      <c r="G50">
        <v>0</v>
      </c>
      <c r="J50">
        <v>2050</v>
      </c>
      <c r="K50" t="s">
        <v>195</v>
      </c>
      <c r="L50" t="s">
        <v>199</v>
      </c>
      <c r="O50">
        <v>0</v>
      </c>
    </row>
    <row r="51" spans="2:15" x14ac:dyDescent="0.25">
      <c r="B51">
        <v>2050</v>
      </c>
      <c r="C51" t="s">
        <v>195</v>
      </c>
      <c r="D51" t="s">
        <v>200</v>
      </c>
      <c r="G51">
        <v>0</v>
      </c>
      <c r="J51">
        <v>2050</v>
      </c>
      <c r="K51" t="s">
        <v>195</v>
      </c>
      <c r="L51" t="s">
        <v>200</v>
      </c>
      <c r="O51">
        <v>0</v>
      </c>
    </row>
    <row r="53" spans="2:15" x14ac:dyDescent="0.25">
      <c r="C53">
        <v>2030</v>
      </c>
      <c r="D53">
        <v>2040</v>
      </c>
      <c r="E53">
        <v>2050</v>
      </c>
      <c r="K53">
        <v>2030</v>
      </c>
      <c r="L53">
        <v>2040</v>
      </c>
      <c r="M53">
        <v>2050</v>
      </c>
    </row>
    <row r="54" spans="2:15" x14ac:dyDescent="0.25">
      <c r="B54" t="s">
        <v>201</v>
      </c>
      <c r="C54" s="48">
        <f>-SUMIFS($G$30:$G$51,$B$30:$B$51,C53)</f>
        <v>252138.60645671672</v>
      </c>
      <c r="D54" s="48">
        <f>-SUMIFS($G$30:$G$51,$B$30:$B$51,D53)</f>
        <v>296563.6190476194</v>
      </c>
      <c r="E54" s="48">
        <f t="shared" ref="E54" si="4">-SUMIFS($G$30:$G$51,$B$30:$B$51,E53)</f>
        <v>0</v>
      </c>
      <c r="J54" t="s">
        <v>201</v>
      </c>
      <c r="K54" s="48">
        <f>-SUMIFS($O$30:$O$51,$J$30:$J$51,K53)</f>
        <v>346885.82509497425</v>
      </c>
      <c r="L54" s="48">
        <f t="shared" ref="L54:M54" si="5">-SUMIFS($O$30:$O$51,$J$30:$J$51,L53)</f>
        <v>209995.4067753705</v>
      </c>
      <c r="M54" s="48">
        <f t="shared" si="5"/>
        <v>0</v>
      </c>
    </row>
    <row r="55" spans="2:15" x14ac:dyDescent="0.25">
      <c r="B55" t="s">
        <v>202</v>
      </c>
      <c r="C55" s="44">
        <f>C54/10^6*3.6</f>
        <v>0.90769898324418019</v>
      </c>
      <c r="D55" s="44">
        <f t="shared" ref="D55:E55" si="6">D54/10^6*3.6</f>
        <v>1.0676290285714298</v>
      </c>
      <c r="E55" s="44">
        <f t="shared" si="6"/>
        <v>0</v>
      </c>
      <c r="J55" t="s">
        <v>202</v>
      </c>
      <c r="K55" s="44">
        <f>K54/10^6*3.6</f>
        <v>1.2487889703419073</v>
      </c>
      <c r="L55" s="44">
        <f t="shared" ref="L55:M55" si="7">L54/10^6*3.6</f>
        <v>0.7559834643913339</v>
      </c>
      <c r="M55" s="44">
        <f t="shared" si="7"/>
        <v>0</v>
      </c>
    </row>
  </sheetData>
  <pageMargins left="0.7" right="0.7" top="0.75" bottom="0.75" header="0.3" footer="0.3"/>
  <pageSetup scale="41" orientation="portrait" r:id="rId1"/>
  <headerFooter>
    <oddHeader>&amp;R&amp;"Arial,Regular"&amp;10Filed: 2023-04-12
EB-2022-0200
Exhibit JT1.25
Attachment 1
Page 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0C64F-5A1D-4DA9-941B-5EC8A97E079F}">
  <dimension ref="A2:AI33"/>
  <sheetViews>
    <sheetView view="pageBreakPreview" topLeftCell="F1" zoomScale="60" zoomScaleNormal="100" workbookViewId="0">
      <selection activeCell="T47" sqref="T47"/>
    </sheetView>
  </sheetViews>
  <sheetFormatPr defaultRowHeight="15" x14ac:dyDescent="0.25"/>
  <cols>
    <col min="2" max="2" width="44.7109375" bestFit="1" customWidth="1"/>
    <col min="3" max="3" width="16.140625" bestFit="1" customWidth="1"/>
    <col min="4" max="4" width="18.28515625" bestFit="1" customWidth="1"/>
    <col min="5" max="5" width="17.140625" bestFit="1" customWidth="1"/>
    <col min="6" max="6" width="16.140625" bestFit="1" customWidth="1"/>
    <col min="7" max="7" width="14.7109375" bestFit="1" customWidth="1"/>
    <col min="8" max="8" width="16.85546875" bestFit="1" customWidth="1"/>
    <col min="9" max="9" width="16.85546875" customWidth="1"/>
    <col min="10" max="10" width="18.28515625" bestFit="1" customWidth="1"/>
    <col min="11" max="11" width="17" bestFit="1" customWidth="1"/>
    <col min="12" max="12" width="18.42578125" bestFit="1" customWidth="1"/>
    <col min="13" max="13" width="14.42578125" customWidth="1"/>
    <col min="14" max="32" width="14.140625" bestFit="1" customWidth="1"/>
    <col min="33" max="33" width="15.42578125" bestFit="1" customWidth="1"/>
    <col min="34" max="34" width="14.42578125" bestFit="1" customWidth="1"/>
  </cols>
  <sheetData>
    <row r="2" spans="1:35" x14ac:dyDescent="0.25">
      <c r="B2" s="5" t="s">
        <v>203</v>
      </c>
      <c r="G2" s="5"/>
      <c r="H2" s="5" t="s">
        <v>117</v>
      </c>
    </row>
    <row r="3" spans="1:35" x14ac:dyDescent="0.25">
      <c r="B3" s="23" t="s">
        <v>204</v>
      </c>
      <c r="C3" s="23">
        <v>2020</v>
      </c>
      <c r="D3" s="23">
        <v>2030</v>
      </c>
      <c r="E3" s="23">
        <v>2040</v>
      </c>
      <c r="F3" s="23">
        <v>2050</v>
      </c>
      <c r="H3" s="23" t="s">
        <v>204</v>
      </c>
      <c r="I3" s="23">
        <v>2020</v>
      </c>
      <c r="J3" s="23">
        <v>2030</v>
      </c>
      <c r="K3" s="23">
        <v>2040</v>
      </c>
      <c r="L3" s="23">
        <v>2050</v>
      </c>
    </row>
    <row r="4" spans="1:35" x14ac:dyDescent="0.25">
      <c r="B4" s="8" t="s">
        <v>205</v>
      </c>
      <c r="C4" s="1">
        <f>SUMIFS($C$15:$AG$15,$C$13:$AG$13,C$3)</f>
        <v>775556540.76653504</v>
      </c>
      <c r="D4" s="1">
        <f>SUMIFS($C$15:$AG$15,$C$13:$AG$13,D$3)</f>
        <v>661976965.29588199</v>
      </c>
      <c r="E4" s="1">
        <f>SUMIFS($C$15:$AG$15,$C$13:$AG$13,E$3)</f>
        <v>367923131.75175899</v>
      </c>
      <c r="F4" s="1">
        <f>SUMIFS($C$15:$AG$15,$C$13:$AG$13,F$3)</f>
        <v>147381227.83361199</v>
      </c>
      <c r="H4" s="8" t="s">
        <v>205</v>
      </c>
      <c r="I4" s="35">
        <f>SUMIFS($C$20:$AH$20,$C$13:$AH$13,I$3)</f>
        <v>775556548.90000999</v>
      </c>
      <c r="J4" s="35">
        <f>SUMIFS($C$20:$AH$20,$C$13:$AH$13,J$3)</f>
        <v>727112349.45260799</v>
      </c>
      <c r="K4" s="36">
        <f t="shared" ref="K4:L4" si="0">SUMIFS($C$20:$AH$20,$C$13:$AH$13,K$3)</f>
        <v>520847193.34066403</v>
      </c>
      <c r="L4" s="36">
        <f t="shared" si="0"/>
        <v>255781646.58101901</v>
      </c>
      <c r="M4" t="s">
        <v>206</v>
      </c>
    </row>
    <row r="5" spans="1:35" x14ac:dyDescent="0.25">
      <c r="B5" s="8" t="s">
        <v>207</v>
      </c>
      <c r="C5" s="1">
        <f>SUMIFS($C$25:$AG$25,$C$13:$AG$13, C$3)</f>
        <v>0</v>
      </c>
      <c r="D5" s="1">
        <f>SUMIFS($C$25:$AG$25,$C$13:$AG$13, D$3)</f>
        <v>110846468.66843601</v>
      </c>
      <c r="E5" s="1">
        <f>SUMIFS($C$25:$AG$25,$C$13:$AG$13, E$3)</f>
        <v>305168522.81711501</v>
      </c>
      <c r="F5" s="1">
        <f>SUMIFS($C$25:$AG$25,$C$13:$AG$13, F$3)</f>
        <v>511715728.51381898</v>
      </c>
      <c r="H5" s="8" t="s">
        <v>208</v>
      </c>
      <c r="I5" s="35">
        <f>SUMIFS($C$30:$AH$30,$C$13:$AH$13, I$3)</f>
        <v>0</v>
      </c>
      <c r="J5" s="35">
        <f>SUMIFS($C$30:$AH$30,$C$13:$AH$13, J$3)</f>
        <v>291122573.17470801</v>
      </c>
      <c r="K5" s="36">
        <f>SUMIFS($C$30:$AH$30,$C$13:$AH$13, K$3)</f>
        <v>941970860.558483</v>
      </c>
      <c r="L5" s="36">
        <f>SUMIFS($C$30:$AH$30,$C$13:$AH$13, L$3)</f>
        <v>1704303201.46295</v>
      </c>
      <c r="M5" t="s">
        <v>209</v>
      </c>
    </row>
    <row r="8" spans="1:35" x14ac:dyDescent="0.25">
      <c r="B8" s="90" t="s">
        <v>210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</row>
    <row r="9" spans="1:35" x14ac:dyDescent="0.25">
      <c r="B9" s="39" t="s">
        <v>211</v>
      </c>
      <c r="C9" s="39" t="s">
        <v>75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</row>
    <row r="10" spans="1:35" x14ac:dyDescent="0.25">
      <c r="B10" s="39" t="s">
        <v>212</v>
      </c>
      <c r="C10" s="39" t="s">
        <v>120</v>
      </c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</row>
    <row r="12" spans="1:35" x14ac:dyDescent="0.25">
      <c r="B12" s="5" t="s">
        <v>213</v>
      </c>
    </row>
    <row r="13" spans="1:35" x14ac:dyDescent="0.25">
      <c r="B13" s="5" t="s">
        <v>214</v>
      </c>
      <c r="C13">
        <v>2020</v>
      </c>
      <c r="D13">
        <v>2021</v>
      </c>
      <c r="E13">
        <v>2022</v>
      </c>
      <c r="F13">
        <v>2023</v>
      </c>
      <c r="G13">
        <v>2024</v>
      </c>
      <c r="H13">
        <v>2025</v>
      </c>
      <c r="I13">
        <v>2026</v>
      </c>
      <c r="J13">
        <v>2027</v>
      </c>
      <c r="K13">
        <v>2028</v>
      </c>
      <c r="L13">
        <v>2029</v>
      </c>
      <c r="M13">
        <v>2030</v>
      </c>
      <c r="N13">
        <v>2031</v>
      </c>
      <c r="O13">
        <v>2032</v>
      </c>
      <c r="P13">
        <v>2033</v>
      </c>
      <c r="Q13">
        <v>2034</v>
      </c>
      <c r="R13">
        <v>2035</v>
      </c>
      <c r="S13">
        <v>2036</v>
      </c>
      <c r="T13">
        <v>2037</v>
      </c>
      <c r="U13">
        <v>2038</v>
      </c>
      <c r="V13">
        <v>2039</v>
      </c>
      <c r="W13">
        <v>2040</v>
      </c>
      <c r="X13">
        <v>2041</v>
      </c>
      <c r="Y13">
        <v>2042</v>
      </c>
      <c r="Z13">
        <v>2043</v>
      </c>
      <c r="AA13">
        <v>2044</v>
      </c>
      <c r="AB13">
        <v>2045</v>
      </c>
      <c r="AC13">
        <v>2046</v>
      </c>
      <c r="AD13">
        <v>2047</v>
      </c>
      <c r="AE13">
        <v>2048</v>
      </c>
      <c r="AF13">
        <v>2049</v>
      </c>
      <c r="AG13">
        <v>2050</v>
      </c>
    </row>
    <row r="14" spans="1:35" x14ac:dyDescent="0.25">
      <c r="B14" t="s">
        <v>77</v>
      </c>
      <c r="C14" t="s">
        <v>78</v>
      </c>
      <c r="D14" t="s">
        <v>78</v>
      </c>
      <c r="E14" t="s">
        <v>78</v>
      </c>
      <c r="F14" t="s">
        <v>78</v>
      </c>
      <c r="G14" t="s">
        <v>78</v>
      </c>
      <c r="H14" t="s">
        <v>78</v>
      </c>
      <c r="I14" t="s">
        <v>78</v>
      </c>
      <c r="J14" t="s">
        <v>78</v>
      </c>
      <c r="K14" t="s">
        <v>78</v>
      </c>
      <c r="L14" t="s">
        <v>78</v>
      </c>
      <c r="M14" t="s">
        <v>78</v>
      </c>
      <c r="N14" t="s">
        <v>79</v>
      </c>
      <c r="O14" t="s">
        <v>79</v>
      </c>
      <c r="P14" t="s">
        <v>79</v>
      </c>
      <c r="Q14" t="s">
        <v>79</v>
      </c>
      <c r="R14" t="s">
        <v>79</v>
      </c>
      <c r="S14" t="s">
        <v>79</v>
      </c>
      <c r="T14" t="s">
        <v>79</v>
      </c>
      <c r="U14" t="s">
        <v>79</v>
      </c>
      <c r="V14" t="s">
        <v>79</v>
      </c>
      <c r="W14" t="s">
        <v>79</v>
      </c>
      <c r="X14" t="s">
        <v>80</v>
      </c>
      <c r="Y14" t="s">
        <v>80</v>
      </c>
      <c r="Z14" t="s">
        <v>80</v>
      </c>
      <c r="AA14" t="s">
        <v>80</v>
      </c>
      <c r="AB14" t="s">
        <v>80</v>
      </c>
      <c r="AC14" t="s">
        <v>80</v>
      </c>
      <c r="AD14" t="s">
        <v>80</v>
      </c>
      <c r="AE14" t="s">
        <v>80</v>
      </c>
      <c r="AF14" t="s">
        <v>80</v>
      </c>
      <c r="AG14" t="s">
        <v>80</v>
      </c>
    </row>
    <row r="15" spans="1:35" x14ac:dyDescent="0.25">
      <c r="A15" s="102"/>
      <c r="B15" s="38" t="s">
        <v>215</v>
      </c>
      <c r="C15" s="14">
        <v>775556540.76653504</v>
      </c>
      <c r="D15" s="14">
        <v>775556540.76653504</v>
      </c>
      <c r="E15" s="14">
        <v>775556540.76653504</v>
      </c>
      <c r="F15" s="14">
        <v>775556540.76653504</v>
      </c>
      <c r="G15" s="14">
        <v>775556540.76653504</v>
      </c>
      <c r="H15" s="14">
        <v>775556540.76653504</v>
      </c>
      <c r="I15" s="14">
        <v>775556540.76653504</v>
      </c>
      <c r="J15" s="14">
        <v>775556540.76653504</v>
      </c>
      <c r="K15" s="14">
        <v>775556540.76653504</v>
      </c>
      <c r="L15" s="14">
        <v>775556540.76653504</v>
      </c>
      <c r="M15" s="14">
        <v>661976965.29588199</v>
      </c>
      <c r="N15" s="14">
        <v>661976965.29588199</v>
      </c>
      <c r="O15" s="14">
        <v>661976965.29588199</v>
      </c>
      <c r="P15" s="14">
        <v>661976965.29588199</v>
      </c>
      <c r="Q15" s="14">
        <v>661976965.29588199</v>
      </c>
      <c r="R15" s="14">
        <v>661976965.29588199</v>
      </c>
      <c r="S15" s="14">
        <v>661976965.29588199</v>
      </c>
      <c r="T15" s="14">
        <v>661976965.29588199</v>
      </c>
      <c r="U15" s="14">
        <v>661976965.29588199</v>
      </c>
      <c r="V15" s="14">
        <v>661976965.29588199</v>
      </c>
      <c r="W15" s="14">
        <v>367923131.75175899</v>
      </c>
      <c r="X15" s="14">
        <v>367923131.75175899</v>
      </c>
      <c r="Y15" s="14">
        <v>367923131.75175899</v>
      </c>
      <c r="Z15" s="14">
        <v>367923131.75175899</v>
      </c>
      <c r="AA15" s="14">
        <v>367923131.75175899</v>
      </c>
      <c r="AB15" s="14">
        <v>367923131.75175899</v>
      </c>
      <c r="AC15" s="14">
        <v>367923131.75175899</v>
      </c>
      <c r="AD15" s="14">
        <v>367923131.75175899</v>
      </c>
      <c r="AE15" s="14">
        <v>367923131.75175899</v>
      </c>
      <c r="AF15" s="14">
        <v>367923131.75175899</v>
      </c>
      <c r="AG15" s="14">
        <v>147381227.83361199</v>
      </c>
      <c r="AH15" s="14"/>
      <c r="AI15" s="14"/>
    </row>
    <row r="16" spans="1:35" x14ac:dyDescent="0.25">
      <c r="A16" s="102"/>
      <c r="B16" s="38" t="s">
        <v>216</v>
      </c>
      <c r="C16" s="26">
        <v>775556540.76653504</v>
      </c>
      <c r="D16" s="26">
        <v>775556540.76653504</v>
      </c>
      <c r="E16" s="26">
        <v>775556540.76653504</v>
      </c>
      <c r="F16" s="26">
        <v>775556540.76653504</v>
      </c>
      <c r="G16" s="26">
        <v>775556540.76653504</v>
      </c>
      <c r="H16" s="26">
        <v>775556540.76653504</v>
      </c>
      <c r="I16" s="26">
        <v>775556540.76653504</v>
      </c>
      <c r="J16" s="26">
        <v>775556540.76653504</v>
      </c>
      <c r="K16" s="26">
        <v>775556540.76653504</v>
      </c>
      <c r="L16" s="26">
        <v>775556540.76653504</v>
      </c>
      <c r="M16" s="26">
        <v>661976965.29588199</v>
      </c>
      <c r="N16" s="26">
        <v>661976965.29588199</v>
      </c>
      <c r="O16" s="26">
        <v>661976965.29588199</v>
      </c>
      <c r="P16" s="26">
        <v>661976965.29588199</v>
      </c>
      <c r="Q16" s="26">
        <v>661976965.29588199</v>
      </c>
      <c r="R16" s="26">
        <v>661976965.29588199</v>
      </c>
      <c r="S16" s="26">
        <v>661976965.29588199</v>
      </c>
      <c r="T16" s="26">
        <v>661976965.29588199</v>
      </c>
      <c r="U16" s="26">
        <v>661976965.29588199</v>
      </c>
      <c r="V16" s="26">
        <v>661976965.29588199</v>
      </c>
      <c r="W16" s="26">
        <v>367923131.75175899</v>
      </c>
      <c r="X16" s="26">
        <v>367923131.75175899</v>
      </c>
      <c r="Y16" s="26">
        <v>367923131.75175899</v>
      </c>
      <c r="Z16" s="26">
        <v>367923131.75175899</v>
      </c>
      <c r="AA16" s="26">
        <v>367923131.75175899</v>
      </c>
      <c r="AB16" s="26">
        <v>367923131.75175899</v>
      </c>
      <c r="AC16" s="26">
        <v>367923131.75175899</v>
      </c>
      <c r="AD16" s="26">
        <v>367923131.75175899</v>
      </c>
      <c r="AE16" s="26">
        <v>367923131.75175899</v>
      </c>
      <c r="AF16" s="26">
        <v>367923131.75175899</v>
      </c>
      <c r="AG16" s="26">
        <v>147381227.83361199</v>
      </c>
      <c r="AH16" s="26"/>
    </row>
    <row r="17" spans="1:35" x14ac:dyDescent="0.25">
      <c r="A17" s="102"/>
    </row>
    <row r="18" spans="1:35" x14ac:dyDescent="0.25">
      <c r="A18" s="102"/>
      <c r="B18" s="5" t="s">
        <v>217</v>
      </c>
    </row>
    <row r="19" spans="1:35" x14ac:dyDescent="0.25">
      <c r="A19" s="102"/>
      <c r="B19" t="s">
        <v>77</v>
      </c>
      <c r="C19" t="s">
        <v>78</v>
      </c>
      <c r="D19" t="s">
        <v>78</v>
      </c>
      <c r="E19" t="s">
        <v>78</v>
      </c>
      <c r="F19" t="s">
        <v>78</v>
      </c>
      <c r="G19" t="s">
        <v>78</v>
      </c>
      <c r="H19" t="s">
        <v>78</v>
      </c>
      <c r="I19" t="s">
        <v>78</v>
      </c>
      <c r="J19" t="s">
        <v>78</v>
      </c>
      <c r="K19" t="s">
        <v>78</v>
      </c>
      <c r="L19" t="s">
        <v>78</v>
      </c>
      <c r="M19" t="s">
        <v>78</v>
      </c>
      <c r="N19" t="s">
        <v>79</v>
      </c>
      <c r="O19" t="s">
        <v>79</v>
      </c>
      <c r="P19" t="s">
        <v>79</v>
      </c>
      <c r="Q19" t="s">
        <v>79</v>
      </c>
      <c r="R19" t="s">
        <v>79</v>
      </c>
      <c r="S19" t="s">
        <v>79</v>
      </c>
      <c r="T19" t="s">
        <v>79</v>
      </c>
      <c r="U19" t="s">
        <v>79</v>
      </c>
      <c r="V19" t="s">
        <v>79</v>
      </c>
      <c r="W19" t="s">
        <v>79</v>
      </c>
      <c r="X19" t="s">
        <v>80</v>
      </c>
      <c r="Y19" t="s">
        <v>80</v>
      </c>
      <c r="Z19" t="s">
        <v>80</v>
      </c>
      <c r="AA19" t="s">
        <v>80</v>
      </c>
      <c r="AB19" t="s">
        <v>80</v>
      </c>
      <c r="AC19" t="s">
        <v>80</v>
      </c>
      <c r="AD19" t="s">
        <v>80</v>
      </c>
      <c r="AE19" t="s">
        <v>80</v>
      </c>
      <c r="AF19" t="s">
        <v>80</v>
      </c>
      <c r="AG19" t="s">
        <v>80</v>
      </c>
    </row>
    <row r="20" spans="1:35" x14ac:dyDescent="0.25">
      <c r="A20" s="102"/>
      <c r="B20" s="38" t="s">
        <v>215</v>
      </c>
      <c r="C20" s="26">
        <v>775556548.90000999</v>
      </c>
      <c r="D20" s="26">
        <v>775556548.90000999</v>
      </c>
      <c r="E20" s="26">
        <v>775556548.90000999</v>
      </c>
      <c r="F20" s="26">
        <v>775556548.90000999</v>
      </c>
      <c r="G20" s="26">
        <v>775556548.90000999</v>
      </c>
      <c r="H20" s="26">
        <v>775556548.90000999</v>
      </c>
      <c r="I20" s="26">
        <v>775556548.90000999</v>
      </c>
      <c r="J20" s="26">
        <v>775556548.90000999</v>
      </c>
      <c r="K20" s="26">
        <v>775556548.90000999</v>
      </c>
      <c r="L20" s="26">
        <v>775556548.90000999</v>
      </c>
      <c r="M20" s="26">
        <v>727112349.45260799</v>
      </c>
      <c r="N20" s="26">
        <v>727112349.45260799</v>
      </c>
      <c r="O20" s="26">
        <v>727112349.45260799</v>
      </c>
      <c r="P20" s="26">
        <v>727112349.45260799</v>
      </c>
      <c r="Q20" s="26">
        <v>727112349.45260799</v>
      </c>
      <c r="R20" s="26">
        <v>727112349.45260799</v>
      </c>
      <c r="S20" s="26">
        <v>727112349.45260799</v>
      </c>
      <c r="T20" s="26">
        <v>727112349.45260799</v>
      </c>
      <c r="U20" s="26">
        <v>727112349.45260799</v>
      </c>
      <c r="V20" s="26">
        <v>727112349.45260799</v>
      </c>
      <c r="W20" s="26">
        <v>520847193.34066403</v>
      </c>
      <c r="X20" s="26">
        <v>520847193.34066403</v>
      </c>
      <c r="Y20" s="26">
        <v>520847193.34066403</v>
      </c>
      <c r="Z20" s="26">
        <v>520847193.34066403</v>
      </c>
      <c r="AA20" s="26">
        <v>520847193.34066403</v>
      </c>
      <c r="AB20" s="26">
        <v>520847193.34066403</v>
      </c>
      <c r="AC20" s="26">
        <v>520847193.34066403</v>
      </c>
      <c r="AD20" s="26">
        <v>520847193.34066403</v>
      </c>
      <c r="AE20" s="26">
        <v>520847193.34066403</v>
      </c>
      <c r="AF20" s="26">
        <v>520847193.34066403</v>
      </c>
      <c r="AG20" s="26">
        <v>255781646.58101901</v>
      </c>
      <c r="AH20" s="26"/>
      <c r="AI20" s="14"/>
    </row>
    <row r="21" spans="1:35" x14ac:dyDescent="0.25">
      <c r="A21" s="102"/>
      <c r="B21" s="38" t="s">
        <v>216</v>
      </c>
      <c r="C21" s="26">
        <v>775556548.90000999</v>
      </c>
      <c r="D21" s="26">
        <v>775556548.90000999</v>
      </c>
      <c r="E21" s="26">
        <v>775556548.90000999</v>
      </c>
      <c r="F21" s="26">
        <v>775556548.90000999</v>
      </c>
      <c r="G21" s="26">
        <v>775556548.90000999</v>
      </c>
      <c r="H21" s="26">
        <v>775556548.90000999</v>
      </c>
      <c r="I21" s="26">
        <v>775556548.90000999</v>
      </c>
      <c r="J21" s="26">
        <v>775556548.90000999</v>
      </c>
      <c r="K21" s="26">
        <v>775556548.90000999</v>
      </c>
      <c r="L21" s="26">
        <v>775556548.90000999</v>
      </c>
      <c r="M21" s="26">
        <v>727112349.45260799</v>
      </c>
      <c r="N21" s="26">
        <v>727112349.45260799</v>
      </c>
      <c r="O21" s="26">
        <v>727112349.45260799</v>
      </c>
      <c r="P21" s="26">
        <v>727112349.45260799</v>
      </c>
      <c r="Q21" s="26">
        <v>727112349.45260799</v>
      </c>
      <c r="R21" s="26">
        <v>727112349.45260799</v>
      </c>
      <c r="S21" s="26">
        <v>727112349.45260799</v>
      </c>
      <c r="T21" s="26">
        <v>727112349.45260799</v>
      </c>
      <c r="U21" s="26">
        <v>727112349.45260799</v>
      </c>
      <c r="V21" s="26">
        <v>727112349.45260799</v>
      </c>
      <c r="W21" s="26">
        <v>520847193.34066403</v>
      </c>
      <c r="X21" s="26">
        <v>520847193.34066403</v>
      </c>
      <c r="Y21" s="26">
        <v>520847193.34066403</v>
      </c>
      <c r="Z21" s="26">
        <v>520847193.34066403</v>
      </c>
      <c r="AA21" s="26">
        <v>520847193.34066403</v>
      </c>
      <c r="AB21" s="26">
        <v>520847193.34066403</v>
      </c>
      <c r="AC21" s="26">
        <v>520847193.34066403</v>
      </c>
      <c r="AD21" s="26">
        <v>520847193.34066403</v>
      </c>
      <c r="AE21" s="26">
        <v>520847193.34066403</v>
      </c>
      <c r="AF21" s="26">
        <v>520847193.34066403</v>
      </c>
      <c r="AG21" s="26">
        <v>255781646.58101901</v>
      </c>
      <c r="AH21" s="26"/>
    </row>
    <row r="22" spans="1:35" x14ac:dyDescent="0.25">
      <c r="A22" s="102"/>
    </row>
    <row r="23" spans="1:35" x14ac:dyDescent="0.25">
      <c r="A23" s="102"/>
      <c r="B23" s="5" t="s">
        <v>218</v>
      </c>
    </row>
    <row r="24" spans="1:35" x14ac:dyDescent="0.25">
      <c r="A24" s="102"/>
      <c r="B24" t="s">
        <v>77</v>
      </c>
      <c r="C24" t="s">
        <v>78</v>
      </c>
      <c r="D24" t="s">
        <v>78</v>
      </c>
      <c r="E24" t="s">
        <v>78</v>
      </c>
      <c r="F24" t="s">
        <v>78</v>
      </c>
      <c r="G24" t="s">
        <v>78</v>
      </c>
      <c r="H24" t="s">
        <v>78</v>
      </c>
      <c r="I24" t="s">
        <v>78</v>
      </c>
      <c r="J24" t="s">
        <v>78</v>
      </c>
      <c r="K24" t="s">
        <v>78</v>
      </c>
      <c r="L24" t="s">
        <v>78</v>
      </c>
      <c r="M24" t="s">
        <v>78</v>
      </c>
      <c r="N24" t="s">
        <v>79</v>
      </c>
      <c r="O24" t="s">
        <v>79</v>
      </c>
      <c r="P24" t="s">
        <v>79</v>
      </c>
      <c r="Q24" t="s">
        <v>79</v>
      </c>
      <c r="R24" t="s">
        <v>79</v>
      </c>
      <c r="S24" t="s">
        <v>79</v>
      </c>
      <c r="T24" t="s">
        <v>79</v>
      </c>
      <c r="U24" t="s">
        <v>79</v>
      </c>
      <c r="V24" t="s">
        <v>79</v>
      </c>
      <c r="W24" t="s">
        <v>79</v>
      </c>
      <c r="X24" t="s">
        <v>80</v>
      </c>
      <c r="Y24" t="s">
        <v>80</v>
      </c>
      <c r="Z24" t="s">
        <v>80</v>
      </c>
      <c r="AA24" t="s">
        <v>80</v>
      </c>
      <c r="AB24" t="s">
        <v>80</v>
      </c>
      <c r="AC24" t="s">
        <v>80</v>
      </c>
      <c r="AD24" t="s">
        <v>80</v>
      </c>
      <c r="AE24" t="s">
        <v>80</v>
      </c>
      <c r="AF24" t="s">
        <v>80</v>
      </c>
      <c r="AG24" t="s">
        <v>80</v>
      </c>
    </row>
    <row r="25" spans="1:35" x14ac:dyDescent="0.25">
      <c r="A25" s="102"/>
      <c r="B25" s="38" t="s">
        <v>219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110846468.66843601</v>
      </c>
      <c r="N25" s="26">
        <v>110846468.66843601</v>
      </c>
      <c r="O25" s="26">
        <v>110846468.66843601</v>
      </c>
      <c r="P25" s="26">
        <v>110846468.66843601</v>
      </c>
      <c r="Q25" s="26">
        <v>110846468.66843601</v>
      </c>
      <c r="R25" s="26">
        <v>110846468.66843601</v>
      </c>
      <c r="S25" s="26">
        <v>110846468.66843601</v>
      </c>
      <c r="T25" s="26">
        <v>110846468.66843601</v>
      </c>
      <c r="U25" s="26">
        <v>110846468.66843601</v>
      </c>
      <c r="V25" s="26">
        <v>110846468.66843601</v>
      </c>
      <c r="W25" s="26">
        <v>305168522.81711501</v>
      </c>
      <c r="X25" s="26">
        <v>305168522.81711501</v>
      </c>
      <c r="Y25" s="26">
        <v>305168522.81711501</v>
      </c>
      <c r="Z25" s="26">
        <v>305168522.81711501</v>
      </c>
      <c r="AA25" s="26">
        <v>305168522.81711501</v>
      </c>
      <c r="AB25" s="26">
        <v>305168522.81711501</v>
      </c>
      <c r="AC25" s="26">
        <v>305168522.81711501</v>
      </c>
      <c r="AD25" s="26">
        <v>305168522.81711501</v>
      </c>
      <c r="AE25" s="26">
        <v>305168522.81711501</v>
      </c>
      <c r="AF25" s="26">
        <v>305168522.81711501</v>
      </c>
      <c r="AG25" s="26">
        <v>511715728.51381898</v>
      </c>
      <c r="AH25" s="26"/>
    </row>
    <row r="26" spans="1:35" x14ac:dyDescent="0.25">
      <c r="A26" s="102"/>
      <c r="B26" s="38" t="s">
        <v>220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110846468.66843601</v>
      </c>
      <c r="N26" s="26">
        <v>110846468.66843601</v>
      </c>
      <c r="O26" s="26">
        <v>110846468.66843601</v>
      </c>
      <c r="P26" s="26">
        <v>110846468.66843601</v>
      </c>
      <c r="Q26" s="26">
        <v>110846468.66843601</v>
      </c>
      <c r="R26" s="26">
        <v>110846468.66843601</v>
      </c>
      <c r="S26" s="26">
        <v>110846468.66843601</v>
      </c>
      <c r="T26" s="26">
        <v>110846468.66843601</v>
      </c>
      <c r="U26" s="26">
        <v>110846468.66843601</v>
      </c>
      <c r="V26" s="26">
        <v>110846468.66843601</v>
      </c>
      <c r="W26" s="26">
        <v>305168522.81711501</v>
      </c>
      <c r="X26" s="26">
        <v>305168522.81711501</v>
      </c>
      <c r="Y26" s="26">
        <v>305168522.81711501</v>
      </c>
      <c r="Z26" s="26">
        <v>305168522.81711501</v>
      </c>
      <c r="AA26" s="26">
        <v>305168522.81711501</v>
      </c>
      <c r="AB26" s="26">
        <v>305168522.81711501</v>
      </c>
      <c r="AC26" s="26">
        <v>305168522.81711501</v>
      </c>
      <c r="AD26" s="26">
        <v>305168522.81711501</v>
      </c>
      <c r="AE26" s="26">
        <v>305168522.81711501</v>
      </c>
      <c r="AF26" s="26">
        <v>305168522.81711501</v>
      </c>
      <c r="AG26" s="26">
        <v>511715728.51381898</v>
      </c>
      <c r="AH26" s="26"/>
    </row>
    <row r="27" spans="1:35" x14ac:dyDescent="0.25">
      <c r="A27" s="102"/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5" x14ac:dyDescent="0.25">
      <c r="A28" s="102"/>
      <c r="B28" s="5" t="s">
        <v>221</v>
      </c>
    </row>
    <row r="29" spans="1:35" x14ac:dyDescent="0.25">
      <c r="A29" s="102"/>
      <c r="B29" t="s">
        <v>77</v>
      </c>
      <c r="C29" t="s">
        <v>78</v>
      </c>
      <c r="D29" t="s">
        <v>78</v>
      </c>
      <c r="E29" t="s">
        <v>78</v>
      </c>
      <c r="F29" t="s">
        <v>78</v>
      </c>
      <c r="G29" t="s">
        <v>78</v>
      </c>
      <c r="H29" t="s">
        <v>78</v>
      </c>
      <c r="I29" t="s">
        <v>78</v>
      </c>
      <c r="J29" t="s">
        <v>78</v>
      </c>
      <c r="K29" t="s">
        <v>78</v>
      </c>
      <c r="L29" t="s">
        <v>78</v>
      </c>
      <c r="M29" t="s">
        <v>78</v>
      </c>
      <c r="N29" t="s">
        <v>79</v>
      </c>
      <c r="O29" t="s">
        <v>79</v>
      </c>
      <c r="P29" t="s">
        <v>79</v>
      </c>
      <c r="Q29" t="s">
        <v>79</v>
      </c>
      <c r="R29" t="s">
        <v>79</v>
      </c>
      <c r="S29" t="s">
        <v>79</v>
      </c>
      <c r="T29" t="s">
        <v>79</v>
      </c>
      <c r="U29" t="s">
        <v>79</v>
      </c>
      <c r="V29" t="s">
        <v>79</v>
      </c>
      <c r="W29" t="s">
        <v>79</v>
      </c>
      <c r="X29" t="s">
        <v>80</v>
      </c>
      <c r="Y29" t="s">
        <v>80</v>
      </c>
      <c r="Z29" t="s">
        <v>80</v>
      </c>
      <c r="AA29" t="s">
        <v>80</v>
      </c>
      <c r="AB29" t="s">
        <v>80</v>
      </c>
      <c r="AC29" t="s">
        <v>80</v>
      </c>
      <c r="AD29" t="s">
        <v>80</v>
      </c>
      <c r="AE29" t="s">
        <v>80</v>
      </c>
      <c r="AF29" t="s">
        <v>80</v>
      </c>
      <c r="AG29" t="s">
        <v>80</v>
      </c>
    </row>
    <row r="30" spans="1:35" x14ac:dyDescent="0.25">
      <c r="A30" s="102"/>
      <c r="B30" s="38" t="s">
        <v>219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291122573.17470801</v>
      </c>
      <c r="N30" s="26">
        <v>291122573.17470801</v>
      </c>
      <c r="O30" s="26">
        <v>291122573.17470801</v>
      </c>
      <c r="P30" s="26">
        <v>291122573.17470801</v>
      </c>
      <c r="Q30" s="26">
        <v>291122573.17470801</v>
      </c>
      <c r="R30" s="26">
        <v>291122573.17470801</v>
      </c>
      <c r="S30" s="26">
        <v>291122573.17470801</v>
      </c>
      <c r="T30" s="26">
        <v>291122573.17470801</v>
      </c>
      <c r="U30" s="26">
        <v>291122573.17470801</v>
      </c>
      <c r="V30" s="26">
        <v>291122573.17470801</v>
      </c>
      <c r="W30" s="26">
        <v>941970860.558483</v>
      </c>
      <c r="X30" s="26">
        <v>941970860.558483</v>
      </c>
      <c r="Y30" s="26">
        <v>941970860.558483</v>
      </c>
      <c r="Z30" s="26">
        <v>941970860.558483</v>
      </c>
      <c r="AA30" s="26">
        <v>941970860.558483</v>
      </c>
      <c r="AB30" s="26">
        <v>941970860.558483</v>
      </c>
      <c r="AC30" s="26">
        <v>941970860.558483</v>
      </c>
      <c r="AD30" s="26">
        <v>941970860.558483</v>
      </c>
      <c r="AE30" s="26">
        <v>941970860.558483</v>
      </c>
      <c r="AF30" s="26">
        <v>941970860.558483</v>
      </c>
      <c r="AG30" s="26">
        <v>1704303201.46295</v>
      </c>
      <c r="AH30" s="26"/>
      <c r="AI30" s="26"/>
    </row>
    <row r="31" spans="1:35" x14ac:dyDescent="0.25">
      <c r="A31" s="102"/>
      <c r="B31" s="38" t="s">
        <v>220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291122573.17470801</v>
      </c>
      <c r="N31" s="26">
        <v>291122573.17470801</v>
      </c>
      <c r="O31" s="26">
        <v>291122573.17470801</v>
      </c>
      <c r="P31" s="26">
        <v>291122573.17470801</v>
      </c>
      <c r="Q31" s="26">
        <v>291122573.17470801</v>
      </c>
      <c r="R31" s="26">
        <v>291122573.17470801</v>
      </c>
      <c r="S31" s="26">
        <v>291122573.17470801</v>
      </c>
      <c r="T31" s="26">
        <v>291122573.17470801</v>
      </c>
      <c r="U31" s="26">
        <v>291122573.17470801</v>
      </c>
      <c r="V31" s="26">
        <v>291122573.17470801</v>
      </c>
      <c r="W31" s="26">
        <v>941970860.558483</v>
      </c>
      <c r="X31" s="26">
        <v>941970860.558483</v>
      </c>
      <c r="Y31" s="26">
        <v>941970860.558483</v>
      </c>
      <c r="Z31" s="26">
        <v>941970860.558483</v>
      </c>
      <c r="AA31" s="26">
        <v>941970860.558483</v>
      </c>
      <c r="AB31" s="26">
        <v>941970860.558483</v>
      </c>
      <c r="AC31" s="26">
        <v>941970860.558483</v>
      </c>
      <c r="AD31" s="26">
        <v>941970860.558483</v>
      </c>
      <c r="AE31" s="26">
        <v>941970860.558483</v>
      </c>
      <c r="AF31" s="26">
        <v>941970860.558483</v>
      </c>
      <c r="AG31" s="26">
        <v>1704303201.46295</v>
      </c>
      <c r="AH31" s="26"/>
      <c r="AI31" s="26"/>
    </row>
    <row r="32" spans="1:35" x14ac:dyDescent="0.25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 spans="3:35" x14ac:dyDescent="0.25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</sheetData>
  <mergeCells count="1">
    <mergeCell ref="A15:A31"/>
  </mergeCells>
  <pageMargins left="0.7" right="0.7" top="0.75" bottom="0.75" header="0.3" footer="0.3"/>
  <pageSetup scale="24" orientation="landscape" r:id="rId1"/>
  <headerFooter>
    <oddHeader>&amp;R&amp;"Arial,Regular"&amp;10Filed: 2023-04-12
EB-2022-0200
Exhibit JT1.25
Attachment 1
Page 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A6E7E-CAE9-4DA1-921A-7A94562BB630}">
  <sheetPr>
    <pageSetUpPr fitToPage="1"/>
  </sheetPr>
  <dimension ref="B2:AH209"/>
  <sheetViews>
    <sheetView view="pageBreakPreview" topLeftCell="H1" zoomScale="40" zoomScaleNormal="100" zoomScaleSheetLayoutView="40" workbookViewId="0">
      <selection activeCell="G50" sqref="G50"/>
    </sheetView>
  </sheetViews>
  <sheetFormatPr defaultRowHeight="15" x14ac:dyDescent="0.25"/>
  <cols>
    <col min="2" max="2" width="25.140625" customWidth="1"/>
    <col min="3" max="6" width="22.7109375" bestFit="1" customWidth="1"/>
    <col min="7" max="7" width="79.85546875" bestFit="1" customWidth="1"/>
    <col min="8" max="12" width="22.7109375" bestFit="1" customWidth="1"/>
    <col min="13" max="22" width="24.42578125" bestFit="1" customWidth="1"/>
    <col min="23" max="33" width="22.7109375" bestFit="1" customWidth="1"/>
    <col min="34" max="34" width="14.5703125" bestFit="1" customWidth="1"/>
  </cols>
  <sheetData>
    <row r="2" spans="2:33" s="65" customFormat="1" x14ac:dyDescent="0.25">
      <c r="B2" s="66" t="s">
        <v>222</v>
      </c>
    </row>
    <row r="4" spans="2:33" x14ac:dyDescent="0.25">
      <c r="B4" t="s">
        <v>223</v>
      </c>
    </row>
    <row r="5" spans="2:33" x14ac:dyDescent="0.25">
      <c r="B5" s="8" t="s">
        <v>224</v>
      </c>
      <c r="C5" s="23">
        <v>2020</v>
      </c>
      <c r="D5" s="23">
        <v>2030</v>
      </c>
      <c r="E5" s="23">
        <v>2040</v>
      </c>
      <c r="F5" s="23">
        <v>2050</v>
      </c>
    </row>
    <row r="6" spans="2:33" x14ac:dyDescent="0.25">
      <c r="B6" s="8" t="s">
        <v>225</v>
      </c>
      <c r="C6" s="37">
        <f>SUMIFS($C$19:$AG$19,$C$10:$AG$10,C$5)</f>
        <v>2295420929.1631713</v>
      </c>
      <c r="D6" s="37">
        <f>SUMIFS($C$19:$AG$19,$C$10:$AG$10,D$5)</f>
        <v>3034155621.3218889</v>
      </c>
      <c r="E6" s="37">
        <f>SUMIFS($C$19:$AG$19,$C$10:$AG$10,E$5)</f>
        <v>1885359992.3132429</v>
      </c>
      <c r="F6" s="1">
        <f>SUMIFS($C$19:$AG$19,$C$10:$AG$10,F$5)</f>
        <v>0</v>
      </c>
      <c r="G6" t="s">
        <v>226</v>
      </c>
    </row>
    <row r="7" spans="2:33" x14ac:dyDescent="0.25">
      <c r="B7" s="70" t="s">
        <v>227</v>
      </c>
      <c r="C7" s="79">
        <f>C6*H205</f>
        <v>2295420929.1631713</v>
      </c>
      <c r="D7" s="79">
        <f>D6*I205</f>
        <v>3030612168.2639642</v>
      </c>
      <c r="E7" s="79">
        <f>E6*J205</f>
        <v>1880536716.2406623</v>
      </c>
      <c r="F7" s="79">
        <f>F6*K205</f>
        <v>0</v>
      </c>
      <c r="G7" t="s">
        <v>228</v>
      </c>
    </row>
    <row r="9" spans="2:33" x14ac:dyDescent="0.25">
      <c r="B9" s="13" t="s">
        <v>77</v>
      </c>
      <c r="C9" s="13" t="s">
        <v>78</v>
      </c>
      <c r="D9" s="13" t="s">
        <v>78</v>
      </c>
      <c r="E9" s="13" t="s">
        <v>78</v>
      </c>
      <c r="F9" s="13" t="s">
        <v>78</v>
      </c>
      <c r="G9" s="13" t="s">
        <v>78</v>
      </c>
      <c r="H9" s="13" t="s">
        <v>78</v>
      </c>
      <c r="I9" s="13" t="s">
        <v>78</v>
      </c>
      <c r="J9" s="13" t="s">
        <v>78</v>
      </c>
      <c r="K9" s="13" t="s">
        <v>78</v>
      </c>
      <c r="L9" s="13" t="s">
        <v>78</v>
      </c>
      <c r="M9" s="13" t="s">
        <v>78</v>
      </c>
      <c r="N9" s="13" t="s">
        <v>79</v>
      </c>
      <c r="O9" s="13" t="s">
        <v>79</v>
      </c>
      <c r="P9" s="13" t="s">
        <v>79</v>
      </c>
      <c r="Q9" s="13" t="s">
        <v>79</v>
      </c>
      <c r="R9" s="13" t="s">
        <v>79</v>
      </c>
      <c r="S9" s="13" t="s">
        <v>79</v>
      </c>
      <c r="T9" s="13" t="s">
        <v>79</v>
      </c>
      <c r="U9" s="13" t="s">
        <v>79</v>
      </c>
      <c r="V9" s="13" t="s">
        <v>79</v>
      </c>
      <c r="W9" s="13" t="s">
        <v>79</v>
      </c>
      <c r="X9" s="13" t="s">
        <v>80</v>
      </c>
      <c r="Y9" s="13" t="s">
        <v>80</v>
      </c>
      <c r="Z9" s="13" t="s">
        <v>80</v>
      </c>
      <c r="AA9" s="13" t="s">
        <v>80</v>
      </c>
      <c r="AB9" s="13" t="s">
        <v>80</v>
      </c>
      <c r="AC9" s="13" t="s">
        <v>80</v>
      </c>
      <c r="AD9" s="13" t="s">
        <v>80</v>
      </c>
      <c r="AE9" s="13" t="s">
        <v>80</v>
      </c>
      <c r="AF9" s="13" t="s">
        <v>80</v>
      </c>
      <c r="AG9" s="13" t="s">
        <v>80</v>
      </c>
    </row>
    <row r="10" spans="2:33" s="25" customFormat="1" x14ac:dyDescent="0.25">
      <c r="B10" s="25" t="s">
        <v>229</v>
      </c>
      <c r="C10" s="25">
        <v>2020</v>
      </c>
      <c r="D10" s="25">
        <v>2021</v>
      </c>
      <c r="E10" s="25">
        <v>2022</v>
      </c>
      <c r="F10" s="25">
        <v>2023</v>
      </c>
      <c r="G10" s="25">
        <v>2024</v>
      </c>
      <c r="H10" s="25">
        <v>2025</v>
      </c>
      <c r="I10" s="25">
        <v>2026</v>
      </c>
      <c r="J10" s="25">
        <v>2027</v>
      </c>
      <c r="K10" s="25">
        <v>2028</v>
      </c>
      <c r="L10" s="25">
        <v>2029</v>
      </c>
      <c r="M10" s="25">
        <v>2030</v>
      </c>
      <c r="N10" s="25">
        <v>2031</v>
      </c>
      <c r="O10" s="25">
        <v>2032</v>
      </c>
      <c r="P10" s="25">
        <v>2033</v>
      </c>
      <c r="Q10" s="25">
        <v>2034</v>
      </c>
      <c r="R10" s="25">
        <v>2035</v>
      </c>
      <c r="S10" s="25">
        <v>2036</v>
      </c>
      <c r="T10" s="25">
        <v>2037</v>
      </c>
      <c r="U10" s="25">
        <v>2038</v>
      </c>
      <c r="V10" s="25">
        <v>2039</v>
      </c>
      <c r="W10" s="25">
        <v>2040</v>
      </c>
      <c r="X10" s="25">
        <v>2041</v>
      </c>
      <c r="Y10" s="25">
        <v>2042</v>
      </c>
      <c r="Z10" s="25">
        <v>2043</v>
      </c>
      <c r="AA10" s="25">
        <v>2044</v>
      </c>
      <c r="AB10" s="25">
        <v>2045</v>
      </c>
      <c r="AC10" s="25">
        <v>2046</v>
      </c>
      <c r="AD10" s="25">
        <v>2047</v>
      </c>
      <c r="AE10" s="25">
        <v>2048</v>
      </c>
      <c r="AF10" s="25">
        <v>2049</v>
      </c>
      <c r="AG10" s="25">
        <v>2050</v>
      </c>
    </row>
    <row r="11" spans="2:33" x14ac:dyDescent="0.25">
      <c r="B11" s="49" t="s">
        <v>230</v>
      </c>
      <c r="C11" s="50">
        <v>407790143.084261</v>
      </c>
      <c r="D11" s="50">
        <v>407790143.084261</v>
      </c>
      <c r="E11" s="50">
        <v>407790143.084261</v>
      </c>
      <c r="F11" s="50">
        <v>407790143.084261</v>
      </c>
      <c r="G11" s="50">
        <v>407790143.084261</v>
      </c>
      <c r="H11" s="50">
        <v>407790143.084261</v>
      </c>
      <c r="I11" s="50">
        <v>407790143.084261</v>
      </c>
      <c r="J11" s="50">
        <v>407790143.084261</v>
      </c>
      <c r="K11" s="50">
        <v>407790143.084261</v>
      </c>
      <c r="L11" s="50">
        <v>407790143.084261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0">
        <v>0</v>
      </c>
      <c r="AC11" s="50">
        <v>0</v>
      </c>
      <c r="AD11" s="50">
        <v>0</v>
      </c>
      <c r="AE11" s="50">
        <v>0</v>
      </c>
      <c r="AF11" s="50">
        <v>0</v>
      </c>
      <c r="AG11" s="50">
        <v>0</v>
      </c>
    </row>
    <row r="12" spans="2:33" x14ac:dyDescent="0.25">
      <c r="B12" s="49" t="s">
        <v>231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644356120.82670903</v>
      </c>
      <c r="N12" s="50">
        <v>644356120.82670903</v>
      </c>
      <c r="O12" s="50">
        <v>644356120.82670903</v>
      </c>
      <c r="P12" s="50">
        <v>644356120.82670903</v>
      </c>
      <c r="Q12" s="50">
        <v>644356120.82670903</v>
      </c>
      <c r="R12" s="50">
        <v>644356120.82670903</v>
      </c>
      <c r="S12" s="50">
        <v>644356120.82670903</v>
      </c>
      <c r="T12" s="50">
        <v>644356120.82670903</v>
      </c>
      <c r="U12" s="50">
        <v>644356120.82670903</v>
      </c>
      <c r="V12" s="50">
        <v>644356120.82670903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0">
        <v>0</v>
      </c>
      <c r="AC12" s="50">
        <v>0</v>
      </c>
      <c r="AD12" s="50">
        <v>0</v>
      </c>
      <c r="AE12" s="50">
        <v>0</v>
      </c>
      <c r="AF12" s="50">
        <v>0</v>
      </c>
      <c r="AG12" s="50">
        <v>0</v>
      </c>
    </row>
    <row r="13" spans="2:33" x14ac:dyDescent="0.25">
      <c r="B13" s="49" t="s">
        <v>232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758346581.87599301</v>
      </c>
      <c r="X13" s="50">
        <v>758346581.87599301</v>
      </c>
      <c r="Y13" s="50">
        <v>758346581.87599301</v>
      </c>
      <c r="Z13" s="50">
        <v>758346581.87599301</v>
      </c>
      <c r="AA13" s="50">
        <v>758346581.87599301</v>
      </c>
      <c r="AB13" s="50">
        <v>758346581.87599301</v>
      </c>
      <c r="AC13" s="50">
        <v>758346581.87599301</v>
      </c>
      <c r="AD13" s="50">
        <v>758346581.87599301</v>
      </c>
      <c r="AE13" s="50">
        <v>758346581.87599301</v>
      </c>
      <c r="AF13" s="50">
        <v>758346581.87599301</v>
      </c>
      <c r="AG13" s="50">
        <v>0</v>
      </c>
    </row>
    <row r="14" spans="2:33" x14ac:dyDescent="0.25">
      <c r="B14" s="49" t="s">
        <v>233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0">
        <v>0</v>
      </c>
      <c r="AC14" s="50">
        <v>0</v>
      </c>
      <c r="AD14" s="50">
        <v>0</v>
      </c>
      <c r="AE14" s="50">
        <v>0</v>
      </c>
      <c r="AF14" s="50">
        <v>0</v>
      </c>
      <c r="AG14" s="50">
        <v>0</v>
      </c>
    </row>
    <row r="15" spans="2:33" x14ac:dyDescent="0.25">
      <c r="B15" s="49" t="s">
        <v>234</v>
      </c>
      <c r="C15" s="50">
        <v>1887630786.0789101</v>
      </c>
      <c r="D15" s="50">
        <v>1887630786.0789101</v>
      </c>
      <c r="E15" s="50">
        <v>1887630786.0789101</v>
      </c>
      <c r="F15" s="50">
        <v>1887630786.0789101</v>
      </c>
      <c r="G15" s="50">
        <v>1887630786.0789101</v>
      </c>
      <c r="H15" s="50">
        <v>1887630786.0789101</v>
      </c>
      <c r="I15" s="50">
        <v>1887630786.0789101</v>
      </c>
      <c r="J15" s="50">
        <v>1887630786.0789101</v>
      </c>
      <c r="K15" s="50">
        <v>1887630786.0789101</v>
      </c>
      <c r="L15" s="50">
        <v>1887630786.0789101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0">
        <v>0</v>
      </c>
      <c r="AC15" s="50">
        <v>0</v>
      </c>
      <c r="AD15" s="50">
        <v>0</v>
      </c>
      <c r="AE15" s="50">
        <v>0</v>
      </c>
      <c r="AF15" s="50">
        <v>0</v>
      </c>
      <c r="AG15" s="50">
        <v>0</v>
      </c>
    </row>
    <row r="16" spans="2:33" x14ac:dyDescent="0.25">
      <c r="B16" s="49" t="s">
        <v>235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2389799500.4951801</v>
      </c>
      <c r="N16" s="50">
        <v>2389799500.4951801</v>
      </c>
      <c r="O16" s="50">
        <v>2389799500.4951801</v>
      </c>
      <c r="P16" s="50">
        <v>2389799500.4951801</v>
      </c>
      <c r="Q16" s="50">
        <v>2389799500.4951801</v>
      </c>
      <c r="R16" s="50">
        <v>2389799500.4951801</v>
      </c>
      <c r="S16" s="50">
        <v>2389799500.4951801</v>
      </c>
      <c r="T16" s="50">
        <v>2389799500.4951801</v>
      </c>
      <c r="U16" s="50">
        <v>2389799500.4951801</v>
      </c>
      <c r="V16" s="50">
        <v>2389799500.4951801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0">
        <v>0</v>
      </c>
      <c r="AC16" s="50">
        <v>0</v>
      </c>
      <c r="AD16" s="50">
        <v>0</v>
      </c>
      <c r="AE16" s="50">
        <v>0</v>
      </c>
      <c r="AF16" s="50">
        <v>0</v>
      </c>
      <c r="AG16" s="50">
        <v>0</v>
      </c>
    </row>
    <row r="17" spans="2:34" x14ac:dyDescent="0.25">
      <c r="B17" s="49" t="s">
        <v>236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1127013410.4372499</v>
      </c>
      <c r="X17" s="50">
        <v>1127013410.4372499</v>
      </c>
      <c r="Y17" s="50">
        <v>1127013410.4372499</v>
      </c>
      <c r="Z17" s="50">
        <v>1127013410.4372499</v>
      </c>
      <c r="AA17" s="50">
        <v>1127013410.4372499</v>
      </c>
      <c r="AB17" s="50">
        <v>1127013410.4372499</v>
      </c>
      <c r="AC17" s="50">
        <v>1127013410.4372499</v>
      </c>
      <c r="AD17" s="50">
        <v>1127013410.4372499</v>
      </c>
      <c r="AE17" s="50">
        <v>1127013410.4372499</v>
      </c>
      <c r="AF17" s="50">
        <v>1127013410.4372499</v>
      </c>
      <c r="AG17" s="50">
        <v>0</v>
      </c>
    </row>
    <row r="18" spans="2:34" x14ac:dyDescent="0.25">
      <c r="B18" s="49" t="s">
        <v>237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0">
        <v>0</v>
      </c>
      <c r="AC18" s="50">
        <v>0</v>
      </c>
      <c r="AD18" s="50">
        <v>0</v>
      </c>
      <c r="AE18" s="50">
        <v>0</v>
      </c>
      <c r="AF18" s="50">
        <v>0</v>
      </c>
      <c r="AG18" s="50">
        <v>0</v>
      </c>
    </row>
    <row r="19" spans="2:34" x14ac:dyDescent="0.25">
      <c r="B19" s="51" t="s">
        <v>238</v>
      </c>
      <c r="C19" s="14">
        <f t="shared" ref="C19:AG19" si="0">SUM(C11:C18)</f>
        <v>2295420929.1631713</v>
      </c>
      <c r="D19" s="14">
        <f t="shared" si="0"/>
        <v>2295420929.1631713</v>
      </c>
      <c r="E19" s="14">
        <f t="shared" si="0"/>
        <v>2295420929.1631713</v>
      </c>
      <c r="F19" s="14">
        <f t="shared" si="0"/>
        <v>2295420929.1631713</v>
      </c>
      <c r="G19" s="14">
        <f t="shared" si="0"/>
        <v>2295420929.1631713</v>
      </c>
      <c r="H19" s="14">
        <f t="shared" si="0"/>
        <v>2295420929.1631713</v>
      </c>
      <c r="I19" s="14">
        <f t="shared" si="0"/>
        <v>2295420929.1631713</v>
      </c>
      <c r="J19" s="14">
        <f t="shared" si="0"/>
        <v>2295420929.1631713</v>
      </c>
      <c r="K19" s="14">
        <f t="shared" si="0"/>
        <v>2295420929.1631713</v>
      </c>
      <c r="L19" s="14">
        <f t="shared" si="0"/>
        <v>2295420929.1631713</v>
      </c>
      <c r="M19" s="14">
        <f t="shared" si="0"/>
        <v>3034155621.3218889</v>
      </c>
      <c r="N19" s="14">
        <f t="shared" si="0"/>
        <v>3034155621.3218889</v>
      </c>
      <c r="O19" s="14">
        <f t="shared" si="0"/>
        <v>3034155621.3218889</v>
      </c>
      <c r="P19" s="14">
        <f t="shared" si="0"/>
        <v>3034155621.3218889</v>
      </c>
      <c r="Q19" s="14">
        <f t="shared" si="0"/>
        <v>3034155621.3218889</v>
      </c>
      <c r="R19" s="14">
        <f t="shared" si="0"/>
        <v>3034155621.3218889</v>
      </c>
      <c r="S19" s="14">
        <f t="shared" si="0"/>
        <v>3034155621.3218889</v>
      </c>
      <c r="T19" s="14">
        <f t="shared" si="0"/>
        <v>3034155621.3218889</v>
      </c>
      <c r="U19" s="14">
        <f t="shared" si="0"/>
        <v>3034155621.3218889</v>
      </c>
      <c r="V19" s="14">
        <f t="shared" si="0"/>
        <v>3034155621.3218889</v>
      </c>
      <c r="W19" s="14">
        <f t="shared" si="0"/>
        <v>1885359992.3132429</v>
      </c>
      <c r="X19" s="14">
        <f t="shared" si="0"/>
        <v>1885359992.3132429</v>
      </c>
      <c r="Y19" s="14">
        <f t="shared" si="0"/>
        <v>1885359992.3132429</v>
      </c>
      <c r="Z19" s="14">
        <f t="shared" si="0"/>
        <v>1885359992.3132429</v>
      </c>
      <c r="AA19" s="14">
        <f t="shared" si="0"/>
        <v>1885359992.3132429</v>
      </c>
      <c r="AB19" s="14">
        <f t="shared" si="0"/>
        <v>1885359992.3132429</v>
      </c>
      <c r="AC19" s="14">
        <f t="shared" si="0"/>
        <v>1885359992.3132429</v>
      </c>
      <c r="AD19" s="14">
        <f t="shared" si="0"/>
        <v>1885359992.3132429</v>
      </c>
      <c r="AE19" s="14">
        <f t="shared" si="0"/>
        <v>1885359992.3132429</v>
      </c>
      <c r="AF19" s="14">
        <f t="shared" si="0"/>
        <v>1885359992.3132429</v>
      </c>
      <c r="AG19" s="14">
        <f t="shared" si="0"/>
        <v>0</v>
      </c>
    </row>
    <row r="21" spans="2:34" x14ac:dyDescent="0.25">
      <c r="B21" t="s">
        <v>239</v>
      </c>
    </row>
    <row r="22" spans="2:34" x14ac:dyDescent="0.25">
      <c r="B22" s="62" t="s">
        <v>224</v>
      </c>
      <c r="C22" s="63">
        <v>2020</v>
      </c>
      <c r="D22" s="63">
        <v>2030</v>
      </c>
      <c r="E22" s="63">
        <v>2040</v>
      </c>
      <c r="F22" s="63">
        <v>2050</v>
      </c>
    </row>
    <row r="23" spans="2:34" x14ac:dyDescent="0.25">
      <c r="B23" s="8" t="s">
        <v>225</v>
      </c>
      <c r="C23" s="1">
        <f>SUMIFS($C$36:$AG$36,$C$27:$AG$27,C$22)</f>
        <v>2295420904.7329011</v>
      </c>
      <c r="D23" s="1">
        <f>SUMIFS($C$36:$AG$36,$C$27:$AG$27,D$22)</f>
        <v>3092970943.5464087</v>
      </c>
      <c r="E23" s="1">
        <f>SUMIFS($C$36:$AG$36,$C$27:$AG$27,E$22)</f>
        <v>1417344973.5471559</v>
      </c>
      <c r="F23" s="1">
        <f>SUMIFS($C$36:$AG$36,$C$27:$AG$27,F$22)</f>
        <v>0</v>
      </c>
      <c r="G23" t="s">
        <v>226</v>
      </c>
    </row>
    <row r="24" spans="2:34" x14ac:dyDescent="0.25">
      <c r="B24" s="70" t="s">
        <v>227</v>
      </c>
      <c r="C24" s="71">
        <f>C23*S205</f>
        <v>2295420904.7329011</v>
      </c>
      <c r="D24" s="71">
        <f>D23*T205</f>
        <v>3088096332.005693</v>
      </c>
      <c r="E24" s="71">
        <f>E23*U205</f>
        <v>1413965232.3329792</v>
      </c>
      <c r="F24" s="71">
        <f>F23*V205</f>
        <v>0</v>
      </c>
      <c r="G24" t="s">
        <v>228</v>
      </c>
    </row>
    <row r="26" spans="2:34" x14ac:dyDescent="0.25">
      <c r="B26" s="13" t="s">
        <v>77</v>
      </c>
      <c r="C26" s="13" t="s">
        <v>78</v>
      </c>
      <c r="D26" s="13" t="s">
        <v>78</v>
      </c>
      <c r="E26" s="13" t="s">
        <v>78</v>
      </c>
      <c r="F26" s="13" t="s">
        <v>78</v>
      </c>
      <c r="G26" s="13" t="s">
        <v>78</v>
      </c>
      <c r="H26" s="13" t="s">
        <v>78</v>
      </c>
      <c r="I26" s="13" t="s">
        <v>78</v>
      </c>
      <c r="J26" s="13" t="s">
        <v>78</v>
      </c>
      <c r="K26" s="13" t="s">
        <v>78</v>
      </c>
      <c r="L26" s="13" t="s">
        <v>78</v>
      </c>
      <c r="M26" s="13" t="s">
        <v>78</v>
      </c>
      <c r="N26" s="13" t="s">
        <v>79</v>
      </c>
      <c r="O26" s="13" t="s">
        <v>79</v>
      </c>
      <c r="P26" s="13" t="s">
        <v>79</v>
      </c>
      <c r="Q26" s="13" t="s">
        <v>79</v>
      </c>
      <c r="R26" s="13" t="s">
        <v>79</v>
      </c>
      <c r="S26" s="13" t="s">
        <v>79</v>
      </c>
      <c r="T26" s="13" t="s">
        <v>79</v>
      </c>
      <c r="U26" s="13" t="s">
        <v>79</v>
      </c>
      <c r="V26" s="13" t="s">
        <v>79</v>
      </c>
      <c r="W26" s="13" t="s">
        <v>79</v>
      </c>
      <c r="X26" s="13" t="s">
        <v>80</v>
      </c>
      <c r="Y26" s="13" t="s">
        <v>80</v>
      </c>
      <c r="Z26" s="13" t="s">
        <v>80</v>
      </c>
      <c r="AA26" s="13" t="s">
        <v>80</v>
      </c>
      <c r="AB26" s="13" t="s">
        <v>80</v>
      </c>
      <c r="AC26" s="13" t="s">
        <v>80</v>
      </c>
      <c r="AD26" s="13" t="s">
        <v>80</v>
      </c>
      <c r="AE26" s="13" t="s">
        <v>80</v>
      </c>
      <c r="AF26" s="13" t="s">
        <v>80</v>
      </c>
      <c r="AG26" s="13" t="s">
        <v>80</v>
      </c>
    </row>
    <row r="27" spans="2:34" s="25" customFormat="1" x14ac:dyDescent="0.25">
      <c r="B27" s="25" t="s">
        <v>229</v>
      </c>
      <c r="C27" s="25">
        <v>2020</v>
      </c>
      <c r="D27" s="25">
        <v>2021</v>
      </c>
      <c r="E27" s="25">
        <v>2022</v>
      </c>
      <c r="F27" s="25">
        <v>2023</v>
      </c>
      <c r="G27" s="25">
        <v>2024</v>
      </c>
      <c r="H27" s="25">
        <v>2025</v>
      </c>
      <c r="I27" s="25">
        <v>2026</v>
      </c>
      <c r="J27" s="25">
        <v>2027</v>
      </c>
      <c r="K27" s="25">
        <v>2028</v>
      </c>
      <c r="L27" s="25">
        <v>2029</v>
      </c>
      <c r="M27" s="25">
        <v>2030</v>
      </c>
      <c r="N27" s="25">
        <v>2031</v>
      </c>
      <c r="O27" s="25">
        <v>2032</v>
      </c>
      <c r="P27" s="25">
        <v>2033</v>
      </c>
      <c r="Q27" s="25">
        <v>2034</v>
      </c>
      <c r="R27" s="25">
        <v>2035</v>
      </c>
      <c r="S27" s="25">
        <v>2036</v>
      </c>
      <c r="T27" s="25">
        <v>2037</v>
      </c>
      <c r="U27" s="25">
        <v>2038</v>
      </c>
      <c r="V27" s="25">
        <v>2039</v>
      </c>
      <c r="W27" s="25">
        <v>2040</v>
      </c>
      <c r="X27" s="25">
        <v>2041</v>
      </c>
      <c r="Y27" s="25">
        <v>2042</v>
      </c>
      <c r="Z27" s="25">
        <v>2043</v>
      </c>
      <c r="AA27" s="25">
        <v>2044</v>
      </c>
      <c r="AB27" s="25">
        <v>2045</v>
      </c>
      <c r="AC27" s="25">
        <v>2046</v>
      </c>
      <c r="AD27" s="25">
        <v>2047</v>
      </c>
      <c r="AE27" s="25">
        <v>2048</v>
      </c>
      <c r="AF27" s="25">
        <v>2049</v>
      </c>
      <c r="AG27" s="25">
        <v>2050</v>
      </c>
      <c r="AH27" s="64"/>
    </row>
    <row r="28" spans="2:34" x14ac:dyDescent="0.25">
      <c r="B28" s="49" t="s">
        <v>230</v>
      </c>
      <c r="C28" s="50">
        <v>407790143.084261</v>
      </c>
      <c r="D28" s="50">
        <v>407790143.084261</v>
      </c>
      <c r="E28" s="50">
        <v>407790143.084261</v>
      </c>
      <c r="F28" s="50">
        <v>407790143.084261</v>
      </c>
      <c r="G28" s="50">
        <v>407790143.084261</v>
      </c>
      <c r="H28" s="50">
        <v>407790143.084261</v>
      </c>
      <c r="I28" s="50">
        <v>407790143.084261</v>
      </c>
      <c r="J28" s="50">
        <v>407790143.084261</v>
      </c>
      <c r="K28" s="50">
        <v>407790143.084261</v>
      </c>
      <c r="L28" s="50">
        <v>407790143.084261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0">
        <v>0</v>
      </c>
      <c r="AC28" s="50">
        <v>0</v>
      </c>
      <c r="AD28" s="50">
        <v>0</v>
      </c>
      <c r="AE28" s="50">
        <v>0</v>
      </c>
      <c r="AF28" s="50">
        <v>0</v>
      </c>
      <c r="AG28" s="50">
        <v>0</v>
      </c>
    </row>
    <row r="29" spans="2:34" x14ac:dyDescent="0.25">
      <c r="B29" s="49" t="s">
        <v>231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644356120.82670903</v>
      </c>
      <c r="N29" s="50">
        <v>644356120.82670903</v>
      </c>
      <c r="O29" s="50">
        <v>644356120.82670903</v>
      </c>
      <c r="P29" s="50">
        <v>644356120.82670903</v>
      </c>
      <c r="Q29" s="50">
        <v>644356120.82670903</v>
      </c>
      <c r="R29" s="50">
        <v>644356120.82670903</v>
      </c>
      <c r="S29" s="50">
        <v>644356120.82670903</v>
      </c>
      <c r="T29" s="50">
        <v>644356120.82670903</v>
      </c>
      <c r="U29" s="50">
        <v>644356120.82670903</v>
      </c>
      <c r="V29" s="50">
        <v>644356120.82670903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</row>
    <row r="30" spans="2:34" x14ac:dyDescent="0.25">
      <c r="B30" s="49" t="s">
        <v>232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758346581.87599397</v>
      </c>
      <c r="X30" s="50">
        <v>758346581.87599397</v>
      </c>
      <c r="Y30" s="50">
        <v>758346581.87599397</v>
      </c>
      <c r="Z30" s="50">
        <v>758346581.87599397</v>
      </c>
      <c r="AA30" s="50">
        <v>758346581.87599397</v>
      </c>
      <c r="AB30" s="50">
        <v>758346581.87599397</v>
      </c>
      <c r="AC30" s="50">
        <v>758346581.87599397</v>
      </c>
      <c r="AD30" s="50">
        <v>758346581.87599397</v>
      </c>
      <c r="AE30" s="50">
        <v>758346581.87599397</v>
      </c>
      <c r="AF30" s="50">
        <v>758346581.87599397</v>
      </c>
      <c r="AG30" s="50">
        <v>0</v>
      </c>
    </row>
    <row r="31" spans="2:34" x14ac:dyDescent="0.25">
      <c r="B31" s="49" t="s">
        <v>233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0">
        <v>0</v>
      </c>
      <c r="AC31" s="50">
        <v>0</v>
      </c>
      <c r="AD31" s="50">
        <v>0</v>
      </c>
      <c r="AE31" s="50">
        <v>0</v>
      </c>
      <c r="AF31" s="50">
        <v>0</v>
      </c>
      <c r="AG31" s="50">
        <v>0</v>
      </c>
    </row>
    <row r="32" spans="2:34" x14ac:dyDescent="0.25">
      <c r="B32" s="49" t="s">
        <v>234</v>
      </c>
      <c r="C32" s="50">
        <v>1887630761.6486399</v>
      </c>
      <c r="D32" s="50">
        <v>1887630761.6486399</v>
      </c>
      <c r="E32" s="50">
        <v>1887630761.6486399</v>
      </c>
      <c r="F32" s="50">
        <v>1887630761.6486399</v>
      </c>
      <c r="G32" s="50">
        <v>1887630761.6486399</v>
      </c>
      <c r="H32" s="50">
        <v>1887630761.6486399</v>
      </c>
      <c r="I32" s="50">
        <v>1887630761.6486399</v>
      </c>
      <c r="J32" s="50">
        <v>1887630761.6486399</v>
      </c>
      <c r="K32" s="50">
        <v>1887630761.6486399</v>
      </c>
      <c r="L32" s="50">
        <v>1887630761.6486399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0">
        <v>0</v>
      </c>
      <c r="AC32" s="50">
        <v>0</v>
      </c>
      <c r="AD32" s="50">
        <v>0</v>
      </c>
      <c r="AE32" s="50">
        <v>0</v>
      </c>
      <c r="AF32" s="50">
        <v>0</v>
      </c>
      <c r="AG32" s="50">
        <v>0</v>
      </c>
    </row>
    <row r="33" spans="2:34" x14ac:dyDescent="0.25">
      <c r="B33" s="49" t="s">
        <v>235</v>
      </c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2448614822.7196999</v>
      </c>
      <c r="N33" s="50">
        <v>2448614822.7196999</v>
      </c>
      <c r="O33" s="50">
        <v>2448614822.7196999</v>
      </c>
      <c r="P33" s="50">
        <v>2448614822.7196999</v>
      </c>
      <c r="Q33" s="50">
        <v>2448614822.7196999</v>
      </c>
      <c r="R33" s="50">
        <v>2448614822.7196999</v>
      </c>
      <c r="S33" s="50">
        <v>2448614822.7196999</v>
      </c>
      <c r="T33" s="50">
        <v>2448614822.7196999</v>
      </c>
      <c r="U33" s="50">
        <v>2448614822.7196999</v>
      </c>
      <c r="V33" s="50">
        <v>2448614822.7196999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0">
        <v>0</v>
      </c>
      <c r="AC33" s="50">
        <v>0</v>
      </c>
      <c r="AD33" s="50">
        <v>0</v>
      </c>
      <c r="AE33" s="50">
        <v>0</v>
      </c>
      <c r="AF33" s="50">
        <v>0</v>
      </c>
      <c r="AG33" s="50">
        <v>0</v>
      </c>
    </row>
    <row r="34" spans="2:34" x14ac:dyDescent="0.25">
      <c r="B34" s="49" t="s">
        <v>236</v>
      </c>
      <c r="C34" s="50"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658998391.67116201</v>
      </c>
      <c r="X34" s="50">
        <v>658998391.67116201</v>
      </c>
      <c r="Y34" s="50">
        <v>658998391.67116201</v>
      </c>
      <c r="Z34" s="50">
        <v>658998391.67116201</v>
      </c>
      <c r="AA34" s="50">
        <v>658998391.67116201</v>
      </c>
      <c r="AB34" s="50">
        <v>658998391.67116201</v>
      </c>
      <c r="AC34" s="50">
        <v>658998391.67116201</v>
      </c>
      <c r="AD34" s="50">
        <v>658998391.67116201</v>
      </c>
      <c r="AE34" s="50">
        <v>658998391.67116201</v>
      </c>
      <c r="AF34" s="50">
        <v>658998391.67116201</v>
      </c>
      <c r="AG34" s="50">
        <v>0</v>
      </c>
    </row>
    <row r="35" spans="2:34" x14ac:dyDescent="0.25">
      <c r="B35" s="49" t="s">
        <v>237</v>
      </c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0">
        <v>0</v>
      </c>
      <c r="AC35" s="50">
        <v>0</v>
      </c>
      <c r="AD35" s="50">
        <v>0</v>
      </c>
      <c r="AE35" s="50">
        <v>0</v>
      </c>
      <c r="AF35" s="50">
        <v>0</v>
      </c>
      <c r="AG35" s="50">
        <v>0</v>
      </c>
    </row>
    <row r="36" spans="2:34" x14ac:dyDescent="0.25">
      <c r="B36" s="51" t="s">
        <v>238</v>
      </c>
      <c r="C36" s="69">
        <f t="shared" ref="C36:AG36" si="1">SUM(C28:C35)</f>
        <v>2295420904.7329011</v>
      </c>
      <c r="D36" s="69">
        <f t="shared" si="1"/>
        <v>2295420904.7329011</v>
      </c>
      <c r="E36" s="69">
        <f t="shared" si="1"/>
        <v>2295420904.7329011</v>
      </c>
      <c r="F36" s="69">
        <f t="shared" si="1"/>
        <v>2295420904.7329011</v>
      </c>
      <c r="G36" s="69">
        <f t="shared" si="1"/>
        <v>2295420904.7329011</v>
      </c>
      <c r="H36" s="69">
        <f t="shared" si="1"/>
        <v>2295420904.7329011</v>
      </c>
      <c r="I36" s="69">
        <f t="shared" si="1"/>
        <v>2295420904.7329011</v>
      </c>
      <c r="J36" s="69">
        <f t="shared" si="1"/>
        <v>2295420904.7329011</v>
      </c>
      <c r="K36" s="69">
        <f t="shared" si="1"/>
        <v>2295420904.7329011</v>
      </c>
      <c r="L36" s="69">
        <f t="shared" si="1"/>
        <v>2295420904.7329011</v>
      </c>
      <c r="M36" s="69">
        <f t="shared" si="1"/>
        <v>3092970943.5464087</v>
      </c>
      <c r="N36" s="69">
        <f t="shared" si="1"/>
        <v>3092970943.5464087</v>
      </c>
      <c r="O36" s="69">
        <f t="shared" si="1"/>
        <v>3092970943.5464087</v>
      </c>
      <c r="P36" s="69">
        <f t="shared" si="1"/>
        <v>3092970943.5464087</v>
      </c>
      <c r="Q36" s="69">
        <f t="shared" si="1"/>
        <v>3092970943.5464087</v>
      </c>
      <c r="R36" s="69">
        <f t="shared" si="1"/>
        <v>3092970943.5464087</v>
      </c>
      <c r="S36" s="69">
        <f t="shared" si="1"/>
        <v>3092970943.5464087</v>
      </c>
      <c r="T36" s="69">
        <f t="shared" si="1"/>
        <v>3092970943.5464087</v>
      </c>
      <c r="U36" s="69">
        <f t="shared" si="1"/>
        <v>3092970943.5464087</v>
      </c>
      <c r="V36" s="69">
        <f t="shared" si="1"/>
        <v>3092970943.5464087</v>
      </c>
      <c r="W36" s="69">
        <f t="shared" si="1"/>
        <v>1417344973.5471559</v>
      </c>
      <c r="X36" s="69">
        <f t="shared" si="1"/>
        <v>1417344973.5471559</v>
      </c>
      <c r="Y36" s="69">
        <f t="shared" si="1"/>
        <v>1417344973.5471559</v>
      </c>
      <c r="Z36" s="69">
        <f t="shared" si="1"/>
        <v>1417344973.5471559</v>
      </c>
      <c r="AA36" s="69">
        <f t="shared" si="1"/>
        <v>1417344973.5471559</v>
      </c>
      <c r="AB36" s="69">
        <f t="shared" si="1"/>
        <v>1417344973.5471559</v>
      </c>
      <c r="AC36" s="69">
        <f t="shared" si="1"/>
        <v>1417344973.5471559</v>
      </c>
      <c r="AD36" s="69">
        <f t="shared" si="1"/>
        <v>1417344973.5471559</v>
      </c>
      <c r="AE36" s="69">
        <f t="shared" si="1"/>
        <v>1417344973.5471559</v>
      </c>
      <c r="AF36" s="69">
        <f t="shared" si="1"/>
        <v>1417344973.5471559</v>
      </c>
      <c r="AG36" s="69">
        <f t="shared" si="1"/>
        <v>0</v>
      </c>
    </row>
    <row r="38" spans="2:34" s="65" customFormat="1" x14ac:dyDescent="0.25">
      <c r="B38" s="66" t="s">
        <v>43</v>
      </c>
    </row>
    <row r="39" spans="2:34" x14ac:dyDescent="0.25">
      <c r="B39" t="s">
        <v>223</v>
      </c>
    </row>
    <row r="40" spans="2:34" x14ac:dyDescent="0.25">
      <c r="B40" s="8" t="s">
        <v>224</v>
      </c>
      <c r="C40" s="23">
        <v>2020</v>
      </c>
      <c r="D40" s="23">
        <v>2030</v>
      </c>
      <c r="E40" s="23">
        <v>2040</v>
      </c>
      <c r="F40" s="23">
        <v>2050</v>
      </c>
    </row>
    <row r="41" spans="2:34" x14ac:dyDescent="0.25">
      <c r="B41" s="8" t="s">
        <v>225</v>
      </c>
      <c r="C41" s="1">
        <f>SUMIFS($C$50:$AG$50,$C$44:$AG$44,C$40)</f>
        <v>0</v>
      </c>
      <c r="D41" s="1">
        <f>SUMIFS($C$50:$AG$50,$C$44:$AG$44,D$40)</f>
        <v>171398728.13990501</v>
      </c>
      <c r="E41" s="1">
        <f>SUMIFS($C$50:$AG$50,$C$44:$AG$44,E$40)</f>
        <v>483825119.236884</v>
      </c>
      <c r="F41" s="1">
        <f>SUMIFS($C$50:$AG$50,$C$44:$AG$44,F$40)</f>
        <v>566886243.90040195</v>
      </c>
      <c r="G41" t="s">
        <v>240</v>
      </c>
    </row>
    <row r="42" spans="2:34" x14ac:dyDescent="0.25">
      <c r="B42" s="8" t="s">
        <v>227</v>
      </c>
      <c r="C42" s="71">
        <f>C41</f>
        <v>0</v>
      </c>
      <c r="D42" s="71">
        <f>D41</f>
        <v>171398728.13990501</v>
      </c>
      <c r="E42" s="71">
        <f>E41</f>
        <v>483825119.236884</v>
      </c>
      <c r="F42" s="71">
        <f>F41</f>
        <v>566886243.90040195</v>
      </c>
      <c r="G42" s="61" t="s">
        <v>241</v>
      </c>
    </row>
    <row r="43" spans="2:34" x14ac:dyDescent="0.25">
      <c r="B43" s="9"/>
    </row>
    <row r="44" spans="2:34" x14ac:dyDescent="0.25">
      <c r="C44">
        <v>2020</v>
      </c>
      <c r="D44">
        <v>2021</v>
      </c>
      <c r="E44">
        <v>2022</v>
      </c>
      <c r="F44">
        <v>2023</v>
      </c>
      <c r="G44">
        <v>2024</v>
      </c>
      <c r="H44">
        <v>2025</v>
      </c>
      <c r="I44">
        <v>2026</v>
      </c>
      <c r="J44">
        <v>2027</v>
      </c>
      <c r="K44">
        <v>2028</v>
      </c>
      <c r="L44">
        <v>2029</v>
      </c>
      <c r="M44">
        <v>2030</v>
      </c>
      <c r="N44">
        <v>2031</v>
      </c>
      <c r="O44">
        <v>2032</v>
      </c>
      <c r="P44">
        <v>2033</v>
      </c>
      <c r="Q44">
        <v>2034</v>
      </c>
      <c r="R44">
        <v>2035</v>
      </c>
      <c r="S44">
        <v>2036</v>
      </c>
      <c r="T44">
        <v>2037</v>
      </c>
      <c r="U44">
        <v>2038</v>
      </c>
      <c r="V44">
        <v>2039</v>
      </c>
      <c r="W44">
        <v>2040</v>
      </c>
      <c r="X44">
        <v>2041</v>
      </c>
      <c r="Y44">
        <v>2042</v>
      </c>
      <c r="Z44">
        <v>2043</v>
      </c>
      <c r="AA44">
        <v>2044</v>
      </c>
      <c r="AB44">
        <v>2045</v>
      </c>
      <c r="AC44">
        <v>2046</v>
      </c>
      <c r="AD44">
        <v>2047</v>
      </c>
      <c r="AE44">
        <v>2048</v>
      </c>
      <c r="AF44">
        <v>2049</v>
      </c>
      <c r="AG44">
        <v>2050</v>
      </c>
    </row>
    <row r="45" spans="2:34" s="9" customFormat="1" x14ac:dyDescent="0.25">
      <c r="B45" s="49" t="s">
        <v>242</v>
      </c>
      <c r="C45" s="68">
        <v>0</v>
      </c>
      <c r="D45" s="68">
        <v>0</v>
      </c>
      <c r="E45" s="68">
        <v>0</v>
      </c>
      <c r="F45" s="68">
        <v>0</v>
      </c>
      <c r="G45" s="68">
        <v>0</v>
      </c>
      <c r="H45" s="68">
        <v>0</v>
      </c>
      <c r="I45" s="68">
        <v>0</v>
      </c>
      <c r="J45" s="68">
        <v>0</v>
      </c>
      <c r="K45" s="68">
        <v>0</v>
      </c>
      <c r="L45" s="68">
        <v>0</v>
      </c>
      <c r="M45" s="68">
        <v>226828319.2961973</v>
      </c>
      <c r="N45" s="68">
        <v>226828194.10828233</v>
      </c>
      <c r="O45" s="68">
        <v>226828194.10828233</v>
      </c>
      <c r="P45" s="68">
        <v>226828194.10828233</v>
      </c>
      <c r="Q45" s="68">
        <v>226828194.10828233</v>
      </c>
      <c r="R45" s="68">
        <v>226828194.10828233</v>
      </c>
      <c r="S45" s="68">
        <v>226828194.10828233</v>
      </c>
      <c r="T45" s="68">
        <v>226828194.10828233</v>
      </c>
      <c r="U45" s="68">
        <v>226828194.10828233</v>
      </c>
      <c r="V45" s="68">
        <v>226828194.10828233</v>
      </c>
      <c r="W45" s="68">
        <v>618297871.54334104</v>
      </c>
      <c r="X45" s="68">
        <v>618297871.54334104</v>
      </c>
      <c r="Y45" s="68">
        <v>618297871.54334104</v>
      </c>
      <c r="Z45" s="68">
        <v>618297871.54334104</v>
      </c>
      <c r="AA45" s="68">
        <v>618297871.54334104</v>
      </c>
      <c r="AB45" s="68">
        <v>618297871.54334104</v>
      </c>
      <c r="AC45" s="68">
        <v>618297871.54334104</v>
      </c>
      <c r="AD45" s="68">
        <v>618297871.54334104</v>
      </c>
      <c r="AE45" s="68">
        <v>618297871.54334104</v>
      </c>
      <c r="AF45" s="68">
        <v>618297871.54334104</v>
      </c>
      <c r="AG45" s="68">
        <v>724444731.2573626</v>
      </c>
      <c r="AH45" s="68"/>
    </row>
    <row r="46" spans="2:34" s="9" customFormat="1" x14ac:dyDescent="0.25">
      <c r="B46" s="67" t="s">
        <v>243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>
        <v>125.187914986742</v>
      </c>
      <c r="N46" s="68"/>
      <c r="O46" s="68"/>
      <c r="P46" s="68"/>
      <c r="Q46" s="68"/>
      <c r="R46" s="68"/>
      <c r="S46" s="68"/>
      <c r="T46" s="68"/>
      <c r="U46" s="68"/>
      <c r="V46" s="68"/>
      <c r="W46" s="68">
        <v>0</v>
      </c>
      <c r="X46" s="68"/>
      <c r="Y46" s="68"/>
      <c r="Z46" s="68"/>
      <c r="AA46" s="68"/>
      <c r="AB46" s="68"/>
      <c r="AC46" s="68"/>
      <c r="AD46" s="68"/>
      <c r="AE46" s="68"/>
      <c r="AF46" s="68"/>
      <c r="AG46" s="68">
        <v>0.97206231934227905</v>
      </c>
      <c r="AH46" s="68"/>
    </row>
    <row r="47" spans="2:34" s="9" customFormat="1" x14ac:dyDescent="0.25">
      <c r="B47" s="67" t="s">
        <v>244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68">
        <v>0</v>
      </c>
      <c r="M47" s="68">
        <v>36250644.301710598</v>
      </c>
      <c r="N47" s="68">
        <v>36250644.301710598</v>
      </c>
      <c r="O47" s="68">
        <v>36250644.301710598</v>
      </c>
      <c r="P47" s="68">
        <v>36250644.301710598</v>
      </c>
      <c r="Q47" s="68">
        <v>36250644.301710598</v>
      </c>
      <c r="R47" s="68">
        <v>36250644.301710598</v>
      </c>
      <c r="S47" s="68">
        <v>36250644.301710598</v>
      </c>
      <c r="T47" s="68">
        <v>36250644.301710598</v>
      </c>
      <c r="U47" s="68">
        <v>36250644.301710598</v>
      </c>
      <c r="V47" s="68">
        <v>36250644.301710598</v>
      </c>
      <c r="W47" s="68">
        <v>88472420.639790297</v>
      </c>
      <c r="X47" s="68">
        <v>88472420.639790297</v>
      </c>
      <c r="Y47" s="68">
        <v>88472420.639790297</v>
      </c>
      <c r="Z47" s="68">
        <v>88472420.639790297</v>
      </c>
      <c r="AA47" s="68">
        <v>88472420.639790297</v>
      </c>
      <c r="AB47" s="68">
        <v>88472420.639790297</v>
      </c>
      <c r="AC47" s="68">
        <v>88472420.639790297</v>
      </c>
      <c r="AD47" s="68">
        <v>88472420.639790297</v>
      </c>
      <c r="AE47" s="68">
        <v>88472420.639790297</v>
      </c>
      <c r="AF47" s="68">
        <v>88472420.639790297</v>
      </c>
      <c r="AG47" s="68">
        <v>103661005.24993899</v>
      </c>
      <c r="AH47" s="68"/>
    </row>
    <row r="48" spans="2:34" s="9" customFormat="1" x14ac:dyDescent="0.25">
      <c r="B48" s="67" t="s">
        <v>245</v>
      </c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>
        <v>0</v>
      </c>
      <c r="N48" s="68">
        <v>0</v>
      </c>
      <c r="O48" s="68">
        <v>0</v>
      </c>
      <c r="P48" s="68">
        <v>0</v>
      </c>
      <c r="Q48" s="68">
        <v>0</v>
      </c>
      <c r="R48" s="68">
        <v>0</v>
      </c>
      <c r="S48" s="68">
        <v>0</v>
      </c>
      <c r="T48" s="68">
        <v>0</v>
      </c>
      <c r="U48" s="68">
        <v>0</v>
      </c>
      <c r="V48" s="68">
        <v>0</v>
      </c>
      <c r="W48" s="68">
        <v>0</v>
      </c>
      <c r="X48" s="68">
        <v>0</v>
      </c>
      <c r="Y48" s="68">
        <v>0</v>
      </c>
      <c r="Z48" s="68">
        <v>0</v>
      </c>
      <c r="AA48" s="68">
        <v>0</v>
      </c>
      <c r="AB48" s="68">
        <v>0</v>
      </c>
      <c r="AC48" s="68">
        <v>0</v>
      </c>
      <c r="AD48" s="68">
        <v>0</v>
      </c>
      <c r="AE48" s="68">
        <v>0</v>
      </c>
      <c r="AF48" s="68">
        <v>0</v>
      </c>
      <c r="AG48" s="68">
        <v>0</v>
      </c>
      <c r="AH48" s="68"/>
    </row>
    <row r="49" spans="2:34" s="9" customFormat="1" x14ac:dyDescent="0.25">
      <c r="B49" s="67" t="s">
        <v>246</v>
      </c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>
        <v>0</v>
      </c>
      <c r="N49" s="68">
        <v>0</v>
      </c>
      <c r="O49" s="68">
        <v>0</v>
      </c>
      <c r="P49" s="68">
        <v>0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0</v>
      </c>
      <c r="W49" s="68">
        <v>0</v>
      </c>
      <c r="X49" s="68">
        <v>0</v>
      </c>
      <c r="Y49" s="68">
        <v>0</v>
      </c>
      <c r="Z49" s="68">
        <v>0</v>
      </c>
      <c r="AA49" s="68">
        <v>0</v>
      </c>
      <c r="AB49" s="68">
        <v>0</v>
      </c>
      <c r="AC49" s="68">
        <v>0</v>
      </c>
      <c r="AD49" s="68">
        <v>0</v>
      </c>
      <c r="AE49" s="68">
        <v>0</v>
      </c>
      <c r="AF49" s="68">
        <v>0</v>
      </c>
      <c r="AG49" s="68">
        <v>0</v>
      </c>
      <c r="AH49" s="68"/>
    </row>
    <row r="50" spans="2:34" s="9" customFormat="1" x14ac:dyDescent="0.25">
      <c r="B50" s="49" t="s">
        <v>247</v>
      </c>
      <c r="C50" s="68">
        <v>0</v>
      </c>
      <c r="D50" s="68">
        <v>0</v>
      </c>
      <c r="E50" s="68">
        <v>0</v>
      </c>
      <c r="F50" s="68">
        <v>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  <c r="L50" s="68">
        <v>0</v>
      </c>
      <c r="M50" s="68">
        <v>171398728.13990501</v>
      </c>
      <c r="N50" s="68">
        <v>171398728.13990501</v>
      </c>
      <c r="O50" s="68">
        <v>171398728.13990501</v>
      </c>
      <c r="P50" s="68">
        <v>171398728.13990501</v>
      </c>
      <c r="Q50" s="68">
        <v>171398728.13990501</v>
      </c>
      <c r="R50" s="68">
        <v>171398728.13990501</v>
      </c>
      <c r="S50" s="68">
        <v>171398728.13990501</v>
      </c>
      <c r="T50" s="68">
        <v>171398728.13990501</v>
      </c>
      <c r="U50" s="68">
        <v>171398728.13990501</v>
      </c>
      <c r="V50" s="68">
        <v>171398728.13990501</v>
      </c>
      <c r="W50" s="68">
        <v>483825119.236884</v>
      </c>
      <c r="X50" s="68">
        <v>483825119.236884</v>
      </c>
      <c r="Y50" s="68">
        <v>483825119.236884</v>
      </c>
      <c r="Z50" s="68">
        <v>483825119.236884</v>
      </c>
      <c r="AA50" s="68">
        <v>483825119.236884</v>
      </c>
      <c r="AB50" s="68">
        <v>483825119.236884</v>
      </c>
      <c r="AC50" s="68">
        <v>483825119.236884</v>
      </c>
      <c r="AD50" s="68">
        <v>483825119.236884</v>
      </c>
      <c r="AE50" s="68">
        <v>483825119.236884</v>
      </c>
      <c r="AF50" s="68">
        <v>483825119.236884</v>
      </c>
      <c r="AG50" s="68">
        <v>566886243.90040195</v>
      </c>
      <c r="AH50" s="68"/>
    </row>
    <row r="51" spans="2:34" s="9" customFormat="1" x14ac:dyDescent="0.25">
      <c r="B51" s="67" t="s">
        <v>248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>
        <v>0</v>
      </c>
      <c r="I51" s="68">
        <v>0</v>
      </c>
      <c r="J51" s="68">
        <v>0</v>
      </c>
      <c r="K51" s="68">
        <v>0</v>
      </c>
      <c r="L51" s="68">
        <v>0</v>
      </c>
      <c r="M51" s="68">
        <v>19178821.666666701</v>
      </c>
      <c r="N51" s="68">
        <v>19178821.666666701</v>
      </c>
      <c r="O51" s="68">
        <v>19178821.666666701</v>
      </c>
      <c r="P51" s="68">
        <v>19178821.666666701</v>
      </c>
      <c r="Q51" s="68">
        <v>19178821.666666701</v>
      </c>
      <c r="R51" s="68">
        <v>19178821.666666701</v>
      </c>
      <c r="S51" s="68">
        <v>19178821.666666701</v>
      </c>
      <c r="T51" s="68">
        <v>19178821.666666701</v>
      </c>
      <c r="U51" s="68">
        <v>19178821.666666701</v>
      </c>
      <c r="V51" s="68">
        <v>19178821.666666701</v>
      </c>
      <c r="W51" s="68">
        <v>46000331.666666701</v>
      </c>
      <c r="X51" s="68">
        <v>46000331.666666701</v>
      </c>
      <c r="Y51" s="68">
        <v>46000331.666666701</v>
      </c>
      <c r="Z51" s="68">
        <v>46000331.666666701</v>
      </c>
      <c r="AA51" s="68">
        <v>46000331.666666701</v>
      </c>
      <c r="AB51" s="68">
        <v>46000331.666666701</v>
      </c>
      <c r="AC51" s="68">
        <v>46000331.666666701</v>
      </c>
      <c r="AD51" s="68">
        <v>46000331.666666701</v>
      </c>
      <c r="AE51" s="68">
        <v>46000331.666666701</v>
      </c>
      <c r="AF51" s="68">
        <v>46000331.666666701</v>
      </c>
      <c r="AG51" s="68">
        <v>53897481.134959303</v>
      </c>
      <c r="AH51" s="68"/>
    </row>
    <row r="52" spans="2:34" x14ac:dyDescent="0.25">
      <c r="B52" s="38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</row>
    <row r="53" spans="2:34" x14ac:dyDescent="0.25">
      <c r="B53" t="s">
        <v>239</v>
      </c>
    </row>
    <row r="54" spans="2:34" x14ac:dyDescent="0.25">
      <c r="B54" s="8" t="s">
        <v>224</v>
      </c>
      <c r="C54" s="23">
        <v>2020</v>
      </c>
      <c r="D54" s="23">
        <v>2030</v>
      </c>
      <c r="E54" s="23">
        <v>2040</v>
      </c>
      <c r="F54" s="23">
        <v>2050</v>
      </c>
    </row>
    <row r="55" spans="2:34" x14ac:dyDescent="0.25">
      <c r="B55" s="8" t="s">
        <v>225</v>
      </c>
      <c r="C55" s="1">
        <f>SUMIFS($C$64:$AG$64,$C$58:$AG$58,C$54)</f>
        <v>0</v>
      </c>
      <c r="D55" s="1">
        <f>SUMIFS($C$64:$AG$64,$C$58:$AG$58,D$54)</f>
        <v>0</v>
      </c>
      <c r="E55" s="1">
        <f>SUMIFS($C$64:$AG$64,$C$58:$AG$58,E$54)</f>
        <v>271488076.31160599</v>
      </c>
      <c r="F55" s="1">
        <f>SUMIFS($C$64:$AG$64,$C$58:$AG$58,F$54)</f>
        <v>436021155.81407201</v>
      </c>
      <c r="G55" t="s">
        <v>226</v>
      </c>
    </row>
    <row r="56" spans="2:34" x14ac:dyDescent="0.25">
      <c r="B56" s="8" t="s">
        <v>227</v>
      </c>
      <c r="C56" s="71">
        <f>C55</f>
        <v>0</v>
      </c>
      <c r="D56" s="71">
        <f>D55</f>
        <v>0</v>
      </c>
      <c r="E56" s="71">
        <f>E55</f>
        <v>271488076.31160599</v>
      </c>
      <c r="F56" s="71">
        <f>F55</f>
        <v>436021155.81407201</v>
      </c>
      <c r="G56" s="61" t="s">
        <v>241</v>
      </c>
    </row>
    <row r="57" spans="2:34" x14ac:dyDescent="0.25">
      <c r="B57" s="9"/>
    </row>
    <row r="58" spans="2:34" x14ac:dyDescent="0.25">
      <c r="C58">
        <v>2020</v>
      </c>
      <c r="D58">
        <v>2021</v>
      </c>
      <c r="E58">
        <v>2022</v>
      </c>
      <c r="F58">
        <v>2023</v>
      </c>
      <c r="G58">
        <v>2024</v>
      </c>
      <c r="H58">
        <v>2025</v>
      </c>
      <c r="I58">
        <v>2026</v>
      </c>
      <c r="J58">
        <v>2027</v>
      </c>
      <c r="K58">
        <v>2028</v>
      </c>
      <c r="L58">
        <v>2029</v>
      </c>
      <c r="M58">
        <v>2030</v>
      </c>
      <c r="N58">
        <v>2031</v>
      </c>
      <c r="O58">
        <v>2032</v>
      </c>
      <c r="P58">
        <v>2033</v>
      </c>
      <c r="Q58">
        <v>2034</v>
      </c>
      <c r="R58">
        <v>2035</v>
      </c>
      <c r="S58">
        <v>2036</v>
      </c>
      <c r="T58">
        <v>2037</v>
      </c>
      <c r="U58">
        <v>2038</v>
      </c>
      <c r="V58">
        <v>2039</v>
      </c>
      <c r="W58">
        <v>2040</v>
      </c>
      <c r="X58">
        <v>2041</v>
      </c>
      <c r="Y58">
        <v>2042</v>
      </c>
      <c r="Z58">
        <v>2043</v>
      </c>
      <c r="AA58">
        <v>2044</v>
      </c>
      <c r="AB58">
        <v>2045</v>
      </c>
      <c r="AC58">
        <v>2046</v>
      </c>
      <c r="AD58">
        <v>2047</v>
      </c>
      <c r="AE58">
        <v>2048</v>
      </c>
      <c r="AF58">
        <v>2049</v>
      </c>
      <c r="AG58">
        <v>2050</v>
      </c>
    </row>
    <row r="59" spans="2:34" s="9" customFormat="1" x14ac:dyDescent="0.25">
      <c r="B59" s="84" t="s">
        <v>242</v>
      </c>
      <c r="C59" s="85">
        <v>0</v>
      </c>
      <c r="D59" s="85">
        <v>0</v>
      </c>
      <c r="E59" s="85">
        <v>0</v>
      </c>
      <c r="F59" s="85">
        <v>0</v>
      </c>
      <c r="G59" s="85">
        <v>0</v>
      </c>
      <c r="H59" s="85">
        <v>0</v>
      </c>
      <c r="I59" s="85">
        <v>0</v>
      </c>
      <c r="J59" s="85">
        <v>0</v>
      </c>
      <c r="K59" s="85">
        <v>0</v>
      </c>
      <c r="L59" s="85">
        <v>0</v>
      </c>
      <c r="M59" s="85">
        <v>0</v>
      </c>
      <c r="N59" s="85">
        <v>0</v>
      </c>
      <c r="O59" s="85">
        <v>0</v>
      </c>
      <c r="P59" s="85">
        <v>0</v>
      </c>
      <c r="Q59" s="85">
        <v>0</v>
      </c>
      <c r="R59" s="85">
        <v>0</v>
      </c>
      <c r="S59" s="85">
        <v>0</v>
      </c>
      <c r="T59" s="85">
        <v>0</v>
      </c>
      <c r="U59" s="85">
        <v>0</v>
      </c>
      <c r="V59" s="85">
        <v>0</v>
      </c>
      <c r="W59" s="85">
        <v>381695662.00787032</v>
      </c>
      <c r="X59" s="85">
        <v>381695653.01700276</v>
      </c>
      <c r="Y59" s="85">
        <v>381695653.01700276</v>
      </c>
      <c r="Z59" s="85">
        <v>381695653.01700276</v>
      </c>
      <c r="AA59" s="85">
        <v>381695653.01700276</v>
      </c>
      <c r="AB59" s="85">
        <v>381695653.01700276</v>
      </c>
      <c r="AC59" s="85">
        <v>381695653.01700276</v>
      </c>
      <c r="AD59" s="85">
        <v>381695653.01700276</v>
      </c>
      <c r="AE59" s="85">
        <v>381695653.01700276</v>
      </c>
      <c r="AF59" s="85">
        <v>381695653.01700276</v>
      </c>
      <c r="AG59" s="85">
        <v>613019117.40827465</v>
      </c>
      <c r="AH59" s="85"/>
    </row>
    <row r="60" spans="2:34" s="9" customFormat="1" x14ac:dyDescent="0.25">
      <c r="B60" s="75" t="s">
        <v>243</v>
      </c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>
        <v>0</v>
      </c>
      <c r="N60" s="14"/>
      <c r="O60" s="14"/>
      <c r="P60" s="14"/>
      <c r="Q60" s="14"/>
      <c r="R60" s="14"/>
      <c r="S60" s="14"/>
      <c r="T60" s="14"/>
      <c r="U60" s="14"/>
      <c r="V60" s="14"/>
      <c r="W60" s="14">
        <v>8.9908675799086897</v>
      </c>
      <c r="X60" s="14"/>
      <c r="Y60" s="14"/>
      <c r="Z60" s="14"/>
      <c r="AA60" s="14"/>
      <c r="AB60" s="14"/>
      <c r="AC60" s="14"/>
      <c r="AD60" s="14"/>
      <c r="AE60" s="14"/>
      <c r="AF60" s="14"/>
      <c r="AG60" s="14">
        <v>4.1612531744907004</v>
      </c>
      <c r="AH60" s="14"/>
    </row>
    <row r="61" spans="2:34" s="9" customFormat="1" x14ac:dyDescent="0.25">
      <c r="B61" s="75" t="s">
        <v>244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84395478.372063398</v>
      </c>
      <c r="X61" s="14">
        <v>84395478.372063398</v>
      </c>
      <c r="Y61" s="14">
        <v>84395478.372063398</v>
      </c>
      <c r="Z61" s="14">
        <v>84395478.372063398</v>
      </c>
      <c r="AA61" s="14">
        <v>84395478.372063398</v>
      </c>
      <c r="AB61" s="14">
        <v>84395478.372063398</v>
      </c>
      <c r="AC61" s="14">
        <v>84395478.372063398</v>
      </c>
      <c r="AD61" s="14">
        <v>84395478.372063398</v>
      </c>
      <c r="AE61" s="14">
        <v>84395478.372063398</v>
      </c>
      <c r="AF61" s="14">
        <v>84395478.372063398</v>
      </c>
      <c r="AG61" s="14">
        <v>135542652.64686099</v>
      </c>
      <c r="AH61" s="14"/>
    </row>
    <row r="62" spans="2:34" s="9" customFormat="1" x14ac:dyDescent="0.25">
      <c r="B62" s="75" t="s">
        <v>245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/>
    </row>
    <row r="63" spans="2:34" s="9" customFormat="1" x14ac:dyDescent="0.25">
      <c r="B63" s="75" t="s">
        <v>246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/>
    </row>
    <row r="64" spans="2:34" s="9" customFormat="1" x14ac:dyDescent="0.25">
      <c r="B64" s="86" t="s">
        <v>247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271488076.31160599</v>
      </c>
      <c r="X64" s="14">
        <v>271488076.31160599</v>
      </c>
      <c r="Y64" s="14">
        <v>271488076.31160599</v>
      </c>
      <c r="Z64" s="14">
        <v>271488076.31160599</v>
      </c>
      <c r="AA64" s="14">
        <v>271488076.31160599</v>
      </c>
      <c r="AB64" s="14">
        <v>271488076.31160599</v>
      </c>
      <c r="AC64" s="14">
        <v>271488076.31160599</v>
      </c>
      <c r="AD64" s="14">
        <v>271488076.31160599</v>
      </c>
      <c r="AE64" s="14">
        <v>271488076.31160599</v>
      </c>
      <c r="AF64" s="14">
        <v>271488076.31160599</v>
      </c>
      <c r="AG64" s="14">
        <v>436021155.81407201</v>
      </c>
      <c r="AH64" s="14"/>
    </row>
    <row r="65" spans="2:34" s="9" customFormat="1" x14ac:dyDescent="0.25">
      <c r="B65" s="75" t="s">
        <v>248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25812098.333333399</v>
      </c>
      <c r="X65" s="14">
        <v>25812098.333333399</v>
      </c>
      <c r="Y65" s="14">
        <v>25812098.333333399</v>
      </c>
      <c r="Z65" s="14">
        <v>25812098.333333399</v>
      </c>
      <c r="AA65" s="14">
        <v>25812098.333333399</v>
      </c>
      <c r="AB65" s="14">
        <v>25812098.333333399</v>
      </c>
      <c r="AC65" s="14">
        <v>25812098.333333399</v>
      </c>
      <c r="AD65" s="14">
        <v>25812098.333333399</v>
      </c>
      <c r="AE65" s="14">
        <v>25812098.333333399</v>
      </c>
      <c r="AF65" s="14">
        <v>25812098.333333399</v>
      </c>
      <c r="AG65" s="14">
        <v>41455304.786088496</v>
      </c>
      <c r="AH65" s="14"/>
    </row>
    <row r="66" spans="2:34" s="9" customFormat="1" x14ac:dyDescent="0.25">
      <c r="B66" s="51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</row>
    <row r="67" spans="2:34" s="65" customFormat="1" x14ac:dyDescent="0.25">
      <c r="B67" s="66" t="s">
        <v>249</v>
      </c>
    </row>
    <row r="68" spans="2:34" s="51" customFormat="1" x14ac:dyDescent="0.25"/>
    <row r="69" spans="2:34" s="51" customFormat="1" x14ac:dyDescent="0.25">
      <c r="B69" t="s">
        <v>250</v>
      </c>
      <c r="C69"/>
      <c r="D69"/>
      <c r="E69"/>
      <c r="F69"/>
      <c r="G69"/>
    </row>
    <row r="70" spans="2:34" s="51" customFormat="1" x14ac:dyDescent="0.25">
      <c r="B70" s="8"/>
      <c r="C70" s="23">
        <v>2020</v>
      </c>
      <c r="D70" s="23">
        <v>2030</v>
      </c>
      <c r="E70" s="23">
        <v>2040</v>
      </c>
      <c r="F70" s="23">
        <v>2050</v>
      </c>
      <c r="G70"/>
    </row>
    <row r="71" spans="2:34" s="51" customFormat="1" x14ac:dyDescent="0.25">
      <c r="B71" s="8" t="s">
        <v>251</v>
      </c>
      <c r="C71" s="37">
        <f>SUMIFS($C$88:$AG$88,$C$79:$AG$79,C$70)</f>
        <v>3884709419.8881712</v>
      </c>
      <c r="D71" s="37">
        <f>SUMIFS($C$88:$AG$88,$C$79:$AG$79,D$70)</f>
        <v>9627659429.4428692</v>
      </c>
      <c r="E71" s="37">
        <f>SUMIFS($C$88:$AG$88,$C$79:$AG$79,E$70)</f>
        <v>5427649551.560873</v>
      </c>
      <c r="F71" s="37">
        <f>SUMIFS($C$88:$AG$88,$C$79:$AG$79,F$70)</f>
        <v>0</v>
      </c>
      <c r="G71" t="s">
        <v>252</v>
      </c>
    </row>
    <row r="72" spans="2:34" s="51" customFormat="1" x14ac:dyDescent="0.25">
      <c r="B72" s="8" t="s">
        <v>253</v>
      </c>
      <c r="C72" s="37">
        <f>C71*H205</f>
        <v>3884709419.8881712</v>
      </c>
      <c r="D72" s="37">
        <f>D71*I205</f>
        <v>9616415721.6362629</v>
      </c>
      <c r="E72" s="37">
        <f>E71*J205</f>
        <v>5413764112.0060234</v>
      </c>
      <c r="F72" s="37">
        <f>F71*K205</f>
        <v>0</v>
      </c>
      <c r="G72" t="s">
        <v>254</v>
      </c>
    </row>
    <row r="73" spans="2:34" s="51" customFormat="1" x14ac:dyDescent="0.25">
      <c r="B73" s="8" t="s">
        <v>255</v>
      </c>
      <c r="C73" s="37">
        <f>SUMIFS($C$91:$AG$91,$C$79:$AG$79,C$70)</f>
        <v>691417.79498367</v>
      </c>
      <c r="D73" s="37">
        <f>SUMIFS($C$91:$AG$91,$C$79:$AG$79,D$70)</f>
        <v>0</v>
      </c>
      <c r="E73" s="37">
        <f>SUMIFS($C$91:$AG$91,$C$79:$AG$79,E$70)</f>
        <v>0</v>
      </c>
      <c r="F73" s="37">
        <f>SUMIFS($C$91:$AG$91,$C$79:$AG$79,F$70)</f>
        <v>0</v>
      </c>
      <c r="G73" t="s">
        <v>256</v>
      </c>
    </row>
    <row r="74" spans="2:34" s="51" customFormat="1" x14ac:dyDescent="0.25">
      <c r="B74" s="8" t="s">
        <v>257</v>
      </c>
      <c r="C74" s="37">
        <f>'JT1.25 b)'!E20</f>
        <v>775556548.90001011</v>
      </c>
      <c r="D74" s="37">
        <f>'JT1.25 b)'!F20</f>
        <v>650634544.50384533</v>
      </c>
      <c r="E74" s="37">
        <f>'JT1.25 b)'!G20</f>
        <v>348860388.56579781</v>
      </c>
      <c r="F74" s="37">
        <f>'JT1.25 b)'!H20</f>
        <v>0</v>
      </c>
      <c r="G74" t="s">
        <v>258</v>
      </c>
    </row>
    <row r="75" spans="2:34" s="51" customFormat="1" x14ac:dyDescent="0.25">
      <c r="B75" s="70" t="s">
        <v>238</v>
      </c>
      <c r="C75" s="79">
        <f>SUM(C72:C74)</f>
        <v>4660957386.5831652</v>
      </c>
      <c r="D75" s="79">
        <f>SUM(D72:D74)</f>
        <v>10267050266.140108</v>
      </c>
      <c r="E75" s="79">
        <f>SUM(E72:E74)</f>
        <v>5762624500.5718212</v>
      </c>
      <c r="F75" s="79">
        <f>SUM(F72:F74)</f>
        <v>0</v>
      </c>
      <c r="G75"/>
    </row>
    <row r="76" spans="2:34" s="51" customFormat="1" x14ac:dyDescent="0.25"/>
    <row r="77" spans="2:34" s="51" customFormat="1" x14ac:dyDescent="0.25">
      <c r="B77" s="51" t="s">
        <v>259</v>
      </c>
    </row>
    <row r="78" spans="2:34" x14ac:dyDescent="0.25">
      <c r="B78" s="13" t="s">
        <v>77</v>
      </c>
      <c r="C78" s="13" t="s">
        <v>78</v>
      </c>
      <c r="D78" s="13" t="s">
        <v>78</v>
      </c>
      <c r="E78" s="13" t="s">
        <v>78</v>
      </c>
      <c r="F78" s="13" t="s">
        <v>78</v>
      </c>
      <c r="G78" s="13" t="s">
        <v>78</v>
      </c>
      <c r="H78" s="13" t="s">
        <v>78</v>
      </c>
      <c r="I78" s="13" t="s">
        <v>78</v>
      </c>
      <c r="J78" s="13" t="s">
        <v>78</v>
      </c>
      <c r="K78" s="13" t="s">
        <v>78</v>
      </c>
      <c r="L78" s="13" t="s">
        <v>78</v>
      </c>
      <c r="M78" s="13" t="s">
        <v>78</v>
      </c>
      <c r="N78" s="13" t="s">
        <v>79</v>
      </c>
      <c r="O78" s="13" t="s">
        <v>79</v>
      </c>
      <c r="P78" s="13" t="s">
        <v>79</v>
      </c>
      <c r="Q78" s="13" t="s">
        <v>79</v>
      </c>
      <c r="R78" s="13" t="s">
        <v>79</v>
      </c>
      <c r="S78" s="13" t="s">
        <v>79</v>
      </c>
      <c r="T78" s="13" t="s">
        <v>79</v>
      </c>
      <c r="U78" s="13" t="s">
        <v>79</v>
      </c>
      <c r="V78" s="13" t="s">
        <v>79</v>
      </c>
      <c r="W78" s="13" t="s">
        <v>79</v>
      </c>
      <c r="X78" s="13" t="s">
        <v>80</v>
      </c>
      <c r="Y78" s="13" t="s">
        <v>80</v>
      </c>
      <c r="Z78" s="13" t="s">
        <v>80</v>
      </c>
      <c r="AA78" s="13" t="s">
        <v>80</v>
      </c>
      <c r="AB78" s="13" t="s">
        <v>80</v>
      </c>
      <c r="AC78" s="13" t="s">
        <v>80</v>
      </c>
      <c r="AD78" s="13" t="s">
        <v>80</v>
      </c>
      <c r="AE78" s="13" t="s">
        <v>80</v>
      </c>
      <c r="AF78" s="13" t="s">
        <v>80</v>
      </c>
      <c r="AG78" s="13" t="s">
        <v>80</v>
      </c>
    </row>
    <row r="79" spans="2:34" s="25" customFormat="1" x14ac:dyDescent="0.25">
      <c r="B79" s="25" t="s">
        <v>229</v>
      </c>
      <c r="C79" s="25">
        <v>2020</v>
      </c>
      <c r="D79" s="25">
        <v>2021</v>
      </c>
      <c r="E79" s="25">
        <v>2022</v>
      </c>
      <c r="F79" s="25">
        <v>2023</v>
      </c>
      <c r="G79" s="25">
        <v>2024</v>
      </c>
      <c r="H79" s="25">
        <v>2025</v>
      </c>
      <c r="I79" s="25">
        <v>2026</v>
      </c>
      <c r="J79" s="25">
        <v>2027</v>
      </c>
      <c r="K79" s="25">
        <v>2028</v>
      </c>
      <c r="L79" s="25">
        <v>2029</v>
      </c>
      <c r="M79" s="25">
        <v>2030</v>
      </c>
      <c r="N79" s="25">
        <v>2031</v>
      </c>
      <c r="O79" s="25">
        <v>2032</v>
      </c>
      <c r="P79" s="25">
        <v>2033</v>
      </c>
      <c r="Q79" s="25">
        <v>2034</v>
      </c>
      <c r="R79" s="25">
        <v>2035</v>
      </c>
      <c r="S79" s="25">
        <v>2036</v>
      </c>
      <c r="T79" s="25">
        <v>2037</v>
      </c>
      <c r="U79" s="25">
        <v>2038</v>
      </c>
      <c r="V79" s="25">
        <v>2039</v>
      </c>
      <c r="W79" s="25">
        <v>2040</v>
      </c>
      <c r="X79" s="25">
        <v>2041</v>
      </c>
      <c r="Y79" s="25">
        <v>2042</v>
      </c>
      <c r="Z79" s="25">
        <v>2043</v>
      </c>
      <c r="AA79" s="25">
        <v>2044</v>
      </c>
      <c r="AB79" s="25">
        <v>2045</v>
      </c>
      <c r="AC79" s="25">
        <v>2046</v>
      </c>
      <c r="AD79" s="25">
        <v>2047</v>
      </c>
      <c r="AE79" s="25">
        <v>2048</v>
      </c>
      <c r="AF79" s="25">
        <v>2049</v>
      </c>
      <c r="AG79" s="25">
        <v>2050</v>
      </c>
    </row>
    <row r="80" spans="2:34" s="51" customFormat="1" x14ac:dyDescent="0.25">
      <c r="B80" s="49" t="s">
        <v>230</v>
      </c>
      <c r="C80" s="50">
        <v>690133208.27152097</v>
      </c>
      <c r="D80" s="50">
        <v>690133208.27152097</v>
      </c>
      <c r="E80" s="50">
        <v>690133208.27152097</v>
      </c>
      <c r="F80" s="50">
        <v>690133208.27152097</v>
      </c>
      <c r="G80" s="50">
        <v>690133208.27152097</v>
      </c>
      <c r="H80" s="50">
        <v>690133208.27152097</v>
      </c>
      <c r="I80" s="50">
        <v>690133208.27152097</v>
      </c>
      <c r="J80" s="50">
        <v>690133208.27152097</v>
      </c>
      <c r="K80" s="50">
        <v>690133208.27152097</v>
      </c>
      <c r="L80" s="50">
        <v>690133208.27152097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0">
        <v>0</v>
      </c>
      <c r="AC80" s="50">
        <v>0</v>
      </c>
      <c r="AD80" s="50">
        <v>0</v>
      </c>
      <c r="AE80" s="50">
        <v>0</v>
      </c>
      <c r="AF80" s="50">
        <v>0</v>
      </c>
      <c r="AG80" s="50">
        <v>0</v>
      </c>
    </row>
    <row r="81" spans="2:34" s="51" customFormat="1" x14ac:dyDescent="0.25">
      <c r="B81" s="49" t="s">
        <v>231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2044602207.942699</v>
      </c>
      <c r="N81" s="50">
        <v>2044602207.942699</v>
      </c>
      <c r="O81" s="50">
        <v>2044602207.942699</v>
      </c>
      <c r="P81" s="50">
        <v>2044602207.942699</v>
      </c>
      <c r="Q81" s="50">
        <v>2044602207.942699</v>
      </c>
      <c r="R81" s="50">
        <v>2044602207.942699</v>
      </c>
      <c r="S81" s="50">
        <v>2044602207.942699</v>
      </c>
      <c r="T81" s="50">
        <v>2044602207.942699</v>
      </c>
      <c r="U81" s="50">
        <v>2044602207.942699</v>
      </c>
      <c r="V81" s="50">
        <v>2044602207.942699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0">
        <v>0</v>
      </c>
      <c r="AC81" s="50">
        <v>0</v>
      </c>
      <c r="AD81" s="50">
        <v>0</v>
      </c>
      <c r="AE81" s="50">
        <v>0</v>
      </c>
      <c r="AF81" s="50">
        <v>0</v>
      </c>
      <c r="AG81" s="50">
        <v>0</v>
      </c>
    </row>
    <row r="82" spans="2:34" s="51" customFormat="1" x14ac:dyDescent="0.25">
      <c r="B82" s="49" t="s">
        <v>232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2183158389.818583</v>
      </c>
      <c r="X82" s="50">
        <v>2183158389.818583</v>
      </c>
      <c r="Y82" s="50">
        <v>2183158389.818583</v>
      </c>
      <c r="Z82" s="50">
        <v>2183158389.818583</v>
      </c>
      <c r="AA82" s="50">
        <v>2183158389.818583</v>
      </c>
      <c r="AB82" s="50">
        <v>2183158389.818583</v>
      </c>
      <c r="AC82" s="50">
        <v>2183158389.818583</v>
      </c>
      <c r="AD82" s="50">
        <v>2183158389.818583</v>
      </c>
      <c r="AE82" s="50">
        <v>2183158389.818583</v>
      </c>
      <c r="AF82" s="50">
        <v>2183158389.818583</v>
      </c>
      <c r="AG82" s="50">
        <v>0</v>
      </c>
    </row>
    <row r="83" spans="2:34" s="51" customFormat="1" x14ac:dyDescent="0.25">
      <c r="B83" s="49" t="s">
        <v>233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0">
        <v>0</v>
      </c>
      <c r="AC83" s="50">
        <v>0</v>
      </c>
      <c r="AD83" s="50">
        <v>0</v>
      </c>
      <c r="AE83" s="50">
        <v>0</v>
      </c>
      <c r="AF83" s="50">
        <v>0</v>
      </c>
      <c r="AG83" s="50">
        <v>0</v>
      </c>
    </row>
    <row r="84" spans="2:34" s="51" customFormat="1" x14ac:dyDescent="0.25">
      <c r="B84" s="49" t="s">
        <v>234</v>
      </c>
      <c r="C84" s="50">
        <v>3194576211.6166501</v>
      </c>
      <c r="D84" s="50">
        <v>3194576211.6166501</v>
      </c>
      <c r="E84" s="50">
        <v>3194576211.6166501</v>
      </c>
      <c r="F84" s="50">
        <v>3194576211.6166501</v>
      </c>
      <c r="G84" s="50">
        <v>3194576211.6166501</v>
      </c>
      <c r="H84" s="50">
        <v>3194576211.6166501</v>
      </c>
      <c r="I84" s="50">
        <v>3194576211.6166501</v>
      </c>
      <c r="J84" s="50">
        <v>3194576211.6166501</v>
      </c>
      <c r="K84" s="50">
        <v>3194576211.6166501</v>
      </c>
      <c r="L84" s="50">
        <v>3194576211.6166501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0">
        <v>0</v>
      </c>
      <c r="AC84" s="50">
        <v>0</v>
      </c>
      <c r="AD84" s="50">
        <v>0</v>
      </c>
      <c r="AE84" s="50">
        <v>0</v>
      </c>
      <c r="AF84" s="50">
        <v>0</v>
      </c>
      <c r="AG84" s="50">
        <v>0</v>
      </c>
    </row>
    <row r="85" spans="2:34" s="51" customFormat="1" x14ac:dyDescent="0.25">
      <c r="B85" s="49" t="s">
        <v>235</v>
      </c>
      <c r="C85" s="50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7583057221.5001698</v>
      </c>
      <c r="N85" s="50">
        <v>7583057221.5001698</v>
      </c>
      <c r="O85" s="50">
        <v>7583057221.5001698</v>
      </c>
      <c r="P85" s="50">
        <v>7583057221.5001698</v>
      </c>
      <c r="Q85" s="50">
        <v>7583057221.5001698</v>
      </c>
      <c r="R85" s="50">
        <v>7583057221.5001698</v>
      </c>
      <c r="S85" s="50">
        <v>7583057221.5001698</v>
      </c>
      <c r="T85" s="50">
        <v>7583057221.5001698</v>
      </c>
      <c r="U85" s="50">
        <v>7583057221.5001698</v>
      </c>
      <c r="V85" s="50">
        <v>7583057221.5001698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0">
        <v>0</v>
      </c>
      <c r="AC85" s="50">
        <v>0</v>
      </c>
      <c r="AD85" s="50">
        <v>0</v>
      </c>
      <c r="AE85" s="50">
        <v>0</v>
      </c>
      <c r="AF85" s="50">
        <v>0</v>
      </c>
      <c r="AG85" s="50">
        <v>0</v>
      </c>
    </row>
    <row r="86" spans="2:34" s="51" customFormat="1" x14ac:dyDescent="0.25">
      <c r="B86" s="49" t="s">
        <v>236</v>
      </c>
      <c r="C86" s="50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3244491161.7422895</v>
      </c>
      <c r="X86" s="50">
        <v>3244491161.7422895</v>
      </c>
      <c r="Y86" s="50">
        <v>3244491161.7422895</v>
      </c>
      <c r="Z86" s="50">
        <v>3244491161.7422895</v>
      </c>
      <c r="AA86" s="50">
        <v>3244491161.7422895</v>
      </c>
      <c r="AB86" s="50">
        <v>3244491161.7422895</v>
      </c>
      <c r="AC86" s="50">
        <v>3244491161.7422895</v>
      </c>
      <c r="AD86" s="50">
        <v>3244491161.7422895</v>
      </c>
      <c r="AE86" s="50">
        <v>3244491161.7422895</v>
      </c>
      <c r="AF86" s="50">
        <v>3244491161.7422895</v>
      </c>
      <c r="AG86" s="50">
        <v>0</v>
      </c>
    </row>
    <row r="87" spans="2:34" s="51" customFormat="1" x14ac:dyDescent="0.25">
      <c r="B87" s="49" t="s">
        <v>237</v>
      </c>
      <c r="C87" s="50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0">
        <v>0</v>
      </c>
      <c r="AC87" s="50">
        <v>0</v>
      </c>
      <c r="AD87" s="50">
        <v>0</v>
      </c>
      <c r="AE87" s="50">
        <v>0</v>
      </c>
      <c r="AF87" s="50">
        <v>0</v>
      </c>
      <c r="AG87" s="50">
        <v>0</v>
      </c>
    </row>
    <row r="88" spans="2:34" s="51" customFormat="1" x14ac:dyDescent="0.25">
      <c r="B88" s="51" t="s">
        <v>238</v>
      </c>
      <c r="C88" s="69">
        <f t="shared" ref="C88:AG88" si="2">SUM(C80:C87)</f>
        <v>3884709419.8881712</v>
      </c>
      <c r="D88" s="69">
        <f t="shared" si="2"/>
        <v>3884709419.8881712</v>
      </c>
      <c r="E88" s="69">
        <f t="shared" si="2"/>
        <v>3884709419.8881712</v>
      </c>
      <c r="F88" s="69">
        <f t="shared" si="2"/>
        <v>3884709419.8881712</v>
      </c>
      <c r="G88" s="69">
        <f t="shared" si="2"/>
        <v>3884709419.8881712</v>
      </c>
      <c r="H88" s="69">
        <f t="shared" si="2"/>
        <v>3884709419.8881712</v>
      </c>
      <c r="I88" s="69">
        <f t="shared" si="2"/>
        <v>3884709419.8881712</v>
      </c>
      <c r="J88" s="69">
        <f t="shared" si="2"/>
        <v>3884709419.8881712</v>
      </c>
      <c r="K88" s="69">
        <f t="shared" si="2"/>
        <v>3884709419.8881712</v>
      </c>
      <c r="L88" s="69">
        <f t="shared" si="2"/>
        <v>3884709419.8881712</v>
      </c>
      <c r="M88" s="69">
        <f t="shared" si="2"/>
        <v>9627659429.4428692</v>
      </c>
      <c r="N88" s="69">
        <f t="shared" si="2"/>
        <v>9627659429.4428692</v>
      </c>
      <c r="O88" s="69">
        <f t="shared" si="2"/>
        <v>9627659429.4428692</v>
      </c>
      <c r="P88" s="69">
        <f t="shared" si="2"/>
        <v>9627659429.4428692</v>
      </c>
      <c r="Q88" s="69">
        <f t="shared" si="2"/>
        <v>9627659429.4428692</v>
      </c>
      <c r="R88" s="69">
        <f t="shared" si="2"/>
        <v>9627659429.4428692</v>
      </c>
      <c r="S88" s="69">
        <f t="shared" si="2"/>
        <v>9627659429.4428692</v>
      </c>
      <c r="T88" s="69">
        <f t="shared" si="2"/>
        <v>9627659429.4428692</v>
      </c>
      <c r="U88" s="69">
        <f t="shared" si="2"/>
        <v>9627659429.4428692</v>
      </c>
      <c r="V88" s="69">
        <f t="shared" si="2"/>
        <v>9627659429.4428692</v>
      </c>
      <c r="W88" s="69">
        <f t="shared" si="2"/>
        <v>5427649551.560873</v>
      </c>
      <c r="X88" s="69">
        <f t="shared" si="2"/>
        <v>5427649551.560873</v>
      </c>
      <c r="Y88" s="69">
        <f t="shared" si="2"/>
        <v>5427649551.560873</v>
      </c>
      <c r="Z88" s="69">
        <f t="shared" si="2"/>
        <v>5427649551.560873</v>
      </c>
      <c r="AA88" s="69">
        <f t="shared" si="2"/>
        <v>5427649551.560873</v>
      </c>
      <c r="AB88" s="69">
        <f t="shared" si="2"/>
        <v>5427649551.560873</v>
      </c>
      <c r="AC88" s="69">
        <f t="shared" si="2"/>
        <v>5427649551.560873</v>
      </c>
      <c r="AD88" s="69">
        <f t="shared" si="2"/>
        <v>5427649551.560873</v>
      </c>
      <c r="AE88" s="69">
        <f t="shared" si="2"/>
        <v>5427649551.560873</v>
      </c>
      <c r="AF88" s="69">
        <f t="shared" si="2"/>
        <v>5427649551.560873</v>
      </c>
      <c r="AG88" s="69">
        <f t="shared" si="2"/>
        <v>0</v>
      </c>
    </row>
    <row r="89" spans="2:34" s="51" customFormat="1" x14ac:dyDescent="0.25"/>
    <row r="90" spans="2:34" s="9" customFormat="1" x14ac:dyDescent="0.25">
      <c r="B90" s="51" t="s">
        <v>260</v>
      </c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</row>
    <row r="91" spans="2:34" s="51" customFormat="1" x14ac:dyDescent="0.25">
      <c r="B91" s="49" t="s">
        <v>261</v>
      </c>
      <c r="C91" s="50">
        <v>691417.79498367</v>
      </c>
      <c r="D91" s="50">
        <v>691417.79498367</v>
      </c>
      <c r="E91" s="50">
        <v>691417.79498367</v>
      </c>
      <c r="F91" s="50">
        <v>691417.79498367</v>
      </c>
      <c r="G91" s="50">
        <v>691417.79498367</v>
      </c>
      <c r="H91" s="50">
        <v>691417.79498367</v>
      </c>
      <c r="I91" s="50">
        <v>691417.79498367</v>
      </c>
      <c r="J91" s="50">
        <v>691417.79498367</v>
      </c>
      <c r="K91" s="50">
        <v>691417.79498367</v>
      </c>
      <c r="L91" s="50">
        <v>691417.79498367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0">
        <v>0</v>
      </c>
      <c r="AC91" s="50">
        <v>0</v>
      </c>
      <c r="AD91" s="50">
        <v>0</v>
      </c>
      <c r="AE91" s="50">
        <v>0</v>
      </c>
      <c r="AF91" s="50">
        <v>0</v>
      </c>
      <c r="AG91" s="50">
        <v>0</v>
      </c>
    </row>
    <row r="92" spans="2:34" s="51" customFormat="1" x14ac:dyDescent="0.25"/>
    <row r="93" spans="2:34" s="51" customFormat="1" x14ac:dyDescent="0.25"/>
    <row r="94" spans="2:34" s="51" customFormat="1" x14ac:dyDescent="0.25">
      <c r="B94" t="s">
        <v>262</v>
      </c>
      <c r="C94"/>
      <c r="D94"/>
      <c r="E94"/>
      <c r="F94"/>
      <c r="G94"/>
    </row>
    <row r="95" spans="2:34" s="51" customFormat="1" x14ac:dyDescent="0.25">
      <c r="B95" s="8"/>
      <c r="C95" s="23">
        <v>2020</v>
      </c>
      <c r="D95" s="23">
        <v>2030</v>
      </c>
      <c r="E95" s="23">
        <v>2040</v>
      </c>
      <c r="F95" s="23">
        <v>2050</v>
      </c>
      <c r="G95"/>
    </row>
    <row r="96" spans="2:34" s="51" customFormat="1" x14ac:dyDescent="0.25">
      <c r="B96" s="8" t="s">
        <v>251</v>
      </c>
      <c r="C96" s="37">
        <f>SUMIFS($C$113:$AG$113,$C$104:$AG$104,C$95)</f>
        <v>3884709378.5430312</v>
      </c>
      <c r="D96" s="37">
        <f>SUMIFS($C$113:$AG$113,$C$104:$AG$104,D$95)</f>
        <v>14474987268.56908</v>
      </c>
      <c r="E96" s="37">
        <f>SUMIFS($C$113:$AG$113,$C$104:$AG$104,E$95)</f>
        <v>5944384237.9848251</v>
      </c>
      <c r="F96" s="37">
        <f>SUMIFS($C$113:$AG$113,$C$104:$AG$104,F$95)</f>
        <v>0</v>
      </c>
      <c r="G96" t="s">
        <v>252</v>
      </c>
    </row>
    <row r="97" spans="2:34" s="51" customFormat="1" x14ac:dyDescent="0.25">
      <c r="B97" s="8" t="s">
        <v>253</v>
      </c>
      <c r="C97" s="37">
        <f>C96*S205</f>
        <v>3884709378.5430312</v>
      </c>
      <c r="D97" s="37">
        <f>D96*T205</f>
        <v>14452174270.555532</v>
      </c>
      <c r="E97" s="37">
        <f>E96*U205</f>
        <v>5930209509.3358507</v>
      </c>
      <c r="F97" s="37">
        <f>F96*V205</f>
        <v>0</v>
      </c>
      <c r="G97" t="s">
        <v>254</v>
      </c>
    </row>
    <row r="98" spans="2:34" s="51" customFormat="1" x14ac:dyDescent="0.25">
      <c r="B98" s="8" t="s">
        <v>255</v>
      </c>
      <c r="C98" s="37">
        <f>SUMIFS($C$116:$AG$116,$C$104:$AG$104,C$95)</f>
        <v>691417.65302690899</v>
      </c>
      <c r="D98" s="37">
        <f>SUMIFS($C$116:$AG$116,$C$104:$AG$104,D$95)</f>
        <v>1318707.6422810999</v>
      </c>
      <c r="E98" s="37">
        <f>SUMIFS($C$116:$AG$116,$C$104:$AG$104,E$95)</f>
        <v>0</v>
      </c>
      <c r="F98" s="37">
        <f>SUMIFS($C$116:$AG$116,$C$104:$AG$104,F$95)</f>
        <v>0</v>
      </c>
      <c r="G98" t="s">
        <v>256</v>
      </c>
    </row>
    <row r="99" spans="2:34" s="51" customFormat="1" x14ac:dyDescent="0.25">
      <c r="B99" s="8" t="s">
        <v>257</v>
      </c>
      <c r="C99" s="37">
        <f>'JT1.25 b)'!K20</f>
        <v>775556540.76653492</v>
      </c>
      <c r="D99" s="37">
        <f>'JT1.25 b)'!L20</f>
        <v>663023559.03687072</v>
      </c>
      <c r="E99" s="37">
        <f>'JT1.25 b)'!M20</f>
        <v>265069140.18593925</v>
      </c>
      <c r="F99" s="37">
        <f>'JT1.25 b)'!N20</f>
        <v>0</v>
      </c>
      <c r="G99" t="s">
        <v>258</v>
      </c>
    </row>
    <row r="100" spans="2:34" s="51" customFormat="1" x14ac:dyDescent="0.25">
      <c r="B100" s="70" t="s">
        <v>238</v>
      </c>
      <c r="C100" s="79">
        <f>SUM(C97:C99)</f>
        <v>4660957336.9625931</v>
      </c>
      <c r="D100" s="79">
        <f>SUM(D97:D99)</f>
        <v>15116516537.234684</v>
      </c>
      <c r="E100" s="79">
        <f>SUM(E97:E99)</f>
        <v>6195278649.5217896</v>
      </c>
      <c r="F100" s="79">
        <f>SUM(F97:F99)</f>
        <v>0</v>
      </c>
      <c r="G100"/>
    </row>
    <row r="101" spans="2:34" s="51" customFormat="1" x14ac:dyDescent="0.25"/>
    <row r="102" spans="2:34" s="51" customFormat="1" x14ac:dyDescent="0.25">
      <c r="B102" s="51" t="s">
        <v>263</v>
      </c>
    </row>
    <row r="103" spans="2:34" x14ac:dyDescent="0.25">
      <c r="B103" s="13" t="s">
        <v>77</v>
      </c>
      <c r="C103" s="13" t="s">
        <v>78</v>
      </c>
      <c r="D103" s="13" t="s">
        <v>78</v>
      </c>
      <c r="E103" s="13" t="s">
        <v>78</v>
      </c>
      <c r="F103" s="13" t="s">
        <v>78</v>
      </c>
      <c r="G103" s="13" t="s">
        <v>78</v>
      </c>
      <c r="H103" s="13" t="s">
        <v>78</v>
      </c>
      <c r="I103" s="13" t="s">
        <v>78</v>
      </c>
      <c r="J103" s="13" t="s">
        <v>78</v>
      </c>
      <c r="K103" s="13" t="s">
        <v>78</v>
      </c>
      <c r="L103" s="13" t="s">
        <v>78</v>
      </c>
      <c r="M103" s="13" t="s">
        <v>78</v>
      </c>
      <c r="N103" s="13" t="s">
        <v>79</v>
      </c>
      <c r="O103" s="13" t="s">
        <v>79</v>
      </c>
      <c r="P103" s="13" t="s">
        <v>79</v>
      </c>
      <c r="Q103" s="13" t="s">
        <v>79</v>
      </c>
      <c r="R103" s="13" t="s">
        <v>79</v>
      </c>
      <c r="S103" s="13" t="s">
        <v>79</v>
      </c>
      <c r="T103" s="13" t="s">
        <v>79</v>
      </c>
      <c r="U103" s="13" t="s">
        <v>79</v>
      </c>
      <c r="V103" s="13" t="s">
        <v>79</v>
      </c>
      <c r="W103" s="13" t="s">
        <v>79</v>
      </c>
      <c r="X103" s="13" t="s">
        <v>80</v>
      </c>
      <c r="Y103" s="13" t="s">
        <v>80</v>
      </c>
      <c r="Z103" s="13" t="s">
        <v>80</v>
      </c>
      <c r="AA103" s="13" t="s">
        <v>80</v>
      </c>
      <c r="AB103" s="13" t="s">
        <v>80</v>
      </c>
      <c r="AC103" s="13" t="s">
        <v>80</v>
      </c>
      <c r="AD103" s="13" t="s">
        <v>80</v>
      </c>
      <c r="AE103" s="13" t="s">
        <v>80</v>
      </c>
      <c r="AF103" s="13" t="s">
        <v>80</v>
      </c>
      <c r="AG103" s="13" t="s">
        <v>80</v>
      </c>
    </row>
    <row r="104" spans="2:34" s="25" customFormat="1" x14ac:dyDescent="0.25">
      <c r="B104" s="25" t="s">
        <v>229</v>
      </c>
      <c r="C104" s="25">
        <v>2020</v>
      </c>
      <c r="D104" s="25">
        <v>2021</v>
      </c>
      <c r="E104" s="25">
        <v>2022</v>
      </c>
      <c r="F104" s="25">
        <v>2023</v>
      </c>
      <c r="G104" s="25">
        <v>2024</v>
      </c>
      <c r="H104" s="25">
        <v>2025</v>
      </c>
      <c r="I104" s="25">
        <v>2026</v>
      </c>
      <c r="J104" s="25">
        <v>2027</v>
      </c>
      <c r="K104" s="25">
        <v>2028</v>
      </c>
      <c r="L104" s="25">
        <v>2029</v>
      </c>
      <c r="M104" s="25">
        <v>2030</v>
      </c>
      <c r="N104" s="25">
        <v>2031</v>
      </c>
      <c r="O104" s="25">
        <v>2032</v>
      </c>
      <c r="P104" s="25">
        <v>2033</v>
      </c>
      <c r="Q104" s="25">
        <v>2034</v>
      </c>
      <c r="R104" s="25">
        <v>2035</v>
      </c>
      <c r="S104" s="25">
        <v>2036</v>
      </c>
      <c r="T104" s="25">
        <v>2037</v>
      </c>
      <c r="U104" s="25">
        <v>2038</v>
      </c>
      <c r="V104" s="25">
        <v>2039</v>
      </c>
      <c r="W104" s="25">
        <v>2040</v>
      </c>
      <c r="X104" s="25">
        <v>2041</v>
      </c>
      <c r="Y104" s="25">
        <v>2042</v>
      </c>
      <c r="Z104" s="25">
        <v>2043</v>
      </c>
      <c r="AA104" s="25">
        <v>2044</v>
      </c>
      <c r="AB104" s="25">
        <v>2045</v>
      </c>
      <c r="AC104" s="25">
        <v>2046</v>
      </c>
      <c r="AD104" s="25">
        <v>2047</v>
      </c>
      <c r="AE104" s="25">
        <v>2048</v>
      </c>
      <c r="AF104" s="25">
        <v>2049</v>
      </c>
      <c r="AG104" s="25">
        <v>2050</v>
      </c>
    </row>
    <row r="105" spans="2:34" s="9" customFormat="1" x14ac:dyDescent="0.25">
      <c r="B105" s="49" t="s">
        <v>230</v>
      </c>
      <c r="C105" s="50">
        <v>690133208.27152097</v>
      </c>
      <c r="D105" s="50">
        <v>690133208.27152097</v>
      </c>
      <c r="E105" s="50">
        <v>690133208.27152097</v>
      </c>
      <c r="F105" s="50">
        <v>690133208.27152097</v>
      </c>
      <c r="G105" s="50">
        <v>690133208.27152097</v>
      </c>
      <c r="H105" s="50">
        <v>690133208.27152097</v>
      </c>
      <c r="I105" s="50">
        <v>690133208.27152097</v>
      </c>
      <c r="J105" s="50">
        <v>690133208.27152097</v>
      </c>
      <c r="K105" s="50">
        <v>690133208.27152097</v>
      </c>
      <c r="L105" s="50">
        <v>690133208.27152097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0">
        <v>0</v>
      </c>
      <c r="AC105" s="50">
        <v>0</v>
      </c>
      <c r="AD105" s="50">
        <v>0</v>
      </c>
      <c r="AE105" s="50">
        <v>0</v>
      </c>
      <c r="AF105" s="50">
        <v>0</v>
      </c>
      <c r="AG105" s="50">
        <v>0</v>
      </c>
      <c r="AH105" s="68"/>
    </row>
    <row r="106" spans="2:34" s="9" customFormat="1" x14ac:dyDescent="0.25">
      <c r="B106" s="49" t="s">
        <v>231</v>
      </c>
      <c r="C106" s="50"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3015562323.6139288</v>
      </c>
      <c r="N106" s="50">
        <v>3015562323.6139288</v>
      </c>
      <c r="O106" s="50">
        <v>3015562323.6139288</v>
      </c>
      <c r="P106" s="50">
        <v>3015562323.6139288</v>
      </c>
      <c r="Q106" s="50">
        <v>3015562323.6139288</v>
      </c>
      <c r="R106" s="50">
        <v>3015562323.6139288</v>
      </c>
      <c r="S106" s="50">
        <v>3015562323.6139288</v>
      </c>
      <c r="T106" s="50">
        <v>3015562323.6139288</v>
      </c>
      <c r="U106" s="50">
        <v>3015562323.6139288</v>
      </c>
      <c r="V106" s="50">
        <v>3015562323.6139288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0">
        <v>0</v>
      </c>
      <c r="AC106" s="50">
        <v>0</v>
      </c>
      <c r="AD106" s="50">
        <v>0</v>
      </c>
      <c r="AE106" s="50">
        <v>0</v>
      </c>
      <c r="AF106" s="50">
        <v>0</v>
      </c>
      <c r="AG106" s="50">
        <v>0</v>
      </c>
      <c r="AH106" s="68"/>
    </row>
    <row r="107" spans="2:34" s="9" customFormat="1" x14ac:dyDescent="0.25">
      <c r="B107" s="49" t="s">
        <v>232</v>
      </c>
      <c r="C107" s="50"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3180526655.3784037</v>
      </c>
      <c r="X107" s="50">
        <v>3180526655.3784037</v>
      </c>
      <c r="Y107" s="50">
        <v>3180526655.3784037</v>
      </c>
      <c r="Z107" s="50">
        <v>3180526655.3784037</v>
      </c>
      <c r="AA107" s="50">
        <v>3180526655.3784037</v>
      </c>
      <c r="AB107" s="50">
        <v>3180526655.3784037</v>
      </c>
      <c r="AC107" s="50">
        <v>3180526655.3784037</v>
      </c>
      <c r="AD107" s="50">
        <v>3180526655.3784037</v>
      </c>
      <c r="AE107" s="50">
        <v>3180526655.3784037</v>
      </c>
      <c r="AF107" s="50">
        <v>3180526655.3784037</v>
      </c>
      <c r="AG107" s="50">
        <v>0</v>
      </c>
      <c r="AH107" s="68"/>
    </row>
    <row r="108" spans="2:34" s="9" customFormat="1" x14ac:dyDescent="0.25">
      <c r="B108" s="49" t="s">
        <v>233</v>
      </c>
      <c r="C108" s="50"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0">
        <v>0</v>
      </c>
      <c r="AC108" s="50">
        <v>0</v>
      </c>
      <c r="AD108" s="50">
        <v>0</v>
      </c>
      <c r="AE108" s="50">
        <v>0</v>
      </c>
      <c r="AF108" s="50">
        <v>0</v>
      </c>
      <c r="AG108" s="50">
        <v>0</v>
      </c>
      <c r="AH108" s="68"/>
    </row>
    <row r="109" spans="2:34" s="9" customFormat="1" x14ac:dyDescent="0.25">
      <c r="B109" s="49" t="s">
        <v>234</v>
      </c>
      <c r="C109" s="50">
        <v>3194576170.2715101</v>
      </c>
      <c r="D109" s="50">
        <v>3194576170.2715101</v>
      </c>
      <c r="E109" s="50">
        <v>3194576170.2715101</v>
      </c>
      <c r="F109" s="50">
        <v>3194576170.2715101</v>
      </c>
      <c r="G109" s="50">
        <v>3194576170.2715101</v>
      </c>
      <c r="H109" s="50">
        <v>3194576170.2715101</v>
      </c>
      <c r="I109" s="50">
        <v>3194576170.2715101</v>
      </c>
      <c r="J109" s="50">
        <v>3194576170.2715101</v>
      </c>
      <c r="K109" s="50">
        <v>3194576170.2715101</v>
      </c>
      <c r="L109" s="50">
        <v>3194576170.2715101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0">
        <v>0</v>
      </c>
      <c r="AC109" s="50">
        <v>0</v>
      </c>
      <c r="AD109" s="50">
        <v>0</v>
      </c>
      <c r="AE109" s="50">
        <v>0</v>
      </c>
      <c r="AF109" s="50">
        <v>0</v>
      </c>
      <c r="AG109" s="50">
        <v>0</v>
      </c>
      <c r="AH109" s="68"/>
    </row>
    <row r="110" spans="2:34" s="9" customFormat="1" x14ac:dyDescent="0.25">
      <c r="B110" s="49" t="s">
        <v>235</v>
      </c>
      <c r="C110" s="50"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11459424944.955151</v>
      </c>
      <c r="N110" s="50">
        <v>11459424944.955151</v>
      </c>
      <c r="O110" s="50">
        <v>11459424944.955151</v>
      </c>
      <c r="P110" s="50">
        <v>11459424944.955151</v>
      </c>
      <c r="Q110" s="50">
        <v>11459424944.955151</v>
      </c>
      <c r="R110" s="50">
        <v>11459424944.955151</v>
      </c>
      <c r="S110" s="50">
        <v>11459424944.955151</v>
      </c>
      <c r="T110" s="50">
        <v>11459424944.955151</v>
      </c>
      <c r="U110" s="50">
        <v>11459424944.955151</v>
      </c>
      <c r="V110" s="50">
        <v>11459424944.955151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0">
        <v>0</v>
      </c>
      <c r="AC110" s="50">
        <v>0</v>
      </c>
      <c r="AD110" s="50">
        <v>0</v>
      </c>
      <c r="AE110" s="50">
        <v>0</v>
      </c>
      <c r="AF110" s="50">
        <v>0</v>
      </c>
      <c r="AG110" s="50">
        <v>0</v>
      </c>
      <c r="AH110" s="68"/>
    </row>
    <row r="111" spans="2:34" s="9" customFormat="1" x14ac:dyDescent="0.25">
      <c r="B111" s="49" t="s">
        <v>236</v>
      </c>
      <c r="C111" s="50"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2763857582.6064219</v>
      </c>
      <c r="X111" s="50">
        <v>2763857582.6064219</v>
      </c>
      <c r="Y111" s="50">
        <v>2763857582.6064219</v>
      </c>
      <c r="Z111" s="50">
        <v>2763857582.6064219</v>
      </c>
      <c r="AA111" s="50">
        <v>2763857582.6064219</v>
      </c>
      <c r="AB111" s="50">
        <v>2763857582.6064219</v>
      </c>
      <c r="AC111" s="50">
        <v>2763857582.6064219</v>
      </c>
      <c r="AD111" s="50">
        <v>2763857582.6064219</v>
      </c>
      <c r="AE111" s="50">
        <v>2763857582.6064219</v>
      </c>
      <c r="AF111" s="50">
        <v>2763857582.6064219</v>
      </c>
      <c r="AG111" s="50">
        <v>0</v>
      </c>
      <c r="AH111" s="68"/>
    </row>
    <row r="112" spans="2:34" s="9" customFormat="1" x14ac:dyDescent="0.25">
      <c r="B112" s="49" t="s">
        <v>237</v>
      </c>
      <c r="C112" s="50"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0">
        <v>0</v>
      </c>
      <c r="AC112" s="50">
        <v>0</v>
      </c>
      <c r="AD112" s="50">
        <v>0</v>
      </c>
      <c r="AE112" s="50">
        <v>0</v>
      </c>
      <c r="AF112" s="50">
        <v>0</v>
      </c>
      <c r="AG112" s="50">
        <v>0</v>
      </c>
      <c r="AH112" s="68"/>
    </row>
    <row r="113" spans="2:34" s="9" customFormat="1" x14ac:dyDescent="0.25">
      <c r="B113" s="51" t="s">
        <v>238</v>
      </c>
      <c r="C113" s="68">
        <f t="shared" ref="C113:AG113" si="3">SUM(C105:C112)</f>
        <v>3884709378.5430312</v>
      </c>
      <c r="D113" s="68">
        <f t="shared" si="3"/>
        <v>3884709378.5430312</v>
      </c>
      <c r="E113" s="68">
        <f t="shared" si="3"/>
        <v>3884709378.5430312</v>
      </c>
      <c r="F113" s="68">
        <f t="shared" si="3"/>
        <v>3884709378.5430312</v>
      </c>
      <c r="G113" s="68">
        <f t="shared" si="3"/>
        <v>3884709378.5430312</v>
      </c>
      <c r="H113" s="68">
        <f t="shared" si="3"/>
        <v>3884709378.5430312</v>
      </c>
      <c r="I113" s="68">
        <f t="shared" si="3"/>
        <v>3884709378.5430312</v>
      </c>
      <c r="J113" s="68">
        <f t="shared" si="3"/>
        <v>3884709378.5430312</v>
      </c>
      <c r="K113" s="68">
        <f t="shared" si="3"/>
        <v>3884709378.5430312</v>
      </c>
      <c r="L113" s="68">
        <f t="shared" si="3"/>
        <v>3884709378.5430312</v>
      </c>
      <c r="M113" s="68">
        <f t="shared" si="3"/>
        <v>14474987268.56908</v>
      </c>
      <c r="N113" s="68">
        <f t="shared" si="3"/>
        <v>14474987268.56908</v>
      </c>
      <c r="O113" s="68">
        <f t="shared" si="3"/>
        <v>14474987268.56908</v>
      </c>
      <c r="P113" s="68">
        <f t="shared" si="3"/>
        <v>14474987268.56908</v>
      </c>
      <c r="Q113" s="68">
        <f t="shared" si="3"/>
        <v>14474987268.56908</v>
      </c>
      <c r="R113" s="68">
        <f t="shared" si="3"/>
        <v>14474987268.56908</v>
      </c>
      <c r="S113" s="68">
        <f t="shared" si="3"/>
        <v>14474987268.56908</v>
      </c>
      <c r="T113" s="68">
        <f t="shared" si="3"/>
        <v>14474987268.56908</v>
      </c>
      <c r="U113" s="68">
        <f t="shared" si="3"/>
        <v>14474987268.56908</v>
      </c>
      <c r="V113" s="68">
        <f t="shared" si="3"/>
        <v>14474987268.56908</v>
      </c>
      <c r="W113" s="68">
        <f t="shared" si="3"/>
        <v>5944384237.9848251</v>
      </c>
      <c r="X113" s="68">
        <f t="shared" si="3"/>
        <v>5944384237.9848251</v>
      </c>
      <c r="Y113" s="68">
        <f t="shared" si="3"/>
        <v>5944384237.9848251</v>
      </c>
      <c r="Z113" s="68">
        <f t="shared" si="3"/>
        <v>5944384237.9848251</v>
      </c>
      <c r="AA113" s="68">
        <f t="shared" si="3"/>
        <v>5944384237.9848251</v>
      </c>
      <c r="AB113" s="68">
        <f t="shared" si="3"/>
        <v>5944384237.9848251</v>
      </c>
      <c r="AC113" s="68">
        <f t="shared" si="3"/>
        <v>5944384237.9848251</v>
      </c>
      <c r="AD113" s="68">
        <f t="shared" si="3"/>
        <v>5944384237.9848251</v>
      </c>
      <c r="AE113" s="68">
        <f t="shared" si="3"/>
        <v>5944384237.9848251</v>
      </c>
      <c r="AF113" s="68">
        <f t="shared" si="3"/>
        <v>5944384237.9848251</v>
      </c>
      <c r="AG113" s="68">
        <f t="shared" si="3"/>
        <v>0</v>
      </c>
      <c r="AH113" s="68"/>
    </row>
    <row r="114" spans="2:34" s="9" customFormat="1" x14ac:dyDescent="0.25">
      <c r="B114" s="51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</row>
    <row r="115" spans="2:34" s="9" customFormat="1" x14ac:dyDescent="0.25">
      <c r="B115" s="51" t="s">
        <v>264</v>
      </c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</row>
    <row r="116" spans="2:34" s="9" customFormat="1" x14ac:dyDescent="0.25">
      <c r="B116" s="49" t="s">
        <v>261</v>
      </c>
      <c r="C116" s="50">
        <v>691417.65302690899</v>
      </c>
      <c r="D116" s="50">
        <v>691417.65302690899</v>
      </c>
      <c r="E116" s="50">
        <v>691417.65302690899</v>
      </c>
      <c r="F116" s="50">
        <v>691417.65302690899</v>
      </c>
      <c r="G116" s="50">
        <v>691417.65302690899</v>
      </c>
      <c r="H116" s="50">
        <v>691417.65302690899</v>
      </c>
      <c r="I116" s="50">
        <v>691417.65302690899</v>
      </c>
      <c r="J116" s="50">
        <v>691417.65302690899</v>
      </c>
      <c r="K116" s="50">
        <v>691417.65302690899</v>
      </c>
      <c r="L116" s="50">
        <v>691417.65302690899</v>
      </c>
      <c r="M116" s="50">
        <v>1318707.6422810999</v>
      </c>
      <c r="N116" s="50">
        <v>1318707.6422810999</v>
      </c>
      <c r="O116" s="50">
        <v>1318707.6422810999</v>
      </c>
      <c r="P116" s="50">
        <v>1318707.6422810999</v>
      </c>
      <c r="Q116" s="50">
        <v>1318707.6422810999</v>
      </c>
      <c r="R116" s="50">
        <v>1318707.6422810999</v>
      </c>
      <c r="S116" s="50">
        <v>1318707.6422810999</v>
      </c>
      <c r="T116" s="50">
        <v>1318707.6422810999</v>
      </c>
      <c r="U116" s="50">
        <v>1318707.6422810999</v>
      </c>
      <c r="V116" s="50">
        <v>1318707.6422810999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0">
        <v>0</v>
      </c>
      <c r="AC116" s="50">
        <v>0</v>
      </c>
      <c r="AD116" s="50">
        <v>0</v>
      </c>
      <c r="AE116" s="50">
        <v>0</v>
      </c>
      <c r="AF116" s="50">
        <v>0</v>
      </c>
      <c r="AG116" s="50">
        <v>0</v>
      </c>
      <c r="AH116" s="68"/>
    </row>
    <row r="117" spans="2:34" s="9" customFormat="1" x14ac:dyDescent="0.25">
      <c r="B117" s="51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</row>
    <row r="118" spans="2:34" s="65" customFormat="1" x14ac:dyDescent="0.25">
      <c r="B118" s="66" t="s">
        <v>265</v>
      </c>
    </row>
    <row r="119" spans="2:34" s="51" customFormat="1" x14ac:dyDescent="0.25"/>
    <row r="120" spans="2:34" s="51" customFormat="1" x14ac:dyDescent="0.25">
      <c r="B120" t="s">
        <v>250</v>
      </c>
      <c r="C120"/>
      <c r="D120"/>
      <c r="E120"/>
      <c r="F120"/>
      <c r="G120"/>
    </row>
    <row r="121" spans="2:34" s="51" customFormat="1" x14ac:dyDescent="0.25">
      <c r="B121" s="8"/>
      <c r="C121" s="23">
        <v>2020</v>
      </c>
      <c r="D121" s="23">
        <v>2030</v>
      </c>
      <c r="E121" s="23">
        <v>2040</v>
      </c>
      <c r="F121" s="23">
        <v>2050</v>
      </c>
      <c r="G121"/>
    </row>
    <row r="122" spans="2:34" s="51" customFormat="1" x14ac:dyDescent="0.25">
      <c r="B122" s="8" t="s">
        <v>266</v>
      </c>
      <c r="C122" s="1">
        <f>SUMIFS($C$133:$AG$133,$C$128:$AG$128,C$70)</f>
        <v>0</v>
      </c>
      <c r="D122" s="1">
        <f>SUMIFS($C$133:$AG$133,$C$128:$AG$128,D$70)</f>
        <v>226828194.10828233</v>
      </c>
      <c r="E122" s="1">
        <f>SUMIFS($C$133:$AG$133,$C$128:$AG$128,E$70)</f>
        <v>618297871.54334104</v>
      </c>
      <c r="F122" s="1">
        <f>SUMIFS($C$133:$AG$133,$C$128:$AG$128,F$70)</f>
        <v>724444730.28530025</v>
      </c>
      <c r="G122" t="s">
        <v>267</v>
      </c>
    </row>
    <row r="123" spans="2:34" s="51" customFormat="1" x14ac:dyDescent="0.25">
      <c r="B123" s="8" t="s">
        <v>257</v>
      </c>
      <c r="C123" s="1">
        <f>'JT1.25 b)'!E30</f>
        <v>0</v>
      </c>
      <c r="D123" s="1">
        <f>'JT1.25 b)'!F30</f>
        <v>40127835.245210998</v>
      </c>
      <c r="E123" s="1">
        <f>'JT1.25 b)'!G30</f>
        <v>96246461.97911498</v>
      </c>
      <c r="F123" s="1">
        <f>'JT1.25 b)'!H30</f>
        <v>112769662.32365026</v>
      </c>
      <c r="G123" t="s">
        <v>268</v>
      </c>
    </row>
    <row r="124" spans="2:34" s="51" customFormat="1" x14ac:dyDescent="0.25">
      <c r="B124" s="70" t="s">
        <v>238</v>
      </c>
      <c r="C124" s="71">
        <f>SUM(C122:C123)</f>
        <v>0</v>
      </c>
      <c r="D124" s="71">
        <f t="shared" ref="D124:E124" si="4">SUM(D122:D123)</f>
        <v>266956029.35349333</v>
      </c>
      <c r="E124" s="71">
        <f t="shared" si="4"/>
        <v>714544333.52245605</v>
      </c>
      <c r="F124" s="71">
        <f>SUM(F122:F123)</f>
        <v>837214392.6089505</v>
      </c>
      <c r="G124"/>
    </row>
    <row r="125" spans="2:34" s="51" customFormat="1" x14ac:dyDescent="0.25">
      <c r="B125" s="9"/>
      <c r="C125"/>
      <c r="D125"/>
      <c r="E125"/>
      <c r="F125"/>
      <c r="G125"/>
    </row>
    <row r="126" spans="2:34" s="51" customFormat="1" x14ac:dyDescent="0.25">
      <c r="B126" s="51" t="s">
        <v>269</v>
      </c>
    </row>
    <row r="127" spans="2:34" x14ac:dyDescent="0.25">
      <c r="B127" s="13" t="s">
        <v>77</v>
      </c>
      <c r="C127" s="13" t="s">
        <v>78</v>
      </c>
      <c r="D127" s="13" t="s">
        <v>78</v>
      </c>
      <c r="E127" s="13" t="s">
        <v>78</v>
      </c>
      <c r="F127" s="13" t="s">
        <v>78</v>
      </c>
      <c r="G127" s="13" t="s">
        <v>78</v>
      </c>
      <c r="H127" s="13" t="s">
        <v>78</v>
      </c>
      <c r="I127" s="13" t="s">
        <v>78</v>
      </c>
      <c r="J127" s="13" t="s">
        <v>78</v>
      </c>
      <c r="K127" s="13" t="s">
        <v>78</v>
      </c>
      <c r="L127" s="13" t="s">
        <v>78</v>
      </c>
      <c r="M127" s="13" t="s">
        <v>78</v>
      </c>
      <c r="N127" s="13" t="s">
        <v>79</v>
      </c>
      <c r="O127" s="13" t="s">
        <v>79</v>
      </c>
      <c r="P127" s="13" t="s">
        <v>79</v>
      </c>
      <c r="Q127" s="13" t="s">
        <v>79</v>
      </c>
      <c r="R127" s="13" t="s">
        <v>79</v>
      </c>
      <c r="S127" s="13" t="s">
        <v>79</v>
      </c>
      <c r="T127" s="13" t="s">
        <v>79</v>
      </c>
      <c r="U127" s="13" t="s">
        <v>79</v>
      </c>
      <c r="V127" s="13" t="s">
        <v>79</v>
      </c>
      <c r="W127" s="13" t="s">
        <v>79</v>
      </c>
      <c r="X127" s="13" t="s">
        <v>80</v>
      </c>
      <c r="Y127" s="13" t="s">
        <v>80</v>
      </c>
      <c r="Z127" s="13" t="s">
        <v>80</v>
      </c>
      <c r="AA127" s="13" t="s">
        <v>80</v>
      </c>
      <c r="AB127" s="13" t="s">
        <v>80</v>
      </c>
      <c r="AC127" s="13" t="s">
        <v>80</v>
      </c>
      <c r="AD127" s="13" t="s">
        <v>80</v>
      </c>
      <c r="AE127" s="13" t="s">
        <v>80</v>
      </c>
      <c r="AF127" s="13" t="s">
        <v>80</v>
      </c>
      <c r="AG127" s="13" t="s">
        <v>80</v>
      </c>
    </row>
    <row r="128" spans="2:34" s="25" customFormat="1" x14ac:dyDescent="0.25">
      <c r="B128" s="25" t="s">
        <v>229</v>
      </c>
      <c r="C128" s="25">
        <v>2020</v>
      </c>
      <c r="D128" s="25">
        <v>2021</v>
      </c>
      <c r="E128" s="25">
        <v>2022</v>
      </c>
      <c r="F128" s="25">
        <v>2023</v>
      </c>
      <c r="G128" s="25">
        <v>2024</v>
      </c>
      <c r="H128" s="25">
        <v>2025</v>
      </c>
      <c r="I128" s="25">
        <v>2026</v>
      </c>
      <c r="J128" s="25">
        <v>2027</v>
      </c>
      <c r="K128" s="25">
        <v>2028</v>
      </c>
      <c r="L128" s="25">
        <v>2029</v>
      </c>
      <c r="M128" s="25">
        <v>2030</v>
      </c>
      <c r="N128" s="25">
        <v>2031</v>
      </c>
      <c r="O128" s="25">
        <v>2032</v>
      </c>
      <c r="P128" s="25">
        <v>2033</v>
      </c>
      <c r="Q128" s="25">
        <v>2034</v>
      </c>
      <c r="R128" s="25">
        <v>2035</v>
      </c>
      <c r="S128" s="25">
        <v>2036</v>
      </c>
      <c r="T128" s="25">
        <v>2037</v>
      </c>
      <c r="U128" s="25">
        <v>2038</v>
      </c>
      <c r="V128" s="25">
        <v>2039</v>
      </c>
      <c r="W128" s="25">
        <v>2040</v>
      </c>
      <c r="X128" s="25">
        <v>2041</v>
      </c>
      <c r="Y128" s="25">
        <v>2042</v>
      </c>
      <c r="Z128" s="25">
        <v>2043</v>
      </c>
      <c r="AA128" s="25">
        <v>2044</v>
      </c>
      <c r="AB128" s="25">
        <v>2045</v>
      </c>
      <c r="AC128" s="25">
        <v>2046</v>
      </c>
      <c r="AD128" s="25">
        <v>2047</v>
      </c>
      <c r="AE128" s="25">
        <v>2048</v>
      </c>
      <c r="AF128" s="25">
        <v>2049</v>
      </c>
      <c r="AG128" s="25">
        <v>2050</v>
      </c>
    </row>
    <row r="129" spans="2:34" x14ac:dyDescent="0.25">
      <c r="B129" s="75" t="s">
        <v>244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36250644.301710598</v>
      </c>
      <c r="N129" s="14">
        <v>36250644.301710598</v>
      </c>
      <c r="O129" s="14">
        <v>36250644.301710598</v>
      </c>
      <c r="P129" s="14">
        <v>36250644.301710598</v>
      </c>
      <c r="Q129" s="14">
        <v>36250644.301710598</v>
      </c>
      <c r="R129" s="14">
        <v>36250644.301710598</v>
      </c>
      <c r="S129" s="14">
        <v>36250644.301710598</v>
      </c>
      <c r="T129" s="14">
        <v>36250644.301710598</v>
      </c>
      <c r="U129" s="14">
        <v>36250644.301710598</v>
      </c>
      <c r="V129" s="14">
        <v>36250644.301710598</v>
      </c>
      <c r="W129" s="14">
        <v>88472420.639790297</v>
      </c>
      <c r="X129" s="14">
        <v>88472420.639790297</v>
      </c>
      <c r="Y129" s="14">
        <v>88472420.639790297</v>
      </c>
      <c r="Z129" s="14">
        <v>88472420.639790297</v>
      </c>
      <c r="AA129" s="14">
        <v>88472420.639790297</v>
      </c>
      <c r="AB129" s="14">
        <v>88472420.639790297</v>
      </c>
      <c r="AC129" s="14">
        <v>88472420.639790297</v>
      </c>
      <c r="AD129" s="14">
        <v>88472420.639790297</v>
      </c>
      <c r="AE129" s="14">
        <v>88472420.639790297</v>
      </c>
      <c r="AF129" s="14">
        <v>88472420.639790297</v>
      </c>
      <c r="AG129" s="14">
        <v>103661005.24993899</v>
      </c>
      <c r="AH129" s="14"/>
    </row>
    <row r="130" spans="2:34" x14ac:dyDescent="0.25">
      <c r="B130" s="75" t="s">
        <v>246</v>
      </c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>
        <v>0</v>
      </c>
      <c r="N130" s="14">
        <v>0</v>
      </c>
      <c r="O130" s="14">
        <v>0</v>
      </c>
      <c r="P130" s="14">
        <v>0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/>
    </row>
    <row r="131" spans="2:34" x14ac:dyDescent="0.25">
      <c r="B131" s="75" t="s">
        <v>247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171398728.13990501</v>
      </c>
      <c r="N131" s="14">
        <v>171398728.13990501</v>
      </c>
      <c r="O131" s="14">
        <v>171398728.13990501</v>
      </c>
      <c r="P131" s="14">
        <v>171398728.13990501</v>
      </c>
      <c r="Q131" s="14">
        <v>171398728.13990501</v>
      </c>
      <c r="R131" s="14">
        <v>171398728.13990501</v>
      </c>
      <c r="S131" s="14">
        <v>171398728.13990501</v>
      </c>
      <c r="T131" s="14">
        <v>171398728.13990501</v>
      </c>
      <c r="U131" s="14">
        <v>171398728.13990501</v>
      </c>
      <c r="V131" s="14">
        <v>171398728.13990501</v>
      </c>
      <c r="W131" s="14">
        <v>483825119.236884</v>
      </c>
      <c r="X131" s="14">
        <v>483825119.236884</v>
      </c>
      <c r="Y131" s="14">
        <v>483825119.236884</v>
      </c>
      <c r="Z131" s="14">
        <v>483825119.236884</v>
      </c>
      <c r="AA131" s="14">
        <v>483825119.236884</v>
      </c>
      <c r="AB131" s="14">
        <v>483825119.236884</v>
      </c>
      <c r="AC131" s="14">
        <v>483825119.236884</v>
      </c>
      <c r="AD131" s="14">
        <v>483825119.236884</v>
      </c>
      <c r="AE131" s="14">
        <v>483825119.236884</v>
      </c>
      <c r="AF131" s="14">
        <v>483825119.236884</v>
      </c>
      <c r="AG131" s="14">
        <v>566886243.90040195</v>
      </c>
      <c r="AH131" s="14"/>
    </row>
    <row r="132" spans="2:34" x14ac:dyDescent="0.25">
      <c r="B132" s="75" t="s">
        <v>248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19178821.666666701</v>
      </c>
      <c r="N132" s="14">
        <v>19178821.666666701</v>
      </c>
      <c r="O132" s="14">
        <v>19178821.666666701</v>
      </c>
      <c r="P132" s="14">
        <v>19178821.666666701</v>
      </c>
      <c r="Q132" s="14">
        <v>19178821.666666701</v>
      </c>
      <c r="R132" s="14">
        <v>19178821.666666701</v>
      </c>
      <c r="S132" s="14">
        <v>19178821.666666701</v>
      </c>
      <c r="T132" s="14">
        <v>19178821.666666701</v>
      </c>
      <c r="U132" s="14">
        <v>19178821.666666701</v>
      </c>
      <c r="V132" s="14">
        <v>19178821.666666701</v>
      </c>
      <c r="W132" s="14">
        <v>46000331.666666701</v>
      </c>
      <c r="X132" s="14">
        <v>46000331.666666701</v>
      </c>
      <c r="Y132" s="14">
        <v>46000331.666666701</v>
      </c>
      <c r="Z132" s="14">
        <v>46000331.666666701</v>
      </c>
      <c r="AA132" s="14">
        <v>46000331.666666701</v>
      </c>
      <c r="AB132" s="14">
        <v>46000331.666666701</v>
      </c>
      <c r="AC132" s="14">
        <v>46000331.666666701</v>
      </c>
      <c r="AD132" s="14">
        <v>46000331.666666701</v>
      </c>
      <c r="AE132" s="14">
        <v>46000331.666666701</v>
      </c>
      <c r="AF132" s="14">
        <v>46000331.666666701</v>
      </c>
      <c r="AG132" s="14">
        <v>53897481.134959303</v>
      </c>
      <c r="AH132" s="14"/>
    </row>
    <row r="133" spans="2:34" s="9" customFormat="1" x14ac:dyDescent="0.25">
      <c r="B133" s="51" t="s">
        <v>238</v>
      </c>
      <c r="C133" s="68">
        <f>SUM(C129:C132)</f>
        <v>0</v>
      </c>
      <c r="D133" s="68">
        <f t="shared" ref="D133:AG133" si="5">SUM(D129:D132)</f>
        <v>0</v>
      </c>
      <c r="E133" s="68">
        <f t="shared" si="5"/>
        <v>0</v>
      </c>
      <c r="F133" s="68">
        <f t="shared" si="5"/>
        <v>0</v>
      </c>
      <c r="G133" s="68">
        <f t="shared" si="5"/>
        <v>0</v>
      </c>
      <c r="H133" s="68">
        <f t="shared" si="5"/>
        <v>0</v>
      </c>
      <c r="I133" s="68">
        <f t="shared" si="5"/>
        <v>0</v>
      </c>
      <c r="J133" s="68">
        <f t="shared" si="5"/>
        <v>0</v>
      </c>
      <c r="K133" s="68">
        <f t="shared" si="5"/>
        <v>0</v>
      </c>
      <c r="L133" s="68">
        <f t="shared" si="5"/>
        <v>0</v>
      </c>
      <c r="M133" s="68">
        <f t="shared" si="5"/>
        <v>226828194.10828233</v>
      </c>
      <c r="N133" s="68">
        <f t="shared" si="5"/>
        <v>226828194.10828233</v>
      </c>
      <c r="O133" s="68">
        <f t="shared" si="5"/>
        <v>226828194.10828233</v>
      </c>
      <c r="P133" s="68">
        <f t="shared" si="5"/>
        <v>226828194.10828233</v>
      </c>
      <c r="Q133" s="68">
        <f t="shared" si="5"/>
        <v>226828194.10828233</v>
      </c>
      <c r="R133" s="68">
        <f t="shared" si="5"/>
        <v>226828194.10828233</v>
      </c>
      <c r="S133" s="68">
        <f t="shared" si="5"/>
        <v>226828194.10828233</v>
      </c>
      <c r="T133" s="68">
        <f t="shared" si="5"/>
        <v>226828194.10828233</v>
      </c>
      <c r="U133" s="68">
        <f t="shared" si="5"/>
        <v>226828194.10828233</v>
      </c>
      <c r="V133" s="68">
        <f t="shared" si="5"/>
        <v>226828194.10828233</v>
      </c>
      <c r="W133" s="68">
        <f t="shared" si="5"/>
        <v>618297871.54334104</v>
      </c>
      <c r="X133" s="68">
        <f t="shared" si="5"/>
        <v>618297871.54334104</v>
      </c>
      <c r="Y133" s="68">
        <f t="shared" si="5"/>
        <v>618297871.54334104</v>
      </c>
      <c r="Z133" s="68">
        <f t="shared" si="5"/>
        <v>618297871.54334104</v>
      </c>
      <c r="AA133" s="68">
        <f t="shared" si="5"/>
        <v>618297871.54334104</v>
      </c>
      <c r="AB133" s="68">
        <f t="shared" si="5"/>
        <v>618297871.54334104</v>
      </c>
      <c r="AC133" s="68">
        <f t="shared" si="5"/>
        <v>618297871.54334104</v>
      </c>
      <c r="AD133" s="68">
        <f t="shared" si="5"/>
        <v>618297871.54334104</v>
      </c>
      <c r="AE133" s="68">
        <f t="shared" si="5"/>
        <v>618297871.54334104</v>
      </c>
      <c r="AF133" s="68">
        <f t="shared" si="5"/>
        <v>618297871.54334104</v>
      </c>
      <c r="AG133" s="68">
        <f t="shared" si="5"/>
        <v>724444730.28530025</v>
      </c>
      <c r="AH133" s="68"/>
    </row>
    <row r="134" spans="2:34" x14ac:dyDescent="0.25">
      <c r="B134" s="75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</row>
    <row r="135" spans="2:34" s="51" customFormat="1" x14ac:dyDescent="0.25">
      <c r="B135" t="s">
        <v>262</v>
      </c>
      <c r="C135"/>
      <c r="D135"/>
      <c r="E135"/>
      <c r="F135"/>
      <c r="G135"/>
    </row>
    <row r="136" spans="2:34" s="51" customFormat="1" x14ac:dyDescent="0.25">
      <c r="B136" s="8"/>
      <c r="C136" s="23">
        <v>2020</v>
      </c>
      <c r="D136" s="23">
        <v>2030</v>
      </c>
      <c r="E136" s="23">
        <v>2040</v>
      </c>
      <c r="F136" s="23">
        <v>2050</v>
      </c>
      <c r="G136"/>
    </row>
    <row r="137" spans="2:34" s="51" customFormat="1" x14ac:dyDescent="0.25">
      <c r="B137" s="8" t="s">
        <v>266</v>
      </c>
      <c r="C137" s="1">
        <f>SUMIFS($C$148:$AG$148,$C$143:$AG$143,C$70)</f>
        <v>0</v>
      </c>
      <c r="D137" s="1">
        <f>SUMIFS($C$148:$AG$148,$C$143:$AG$143,D$70)</f>
        <v>0</v>
      </c>
      <c r="E137" s="1">
        <f>SUMIFS($C$148:$AG$148,$C$143:$AG$143,E$70)</f>
        <v>381695653.01700276</v>
      </c>
      <c r="F137" s="1">
        <f>SUMIFS($C$148:$AG$148,$C$143:$AG$143,F$70)</f>
        <v>613019113.24702144</v>
      </c>
      <c r="G137" t="s">
        <v>267</v>
      </c>
    </row>
    <row r="138" spans="2:34" s="51" customFormat="1" x14ac:dyDescent="0.25">
      <c r="B138" s="8" t="s">
        <v>257</v>
      </c>
      <c r="C138" s="1">
        <f>'JT1.25 b)'!K30</f>
        <v>0</v>
      </c>
      <c r="D138" s="1">
        <f>'JT1.25 b)'!L30</f>
        <v>0</v>
      </c>
      <c r="E138" s="1">
        <f>'JT1.25 b)'!M30</f>
        <v>54006635.405208781</v>
      </c>
      <c r="F138" s="1">
        <f>'JT1.25 b)'!N30</f>
        <v>86736905.395360887</v>
      </c>
      <c r="G138" t="s">
        <v>268</v>
      </c>
    </row>
    <row r="139" spans="2:34" s="51" customFormat="1" x14ac:dyDescent="0.25">
      <c r="B139" s="70" t="s">
        <v>238</v>
      </c>
      <c r="C139" s="71">
        <f>SUM(C137:C138)</f>
        <v>0</v>
      </c>
      <c r="D139" s="71">
        <f t="shared" ref="D139:F139" si="6">SUM(D137:D138)</f>
        <v>0</v>
      </c>
      <c r="E139" s="71">
        <f t="shared" si="6"/>
        <v>435702288.42221153</v>
      </c>
      <c r="F139" s="71">
        <f t="shared" si="6"/>
        <v>699756018.64238238</v>
      </c>
      <c r="G139"/>
    </row>
    <row r="140" spans="2:34" s="51" customFormat="1" x14ac:dyDescent="0.25">
      <c r="B140" s="9"/>
      <c r="C140"/>
      <c r="D140"/>
      <c r="E140"/>
      <c r="F140"/>
      <c r="G140"/>
    </row>
    <row r="141" spans="2:34" s="51" customFormat="1" x14ac:dyDescent="0.25">
      <c r="B141" s="51" t="s">
        <v>270</v>
      </c>
    </row>
    <row r="142" spans="2:34" x14ac:dyDescent="0.25">
      <c r="B142" s="13" t="s">
        <v>77</v>
      </c>
      <c r="C142" s="13" t="s">
        <v>78</v>
      </c>
      <c r="D142" s="13" t="s">
        <v>78</v>
      </c>
      <c r="E142" s="13" t="s">
        <v>78</v>
      </c>
      <c r="F142" s="13" t="s">
        <v>78</v>
      </c>
      <c r="G142" s="13" t="s">
        <v>78</v>
      </c>
      <c r="H142" s="13" t="s">
        <v>78</v>
      </c>
      <c r="I142" s="13" t="s">
        <v>78</v>
      </c>
      <c r="J142" s="13" t="s">
        <v>78</v>
      </c>
      <c r="K142" s="13" t="s">
        <v>78</v>
      </c>
      <c r="L142" s="13" t="s">
        <v>78</v>
      </c>
      <c r="M142" s="13" t="s">
        <v>78</v>
      </c>
      <c r="N142" s="13" t="s">
        <v>79</v>
      </c>
      <c r="O142" s="13" t="s">
        <v>79</v>
      </c>
      <c r="P142" s="13" t="s">
        <v>79</v>
      </c>
      <c r="Q142" s="13" t="s">
        <v>79</v>
      </c>
      <c r="R142" s="13" t="s">
        <v>79</v>
      </c>
      <c r="S142" s="13" t="s">
        <v>79</v>
      </c>
      <c r="T142" s="13" t="s">
        <v>79</v>
      </c>
      <c r="U142" s="13" t="s">
        <v>79</v>
      </c>
      <c r="V142" s="13" t="s">
        <v>79</v>
      </c>
      <c r="W142" s="13" t="s">
        <v>79</v>
      </c>
      <c r="X142" s="13" t="s">
        <v>80</v>
      </c>
      <c r="Y142" s="13" t="s">
        <v>80</v>
      </c>
      <c r="Z142" s="13" t="s">
        <v>80</v>
      </c>
      <c r="AA142" s="13" t="s">
        <v>80</v>
      </c>
      <c r="AB142" s="13" t="s">
        <v>80</v>
      </c>
      <c r="AC142" s="13" t="s">
        <v>80</v>
      </c>
      <c r="AD142" s="13" t="s">
        <v>80</v>
      </c>
      <c r="AE142" s="13" t="s">
        <v>80</v>
      </c>
      <c r="AF142" s="13" t="s">
        <v>80</v>
      </c>
      <c r="AG142" s="13" t="s">
        <v>80</v>
      </c>
    </row>
    <row r="143" spans="2:34" s="25" customFormat="1" x14ac:dyDescent="0.25">
      <c r="B143" s="25" t="s">
        <v>229</v>
      </c>
      <c r="C143" s="25">
        <v>2020</v>
      </c>
      <c r="D143" s="25">
        <v>2021</v>
      </c>
      <c r="E143" s="25">
        <v>2022</v>
      </c>
      <c r="F143" s="25">
        <v>2023</v>
      </c>
      <c r="G143" s="25">
        <v>2024</v>
      </c>
      <c r="H143" s="25">
        <v>2025</v>
      </c>
      <c r="I143" s="25">
        <v>2026</v>
      </c>
      <c r="J143" s="25">
        <v>2027</v>
      </c>
      <c r="K143" s="25">
        <v>2028</v>
      </c>
      <c r="L143" s="25">
        <v>2029</v>
      </c>
      <c r="M143" s="25">
        <v>2030</v>
      </c>
      <c r="N143" s="25">
        <v>2031</v>
      </c>
      <c r="O143" s="25">
        <v>2032</v>
      </c>
      <c r="P143" s="25">
        <v>2033</v>
      </c>
      <c r="Q143" s="25">
        <v>2034</v>
      </c>
      <c r="R143" s="25">
        <v>2035</v>
      </c>
      <c r="S143" s="25">
        <v>2036</v>
      </c>
      <c r="T143" s="25">
        <v>2037</v>
      </c>
      <c r="U143" s="25">
        <v>2038</v>
      </c>
      <c r="V143" s="25">
        <v>2039</v>
      </c>
      <c r="W143" s="25">
        <v>2040</v>
      </c>
      <c r="X143" s="25">
        <v>2041</v>
      </c>
      <c r="Y143" s="25">
        <v>2042</v>
      </c>
      <c r="Z143" s="25">
        <v>2043</v>
      </c>
      <c r="AA143" s="25">
        <v>2044</v>
      </c>
      <c r="AB143" s="25">
        <v>2045</v>
      </c>
      <c r="AC143" s="25">
        <v>2046</v>
      </c>
      <c r="AD143" s="25">
        <v>2047</v>
      </c>
      <c r="AE143" s="25">
        <v>2048</v>
      </c>
      <c r="AF143" s="25">
        <v>2049</v>
      </c>
      <c r="AG143" s="25">
        <v>2050</v>
      </c>
    </row>
    <row r="144" spans="2:34" x14ac:dyDescent="0.25">
      <c r="B144" s="75" t="s">
        <v>244</v>
      </c>
      <c r="C144" s="14">
        <v>0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  <c r="N144" s="14">
        <v>0</v>
      </c>
      <c r="O144" s="14">
        <v>0</v>
      </c>
      <c r="P144" s="14">
        <v>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84395478.372063398</v>
      </c>
      <c r="X144" s="14">
        <v>84395478.372063398</v>
      </c>
      <c r="Y144" s="14">
        <v>84395478.372063398</v>
      </c>
      <c r="Z144" s="14">
        <v>84395478.372063398</v>
      </c>
      <c r="AA144" s="14">
        <v>84395478.372063398</v>
      </c>
      <c r="AB144" s="14">
        <v>84395478.372063398</v>
      </c>
      <c r="AC144" s="14">
        <v>84395478.372063398</v>
      </c>
      <c r="AD144" s="14">
        <v>84395478.372063398</v>
      </c>
      <c r="AE144" s="14">
        <v>84395478.372063398</v>
      </c>
      <c r="AF144" s="14">
        <v>84395478.372063398</v>
      </c>
      <c r="AG144" s="14">
        <v>135542652.64686099</v>
      </c>
      <c r="AH144" s="14"/>
    </row>
    <row r="145" spans="2:34" x14ac:dyDescent="0.25">
      <c r="B145" s="75" t="s">
        <v>246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>
        <v>0</v>
      </c>
      <c r="N145" s="14">
        <v>0</v>
      </c>
      <c r="O145" s="14">
        <v>0</v>
      </c>
      <c r="P145" s="14">
        <v>0</v>
      </c>
      <c r="Q145" s="14">
        <v>0</v>
      </c>
      <c r="R145" s="14">
        <v>0</v>
      </c>
      <c r="S145" s="14">
        <v>0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0</v>
      </c>
      <c r="AE145" s="14">
        <v>0</v>
      </c>
      <c r="AF145" s="14">
        <v>0</v>
      </c>
      <c r="AG145" s="14">
        <v>0</v>
      </c>
      <c r="AH145" s="14"/>
    </row>
    <row r="146" spans="2:34" x14ac:dyDescent="0.25">
      <c r="B146" s="75" t="s">
        <v>247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14">
        <v>0</v>
      </c>
      <c r="Q146" s="14">
        <v>0</v>
      </c>
      <c r="R146" s="14">
        <v>0</v>
      </c>
      <c r="S146" s="14">
        <v>0</v>
      </c>
      <c r="T146" s="14">
        <v>0</v>
      </c>
      <c r="U146" s="14">
        <v>0</v>
      </c>
      <c r="V146" s="14">
        <v>0</v>
      </c>
      <c r="W146" s="14">
        <v>271488076.31160599</v>
      </c>
      <c r="X146" s="14">
        <v>271488076.31160599</v>
      </c>
      <c r="Y146" s="14">
        <v>271488076.31160599</v>
      </c>
      <c r="Z146" s="14">
        <v>271488076.31160599</v>
      </c>
      <c r="AA146" s="14">
        <v>271488076.31160599</v>
      </c>
      <c r="AB146" s="14">
        <v>271488076.31160599</v>
      </c>
      <c r="AC146" s="14">
        <v>271488076.31160599</v>
      </c>
      <c r="AD146" s="14">
        <v>271488076.31160599</v>
      </c>
      <c r="AE146" s="14">
        <v>271488076.31160599</v>
      </c>
      <c r="AF146" s="14">
        <v>271488076.31160599</v>
      </c>
      <c r="AG146" s="14">
        <v>436021155.81407201</v>
      </c>
      <c r="AH146" s="14"/>
    </row>
    <row r="147" spans="2:34" x14ac:dyDescent="0.25">
      <c r="B147" s="75" t="s">
        <v>248</v>
      </c>
      <c r="C147" s="14">
        <v>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  <c r="N147" s="14">
        <v>0</v>
      </c>
      <c r="O147" s="14">
        <v>0</v>
      </c>
      <c r="P147" s="14">
        <v>0</v>
      </c>
      <c r="Q147" s="14">
        <v>0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25812098.333333399</v>
      </c>
      <c r="X147" s="14">
        <v>25812098.333333399</v>
      </c>
      <c r="Y147" s="14">
        <v>25812098.333333399</v>
      </c>
      <c r="Z147" s="14">
        <v>25812098.333333399</v>
      </c>
      <c r="AA147" s="14">
        <v>25812098.333333399</v>
      </c>
      <c r="AB147" s="14">
        <v>25812098.333333399</v>
      </c>
      <c r="AC147" s="14">
        <v>25812098.333333399</v>
      </c>
      <c r="AD147" s="14">
        <v>25812098.333333399</v>
      </c>
      <c r="AE147" s="14">
        <v>25812098.333333399</v>
      </c>
      <c r="AF147" s="14">
        <v>25812098.333333399</v>
      </c>
      <c r="AG147" s="14">
        <v>41455304.786088496</v>
      </c>
      <c r="AH147" s="14"/>
    </row>
    <row r="148" spans="2:34" s="9" customFormat="1" x14ac:dyDescent="0.25">
      <c r="B148" s="51" t="s">
        <v>238</v>
      </c>
      <c r="C148" s="68">
        <f>SUM(C144:C147)</f>
        <v>0</v>
      </c>
      <c r="D148" s="68">
        <f t="shared" ref="D148" si="7">SUM(D144:D147)</f>
        <v>0</v>
      </c>
      <c r="E148" s="68">
        <f t="shared" ref="E148" si="8">SUM(E144:E147)</f>
        <v>0</v>
      </c>
      <c r="F148" s="68">
        <f t="shared" ref="F148" si="9">SUM(F144:F147)</f>
        <v>0</v>
      </c>
      <c r="G148" s="68">
        <f t="shared" ref="G148" si="10">SUM(G144:G147)</f>
        <v>0</v>
      </c>
      <c r="H148" s="68">
        <f t="shared" ref="H148" si="11">SUM(H144:H147)</f>
        <v>0</v>
      </c>
      <c r="I148" s="68">
        <f t="shared" ref="I148" si="12">SUM(I144:I147)</f>
        <v>0</v>
      </c>
      <c r="J148" s="68">
        <f t="shared" ref="J148" si="13">SUM(J144:J147)</f>
        <v>0</v>
      </c>
      <c r="K148" s="68">
        <f t="shared" ref="K148" si="14">SUM(K144:K147)</f>
        <v>0</v>
      </c>
      <c r="L148" s="68">
        <f t="shared" ref="L148" si="15">SUM(L144:L147)</f>
        <v>0</v>
      </c>
      <c r="M148" s="68">
        <f t="shared" ref="M148" si="16">SUM(M144:M147)</f>
        <v>0</v>
      </c>
      <c r="N148" s="68">
        <f t="shared" ref="N148" si="17">SUM(N144:N147)</f>
        <v>0</v>
      </c>
      <c r="O148" s="68">
        <f t="shared" ref="O148" si="18">SUM(O144:O147)</f>
        <v>0</v>
      </c>
      <c r="P148" s="68">
        <f t="shared" ref="P148" si="19">SUM(P144:P147)</f>
        <v>0</v>
      </c>
      <c r="Q148" s="68">
        <f t="shared" ref="Q148" si="20">SUM(Q144:Q147)</f>
        <v>0</v>
      </c>
      <c r="R148" s="68">
        <f t="shared" ref="R148" si="21">SUM(R144:R147)</f>
        <v>0</v>
      </c>
      <c r="S148" s="68">
        <f t="shared" ref="S148" si="22">SUM(S144:S147)</f>
        <v>0</v>
      </c>
      <c r="T148" s="68">
        <f t="shared" ref="T148" si="23">SUM(T144:T147)</f>
        <v>0</v>
      </c>
      <c r="U148" s="68">
        <f t="shared" ref="U148" si="24">SUM(U144:U147)</f>
        <v>0</v>
      </c>
      <c r="V148" s="68">
        <f t="shared" ref="V148" si="25">SUM(V144:V147)</f>
        <v>0</v>
      </c>
      <c r="W148" s="68">
        <f t="shared" ref="W148" si="26">SUM(W144:W147)</f>
        <v>381695653.01700276</v>
      </c>
      <c r="X148" s="68">
        <f t="shared" ref="X148" si="27">SUM(X144:X147)</f>
        <v>381695653.01700276</v>
      </c>
      <c r="Y148" s="68">
        <f t="shared" ref="Y148" si="28">SUM(Y144:Y147)</f>
        <v>381695653.01700276</v>
      </c>
      <c r="Z148" s="68">
        <f t="shared" ref="Z148" si="29">SUM(Z144:Z147)</f>
        <v>381695653.01700276</v>
      </c>
      <c r="AA148" s="68">
        <f t="shared" ref="AA148" si="30">SUM(AA144:AA147)</f>
        <v>381695653.01700276</v>
      </c>
      <c r="AB148" s="68">
        <f t="shared" ref="AB148" si="31">SUM(AB144:AB147)</f>
        <v>381695653.01700276</v>
      </c>
      <c r="AC148" s="68">
        <f t="shared" ref="AC148" si="32">SUM(AC144:AC147)</f>
        <v>381695653.01700276</v>
      </c>
      <c r="AD148" s="68">
        <f t="shared" ref="AD148" si="33">SUM(AD144:AD147)</f>
        <v>381695653.01700276</v>
      </c>
      <c r="AE148" s="68">
        <f t="shared" ref="AE148" si="34">SUM(AE144:AE147)</f>
        <v>381695653.01700276</v>
      </c>
      <c r="AF148" s="68">
        <f t="shared" ref="AF148" si="35">SUM(AF144:AF147)</f>
        <v>381695653.01700276</v>
      </c>
      <c r="AG148" s="68">
        <f t="shared" ref="AG148" si="36">SUM(AG144:AG147)</f>
        <v>613019113.24702144</v>
      </c>
      <c r="AH148" s="68"/>
    </row>
    <row r="149" spans="2:34" x14ac:dyDescent="0.25">
      <c r="B149" s="75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</row>
    <row r="150" spans="2:34" s="65" customFormat="1" x14ac:dyDescent="0.25">
      <c r="B150" s="66" t="s">
        <v>271</v>
      </c>
    </row>
    <row r="151" spans="2:34" s="51" customFormat="1" x14ac:dyDescent="0.25"/>
    <row r="152" spans="2:34" s="51" customFormat="1" x14ac:dyDescent="0.25">
      <c r="B152" t="s">
        <v>250</v>
      </c>
      <c r="C152"/>
      <c r="D152"/>
      <c r="E152"/>
      <c r="F152"/>
      <c r="G152"/>
    </row>
    <row r="153" spans="2:34" s="51" customFormat="1" x14ac:dyDescent="0.25">
      <c r="B153" s="8"/>
      <c r="C153" s="23">
        <v>2020</v>
      </c>
      <c r="D153" s="23">
        <v>2030</v>
      </c>
      <c r="E153" s="23">
        <v>2040</v>
      </c>
      <c r="F153" s="23">
        <v>2050</v>
      </c>
      <c r="G153"/>
    </row>
    <row r="154" spans="2:34" s="51" customFormat="1" x14ac:dyDescent="0.25">
      <c r="B154" s="8" t="s">
        <v>272</v>
      </c>
      <c r="C154" s="1">
        <f>SUMIFS($C$170:$AG$170,$C$160:$AG$160,C$153)</f>
        <v>0</v>
      </c>
      <c r="D154" s="1">
        <f>SUMIFS($C$170:$AG$170,$C$160:$AG$160,D$153)</f>
        <v>1015030728.7617594</v>
      </c>
      <c r="E154" s="1">
        <f t="shared" ref="E154:F154" si="37">SUMIFS($C$170:$AG$170,$C$160:$AG$160,E$153)</f>
        <v>2058046393.566165</v>
      </c>
      <c r="F154" s="1">
        <f t="shared" si="37"/>
        <v>3769506262.0093021</v>
      </c>
      <c r="G154" t="s">
        <v>273</v>
      </c>
    </row>
    <row r="155" spans="2:34" s="51" customFormat="1" x14ac:dyDescent="0.25">
      <c r="B155" s="8" t="s">
        <v>257</v>
      </c>
      <c r="C155" s="1">
        <f>'JT1.25 b)'!E38</f>
        <v>0</v>
      </c>
      <c r="D155" s="1">
        <f>'JT1.25 b)'!F38</f>
        <v>37110704.775646187</v>
      </c>
      <c r="E155" s="1">
        <f>'JT1.25 b)'!G38</f>
        <v>76635113.926944107</v>
      </c>
      <c r="F155" s="1">
        <f>'JT1.25 b)'!H38</f>
        <v>143011984.25736874</v>
      </c>
      <c r="G155" t="s">
        <v>274</v>
      </c>
    </row>
    <row r="156" spans="2:34" s="51" customFormat="1" x14ac:dyDescent="0.25">
      <c r="B156" s="70" t="s">
        <v>238</v>
      </c>
      <c r="C156" s="71">
        <f>SUM(C154:C155)</f>
        <v>0</v>
      </c>
      <c r="D156" s="71">
        <f>SUM(D154:D155)</f>
        <v>1052141433.5374056</v>
      </c>
      <c r="E156" s="71">
        <f t="shared" ref="E156:F156" si="38">SUM(E154:E155)</f>
        <v>2134681507.493109</v>
      </c>
      <c r="F156" s="71">
        <f t="shared" si="38"/>
        <v>3912518246.2666707</v>
      </c>
      <c r="G156"/>
    </row>
    <row r="157" spans="2:34" s="51" customFormat="1" x14ac:dyDescent="0.25">
      <c r="B157" s="9"/>
      <c r="C157"/>
      <c r="D157"/>
      <c r="E157"/>
      <c r="F157"/>
      <c r="G157"/>
    </row>
    <row r="158" spans="2:34" s="51" customFormat="1" x14ac:dyDescent="0.25">
      <c r="B158" s="51" t="s">
        <v>275</v>
      </c>
    </row>
    <row r="159" spans="2:34" x14ac:dyDescent="0.25">
      <c r="B159" s="13" t="s">
        <v>77</v>
      </c>
      <c r="C159" s="13" t="s">
        <v>78</v>
      </c>
      <c r="D159" s="13" t="s">
        <v>78</v>
      </c>
      <c r="E159" s="13" t="s">
        <v>78</v>
      </c>
      <c r="F159" s="13" t="s">
        <v>78</v>
      </c>
      <c r="G159" s="13" t="s">
        <v>78</v>
      </c>
      <c r="H159" s="13" t="s">
        <v>78</v>
      </c>
      <c r="I159" s="13" t="s">
        <v>78</v>
      </c>
      <c r="J159" s="13" t="s">
        <v>78</v>
      </c>
      <c r="K159" s="13" t="s">
        <v>78</v>
      </c>
      <c r="L159" s="13" t="s">
        <v>78</v>
      </c>
      <c r="M159" s="13" t="s">
        <v>78</v>
      </c>
      <c r="N159" s="13" t="s">
        <v>79</v>
      </c>
      <c r="O159" s="13" t="s">
        <v>79</v>
      </c>
      <c r="P159" s="13" t="s">
        <v>79</v>
      </c>
      <c r="Q159" s="13" t="s">
        <v>79</v>
      </c>
      <c r="R159" s="13" t="s">
        <v>79</v>
      </c>
      <c r="S159" s="13" t="s">
        <v>79</v>
      </c>
      <c r="T159" s="13" t="s">
        <v>79</v>
      </c>
      <c r="U159" s="13" t="s">
        <v>79</v>
      </c>
      <c r="V159" s="13" t="s">
        <v>79</v>
      </c>
      <c r="W159" s="13" t="s">
        <v>79</v>
      </c>
      <c r="X159" s="13" t="s">
        <v>80</v>
      </c>
      <c r="Y159" s="13" t="s">
        <v>80</v>
      </c>
      <c r="Z159" s="13" t="s">
        <v>80</v>
      </c>
      <c r="AA159" s="13" t="s">
        <v>80</v>
      </c>
      <c r="AB159" s="13" t="s">
        <v>80</v>
      </c>
      <c r="AC159" s="13" t="s">
        <v>80</v>
      </c>
      <c r="AD159" s="13" t="s">
        <v>80</v>
      </c>
      <c r="AE159" s="13" t="s">
        <v>80</v>
      </c>
      <c r="AF159" s="13" t="s">
        <v>80</v>
      </c>
      <c r="AG159" s="13" t="s">
        <v>80</v>
      </c>
    </row>
    <row r="160" spans="2:34" s="25" customFormat="1" x14ac:dyDescent="0.25">
      <c r="B160" s="25" t="s">
        <v>229</v>
      </c>
      <c r="C160" s="25">
        <v>2020</v>
      </c>
      <c r="D160" s="25">
        <v>2021</v>
      </c>
      <c r="E160" s="25">
        <v>2022</v>
      </c>
      <c r="F160" s="25">
        <v>2023</v>
      </c>
      <c r="G160" s="25">
        <v>2024</v>
      </c>
      <c r="H160" s="25">
        <v>2025</v>
      </c>
      <c r="I160" s="25">
        <v>2026</v>
      </c>
      <c r="J160" s="25">
        <v>2027</v>
      </c>
      <c r="K160" s="25">
        <v>2028</v>
      </c>
      <c r="L160" s="25">
        <v>2029</v>
      </c>
      <c r="M160" s="25">
        <v>2030</v>
      </c>
      <c r="N160" s="25">
        <v>2031</v>
      </c>
      <c r="O160" s="25">
        <v>2032</v>
      </c>
      <c r="P160" s="25">
        <v>2033</v>
      </c>
      <c r="Q160" s="25">
        <v>2034</v>
      </c>
      <c r="R160" s="25">
        <v>2035</v>
      </c>
      <c r="S160" s="25">
        <v>2036</v>
      </c>
      <c r="T160" s="25">
        <v>2037</v>
      </c>
      <c r="U160" s="25">
        <v>2038</v>
      </c>
      <c r="V160" s="25">
        <v>2039</v>
      </c>
      <c r="W160" s="25">
        <v>2040</v>
      </c>
      <c r="X160" s="25">
        <v>2041</v>
      </c>
      <c r="Y160" s="25">
        <v>2042</v>
      </c>
      <c r="Z160" s="25">
        <v>2043</v>
      </c>
      <c r="AA160" s="25">
        <v>2044</v>
      </c>
      <c r="AB160" s="25">
        <v>2045</v>
      </c>
      <c r="AC160" s="25">
        <v>2046</v>
      </c>
      <c r="AD160" s="25">
        <v>2047</v>
      </c>
      <c r="AE160" s="25">
        <v>2048</v>
      </c>
      <c r="AF160" s="25">
        <v>2049</v>
      </c>
      <c r="AG160" s="25">
        <v>2050</v>
      </c>
    </row>
    <row r="161" spans="2:34" s="78" customFormat="1" x14ac:dyDescent="0.25">
      <c r="B161" s="76" t="s">
        <v>243</v>
      </c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>
        <v>527003330.20867503</v>
      </c>
      <c r="N161" s="77"/>
      <c r="O161" s="77"/>
      <c r="P161" s="77"/>
      <c r="Q161" s="77"/>
      <c r="R161" s="77"/>
      <c r="S161" s="77"/>
      <c r="T161" s="77"/>
      <c r="U161" s="77"/>
      <c r="V161" s="77"/>
      <c r="W161" s="77">
        <v>294003793.58525002</v>
      </c>
      <c r="X161" s="77"/>
      <c r="Y161" s="77"/>
      <c r="Z161" s="77"/>
      <c r="AA161" s="77"/>
      <c r="AB161" s="77"/>
      <c r="AC161" s="77"/>
      <c r="AD161" s="77"/>
      <c r="AE161" s="77"/>
      <c r="AF161" s="77"/>
      <c r="AG161" s="77">
        <v>44886075.356527001</v>
      </c>
      <c r="AH161" s="77"/>
    </row>
    <row r="162" spans="2:34" s="78" customFormat="1" x14ac:dyDescent="0.25">
      <c r="B162" s="76" t="s">
        <v>94</v>
      </c>
      <c r="C162" s="77">
        <f>MIN(25, 2050+1-C$160)</f>
        <v>25</v>
      </c>
      <c r="D162" s="77">
        <f t="shared" ref="D162:AG162" si="39">MIN(25, 2050+1-D$160)</f>
        <v>25</v>
      </c>
      <c r="E162" s="77">
        <f t="shared" si="39"/>
        <v>25</v>
      </c>
      <c r="F162" s="77">
        <f t="shared" si="39"/>
        <v>25</v>
      </c>
      <c r="G162" s="77">
        <f t="shared" si="39"/>
        <v>25</v>
      </c>
      <c r="H162" s="77">
        <f t="shared" si="39"/>
        <v>25</v>
      </c>
      <c r="I162" s="77">
        <f t="shared" si="39"/>
        <v>25</v>
      </c>
      <c r="J162" s="77">
        <f t="shared" si="39"/>
        <v>24</v>
      </c>
      <c r="K162" s="77">
        <f t="shared" si="39"/>
        <v>23</v>
      </c>
      <c r="L162" s="77">
        <f t="shared" si="39"/>
        <v>22</v>
      </c>
      <c r="M162" s="77">
        <f t="shared" si="39"/>
        <v>21</v>
      </c>
      <c r="N162" s="77">
        <f t="shared" si="39"/>
        <v>20</v>
      </c>
      <c r="O162" s="77">
        <f t="shared" si="39"/>
        <v>19</v>
      </c>
      <c r="P162" s="77">
        <f t="shared" si="39"/>
        <v>18</v>
      </c>
      <c r="Q162" s="77">
        <f t="shared" si="39"/>
        <v>17</v>
      </c>
      <c r="R162" s="77">
        <f t="shared" si="39"/>
        <v>16</v>
      </c>
      <c r="S162" s="77">
        <f t="shared" si="39"/>
        <v>15</v>
      </c>
      <c r="T162" s="77">
        <f t="shared" si="39"/>
        <v>14</v>
      </c>
      <c r="U162" s="77">
        <f t="shared" si="39"/>
        <v>13</v>
      </c>
      <c r="V162" s="77">
        <f t="shared" si="39"/>
        <v>12</v>
      </c>
      <c r="W162" s="77">
        <f t="shared" si="39"/>
        <v>11</v>
      </c>
      <c r="X162" s="77">
        <f t="shared" si="39"/>
        <v>10</v>
      </c>
      <c r="Y162" s="77">
        <f t="shared" si="39"/>
        <v>9</v>
      </c>
      <c r="Z162" s="77">
        <f t="shared" si="39"/>
        <v>8</v>
      </c>
      <c r="AA162" s="77">
        <f t="shared" si="39"/>
        <v>7</v>
      </c>
      <c r="AB162" s="77">
        <f t="shared" si="39"/>
        <v>6</v>
      </c>
      <c r="AC162" s="77">
        <f t="shared" si="39"/>
        <v>5</v>
      </c>
      <c r="AD162" s="77">
        <f t="shared" si="39"/>
        <v>4</v>
      </c>
      <c r="AE162" s="77">
        <f t="shared" si="39"/>
        <v>3</v>
      </c>
      <c r="AF162" s="77">
        <f t="shared" si="39"/>
        <v>2</v>
      </c>
      <c r="AG162" s="77">
        <f t="shared" si="39"/>
        <v>1</v>
      </c>
      <c r="AH162" s="77"/>
    </row>
    <row r="163" spans="2:34" s="78" customFormat="1" x14ac:dyDescent="0.25">
      <c r="B163" s="76" t="s">
        <v>276</v>
      </c>
      <c r="C163" s="77">
        <f>C161/C162</f>
        <v>0</v>
      </c>
      <c r="D163" s="77">
        <f t="shared" ref="D163:L163" si="40">D161/D162</f>
        <v>0</v>
      </c>
      <c r="E163" s="77">
        <f t="shared" si="40"/>
        <v>0</v>
      </c>
      <c r="F163" s="77">
        <f t="shared" si="40"/>
        <v>0</v>
      </c>
      <c r="G163" s="77">
        <f t="shared" si="40"/>
        <v>0</v>
      </c>
      <c r="H163" s="77">
        <f t="shared" si="40"/>
        <v>0</v>
      </c>
      <c r="I163" s="77">
        <f t="shared" si="40"/>
        <v>0</v>
      </c>
      <c r="J163" s="77">
        <f t="shared" si="40"/>
        <v>0</v>
      </c>
      <c r="K163" s="77">
        <f t="shared" si="40"/>
        <v>0</v>
      </c>
      <c r="L163" s="77">
        <f t="shared" si="40"/>
        <v>0</v>
      </c>
      <c r="M163" s="77">
        <f>M161/M162</f>
        <v>25095396.676603574</v>
      </c>
      <c r="N163" s="77">
        <f t="shared" ref="N163:AG163" si="41">N161/N162</f>
        <v>0</v>
      </c>
      <c r="O163" s="77">
        <f t="shared" si="41"/>
        <v>0</v>
      </c>
      <c r="P163" s="77">
        <f t="shared" si="41"/>
        <v>0</v>
      </c>
      <c r="Q163" s="77">
        <f t="shared" si="41"/>
        <v>0</v>
      </c>
      <c r="R163" s="77">
        <f t="shared" si="41"/>
        <v>0</v>
      </c>
      <c r="S163" s="77">
        <f t="shared" si="41"/>
        <v>0</v>
      </c>
      <c r="T163" s="77">
        <f t="shared" si="41"/>
        <v>0</v>
      </c>
      <c r="U163" s="77">
        <f t="shared" si="41"/>
        <v>0</v>
      </c>
      <c r="V163" s="77">
        <f t="shared" si="41"/>
        <v>0</v>
      </c>
      <c r="W163" s="77">
        <f t="shared" si="41"/>
        <v>26727617.598659094</v>
      </c>
      <c r="X163" s="77">
        <f t="shared" si="41"/>
        <v>0</v>
      </c>
      <c r="Y163" s="77">
        <f t="shared" si="41"/>
        <v>0</v>
      </c>
      <c r="Z163" s="77">
        <f t="shared" si="41"/>
        <v>0</v>
      </c>
      <c r="AA163" s="77">
        <f t="shared" si="41"/>
        <v>0</v>
      </c>
      <c r="AB163" s="77">
        <f t="shared" si="41"/>
        <v>0</v>
      </c>
      <c r="AC163" s="77">
        <f t="shared" si="41"/>
        <v>0</v>
      </c>
      <c r="AD163" s="77">
        <f t="shared" si="41"/>
        <v>0</v>
      </c>
      <c r="AE163" s="77">
        <f t="shared" si="41"/>
        <v>0</v>
      </c>
      <c r="AF163" s="77">
        <f t="shared" si="41"/>
        <v>0</v>
      </c>
      <c r="AG163" s="77">
        <f t="shared" si="41"/>
        <v>44886075.356527001</v>
      </c>
      <c r="AH163" s="77"/>
    </row>
    <row r="164" spans="2:34" x14ac:dyDescent="0.25">
      <c r="B164" s="75" t="s">
        <v>113</v>
      </c>
      <c r="C164" s="14">
        <f>SUM($C$163:C163)</f>
        <v>0</v>
      </c>
      <c r="D164" s="14">
        <f>SUM($C$163:D163)</f>
        <v>0</v>
      </c>
      <c r="E164" s="14">
        <f>SUM($C$163:E163)</f>
        <v>0</v>
      </c>
      <c r="F164" s="14">
        <f>SUM($C$163:F163)</f>
        <v>0</v>
      </c>
      <c r="G164" s="14">
        <f>SUM($C$163:G163)</f>
        <v>0</v>
      </c>
      <c r="H164" s="14">
        <f>SUM($C$163:H163)</f>
        <v>0</v>
      </c>
      <c r="I164" s="14">
        <f>SUM($C$163:I163)</f>
        <v>0</v>
      </c>
      <c r="J164" s="14">
        <f>SUM($C$163:J163)</f>
        <v>0</v>
      </c>
      <c r="K164" s="14">
        <f>SUM($C$163:K163)</f>
        <v>0</v>
      </c>
      <c r="L164" s="14">
        <f>SUM($C$163:L163)</f>
        <v>0</v>
      </c>
      <c r="M164" s="14">
        <f>SUM($M$163:M163)</f>
        <v>25095396.676603574</v>
      </c>
      <c r="N164" s="14">
        <f>SUM($M$163:N163)</f>
        <v>25095396.676603574</v>
      </c>
      <c r="O164" s="14">
        <f>SUM($M$163:O163)</f>
        <v>25095396.676603574</v>
      </c>
      <c r="P164" s="14">
        <f>SUM($M$163:P163)</f>
        <v>25095396.676603574</v>
      </c>
      <c r="Q164" s="14">
        <f>SUM($M$163:Q163)</f>
        <v>25095396.676603574</v>
      </c>
      <c r="R164" s="14">
        <f>SUM($M$163:R163)</f>
        <v>25095396.676603574</v>
      </c>
      <c r="S164" s="14">
        <f>SUM($M$163:S163)</f>
        <v>25095396.676603574</v>
      </c>
      <c r="T164" s="14">
        <f>SUM($M$163:T163)</f>
        <v>25095396.676603574</v>
      </c>
      <c r="U164" s="14">
        <f>SUM($M$163:U163)</f>
        <v>25095396.676603574</v>
      </c>
      <c r="V164" s="14">
        <f>SUM($M$163:V163)</f>
        <v>25095396.676603574</v>
      </c>
      <c r="W164" s="14">
        <f>SUM($M$163:W163)</f>
        <v>51823014.275262669</v>
      </c>
      <c r="X164" s="14">
        <f>SUM($M$163:X163)</f>
        <v>51823014.275262669</v>
      </c>
      <c r="Y164" s="14">
        <f>SUM($M$163:Y163)</f>
        <v>51823014.275262669</v>
      </c>
      <c r="Z164" s="14">
        <f>SUM($M$163:Z163)</f>
        <v>51823014.275262669</v>
      </c>
      <c r="AA164" s="14">
        <f>SUM($M$163:AA163)</f>
        <v>51823014.275262669</v>
      </c>
      <c r="AB164" s="14">
        <f>SUM($M$163:AB163)</f>
        <v>51823014.275262669</v>
      </c>
      <c r="AC164" s="14">
        <f>SUM($M$163:AC163)</f>
        <v>51823014.275262669</v>
      </c>
      <c r="AD164" s="14">
        <f>SUM($M$163:AD163)</f>
        <v>51823014.275262669</v>
      </c>
      <c r="AE164" s="14">
        <f>SUM($M$163:AE163)</f>
        <v>51823014.275262669</v>
      </c>
      <c r="AF164" s="14">
        <f>SUM($M$163:AF163)</f>
        <v>51823014.275262669</v>
      </c>
      <c r="AG164" s="14">
        <f>SUM($M$163:AG163)</f>
        <v>96709089.631789669</v>
      </c>
      <c r="AH164" s="14"/>
    </row>
    <row r="165" spans="2:34" x14ac:dyDescent="0.25">
      <c r="B165" s="75" t="s">
        <v>244</v>
      </c>
      <c r="C165" s="14">
        <v>0</v>
      </c>
      <c r="D165" s="14">
        <v>0</v>
      </c>
      <c r="E165" s="14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1840449.91974076</v>
      </c>
      <c r="N165" s="14">
        <v>1840449.91974076</v>
      </c>
      <c r="O165" s="14">
        <v>1840449.91974076</v>
      </c>
      <c r="P165" s="14">
        <v>1840449.91974076</v>
      </c>
      <c r="Q165" s="14">
        <v>1840449.91974076</v>
      </c>
      <c r="R165" s="14">
        <v>1840449.91974076</v>
      </c>
      <c r="S165" s="14">
        <v>1840449.91974076</v>
      </c>
      <c r="T165" s="14">
        <v>1840449.91974076</v>
      </c>
      <c r="U165" s="14">
        <v>1840449.91974076</v>
      </c>
      <c r="V165" s="14">
        <v>1840449.91974076</v>
      </c>
      <c r="W165" s="14">
        <v>3867281.16069332</v>
      </c>
      <c r="X165" s="14">
        <v>3867281.16069332</v>
      </c>
      <c r="Y165" s="14">
        <v>3867281.16069332</v>
      </c>
      <c r="Z165" s="14">
        <v>3867281.16069332</v>
      </c>
      <c r="AA165" s="14">
        <v>3867281.16069332</v>
      </c>
      <c r="AB165" s="14">
        <v>3867281.16069332</v>
      </c>
      <c r="AC165" s="14">
        <v>3867281.16069332</v>
      </c>
      <c r="AD165" s="14">
        <v>3867281.16069332</v>
      </c>
      <c r="AE165" s="14">
        <v>3867281.16069332</v>
      </c>
      <c r="AF165" s="14">
        <v>3867281.16069332</v>
      </c>
      <c r="AG165" s="14">
        <v>7216894.7644434702</v>
      </c>
      <c r="AH165" s="14"/>
    </row>
    <row r="166" spans="2:34" x14ac:dyDescent="0.25">
      <c r="B166" s="75" t="s">
        <v>245</v>
      </c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>
        <v>0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0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/>
    </row>
    <row r="167" spans="2:34" x14ac:dyDescent="0.25">
      <c r="B167" s="75" t="s">
        <v>246</v>
      </c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>
        <v>125864882.165416</v>
      </c>
      <c r="N167" s="14">
        <v>125864882.165416</v>
      </c>
      <c r="O167" s="14">
        <v>125864882.165416</v>
      </c>
      <c r="P167" s="14">
        <v>125864882.165416</v>
      </c>
      <c r="Q167" s="14">
        <v>125864882.165416</v>
      </c>
      <c r="R167" s="14">
        <v>125864882.165416</v>
      </c>
      <c r="S167" s="14">
        <v>125864882.165416</v>
      </c>
      <c r="T167" s="14">
        <v>125864882.165416</v>
      </c>
      <c r="U167" s="14">
        <v>125864882.165416</v>
      </c>
      <c r="V167" s="14">
        <v>125864882.165416</v>
      </c>
      <c r="W167" s="14">
        <v>259916098.130209</v>
      </c>
      <c r="X167" s="14">
        <v>259916098.130209</v>
      </c>
      <c r="Y167" s="14">
        <v>259916098.130209</v>
      </c>
      <c r="Z167" s="14">
        <v>259916098.130209</v>
      </c>
      <c r="AA167" s="14">
        <v>259916098.130209</v>
      </c>
      <c r="AB167" s="14">
        <v>259916098.130209</v>
      </c>
      <c r="AC167" s="14">
        <v>259916098.130209</v>
      </c>
      <c r="AD167" s="14">
        <v>259916098.130209</v>
      </c>
      <c r="AE167" s="14">
        <v>259916098.130209</v>
      </c>
      <c r="AF167" s="14">
        <v>259916098.130209</v>
      </c>
      <c r="AG167" s="14">
        <v>485040277.613069</v>
      </c>
      <c r="AH167" s="14"/>
    </row>
    <row r="168" spans="2:34" x14ac:dyDescent="0.25">
      <c r="B168" s="75" t="s">
        <v>247</v>
      </c>
      <c r="C168" s="14">
        <v>0</v>
      </c>
      <c r="D168" s="14">
        <v>0</v>
      </c>
      <c r="E168" s="14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/>
    </row>
    <row r="169" spans="2:34" x14ac:dyDescent="0.25">
      <c r="B169" s="75" t="s">
        <v>248</v>
      </c>
      <c r="C169" s="14">
        <v>0</v>
      </c>
      <c r="D169" s="14">
        <v>0</v>
      </c>
      <c r="E169" s="14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862229999.99999905</v>
      </c>
      <c r="N169" s="14">
        <v>862229999.99999905</v>
      </c>
      <c r="O169" s="14">
        <v>862229999.99999905</v>
      </c>
      <c r="P169" s="14">
        <v>862229999.99999905</v>
      </c>
      <c r="Q169" s="14">
        <v>862229999.99999905</v>
      </c>
      <c r="R169" s="14">
        <v>862229999.99999905</v>
      </c>
      <c r="S169" s="14">
        <v>862229999.99999905</v>
      </c>
      <c r="T169" s="14">
        <v>862229999.99999905</v>
      </c>
      <c r="U169" s="14">
        <v>862229999.99999905</v>
      </c>
      <c r="V169" s="14">
        <v>862229999.99999905</v>
      </c>
      <c r="W169" s="14">
        <v>1742440000</v>
      </c>
      <c r="X169" s="14">
        <v>1742440000</v>
      </c>
      <c r="Y169" s="14">
        <v>1742440000</v>
      </c>
      <c r="Z169" s="14">
        <v>1742440000</v>
      </c>
      <c r="AA169" s="14">
        <v>1742440000</v>
      </c>
      <c r="AB169" s="14">
        <v>1742440000</v>
      </c>
      <c r="AC169" s="14">
        <v>1742440000</v>
      </c>
      <c r="AD169" s="14">
        <v>1742440000</v>
      </c>
      <c r="AE169" s="14">
        <v>1742440000</v>
      </c>
      <c r="AF169" s="14">
        <v>1742440000</v>
      </c>
      <c r="AG169" s="14">
        <v>3180540000</v>
      </c>
      <c r="AH169" s="14"/>
    </row>
    <row r="170" spans="2:34" s="9" customFormat="1" x14ac:dyDescent="0.25">
      <c r="B170" s="51" t="s">
        <v>238</v>
      </c>
      <c r="C170" s="68">
        <f>SUM(C164:C169)</f>
        <v>0</v>
      </c>
      <c r="D170" s="68">
        <f t="shared" ref="D170:AG170" si="42">SUM(D164:D169)</f>
        <v>0</v>
      </c>
      <c r="E170" s="68">
        <f t="shared" si="42"/>
        <v>0</v>
      </c>
      <c r="F170" s="68">
        <f t="shared" si="42"/>
        <v>0</v>
      </c>
      <c r="G170" s="68">
        <f t="shared" si="42"/>
        <v>0</v>
      </c>
      <c r="H170" s="68">
        <f t="shared" si="42"/>
        <v>0</v>
      </c>
      <c r="I170" s="68">
        <f t="shared" si="42"/>
        <v>0</v>
      </c>
      <c r="J170" s="68">
        <f t="shared" si="42"/>
        <v>0</v>
      </c>
      <c r="K170" s="68">
        <f t="shared" si="42"/>
        <v>0</v>
      </c>
      <c r="L170" s="68">
        <f t="shared" si="42"/>
        <v>0</v>
      </c>
      <c r="M170" s="68">
        <f>SUM(M164:M169)</f>
        <v>1015030728.7617594</v>
      </c>
      <c r="N170" s="68">
        <f t="shared" si="42"/>
        <v>1015030728.7617594</v>
      </c>
      <c r="O170" s="68">
        <f t="shared" si="42"/>
        <v>1015030728.7617594</v>
      </c>
      <c r="P170" s="68">
        <f t="shared" si="42"/>
        <v>1015030728.7617594</v>
      </c>
      <c r="Q170" s="68">
        <f t="shared" si="42"/>
        <v>1015030728.7617594</v>
      </c>
      <c r="R170" s="68">
        <f t="shared" si="42"/>
        <v>1015030728.7617594</v>
      </c>
      <c r="S170" s="68">
        <f t="shared" si="42"/>
        <v>1015030728.7617594</v>
      </c>
      <c r="T170" s="68">
        <f t="shared" si="42"/>
        <v>1015030728.7617594</v>
      </c>
      <c r="U170" s="68">
        <f t="shared" si="42"/>
        <v>1015030728.7617594</v>
      </c>
      <c r="V170" s="68">
        <f t="shared" si="42"/>
        <v>1015030728.7617594</v>
      </c>
      <c r="W170" s="68">
        <f t="shared" si="42"/>
        <v>2058046393.566165</v>
      </c>
      <c r="X170" s="68">
        <f t="shared" si="42"/>
        <v>2058046393.566165</v>
      </c>
      <c r="Y170" s="68">
        <f t="shared" si="42"/>
        <v>2058046393.566165</v>
      </c>
      <c r="Z170" s="68">
        <f t="shared" si="42"/>
        <v>2058046393.566165</v>
      </c>
      <c r="AA170" s="68">
        <f t="shared" si="42"/>
        <v>2058046393.566165</v>
      </c>
      <c r="AB170" s="68">
        <f t="shared" si="42"/>
        <v>2058046393.566165</v>
      </c>
      <c r="AC170" s="68">
        <f t="shared" si="42"/>
        <v>2058046393.566165</v>
      </c>
      <c r="AD170" s="68">
        <f t="shared" si="42"/>
        <v>2058046393.566165</v>
      </c>
      <c r="AE170" s="68">
        <f t="shared" si="42"/>
        <v>2058046393.566165</v>
      </c>
      <c r="AF170" s="68">
        <f t="shared" si="42"/>
        <v>2058046393.566165</v>
      </c>
      <c r="AG170" s="68">
        <f t="shared" si="42"/>
        <v>3769506262.0093021</v>
      </c>
      <c r="AH170" s="68"/>
    </row>
    <row r="171" spans="2:34" x14ac:dyDescent="0.25">
      <c r="B171" s="75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</row>
    <row r="172" spans="2:34" s="51" customFormat="1" x14ac:dyDescent="0.25">
      <c r="B172" t="s">
        <v>262</v>
      </c>
      <c r="C172"/>
      <c r="D172"/>
      <c r="E172"/>
      <c r="F172"/>
      <c r="G172"/>
    </row>
    <row r="173" spans="2:34" s="51" customFormat="1" x14ac:dyDescent="0.25">
      <c r="B173" s="8"/>
      <c r="C173" s="23">
        <v>2020</v>
      </c>
      <c r="D173" s="23">
        <v>2030</v>
      </c>
      <c r="E173" s="23">
        <v>2040</v>
      </c>
      <c r="F173" s="23">
        <v>2050</v>
      </c>
      <c r="G173"/>
    </row>
    <row r="174" spans="2:34" s="51" customFormat="1" x14ac:dyDescent="0.25">
      <c r="B174" s="8" t="s">
        <v>272</v>
      </c>
      <c r="C174" s="1">
        <f>SUMIFS($C$189:$AG$189,$C$180:$AG$180,C$173)</f>
        <v>0</v>
      </c>
      <c r="D174" s="1">
        <f>SUMIFS($C$189:$AG$189,$C$180:$AG$180,D$173)</f>
        <v>0</v>
      </c>
      <c r="E174" s="1">
        <f>SUMIFS($C$189:$AG$189,$C$180:$AG$180,E$173)</f>
        <v>1330565245.7562943</v>
      </c>
      <c r="F174" s="1">
        <f>SUMIFS($C$189:$AG$189,$C$180:$AG$180,F$173)</f>
        <v>1600603746.3232632</v>
      </c>
      <c r="G174" t="s">
        <v>273</v>
      </c>
    </row>
    <row r="175" spans="2:34" s="51" customFormat="1" x14ac:dyDescent="0.25">
      <c r="B175" s="8" t="s">
        <v>257</v>
      </c>
      <c r="C175" s="1">
        <f>'JT1.25 b)'!K38</f>
        <v>0</v>
      </c>
      <c r="D175" s="1">
        <f>'JT1.25 b)'!L38</f>
        <v>0</v>
      </c>
      <c r="E175" s="1">
        <f>'JT1.25 b)'!M38</f>
        <v>49480939.700861506</v>
      </c>
      <c r="F175" s="1">
        <f>'JT1.25 b)'!N38</f>
        <v>60644322.438251115</v>
      </c>
      <c r="G175" t="s">
        <v>274</v>
      </c>
    </row>
    <row r="176" spans="2:34" s="51" customFormat="1" x14ac:dyDescent="0.25">
      <c r="B176" s="70" t="s">
        <v>238</v>
      </c>
      <c r="C176" s="71">
        <f>SUM(C174:C175)</f>
        <v>0</v>
      </c>
      <c r="D176" s="71">
        <f t="shared" ref="D176:F176" si="43">SUM(D174:D175)</f>
        <v>0</v>
      </c>
      <c r="E176" s="71">
        <f t="shared" si="43"/>
        <v>1380046185.4571557</v>
      </c>
      <c r="F176" s="71">
        <f t="shared" si="43"/>
        <v>1661248068.7615142</v>
      </c>
      <c r="G176"/>
    </row>
    <row r="177" spans="2:34" s="51" customFormat="1" x14ac:dyDescent="0.25">
      <c r="B177" s="9"/>
      <c r="C177"/>
      <c r="D177"/>
      <c r="E177"/>
      <c r="F177"/>
      <c r="G177"/>
    </row>
    <row r="178" spans="2:34" s="51" customFormat="1" x14ac:dyDescent="0.25">
      <c r="B178" s="51" t="s">
        <v>277</v>
      </c>
    </row>
    <row r="179" spans="2:34" x14ac:dyDescent="0.25">
      <c r="B179" s="13" t="s">
        <v>77</v>
      </c>
      <c r="C179" s="13" t="s">
        <v>78</v>
      </c>
      <c r="D179" s="13" t="s">
        <v>78</v>
      </c>
      <c r="E179" s="13" t="s">
        <v>78</v>
      </c>
      <c r="F179" s="13" t="s">
        <v>78</v>
      </c>
      <c r="G179" s="13" t="s">
        <v>78</v>
      </c>
      <c r="H179" s="13" t="s">
        <v>78</v>
      </c>
      <c r="I179" s="13" t="s">
        <v>78</v>
      </c>
      <c r="J179" s="13" t="s">
        <v>78</v>
      </c>
      <c r="K179" s="13" t="s">
        <v>78</v>
      </c>
      <c r="L179" s="13" t="s">
        <v>78</v>
      </c>
      <c r="M179" s="13" t="s">
        <v>78</v>
      </c>
      <c r="N179" s="13" t="s">
        <v>79</v>
      </c>
      <c r="O179" s="13" t="s">
        <v>79</v>
      </c>
      <c r="P179" s="13" t="s">
        <v>79</v>
      </c>
      <c r="Q179" s="13" t="s">
        <v>79</v>
      </c>
      <c r="R179" s="13" t="s">
        <v>79</v>
      </c>
      <c r="S179" s="13" t="s">
        <v>79</v>
      </c>
      <c r="T179" s="13" t="s">
        <v>79</v>
      </c>
      <c r="U179" s="13" t="s">
        <v>79</v>
      </c>
      <c r="V179" s="13" t="s">
        <v>79</v>
      </c>
      <c r="W179" s="13" t="s">
        <v>79</v>
      </c>
      <c r="X179" s="13" t="s">
        <v>80</v>
      </c>
      <c r="Y179" s="13" t="s">
        <v>80</v>
      </c>
      <c r="Z179" s="13" t="s">
        <v>80</v>
      </c>
      <c r="AA179" s="13" t="s">
        <v>80</v>
      </c>
      <c r="AB179" s="13" t="s">
        <v>80</v>
      </c>
      <c r="AC179" s="13" t="s">
        <v>80</v>
      </c>
      <c r="AD179" s="13" t="s">
        <v>80</v>
      </c>
      <c r="AE179" s="13" t="s">
        <v>80</v>
      </c>
      <c r="AF179" s="13" t="s">
        <v>80</v>
      </c>
      <c r="AG179" s="13" t="s">
        <v>80</v>
      </c>
    </row>
    <row r="180" spans="2:34" s="25" customFormat="1" x14ac:dyDescent="0.25">
      <c r="B180" s="25" t="s">
        <v>229</v>
      </c>
      <c r="C180" s="25">
        <v>2020</v>
      </c>
      <c r="D180" s="25">
        <v>2021</v>
      </c>
      <c r="E180" s="25">
        <v>2022</v>
      </c>
      <c r="F180" s="25">
        <v>2023</v>
      </c>
      <c r="G180" s="25">
        <v>2024</v>
      </c>
      <c r="H180" s="25">
        <v>2025</v>
      </c>
      <c r="I180" s="25">
        <v>2026</v>
      </c>
      <c r="J180" s="25">
        <v>2027</v>
      </c>
      <c r="K180" s="25">
        <v>2028</v>
      </c>
      <c r="L180" s="25">
        <v>2029</v>
      </c>
      <c r="M180" s="25">
        <v>2030</v>
      </c>
      <c r="N180" s="25">
        <v>2031</v>
      </c>
      <c r="O180" s="25">
        <v>2032</v>
      </c>
      <c r="P180" s="25">
        <v>2033</v>
      </c>
      <c r="Q180" s="25">
        <v>2034</v>
      </c>
      <c r="R180" s="25">
        <v>2035</v>
      </c>
      <c r="S180" s="25">
        <v>2036</v>
      </c>
      <c r="T180" s="25">
        <v>2037</v>
      </c>
      <c r="U180" s="25">
        <v>2038</v>
      </c>
      <c r="V180" s="25">
        <v>2039</v>
      </c>
      <c r="W180" s="25">
        <v>2040</v>
      </c>
      <c r="X180" s="25">
        <v>2041</v>
      </c>
      <c r="Y180" s="25">
        <v>2042</v>
      </c>
      <c r="Z180" s="25">
        <v>2043</v>
      </c>
      <c r="AA180" s="25">
        <v>2044</v>
      </c>
      <c r="AB180" s="25">
        <v>2045</v>
      </c>
      <c r="AC180" s="25">
        <v>2046</v>
      </c>
      <c r="AD180" s="25">
        <v>2047</v>
      </c>
      <c r="AE180" s="25">
        <v>2048</v>
      </c>
      <c r="AF180" s="25">
        <v>2049</v>
      </c>
      <c r="AG180" s="25">
        <v>2050</v>
      </c>
    </row>
    <row r="181" spans="2:34" s="78" customFormat="1" x14ac:dyDescent="0.25">
      <c r="B181" s="76" t="s">
        <v>243</v>
      </c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>
        <v>0</v>
      </c>
      <c r="N181" s="77"/>
      <c r="O181" s="77"/>
      <c r="P181" s="77"/>
      <c r="Q181" s="77"/>
      <c r="R181" s="77"/>
      <c r="S181" s="77"/>
      <c r="T181" s="77"/>
      <c r="U181" s="77"/>
      <c r="V181" s="77"/>
      <c r="W181" s="77">
        <v>368065817.92351902</v>
      </c>
      <c r="X181" s="77"/>
      <c r="Y181" s="77"/>
      <c r="Z181" s="77"/>
      <c r="AA181" s="77"/>
      <c r="AB181" s="77"/>
      <c r="AC181" s="77"/>
      <c r="AD181" s="77"/>
      <c r="AE181" s="77"/>
      <c r="AF181" s="77"/>
      <c r="AG181" s="77">
        <v>7549021.7645068699</v>
      </c>
      <c r="AH181" s="77"/>
    </row>
    <row r="182" spans="2:34" s="78" customFormat="1" x14ac:dyDescent="0.25">
      <c r="B182" s="76" t="s">
        <v>94</v>
      </c>
      <c r="C182" s="77">
        <f>MIN(25, 2050+1-C$180)</f>
        <v>25</v>
      </c>
      <c r="D182" s="77">
        <f t="shared" ref="D182:AG182" si="44">MIN(25, 2050+1-D$180)</f>
        <v>25</v>
      </c>
      <c r="E182" s="77">
        <f t="shared" si="44"/>
        <v>25</v>
      </c>
      <c r="F182" s="77">
        <f t="shared" si="44"/>
        <v>25</v>
      </c>
      <c r="G182" s="77">
        <f t="shared" si="44"/>
        <v>25</v>
      </c>
      <c r="H182" s="77">
        <f t="shared" si="44"/>
        <v>25</v>
      </c>
      <c r="I182" s="77">
        <f t="shared" si="44"/>
        <v>25</v>
      </c>
      <c r="J182" s="77">
        <f t="shared" si="44"/>
        <v>24</v>
      </c>
      <c r="K182" s="77">
        <f t="shared" si="44"/>
        <v>23</v>
      </c>
      <c r="L182" s="77">
        <f t="shared" si="44"/>
        <v>22</v>
      </c>
      <c r="M182" s="77">
        <f t="shared" si="44"/>
        <v>21</v>
      </c>
      <c r="N182" s="77">
        <f t="shared" si="44"/>
        <v>20</v>
      </c>
      <c r="O182" s="77">
        <f t="shared" si="44"/>
        <v>19</v>
      </c>
      <c r="P182" s="77">
        <f t="shared" si="44"/>
        <v>18</v>
      </c>
      <c r="Q182" s="77">
        <f t="shared" si="44"/>
        <v>17</v>
      </c>
      <c r="R182" s="77">
        <f t="shared" si="44"/>
        <v>16</v>
      </c>
      <c r="S182" s="77">
        <f t="shared" si="44"/>
        <v>15</v>
      </c>
      <c r="T182" s="77">
        <f t="shared" si="44"/>
        <v>14</v>
      </c>
      <c r="U182" s="77">
        <f t="shared" si="44"/>
        <v>13</v>
      </c>
      <c r="V182" s="77">
        <f t="shared" si="44"/>
        <v>12</v>
      </c>
      <c r="W182" s="77">
        <f t="shared" si="44"/>
        <v>11</v>
      </c>
      <c r="X182" s="77">
        <f t="shared" si="44"/>
        <v>10</v>
      </c>
      <c r="Y182" s="77">
        <f t="shared" si="44"/>
        <v>9</v>
      </c>
      <c r="Z182" s="77">
        <f t="shared" si="44"/>
        <v>8</v>
      </c>
      <c r="AA182" s="77">
        <f t="shared" si="44"/>
        <v>7</v>
      </c>
      <c r="AB182" s="77">
        <f t="shared" si="44"/>
        <v>6</v>
      </c>
      <c r="AC182" s="77">
        <f t="shared" si="44"/>
        <v>5</v>
      </c>
      <c r="AD182" s="77">
        <f t="shared" si="44"/>
        <v>4</v>
      </c>
      <c r="AE182" s="77">
        <f t="shared" si="44"/>
        <v>3</v>
      </c>
      <c r="AF182" s="77">
        <f t="shared" si="44"/>
        <v>2</v>
      </c>
      <c r="AG182" s="77">
        <f t="shared" si="44"/>
        <v>1</v>
      </c>
      <c r="AH182" s="77"/>
    </row>
    <row r="183" spans="2:34" s="78" customFormat="1" x14ac:dyDescent="0.25">
      <c r="B183" s="76" t="s">
        <v>276</v>
      </c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>
        <f t="shared" ref="M183:W183" si="45">M181/M182</f>
        <v>0</v>
      </c>
      <c r="N183" s="77">
        <f t="shared" si="45"/>
        <v>0</v>
      </c>
      <c r="O183" s="77">
        <f t="shared" si="45"/>
        <v>0</v>
      </c>
      <c r="P183" s="77">
        <f t="shared" si="45"/>
        <v>0</v>
      </c>
      <c r="Q183" s="77">
        <f t="shared" si="45"/>
        <v>0</v>
      </c>
      <c r="R183" s="77">
        <f t="shared" si="45"/>
        <v>0</v>
      </c>
      <c r="S183" s="77">
        <f t="shared" si="45"/>
        <v>0</v>
      </c>
      <c r="T183" s="77">
        <f t="shared" si="45"/>
        <v>0</v>
      </c>
      <c r="U183" s="77">
        <f t="shared" si="45"/>
        <v>0</v>
      </c>
      <c r="V183" s="77">
        <f t="shared" si="45"/>
        <v>0</v>
      </c>
      <c r="W183" s="77">
        <f t="shared" si="45"/>
        <v>33460528.902138092</v>
      </c>
      <c r="X183" s="77"/>
      <c r="Y183" s="77"/>
      <c r="Z183" s="77"/>
      <c r="AA183" s="77"/>
      <c r="AB183" s="77"/>
      <c r="AC183" s="77"/>
      <c r="AD183" s="77"/>
      <c r="AE183" s="77"/>
      <c r="AF183" s="77"/>
      <c r="AG183" s="77">
        <f>AG181/AG182</f>
        <v>7549021.7645068699</v>
      </c>
      <c r="AH183" s="77"/>
    </row>
    <row r="184" spans="2:34" x14ac:dyDescent="0.25">
      <c r="B184" s="75" t="s">
        <v>113</v>
      </c>
      <c r="C184" s="14">
        <f>SUM($C$183:C183)</f>
        <v>0</v>
      </c>
      <c r="D184" s="14">
        <f>SUM($C$183:D183)</f>
        <v>0</v>
      </c>
      <c r="E184" s="14">
        <f>SUM($C$183:E183)</f>
        <v>0</v>
      </c>
      <c r="F184" s="14">
        <f>SUM($C$183:F183)</f>
        <v>0</v>
      </c>
      <c r="G184" s="14">
        <f>SUM($C$183:G183)</f>
        <v>0</v>
      </c>
      <c r="H184" s="14">
        <f>SUM($C$183:H183)</f>
        <v>0</v>
      </c>
      <c r="I184" s="14">
        <f>SUM($C$183:I183)</f>
        <v>0</v>
      </c>
      <c r="J184" s="14">
        <f>SUM($C$183:J183)</f>
        <v>0</v>
      </c>
      <c r="K184" s="14">
        <f>SUM($C$183:K183)</f>
        <v>0</v>
      </c>
      <c r="L184" s="14">
        <f>SUM($C$183:L183)</f>
        <v>0</v>
      </c>
      <c r="M184" s="14">
        <f>SUM($M$183:M183)</f>
        <v>0</v>
      </c>
      <c r="N184" s="14">
        <f>SUM($M$183:N183)</f>
        <v>0</v>
      </c>
      <c r="O184" s="14">
        <f>SUM($M$183:O183)</f>
        <v>0</v>
      </c>
      <c r="P184" s="14">
        <f>SUM($M$183:P183)</f>
        <v>0</v>
      </c>
      <c r="Q184" s="14">
        <f>SUM($M$183:Q183)</f>
        <v>0</v>
      </c>
      <c r="R184" s="14">
        <f>SUM($M$183:R183)</f>
        <v>0</v>
      </c>
      <c r="S184" s="14">
        <f>SUM($M$183:S183)</f>
        <v>0</v>
      </c>
      <c r="T184" s="14">
        <f>SUM($M$183:T183)</f>
        <v>0</v>
      </c>
      <c r="U184" s="14">
        <f>SUM($M$183:U183)</f>
        <v>0</v>
      </c>
      <c r="V184" s="14">
        <f>SUM($M$183:V183)</f>
        <v>0</v>
      </c>
      <c r="W184" s="14">
        <f>SUM($M$183:W183)</f>
        <v>33460528.902138092</v>
      </c>
      <c r="X184" s="14">
        <f>SUM($M$183:X183)</f>
        <v>33460528.902138092</v>
      </c>
      <c r="Y184" s="14">
        <f>SUM($M$183:Y183)</f>
        <v>33460528.902138092</v>
      </c>
      <c r="Z184" s="14">
        <f>SUM($M$183:Z183)</f>
        <v>33460528.902138092</v>
      </c>
      <c r="AA184" s="14">
        <f>SUM($M$183:AA183)</f>
        <v>33460528.902138092</v>
      </c>
      <c r="AB184" s="14">
        <f>SUM($M$183:AB183)</f>
        <v>33460528.902138092</v>
      </c>
      <c r="AC184" s="14">
        <f>SUM($M$183:AC183)</f>
        <v>33460528.902138092</v>
      </c>
      <c r="AD184" s="14">
        <f>SUM($M$183:AD183)</f>
        <v>33460528.902138092</v>
      </c>
      <c r="AE184" s="14">
        <f>SUM($M$183:AE183)</f>
        <v>33460528.902138092</v>
      </c>
      <c r="AF184" s="14">
        <f>SUM($M$183:AF183)</f>
        <v>33460528.902138092</v>
      </c>
      <c r="AG184" s="14">
        <f>SUM($M$183:AG183)</f>
        <v>41009550.666644961</v>
      </c>
      <c r="AH184" s="14"/>
    </row>
    <row r="185" spans="2:34" x14ac:dyDescent="0.25">
      <c r="B185" s="75" t="s">
        <v>244</v>
      </c>
      <c r="C185" s="14">
        <v>0</v>
      </c>
      <c r="D185" s="14">
        <v>0</v>
      </c>
      <c r="E185" s="14">
        <v>0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14">
        <v>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4">
        <v>0</v>
      </c>
      <c r="W185" s="14">
        <v>4244873.9669342497</v>
      </c>
      <c r="X185" s="14">
        <v>4244873.9669342497</v>
      </c>
      <c r="Y185" s="14">
        <v>4244873.9669342497</v>
      </c>
      <c r="Z185" s="14">
        <v>4244873.9669342497</v>
      </c>
      <c r="AA185" s="14">
        <v>4244873.9669342497</v>
      </c>
      <c r="AB185" s="14">
        <v>4244873.9669342497</v>
      </c>
      <c r="AC185" s="14">
        <v>4244873.9669342497</v>
      </c>
      <c r="AD185" s="14">
        <v>4244873.9669342497</v>
      </c>
      <c r="AE185" s="14">
        <v>4244873.9669342497</v>
      </c>
      <c r="AF185" s="14">
        <v>4244873.9669342497</v>
      </c>
      <c r="AG185" s="14">
        <v>5202558.9472791804</v>
      </c>
      <c r="AH185" s="14"/>
    </row>
    <row r="186" spans="2:34" x14ac:dyDescent="0.25">
      <c r="B186" s="75" t="s">
        <v>246</v>
      </c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0</v>
      </c>
      <c r="W186" s="14">
        <v>167819842.88722199</v>
      </c>
      <c r="X186" s="14">
        <v>167819842.88722199</v>
      </c>
      <c r="Y186" s="14">
        <v>167819842.88722199</v>
      </c>
      <c r="Z186" s="14">
        <v>167819842.88722199</v>
      </c>
      <c r="AA186" s="14">
        <v>167819842.88722199</v>
      </c>
      <c r="AB186" s="14">
        <v>167819842.88722199</v>
      </c>
      <c r="AC186" s="14">
        <v>167819842.88722199</v>
      </c>
      <c r="AD186" s="14">
        <v>167819842.88722199</v>
      </c>
      <c r="AE186" s="14">
        <v>167819842.88722199</v>
      </c>
      <c r="AF186" s="14">
        <v>167819842.88722199</v>
      </c>
      <c r="AG186" s="14">
        <v>205681636.70933899</v>
      </c>
      <c r="AH186" s="14"/>
    </row>
    <row r="187" spans="2:34" x14ac:dyDescent="0.25">
      <c r="B187" s="75" t="s">
        <v>247</v>
      </c>
      <c r="C187" s="14">
        <v>0</v>
      </c>
      <c r="D187" s="14">
        <v>0</v>
      </c>
      <c r="E187" s="14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4">
        <v>0</v>
      </c>
      <c r="W187" s="14">
        <v>0</v>
      </c>
      <c r="X187" s="14">
        <v>0</v>
      </c>
      <c r="Y187" s="14">
        <v>0</v>
      </c>
      <c r="Z187" s="14">
        <v>0</v>
      </c>
      <c r="AA187" s="14">
        <v>0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/>
    </row>
    <row r="188" spans="2:34" x14ac:dyDescent="0.25">
      <c r="B188" s="75" t="s">
        <v>248</v>
      </c>
      <c r="C188" s="14">
        <v>0</v>
      </c>
      <c r="D188" s="14">
        <v>0</v>
      </c>
      <c r="E188" s="14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4">
        <v>0</v>
      </c>
      <c r="W188" s="14">
        <v>1125040000</v>
      </c>
      <c r="X188" s="14">
        <v>1125040000</v>
      </c>
      <c r="Y188" s="14">
        <v>1125040000</v>
      </c>
      <c r="Z188" s="14">
        <v>1125040000</v>
      </c>
      <c r="AA188" s="14">
        <v>1125040000</v>
      </c>
      <c r="AB188" s="14">
        <v>1125040000</v>
      </c>
      <c r="AC188" s="14">
        <v>1125040000</v>
      </c>
      <c r="AD188" s="14">
        <v>1125040000</v>
      </c>
      <c r="AE188" s="14">
        <v>1125040000</v>
      </c>
      <c r="AF188" s="14">
        <v>1125040000</v>
      </c>
      <c r="AG188" s="14">
        <v>1348710000</v>
      </c>
      <c r="AH188" s="14"/>
    </row>
    <row r="189" spans="2:34" s="9" customFormat="1" x14ac:dyDescent="0.25">
      <c r="B189" s="51" t="s">
        <v>238</v>
      </c>
      <c r="C189" s="68">
        <f t="shared" ref="C189:AG189" si="46">SUM(C184:C188)</f>
        <v>0</v>
      </c>
      <c r="D189" s="68">
        <f t="shared" si="46"/>
        <v>0</v>
      </c>
      <c r="E189" s="68">
        <f t="shared" si="46"/>
        <v>0</v>
      </c>
      <c r="F189" s="68">
        <f t="shared" si="46"/>
        <v>0</v>
      </c>
      <c r="G189" s="68">
        <f t="shared" si="46"/>
        <v>0</v>
      </c>
      <c r="H189" s="68">
        <f t="shared" si="46"/>
        <v>0</v>
      </c>
      <c r="I189" s="68">
        <f t="shared" si="46"/>
        <v>0</v>
      </c>
      <c r="J189" s="68">
        <f t="shared" si="46"/>
        <v>0</v>
      </c>
      <c r="K189" s="68">
        <f t="shared" si="46"/>
        <v>0</v>
      </c>
      <c r="L189" s="68">
        <f t="shared" si="46"/>
        <v>0</v>
      </c>
      <c r="M189" s="68">
        <f t="shared" si="46"/>
        <v>0</v>
      </c>
      <c r="N189" s="68">
        <f t="shared" si="46"/>
        <v>0</v>
      </c>
      <c r="O189" s="68">
        <f t="shared" si="46"/>
        <v>0</v>
      </c>
      <c r="P189" s="68">
        <f t="shared" si="46"/>
        <v>0</v>
      </c>
      <c r="Q189" s="68">
        <f t="shared" si="46"/>
        <v>0</v>
      </c>
      <c r="R189" s="68">
        <f t="shared" si="46"/>
        <v>0</v>
      </c>
      <c r="S189" s="68">
        <f t="shared" si="46"/>
        <v>0</v>
      </c>
      <c r="T189" s="68">
        <f t="shared" si="46"/>
        <v>0</v>
      </c>
      <c r="U189" s="68">
        <f t="shared" si="46"/>
        <v>0</v>
      </c>
      <c r="V189" s="68">
        <f t="shared" si="46"/>
        <v>0</v>
      </c>
      <c r="W189" s="68">
        <f t="shared" si="46"/>
        <v>1330565245.7562943</v>
      </c>
      <c r="X189" s="68">
        <f t="shared" si="46"/>
        <v>1330565245.7562943</v>
      </c>
      <c r="Y189" s="68">
        <f t="shared" si="46"/>
        <v>1330565245.7562943</v>
      </c>
      <c r="Z189" s="68">
        <f t="shared" si="46"/>
        <v>1330565245.7562943</v>
      </c>
      <c r="AA189" s="68">
        <f t="shared" si="46"/>
        <v>1330565245.7562943</v>
      </c>
      <c r="AB189" s="68">
        <f t="shared" si="46"/>
        <v>1330565245.7562943</v>
      </c>
      <c r="AC189" s="68">
        <f t="shared" si="46"/>
        <v>1330565245.7562943</v>
      </c>
      <c r="AD189" s="68">
        <f t="shared" si="46"/>
        <v>1330565245.7562943</v>
      </c>
      <c r="AE189" s="68">
        <f t="shared" si="46"/>
        <v>1330565245.7562943</v>
      </c>
      <c r="AF189" s="68">
        <f t="shared" si="46"/>
        <v>1330565245.7562943</v>
      </c>
      <c r="AG189" s="68">
        <f t="shared" si="46"/>
        <v>1600603746.3232632</v>
      </c>
      <c r="AH189" s="68"/>
    </row>
    <row r="190" spans="2:34" x14ac:dyDescent="0.25">
      <c r="B190" s="75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</row>
    <row r="191" spans="2:34" s="82" customFormat="1" x14ac:dyDescent="0.25">
      <c r="B191" s="83" t="s">
        <v>278</v>
      </c>
    </row>
    <row r="192" spans="2:34" s="51" customFormat="1" x14ac:dyDescent="0.25"/>
    <row r="193" spans="2:22" x14ac:dyDescent="0.25">
      <c r="B193" s="51" t="s">
        <v>83</v>
      </c>
      <c r="M193" s="51" t="s">
        <v>82</v>
      </c>
    </row>
    <row r="194" spans="2:22" x14ac:dyDescent="0.25">
      <c r="B194" t="s">
        <v>279</v>
      </c>
      <c r="C194" s="10">
        <v>2020</v>
      </c>
      <c r="D194" s="10">
        <v>2030</v>
      </c>
      <c r="E194" s="10">
        <v>2040</v>
      </c>
      <c r="F194" s="10">
        <v>2050</v>
      </c>
      <c r="G194" s="59" t="s">
        <v>280</v>
      </c>
      <c r="H194" s="10">
        <v>2020</v>
      </c>
      <c r="I194" s="10">
        <v>2030</v>
      </c>
      <c r="J194" s="10">
        <v>2040</v>
      </c>
      <c r="K194" s="10">
        <v>2050</v>
      </c>
      <c r="M194" t="s">
        <v>279</v>
      </c>
      <c r="N194" s="10">
        <v>2020</v>
      </c>
      <c r="O194" s="10">
        <v>2030</v>
      </c>
      <c r="P194" s="10">
        <v>2040</v>
      </c>
      <c r="Q194" s="10">
        <v>2050</v>
      </c>
      <c r="R194" s="59" t="s">
        <v>280</v>
      </c>
      <c r="S194" s="10">
        <v>2020</v>
      </c>
      <c r="T194" s="10">
        <v>2030</v>
      </c>
      <c r="U194" s="10">
        <v>2040</v>
      </c>
      <c r="V194" s="10">
        <v>2050</v>
      </c>
    </row>
    <row r="195" spans="2:22" x14ac:dyDescent="0.25">
      <c r="B195" s="11" t="s">
        <v>281</v>
      </c>
      <c r="C195" s="12">
        <v>925.38616701703108</v>
      </c>
      <c r="D195" s="12">
        <v>776.32849617926945</v>
      </c>
      <c r="E195" s="12">
        <v>416.25558175416091</v>
      </c>
      <c r="F195" s="12">
        <v>0</v>
      </c>
      <c r="G195" s="11" t="s">
        <v>281</v>
      </c>
      <c r="H195" s="60">
        <f t="shared" ref="H195:K198" si="47">C195/C$199</f>
        <v>1</v>
      </c>
      <c r="I195" s="60">
        <f t="shared" si="47"/>
        <v>0.73861069507189758</v>
      </c>
      <c r="J195" s="60">
        <f t="shared" si="47"/>
        <v>0.43405357117738469</v>
      </c>
      <c r="K195" s="60">
        <f t="shared" si="47"/>
        <v>0</v>
      </c>
      <c r="M195" s="11" t="s">
        <v>281</v>
      </c>
      <c r="N195" s="12">
        <v>925.38615731178413</v>
      </c>
      <c r="O195" s="12">
        <v>791.11547793114278</v>
      </c>
      <c r="P195" s="12">
        <v>316.27697717926196</v>
      </c>
      <c r="Q195" s="12">
        <v>0</v>
      </c>
      <c r="R195" s="11" t="s">
        <v>281</v>
      </c>
      <c r="S195" s="60">
        <f t="shared" ref="S195:V198" si="48">N195/N$199</f>
        <v>1</v>
      </c>
      <c r="T195" s="60">
        <f t="shared" si="48"/>
        <v>0.90008960328370902</v>
      </c>
      <c r="U195" s="60">
        <f t="shared" si="48"/>
        <v>0.52296135679164291</v>
      </c>
      <c r="V195" s="60">
        <f t="shared" si="48"/>
        <v>0</v>
      </c>
    </row>
    <row r="196" spans="2:22" x14ac:dyDescent="0.25">
      <c r="B196" s="11" t="s">
        <v>282</v>
      </c>
      <c r="C196" s="53">
        <v>0</v>
      </c>
      <c r="D196" s="53">
        <v>225.94967940311284</v>
      </c>
      <c r="E196" s="53">
        <v>426.83265837934789</v>
      </c>
      <c r="F196" s="57">
        <v>418.64908290866128</v>
      </c>
      <c r="G196" s="11" t="s">
        <v>282</v>
      </c>
      <c r="H196" s="60">
        <f t="shared" si="47"/>
        <v>0</v>
      </c>
      <c r="I196" s="60">
        <f t="shared" si="47"/>
        <v>0.21497194882907877</v>
      </c>
      <c r="J196" s="60">
        <f t="shared" si="47"/>
        <v>0.4450828956669976</v>
      </c>
      <c r="K196" s="60">
        <f t="shared" si="47"/>
        <v>0.75677113868057411</v>
      </c>
      <c r="M196" s="11" t="s">
        <v>282</v>
      </c>
      <c r="N196" s="53">
        <v>0</v>
      </c>
      <c r="O196" s="53">
        <v>86.565425259155049</v>
      </c>
      <c r="P196" s="53">
        <v>223.3078191822494</v>
      </c>
      <c r="Q196" s="57">
        <v>223.3078191822494</v>
      </c>
      <c r="R196" s="11" t="s">
        <v>282</v>
      </c>
      <c r="S196" s="60">
        <f t="shared" si="48"/>
        <v>0</v>
      </c>
      <c r="T196" s="60">
        <f t="shared" si="48"/>
        <v>9.8489590272407931E-2</v>
      </c>
      <c r="U196" s="60">
        <f t="shared" si="48"/>
        <v>0.36923762565095514</v>
      </c>
      <c r="V196" s="60">
        <f t="shared" si="48"/>
        <v>0.68331407111530407</v>
      </c>
    </row>
    <row r="197" spans="2:22" x14ac:dyDescent="0.25">
      <c r="B197" s="11" t="s">
        <v>242</v>
      </c>
      <c r="C197" s="53">
        <v>0</v>
      </c>
      <c r="D197" s="53">
        <v>47.880000000000045</v>
      </c>
      <c r="E197" s="53">
        <v>114.84000000000005</v>
      </c>
      <c r="F197" s="57">
        <v>134.55526317485013</v>
      </c>
      <c r="G197" s="11" t="s">
        <v>242</v>
      </c>
      <c r="H197" s="60">
        <f t="shared" si="47"/>
        <v>0</v>
      </c>
      <c r="I197" s="60">
        <f>D197/D$199</f>
        <v>4.5553757531883891E-2</v>
      </c>
      <c r="J197" s="60">
        <f t="shared" si="47"/>
        <v>0.11975025512919169</v>
      </c>
      <c r="K197" s="60">
        <f t="shared" si="47"/>
        <v>0.24322886131942598</v>
      </c>
      <c r="M197" s="11" t="s">
        <v>242</v>
      </c>
      <c r="N197" s="53">
        <v>0</v>
      </c>
      <c r="O197" s="53">
        <v>0</v>
      </c>
      <c r="P197" s="53">
        <v>64.440000000000055</v>
      </c>
      <c r="Q197" s="57">
        <v>103.49332339888721</v>
      </c>
      <c r="R197" s="11" t="s">
        <v>242</v>
      </c>
      <c r="S197" s="60">
        <f t="shared" si="48"/>
        <v>0</v>
      </c>
      <c r="T197" s="60">
        <f t="shared" si="48"/>
        <v>0</v>
      </c>
      <c r="U197" s="60">
        <f t="shared" si="48"/>
        <v>0.1065510051733957</v>
      </c>
      <c r="V197" s="60">
        <f t="shared" si="48"/>
        <v>0.31668592888469593</v>
      </c>
    </row>
    <row r="198" spans="2:22" x14ac:dyDescent="0.25">
      <c r="B198" s="11" t="s">
        <v>283</v>
      </c>
      <c r="C198" s="54">
        <f>0</f>
        <v>0</v>
      </c>
      <c r="D198" s="54">
        <f>'OCCGT Dispatch Volumes'!C55</f>
        <v>0.90769898324418019</v>
      </c>
      <c r="E198" s="54">
        <f>'OCCGT Dispatch Volumes'!D55</f>
        <v>1.0676290285714298</v>
      </c>
      <c r="F198" s="54">
        <f>'OCCGT Dispatch Volumes'!E55</f>
        <v>0</v>
      </c>
      <c r="G198" s="30" t="s">
        <v>283</v>
      </c>
      <c r="H198" s="58">
        <f t="shared" si="47"/>
        <v>0</v>
      </c>
      <c r="I198" s="58">
        <f t="shared" si="47"/>
        <v>8.6359856713957568E-4</v>
      </c>
      <c r="J198" s="58">
        <f t="shared" si="47"/>
        <v>1.1132780264259817E-3</v>
      </c>
      <c r="K198" s="58">
        <f t="shared" si="47"/>
        <v>0</v>
      </c>
      <c r="M198" s="30" t="s">
        <v>283</v>
      </c>
      <c r="N198" s="54">
        <f>0</f>
        <v>0</v>
      </c>
      <c r="O198" s="54">
        <f>'OCCGT Dispatch Volumes'!K55</f>
        <v>1.2487889703419073</v>
      </c>
      <c r="P198" s="54">
        <f>'OCCGT Dispatch Volumes'!L55</f>
        <v>0.7559834643913339</v>
      </c>
      <c r="Q198" s="54">
        <f>'OCCGT Dispatch Volumes'!M55</f>
        <v>0</v>
      </c>
      <c r="R198" s="30" t="s">
        <v>283</v>
      </c>
      <c r="S198" s="58">
        <f t="shared" si="48"/>
        <v>0</v>
      </c>
      <c r="T198" s="58">
        <f t="shared" si="48"/>
        <v>1.4208064438829644E-3</v>
      </c>
      <c r="U198" s="58">
        <f t="shared" si="48"/>
        <v>1.2500123840062472E-3</v>
      </c>
      <c r="V198" s="58">
        <f t="shared" si="48"/>
        <v>0</v>
      </c>
    </row>
    <row r="199" spans="2:22" x14ac:dyDescent="0.25">
      <c r="B199" s="55" t="s">
        <v>238</v>
      </c>
      <c r="C199" s="56">
        <f>SUM(C195:C198)</f>
        <v>925.38616701703108</v>
      </c>
      <c r="D199" s="56">
        <f>SUM(D195:D198)</f>
        <v>1051.0658745656267</v>
      </c>
      <c r="E199" s="56">
        <f>SUM(E195:E198)</f>
        <v>958.99586916208034</v>
      </c>
      <c r="F199" s="56">
        <f>SUM(F195:F198)</f>
        <v>553.20434608351138</v>
      </c>
      <c r="M199" s="55" t="s">
        <v>238</v>
      </c>
      <c r="N199" s="56">
        <f>SUM(N195:N198)</f>
        <v>925.38615731178413</v>
      </c>
      <c r="O199" s="56">
        <f>SUM(O195:O198)</f>
        <v>878.92969216063977</v>
      </c>
      <c r="P199" s="56">
        <f>SUM(P195:P198)</f>
        <v>604.78077982590275</v>
      </c>
      <c r="Q199" s="56">
        <f>SUM(Q195:Q198)</f>
        <v>326.80114258113662</v>
      </c>
    </row>
    <row r="201" spans="2:22" s="82" customFormat="1" x14ac:dyDescent="0.25">
      <c r="B201" s="87" t="s">
        <v>284</v>
      </c>
    </row>
    <row r="203" spans="2:22" x14ac:dyDescent="0.25">
      <c r="B203" s="51" t="s">
        <v>83</v>
      </c>
      <c r="M203" s="51" t="s">
        <v>82</v>
      </c>
    </row>
    <row r="204" spans="2:22" x14ac:dyDescent="0.25">
      <c r="B204" s="10" t="s">
        <v>279</v>
      </c>
      <c r="C204" s="10">
        <v>2020</v>
      </c>
      <c r="D204" s="10">
        <v>2030</v>
      </c>
      <c r="E204" s="10">
        <v>2040</v>
      </c>
      <c r="F204" s="10">
        <v>2050</v>
      </c>
      <c r="G204" s="59" t="s">
        <v>280</v>
      </c>
      <c r="H204" s="10">
        <v>2020</v>
      </c>
      <c r="I204" s="10">
        <v>2030</v>
      </c>
      <c r="J204" s="10">
        <v>2040</v>
      </c>
      <c r="K204" s="10">
        <v>2050</v>
      </c>
      <c r="M204" s="10" t="s">
        <v>279</v>
      </c>
      <c r="N204" s="10">
        <v>2020</v>
      </c>
      <c r="O204" s="10">
        <v>2030</v>
      </c>
      <c r="P204" s="10">
        <v>2040</v>
      </c>
      <c r="Q204" s="10">
        <v>2050</v>
      </c>
      <c r="R204" s="59" t="s">
        <v>280</v>
      </c>
      <c r="S204" s="10">
        <v>2020</v>
      </c>
      <c r="T204" s="10">
        <v>2030</v>
      </c>
      <c r="U204" s="10">
        <v>2040</v>
      </c>
      <c r="V204" s="10">
        <v>2050</v>
      </c>
    </row>
    <row r="205" spans="2:22" x14ac:dyDescent="0.25">
      <c r="B205" s="11" t="s">
        <v>281</v>
      </c>
      <c r="C205" s="12">
        <v>925.38616701703108</v>
      </c>
      <c r="D205" s="12">
        <v>776.32849617926945</v>
      </c>
      <c r="E205" s="12">
        <v>416.25558175416091</v>
      </c>
      <c r="F205" s="12">
        <v>0</v>
      </c>
      <c r="G205" s="11" t="s">
        <v>281</v>
      </c>
      <c r="H205" s="60">
        <f t="shared" ref="H205:J206" si="49">C205/C$207</f>
        <v>1</v>
      </c>
      <c r="I205" s="89">
        <f t="shared" si="49"/>
        <v>0.99883214524890429</v>
      </c>
      <c r="J205" s="89">
        <f t="shared" si="49"/>
        <v>0.9974417214260165</v>
      </c>
      <c r="K205" s="60">
        <f>0</f>
        <v>0</v>
      </c>
      <c r="M205" s="11" t="s">
        <v>281</v>
      </c>
      <c r="N205" s="12">
        <v>925.38615731178413</v>
      </c>
      <c r="O205" s="12">
        <v>791.11547793114278</v>
      </c>
      <c r="P205" s="12">
        <v>316.27697717926196</v>
      </c>
      <c r="Q205" s="12">
        <v>0</v>
      </c>
      <c r="R205" s="11" t="s">
        <v>281</v>
      </c>
      <c r="S205" s="60">
        <f t="shared" ref="S205:U206" si="50">N205/N$207</f>
        <v>1</v>
      </c>
      <c r="T205" s="89">
        <f t="shared" si="50"/>
        <v>0.99842397111719172</v>
      </c>
      <c r="U205" s="89">
        <f t="shared" si="50"/>
        <v>0.9976154420573291</v>
      </c>
      <c r="V205" s="60">
        <f>0</f>
        <v>0</v>
      </c>
    </row>
    <row r="206" spans="2:22" x14ac:dyDescent="0.25">
      <c r="B206" s="30" t="s">
        <v>283</v>
      </c>
      <c r="C206" s="54">
        <f>C198</f>
        <v>0</v>
      </c>
      <c r="D206" s="54">
        <f>D198</f>
        <v>0.90769898324418019</v>
      </c>
      <c r="E206" s="54">
        <f>E198</f>
        <v>1.0676290285714298</v>
      </c>
      <c r="F206" s="54">
        <f>F198</f>
        <v>0</v>
      </c>
      <c r="G206" s="30" t="s">
        <v>283</v>
      </c>
      <c r="H206" s="60">
        <f t="shared" si="49"/>
        <v>0</v>
      </c>
      <c r="I206" s="89">
        <f t="shared" si="49"/>
        <v>1.167854751095821E-3</v>
      </c>
      <c r="J206" s="89">
        <f t="shared" si="49"/>
        <v>2.5582785739834179E-3</v>
      </c>
      <c r="K206" s="60">
        <f>0</f>
        <v>0</v>
      </c>
      <c r="M206" s="30" t="s">
        <v>283</v>
      </c>
      <c r="N206" s="54">
        <f>N198</f>
        <v>0</v>
      </c>
      <c r="O206" s="54">
        <f>O198</f>
        <v>1.2487889703419073</v>
      </c>
      <c r="P206" s="54">
        <f>P198</f>
        <v>0.7559834643913339</v>
      </c>
      <c r="Q206" s="54">
        <f>Q198</f>
        <v>0</v>
      </c>
      <c r="R206" s="30" t="s">
        <v>283</v>
      </c>
      <c r="S206" s="60">
        <f t="shared" si="50"/>
        <v>0</v>
      </c>
      <c r="T206" s="89">
        <f t="shared" si="50"/>
        <v>1.5760288828082277E-3</v>
      </c>
      <c r="U206" s="89">
        <f t="shared" si="50"/>
        <v>2.3845579426710253E-3</v>
      </c>
      <c r="V206" s="60">
        <f>0</f>
        <v>0</v>
      </c>
    </row>
    <row r="207" spans="2:22" x14ac:dyDescent="0.25">
      <c r="B207" s="55" t="s">
        <v>238</v>
      </c>
      <c r="C207" s="56">
        <f>SUM(C205:C206)</f>
        <v>925.38616701703108</v>
      </c>
      <c r="D207" s="56">
        <f>SUM(D205:D206)</f>
        <v>777.23619516251358</v>
      </c>
      <c r="E207" s="56">
        <f>SUM(E205:E206)</f>
        <v>417.32321078273236</v>
      </c>
      <c r="F207" s="56">
        <f>SUM(F205:F206)</f>
        <v>0</v>
      </c>
      <c r="M207" s="55" t="s">
        <v>238</v>
      </c>
      <c r="N207" s="56">
        <f>SUM(N205:N206)</f>
        <v>925.38615731178413</v>
      </c>
      <c r="O207" s="56">
        <f>SUM(O205:O206)</f>
        <v>792.36426690148471</v>
      </c>
      <c r="P207" s="56">
        <f>SUM(P205:P206)</f>
        <v>317.03296064365327</v>
      </c>
      <c r="Q207" s="56">
        <f>SUM(Q205:Q206)</f>
        <v>0</v>
      </c>
    </row>
    <row r="209" spans="2:2" x14ac:dyDescent="0.25">
      <c r="B209" s="88"/>
    </row>
  </sheetData>
  <phoneticPr fontId="14" type="noConversion"/>
  <pageMargins left="0.7" right="0.7" top="0.75" bottom="0.75" header="0.3" footer="0.3"/>
  <pageSetup scale="13" fitToHeight="0" orientation="landscape" r:id="rId1"/>
  <headerFooter>
    <oddHeader>&amp;R&amp;"Arial,Regular"&amp;10Filed: 2023-04-12
EB-2022-0200
Exhibit JT1.25
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c9be6ef-036f-4d38-ab45-2a4da0c93cb0">C6U45NHNYSXQ-647284319-895</_dlc_DocId>
    <_dlc_DocIdUrl xmlns="bc9be6ef-036f-4d38-ab45-2a4da0c93cb0">
      <Url>https://enbridge.sharepoint.com/teams/EB-2022-02002024Rebasing/_layouts/15/DocIdRedir.aspx?ID=C6U45NHNYSXQ-647284319-895</Url>
      <Description>C6U45NHNYSXQ-647284319-895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99DC5F2E29C4EA0320A2DE468F5FC" ma:contentTypeVersion="4" ma:contentTypeDescription="Create a new document." ma:contentTypeScope="" ma:versionID="ff3e3884dc2e643973374073d0034b45">
  <xsd:schema xmlns:xsd="http://www.w3.org/2001/XMLSchema" xmlns:xs="http://www.w3.org/2001/XMLSchema" xmlns:p="http://schemas.microsoft.com/office/2006/metadata/properties" xmlns:ns2="bc9be6ef-036f-4d38-ab45-2a4da0c93cb0" xmlns:ns3="fdff13a8-12b1-4cee-91e4-645a62808359" targetNamespace="http://schemas.microsoft.com/office/2006/metadata/properties" ma:root="true" ma:fieldsID="cdad84c82f7e98ec508be54dc62030bb" ns2:_="" ns3:_="">
    <xsd:import namespace="bc9be6ef-036f-4d38-ab45-2a4da0c93cb0"/>
    <xsd:import namespace="fdff13a8-12b1-4cee-91e4-645a6280835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f13a8-12b1-4cee-91e4-645a6280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C103C26-4216-4FE8-9D67-B8648D0A1EF0}">
  <ds:schemaRefs>
    <ds:schemaRef ds:uri="bc9be6ef-036f-4d38-ab45-2a4da0c93cb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dff13a8-12b1-4cee-91e4-645a6280835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1FA30B6-B971-4EC7-9677-521C1AABA0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F8272D-2765-45A4-810A-828D065EF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be6ef-036f-4d38-ab45-2a4da0c93cb0"/>
    <ds:schemaRef ds:uri="fdff13a8-12b1-4cee-91e4-645a62808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BC9C02B-9D85-481F-A7A6-6B6C33551D2E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JT1.25 b)</vt:lpstr>
      <vt:lpstr>Elec Average T&amp;D</vt:lpstr>
      <vt:lpstr>Fossil Gas, RNG &amp; Hydrogen</vt:lpstr>
      <vt:lpstr>OCCGT Dispatch Volumes</vt:lpstr>
      <vt:lpstr>Pipeline Costs</vt:lpstr>
      <vt:lpstr>Fossil Gas Calcs for Part b</vt:lpstr>
      <vt:lpstr>'Fossil Gas, RNG &amp; Hydrogen'!Print_Area</vt:lpstr>
      <vt:lpstr>'OCCGT Dispatch Volumes'!Print_Area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Laura Sheehan</cp:lastModifiedBy>
  <cp:revision/>
  <dcterms:created xsi:type="dcterms:W3CDTF">2023-04-05T20:52:59Z</dcterms:created>
  <dcterms:modified xsi:type="dcterms:W3CDTF">2023-04-12T21:03:34Z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0x01010004A99DC5F2E29C4EA0320A2DE468F5FC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2023-04-11T23:21:43Z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ActionId">
    <vt:lpwstr>afaf7227-71e7-4f09-a7f8-9e2175693cd5</vt:lpwstr>
  </property>
  <property fmtid="{D5CDD505-2E9C-101B-9397-08002B2CF9AE}" pid="9" name="MSIP_Label_b1a6f161-e42b-4c47-8f69-f6a81e023e2d_ContentBits">
    <vt:lpwstr>0</vt:lpwstr>
  </property>
  <property fmtid="{D5CDD505-2E9C-101B-9397-08002B2CF9AE}" pid="10" name="_dlc_DocIdItemGuid">
    <vt:lpwstr>5f488322-bd6e-49e7-87d6-c3f3caf401f5</vt:lpwstr>
  </property>
</Properties>
</file>