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nbridge.sharepoint.com/teams/EB-2022-02002024Rebasing/Undertakings/"/>
    </mc:Choice>
  </mc:AlternateContent>
  <xr:revisionPtr revIDLastSave="12" documentId="13_ncr:1_{CD6B52E8-97FB-433B-9145-9D1F9CE7E34C}" xr6:coauthVersionLast="47" xr6:coauthVersionMax="47" xr10:uidLastSave="{68232404-E734-4B6B-9163-82997D89BF41}"/>
  <bookViews>
    <workbookView xWindow="-120" yWindow="-120" windowWidth="29040" windowHeight="15840" xr2:uid="{A80EED6F-D2DF-4BC2-AF17-2A353BC12CD4}"/>
  </bookViews>
  <sheets>
    <sheet name="Attach 2" sheetId="1" r:id="rId1"/>
  </sheets>
  <definedNames>
    <definedName name="_xlnm.Print_Area" localSheetId="0">'Attach 2'!$B$3:$AQ$71</definedName>
    <definedName name="_xlnm.Print_Titles" localSheetId="0">'Attach 2'!$2:$7</definedName>
  </definedNames>
  <calcPr calcId="191028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65" i="1" l="1"/>
  <c r="W64" i="1"/>
  <c r="W63" i="1"/>
  <c r="W62" i="1"/>
  <c r="W61" i="1"/>
  <c r="W60" i="1"/>
  <c r="W59" i="1"/>
  <c r="W58" i="1"/>
  <c r="W57" i="1"/>
  <c r="W53" i="1"/>
  <c r="W52" i="1"/>
  <c r="W51" i="1"/>
  <c r="W50" i="1"/>
  <c r="W47" i="1"/>
  <c r="W45" i="1"/>
  <c r="W44" i="1"/>
  <c r="W43" i="1"/>
  <c r="W42" i="1"/>
  <c r="W41" i="1"/>
  <c r="W40" i="1"/>
  <c r="W39" i="1"/>
  <c r="W38" i="1"/>
  <c r="W37" i="1"/>
  <c r="W36" i="1"/>
  <c r="W35" i="1"/>
  <c r="W34" i="1"/>
  <c r="W33" i="1"/>
  <c r="W30" i="1"/>
  <c r="W29" i="1"/>
  <c r="W28" i="1"/>
  <c r="W27" i="1"/>
  <c r="W26" i="1"/>
  <c r="W25" i="1"/>
  <c r="W24" i="1"/>
  <c r="W21" i="1"/>
  <c r="W20" i="1"/>
  <c r="W19" i="1"/>
  <c r="W18" i="1"/>
  <c r="W15" i="1"/>
  <c r="W14" i="1"/>
  <c r="W13" i="1"/>
  <c r="W12" i="1"/>
  <c r="Y65" i="1"/>
  <c r="Y64" i="1"/>
  <c r="Y63" i="1"/>
  <c r="Y62" i="1"/>
  <c r="Y61" i="1"/>
  <c r="Y60" i="1"/>
  <c r="Y59" i="1"/>
  <c r="Y58" i="1"/>
  <c r="Y57" i="1"/>
  <c r="Y55" i="1"/>
  <c r="Y53" i="1"/>
  <c r="Y52" i="1"/>
  <c r="Y51" i="1"/>
  <c r="Y50" i="1"/>
  <c r="Y49" i="1"/>
  <c r="Y47" i="1"/>
  <c r="Y45" i="1"/>
  <c r="Y44" i="1"/>
  <c r="Y43" i="1"/>
  <c r="Y42" i="1"/>
  <c r="Y41" i="1"/>
  <c r="Y40" i="1"/>
  <c r="Y39" i="1"/>
  <c r="Y38" i="1"/>
  <c r="Y37" i="1"/>
  <c r="Y36" i="1"/>
  <c r="Y35" i="1"/>
  <c r="Y34" i="1"/>
  <c r="Y33" i="1"/>
  <c r="Y32" i="1"/>
  <c r="Y30" i="1"/>
  <c r="Y29" i="1"/>
  <c r="Y28" i="1"/>
  <c r="Y27" i="1"/>
  <c r="Y26" i="1"/>
  <c r="Y25" i="1"/>
  <c r="Y24" i="1"/>
  <c r="Y23" i="1"/>
  <c r="Y21" i="1"/>
  <c r="Y20" i="1"/>
  <c r="Y19" i="1"/>
  <c r="Y18" i="1"/>
  <c r="Y17" i="1"/>
  <c r="Y15" i="1"/>
  <c r="Y14" i="1"/>
  <c r="Y13" i="1"/>
  <c r="Y12" i="1"/>
  <c r="Y11" i="1"/>
  <c r="Y9" i="1"/>
  <c r="U62" i="1"/>
  <c r="V62" i="1"/>
  <c r="U52" i="1"/>
  <c r="T64" i="1" l="1"/>
  <c r="S64" i="1"/>
  <c r="F63" i="1" l="1"/>
  <c r="F44" i="1"/>
  <c r="F43" i="1"/>
  <c r="F42" i="1"/>
  <c r="F41" i="1"/>
  <c r="F40" i="1"/>
  <c r="F39" i="1"/>
  <c r="F38" i="1"/>
  <c r="F37" i="1"/>
  <c r="F36" i="1"/>
  <c r="F35" i="1"/>
  <c r="F34" i="1"/>
  <c r="F33" i="1"/>
  <c r="F25" i="1"/>
  <c r="F26" i="1"/>
  <c r="F27" i="1"/>
  <c r="F28" i="1"/>
  <c r="F29" i="1"/>
  <c r="F24" i="1"/>
  <c r="F19" i="1"/>
  <c r="F18" i="1"/>
  <c r="F13" i="1"/>
  <c r="F14" i="1"/>
  <c r="F12" i="1"/>
  <c r="AQ64" i="1" l="1"/>
  <c r="AO64" i="1"/>
  <c r="AM64" i="1"/>
  <c r="F64" i="1" s="1"/>
  <c r="F62" i="1"/>
  <c r="AK61" i="1"/>
  <c r="AH61" i="1"/>
  <c r="AG61" i="1"/>
  <c r="AL60" i="1"/>
  <c r="AK60" i="1"/>
  <c r="AJ60" i="1"/>
  <c r="AI60" i="1"/>
  <c r="AH60" i="1"/>
  <c r="AG60" i="1"/>
  <c r="AF60" i="1"/>
  <c r="AE60" i="1"/>
  <c r="AD60" i="1"/>
  <c r="AB60" i="1"/>
  <c r="AA60" i="1"/>
  <c r="U60" i="1"/>
  <c r="T60" i="1"/>
  <c r="S60" i="1"/>
  <c r="Q60" i="1"/>
  <c r="P60" i="1"/>
  <c r="O60" i="1"/>
  <c r="N60" i="1"/>
  <c r="L60" i="1"/>
  <c r="K60" i="1"/>
  <c r="J60" i="1"/>
  <c r="I60" i="1"/>
  <c r="H60" i="1"/>
  <c r="AP59" i="1"/>
  <c r="AP65" i="1" s="1"/>
  <c r="AN59" i="1"/>
  <c r="AK59" i="1"/>
  <c r="AK58" i="1"/>
  <c r="AH58" i="1"/>
  <c r="AG58" i="1"/>
  <c r="AA58" i="1"/>
  <c r="V58" i="1"/>
  <c r="V65" i="1" s="1"/>
  <c r="M58" i="1"/>
  <c r="AQ57" i="1"/>
  <c r="AO57" i="1"/>
  <c r="AM57" i="1"/>
  <c r="AI57" i="1"/>
  <c r="AH57" i="1"/>
  <c r="AG57" i="1"/>
  <c r="AE57" i="1"/>
  <c r="AD57" i="1"/>
  <c r="AB57" i="1"/>
  <c r="AA57" i="1"/>
  <c r="U57" i="1"/>
  <c r="T57" i="1"/>
  <c r="S57" i="1"/>
  <c r="Q57" i="1"/>
  <c r="P57" i="1"/>
  <c r="O57" i="1"/>
  <c r="N57" i="1"/>
  <c r="M57" i="1"/>
  <c r="L57" i="1"/>
  <c r="K57" i="1"/>
  <c r="J57" i="1"/>
  <c r="I57" i="1"/>
  <c r="H57" i="1"/>
  <c r="AL61" i="1"/>
  <c r="AJ61" i="1"/>
  <c r="AI61" i="1"/>
  <c r="AF61" i="1"/>
  <c r="AE61" i="1"/>
  <c r="AD61" i="1"/>
  <c r="AB61" i="1"/>
  <c r="AA61" i="1"/>
  <c r="U61" i="1"/>
  <c r="T61" i="1"/>
  <c r="S61" i="1"/>
  <c r="Q61" i="1"/>
  <c r="P61" i="1"/>
  <c r="O61" i="1"/>
  <c r="N61" i="1"/>
  <c r="L61" i="1"/>
  <c r="K61" i="1"/>
  <c r="J61" i="1"/>
  <c r="I61" i="1"/>
  <c r="AQ45" i="1"/>
  <c r="AP45" i="1"/>
  <c r="AO45" i="1"/>
  <c r="AN45" i="1"/>
  <c r="AM45" i="1"/>
  <c r="AL45" i="1"/>
  <c r="AK45" i="1"/>
  <c r="AJ45" i="1"/>
  <c r="AI45" i="1"/>
  <c r="AH45" i="1"/>
  <c r="AG45" i="1"/>
  <c r="AF45" i="1"/>
  <c r="AE45" i="1"/>
  <c r="AD45" i="1"/>
  <c r="AB45" i="1"/>
  <c r="AA45" i="1"/>
  <c r="V45" i="1"/>
  <c r="U45" i="1"/>
  <c r="T45" i="1"/>
  <c r="S45" i="1"/>
  <c r="Q45" i="1"/>
  <c r="P45" i="1"/>
  <c r="O45" i="1"/>
  <c r="N45" i="1"/>
  <c r="M45" i="1"/>
  <c r="L45" i="1"/>
  <c r="K45" i="1"/>
  <c r="J45" i="1"/>
  <c r="I45" i="1"/>
  <c r="H45" i="1"/>
  <c r="AQ30" i="1"/>
  <c r="AP30" i="1"/>
  <c r="AO30" i="1"/>
  <c r="AN30" i="1"/>
  <c r="AM30" i="1"/>
  <c r="AL30" i="1"/>
  <c r="AK30" i="1"/>
  <c r="AJ30" i="1"/>
  <c r="AI30" i="1"/>
  <c r="AH30" i="1"/>
  <c r="AG30" i="1"/>
  <c r="AF30" i="1"/>
  <c r="AE30" i="1"/>
  <c r="AD30" i="1"/>
  <c r="AB30" i="1"/>
  <c r="AA30" i="1"/>
  <c r="V30" i="1"/>
  <c r="U30" i="1"/>
  <c r="T30" i="1"/>
  <c r="S30" i="1"/>
  <c r="Q30" i="1"/>
  <c r="P30" i="1"/>
  <c r="O30" i="1"/>
  <c r="N30" i="1"/>
  <c r="M30" i="1"/>
  <c r="L30" i="1"/>
  <c r="K30" i="1"/>
  <c r="J30" i="1"/>
  <c r="I30" i="1"/>
  <c r="H30" i="1"/>
  <c r="AQ21" i="1"/>
  <c r="AP21" i="1"/>
  <c r="AO21" i="1"/>
  <c r="AN21" i="1"/>
  <c r="AM21" i="1"/>
  <c r="AL21" i="1"/>
  <c r="AK21" i="1"/>
  <c r="AJ21" i="1"/>
  <c r="AI21" i="1"/>
  <c r="AH21" i="1"/>
  <c r="AG21" i="1"/>
  <c r="AF21" i="1"/>
  <c r="AE21" i="1"/>
  <c r="AD21" i="1"/>
  <c r="AB21" i="1"/>
  <c r="AA21" i="1"/>
  <c r="V21" i="1"/>
  <c r="T21" i="1"/>
  <c r="S21" i="1"/>
  <c r="Q21" i="1"/>
  <c r="P21" i="1"/>
  <c r="O21" i="1"/>
  <c r="N21" i="1"/>
  <c r="M21" i="1"/>
  <c r="L21" i="1"/>
  <c r="K21" i="1"/>
  <c r="J21" i="1"/>
  <c r="I21" i="1"/>
  <c r="H21" i="1"/>
  <c r="U20" i="1"/>
  <c r="AQ15" i="1"/>
  <c r="AP15" i="1"/>
  <c r="AO15" i="1"/>
  <c r="AN15" i="1"/>
  <c r="AM15" i="1"/>
  <c r="AL15" i="1"/>
  <c r="AK15" i="1"/>
  <c r="AJ15" i="1"/>
  <c r="AI15" i="1"/>
  <c r="AH15" i="1"/>
  <c r="AG15" i="1"/>
  <c r="AF15" i="1"/>
  <c r="AE15" i="1"/>
  <c r="AD15" i="1"/>
  <c r="AB15" i="1"/>
  <c r="AA15" i="1"/>
  <c r="V15" i="1"/>
  <c r="U15" i="1"/>
  <c r="T15" i="1"/>
  <c r="S15" i="1"/>
  <c r="Q15" i="1"/>
  <c r="P15" i="1"/>
  <c r="O15" i="1"/>
  <c r="N15" i="1"/>
  <c r="M15" i="1"/>
  <c r="L15" i="1"/>
  <c r="K15" i="1"/>
  <c r="J15" i="1"/>
  <c r="I15" i="1"/>
  <c r="H15" i="1"/>
  <c r="B13" i="1"/>
  <c r="B14" i="1" s="1"/>
  <c r="W3" i="1"/>
  <c r="P58" i="1" l="1"/>
  <c r="AE59" i="1"/>
  <c r="J58" i="1"/>
  <c r="I59" i="1"/>
  <c r="Q58" i="1"/>
  <c r="AF58" i="1"/>
  <c r="K58" i="1"/>
  <c r="T59" i="1"/>
  <c r="T65" i="1" s="1"/>
  <c r="AJ58" i="1"/>
  <c r="AJ65" i="1" s="1"/>
  <c r="L58" i="1"/>
  <c r="AL58" i="1"/>
  <c r="S59" i="1"/>
  <c r="S65" i="1" s="1"/>
  <c r="AA59" i="1"/>
  <c r="AM58" i="1"/>
  <c r="N59" i="1"/>
  <c r="AB58" i="1"/>
  <c r="AB65" i="1" s="1"/>
  <c r="AO58" i="1"/>
  <c r="AO65" i="1" s="1"/>
  <c r="O58" i="1"/>
  <c r="AD59" i="1"/>
  <c r="AQ58" i="1"/>
  <c r="AQ65" i="1" s="1"/>
  <c r="F57" i="1"/>
  <c r="U58" i="1"/>
  <c r="U65" i="1" s="1"/>
  <c r="F20" i="1"/>
  <c r="F60" i="1"/>
  <c r="H59" i="1"/>
  <c r="F50" i="1"/>
  <c r="H61" i="1"/>
  <c r="F51" i="1"/>
  <c r="F52" i="1"/>
  <c r="F15" i="1"/>
  <c r="AK65" i="1"/>
  <c r="K47" i="1"/>
  <c r="K53" i="1" s="1"/>
  <c r="T47" i="1"/>
  <c r="T53" i="1" s="1"/>
  <c r="AH65" i="1"/>
  <c r="L47" i="1"/>
  <c r="L53" i="1" s="1"/>
  <c r="AH47" i="1"/>
  <c r="AH53" i="1" s="1"/>
  <c r="AP47" i="1"/>
  <c r="AP53" i="1" s="1"/>
  <c r="AF59" i="1"/>
  <c r="O47" i="1"/>
  <c r="O53" i="1" s="1"/>
  <c r="H47" i="1"/>
  <c r="H53" i="1" s="1"/>
  <c r="P47" i="1"/>
  <c r="P53" i="1" s="1"/>
  <c r="AD47" i="1"/>
  <c r="AD53" i="1" s="1"/>
  <c r="AL47" i="1"/>
  <c r="AL53" i="1" s="1"/>
  <c r="I47" i="1"/>
  <c r="I53" i="1" s="1"/>
  <c r="Q47" i="1"/>
  <c r="Q53" i="1" s="1"/>
  <c r="AE47" i="1"/>
  <c r="AE53" i="1" s="1"/>
  <c r="AM47" i="1"/>
  <c r="AM53" i="1" s="1"/>
  <c r="AB47" i="1"/>
  <c r="AB53" i="1" s="1"/>
  <c r="J47" i="1"/>
  <c r="J53" i="1" s="1"/>
  <c r="S47" i="1"/>
  <c r="S53" i="1" s="1"/>
  <c r="AF47" i="1"/>
  <c r="AF53" i="1" s="1"/>
  <c r="AN47" i="1"/>
  <c r="AN53" i="1" s="1"/>
  <c r="M47" i="1"/>
  <c r="M53" i="1" s="1"/>
  <c r="V47" i="1"/>
  <c r="V53" i="1" s="1"/>
  <c r="AI47" i="1"/>
  <c r="AI53" i="1" s="1"/>
  <c r="AQ47" i="1"/>
  <c r="AQ53" i="1" s="1"/>
  <c r="AK47" i="1"/>
  <c r="AK53" i="1" s="1"/>
  <c r="AG47" i="1"/>
  <c r="AG53" i="1" s="1"/>
  <c r="AO47" i="1"/>
  <c r="AO53" i="1" s="1"/>
  <c r="N47" i="1"/>
  <c r="N53" i="1" s="1"/>
  <c r="AA47" i="1"/>
  <c r="AA53" i="1" s="1"/>
  <c r="AJ47" i="1"/>
  <c r="AJ53" i="1" s="1"/>
  <c r="AG59" i="1"/>
  <c r="AM65" i="1"/>
  <c r="AL65" i="1"/>
  <c r="Q65" i="1"/>
  <c r="L65" i="1"/>
  <c r="P65" i="1"/>
  <c r="I65" i="1"/>
  <c r="K65" i="1"/>
  <c r="J65" i="1"/>
  <c r="AN65" i="1"/>
  <c r="AE65" i="1"/>
  <c r="U21" i="1"/>
  <c r="U47" i="1" s="1"/>
  <c r="U53" i="1" s="1"/>
  <c r="AI59" i="1"/>
  <c r="M65" i="1"/>
  <c r="B15" i="1"/>
  <c r="B18" i="1" s="1"/>
  <c r="O65" i="1" l="1"/>
  <c r="N65" i="1"/>
  <c r="F61" i="1"/>
  <c r="AD65" i="1"/>
  <c r="AA65" i="1"/>
  <c r="F58" i="1"/>
  <c r="H65" i="1"/>
  <c r="F59" i="1"/>
  <c r="AG65" i="1"/>
  <c r="AF65" i="1"/>
  <c r="AI65" i="1"/>
  <c r="B19" i="1"/>
  <c r="B20" i="1" s="1"/>
  <c r="B21" i="1" l="1"/>
  <c r="B24" i="1" l="1"/>
  <c r="B25" i="1" s="1"/>
  <c r="F21" i="1" l="1"/>
  <c r="B26" i="1"/>
  <c r="B27" i="1" l="1"/>
  <c r="B28" i="1" l="1"/>
  <c r="B29" i="1" s="1"/>
  <c r="B30" i="1" l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7" i="1" s="1"/>
  <c r="B50" i="1" s="1"/>
  <c r="B51" i="1" s="1"/>
  <c r="B52" i="1" s="1"/>
  <c r="B53" i="1" s="1"/>
  <c r="B57" i="1" s="1"/>
  <c r="B58" i="1" s="1"/>
  <c r="B59" i="1" s="1"/>
  <c r="B60" i="1" s="1"/>
  <c r="B61" i="1" s="1"/>
  <c r="B62" i="1" s="1"/>
  <c r="B63" i="1" s="1"/>
  <c r="B64" i="1" s="1"/>
  <c r="B65" i="1" s="1"/>
  <c r="F30" i="1" l="1"/>
  <c r="F45" i="1" l="1"/>
  <c r="F47" i="1" s="1"/>
  <c r="F53" i="1" l="1"/>
  <c r="F65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Ben McIntyre</author>
  </authors>
  <commentList>
    <comment ref="AH38" authorId="0" shapeId="0" xr:uid="{90FA2290-1485-4671-9F8C-3EB408FB286F}">
      <text>
        <r>
          <rPr>
            <b/>
            <sz val="9"/>
            <color indexed="81"/>
            <rFont val="Tahoma"/>
            <family val="2"/>
          </rPr>
          <t>Ben McIntyre:</t>
        </r>
        <r>
          <rPr>
            <sz val="9"/>
            <color indexed="81"/>
            <rFont val="Tahoma"/>
            <family val="2"/>
          </rPr>
          <t xml:space="preserve">
M5 (F) customer costs included with M5 (I) customer charge</t>
        </r>
      </text>
    </comment>
  </commentList>
</comments>
</file>

<file path=xl/sharedStrings.xml><?xml version="1.0" encoding="utf-8"?>
<sst xmlns="http://schemas.openxmlformats.org/spreadsheetml/2006/main" count="158" uniqueCount="117">
  <si>
    <t>Mapping of Delivery Revenue Requirement to Rate Component by Rate Class</t>
  </si>
  <si>
    <t>EGD Rate Zone</t>
  </si>
  <si>
    <t>Union North Rate Zone</t>
  </si>
  <si>
    <t>Union South Rate Zone</t>
  </si>
  <si>
    <t>Line</t>
  </si>
  <si>
    <t>In-franchise</t>
  </si>
  <si>
    <t>Rate</t>
  </si>
  <si>
    <t>Rate 20 Unb</t>
  </si>
  <si>
    <t>No.</t>
  </si>
  <si>
    <t>Particulars ($000s)</t>
  </si>
  <si>
    <t>Total</t>
  </si>
  <si>
    <t>01</t>
  </si>
  <si>
    <t>20 (4)</t>
  </si>
  <si>
    <t>Storage (4)</t>
  </si>
  <si>
    <t>M1</t>
  </si>
  <si>
    <t>M2</t>
  </si>
  <si>
    <t>M4 (F)</t>
  </si>
  <si>
    <t>M4 (I) (4)</t>
  </si>
  <si>
    <t>M5 (F)</t>
  </si>
  <si>
    <t>M5 (I) (4)</t>
  </si>
  <si>
    <t>M7 (F)</t>
  </si>
  <si>
    <t>M7 (I)</t>
  </si>
  <si>
    <t>M9</t>
  </si>
  <si>
    <t>T1 (F)</t>
  </si>
  <si>
    <t>T1 (I)</t>
  </si>
  <si>
    <t>T2 (F)</t>
  </si>
  <si>
    <t>T2 (I)</t>
  </si>
  <si>
    <t>T3</t>
  </si>
  <si>
    <t>(a)</t>
  </si>
  <si>
    <t>(b)</t>
  </si>
  <si>
    <t>(c)</t>
  </si>
  <si>
    <t xml:space="preserve">(d) </t>
  </si>
  <si>
    <t>(e)</t>
  </si>
  <si>
    <t xml:space="preserve">(f) </t>
  </si>
  <si>
    <t>(g)</t>
  </si>
  <si>
    <t>(h)</t>
  </si>
  <si>
    <t>(i)</t>
  </si>
  <si>
    <t>(j)</t>
  </si>
  <si>
    <t>(k)</t>
  </si>
  <si>
    <t>(l)</t>
  </si>
  <si>
    <t>(m)</t>
  </si>
  <si>
    <t>(n)</t>
  </si>
  <si>
    <t>(o)</t>
  </si>
  <si>
    <t>(p)</t>
  </si>
  <si>
    <t>(q)</t>
  </si>
  <si>
    <t>(r)</t>
  </si>
  <si>
    <t>(s)</t>
  </si>
  <si>
    <t>(t)</t>
  </si>
  <si>
    <t>(u)</t>
  </si>
  <si>
    <t>(v)</t>
  </si>
  <si>
    <t>(w)</t>
  </si>
  <si>
    <t>(x)</t>
  </si>
  <si>
    <t>(y)</t>
  </si>
  <si>
    <t>(z)</t>
  </si>
  <si>
    <t>(aa)</t>
  </si>
  <si>
    <t>(ab)</t>
  </si>
  <si>
    <t>(ac)</t>
  </si>
  <si>
    <t>(ad)</t>
  </si>
  <si>
    <t>(ae)</t>
  </si>
  <si>
    <t>Allocation of Delivery Revenue Requirement (1)</t>
  </si>
  <si>
    <t>Gas Supply Revenue Requirement</t>
  </si>
  <si>
    <t xml:space="preserve">Load Balancing - Transportation </t>
  </si>
  <si>
    <t>Transportation Demand</t>
  </si>
  <si>
    <t>Admin</t>
  </si>
  <si>
    <t>Total Gas Supply Revenue Requirement</t>
  </si>
  <si>
    <t>Storage Revenue Requirement</t>
  </si>
  <si>
    <t>Storage Demand - Deliverability</t>
  </si>
  <si>
    <t>Storage Demand - Space</t>
  </si>
  <si>
    <t>Storage Demand - Operational Contingency</t>
  </si>
  <si>
    <t>Total Storage Revenue Requirement</t>
  </si>
  <si>
    <t>Transmission Revenue Requirement</t>
  </si>
  <si>
    <t>Transmission Demand - Dawn Station</t>
  </si>
  <si>
    <t>Transmission Demand - Kirkwall Station</t>
  </si>
  <si>
    <t>Transmission Demand - Parkway Station</t>
  </si>
  <si>
    <t>Transmission Demand - Dawn-Parkway</t>
  </si>
  <si>
    <t>Transmission Demand - Parkway-Albion</t>
  </si>
  <si>
    <t>Transmission Demand - Panhandle St. Clair</t>
  </si>
  <si>
    <t>Total Transmission Revenue Requirement</t>
  </si>
  <si>
    <t>Distribution Revenue Requirement</t>
  </si>
  <si>
    <t>Distribution Demand - High Pressure &gt; 4"</t>
  </si>
  <si>
    <t>Distribution Demand - High Pressure &lt;= 4"</t>
  </si>
  <si>
    <t>Distribution Demand - Low Pressure</t>
  </si>
  <si>
    <t>Distribution Demand Specific - DSM Program</t>
  </si>
  <si>
    <t>Distribution Demand Specific - DSM Admin</t>
  </si>
  <si>
    <t>Distribution Customer - Mains</t>
  </si>
  <si>
    <t>Distribution Customer - Services</t>
  </si>
  <si>
    <t>Distribution Customer - Meters</t>
  </si>
  <si>
    <t>Distribution Customer - Stations</t>
  </si>
  <si>
    <t>Distribution Customer Specific - Uncollectible Accounts</t>
  </si>
  <si>
    <t>Distribution Customer Specific - Distribution Customer Accounting</t>
  </si>
  <si>
    <t>Distribution Customer Specific - Large Volume Customer Care</t>
  </si>
  <si>
    <t>Total Distribution Revenue Requirement</t>
  </si>
  <si>
    <t>Total Delivery Revenue Requirement</t>
  </si>
  <si>
    <t>Delivery Revenue Requirement Adjustments</t>
  </si>
  <si>
    <t>Panhandle/St. Clair Transmission Credit (2)</t>
  </si>
  <si>
    <t>Panhandle/St. Clair Re-Allocation (2)</t>
  </si>
  <si>
    <t>Rate Design Adjustments</t>
  </si>
  <si>
    <t>Proposed Delivery Revenue Requirement by Rate Design Component (3)</t>
  </si>
  <si>
    <t>Monthly Customer Charge</t>
  </si>
  <si>
    <t>Delivery Demand Charge</t>
  </si>
  <si>
    <t>Delivery Commodity Charge</t>
  </si>
  <si>
    <t>Gas Supply Transportation Charge</t>
  </si>
  <si>
    <t>Gas Supply Commodity Charge</t>
  </si>
  <si>
    <t>Gas Supply Demand Charge (Rate 20)</t>
  </si>
  <si>
    <t>MAV Gas Supply Charge (Rates M4, M5)</t>
  </si>
  <si>
    <t>Storage Charges</t>
  </si>
  <si>
    <t>Notes:</t>
  </si>
  <si>
    <t>Notes</t>
  </si>
  <si>
    <t>(1)</t>
  </si>
  <si>
    <t>Allocation of delivery revenue requirement by rate class per the cost allocation study at Exhibit 7, Tab 2, Schedule 1, Attachment 9.</t>
  </si>
  <si>
    <t>(2)</t>
  </si>
  <si>
    <t>Panhandle/St. Clair transmission cost re-allocation per Exhibit 8, Tab 2, Schedule 8, Attachment 8.</t>
  </si>
  <si>
    <t>(3)</t>
  </si>
  <si>
    <t>Proposed delivery revenue requirement by rate class per Exhibit 8, Tab 2, Schedule 8, Attachment 1, page 2, column (e).</t>
  </si>
  <si>
    <t>(4)</t>
  </si>
  <si>
    <t>$0.021 million costs shifted from Rate 20 gas supply demand charge to Rate 20 unbundled storage allocation related to rounding.</t>
  </si>
  <si>
    <t>$0.062 million adjustment related to common unit rate design for Rate M4 and Rate M5 interruptible delivery commodity charges.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</si>
</sst>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0;\ \(#,###\);\ \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u/>
      <sz val="10"/>
      <color theme="1"/>
      <name val="Arial"/>
      <family val="2"/>
    </font>
    <font>
      <b/>
      <sz val="10"/>
      <color rgb="FFFF0000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D5FF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40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2" fillId="0" borderId="1" xfId="0" applyFont="1" applyBorder="1" applyAlignment="1">
      <alignment horizontal="center" wrapText="1"/>
    </xf>
    <xf numFmtId="0" fontId="2" fillId="0" borderId="1" xfId="0" applyFont="1" applyBorder="1"/>
    <xf numFmtId="0" fontId="2" fillId="0" borderId="1" xfId="0" quotePrefix="1" applyFont="1" applyBorder="1" applyAlignment="1">
      <alignment horizontal="center"/>
    </xf>
    <xf numFmtId="0" fontId="2" fillId="0" borderId="0" xfId="0" quotePrefix="1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0" fontId="2" fillId="7" borderId="0" xfId="0" applyFont="1" applyFill="1" applyAlignment="1">
      <alignment horizontal="left" indent="1"/>
    </xf>
    <xf numFmtId="0" fontId="2" fillId="3" borderId="0" xfId="0" applyFont="1" applyFill="1" applyAlignment="1">
      <alignment horizontal="left" indent="1"/>
    </xf>
    <xf numFmtId="0" fontId="2" fillId="4" borderId="0" xfId="0" applyFont="1" applyFill="1" applyAlignment="1">
      <alignment horizontal="left" indent="1"/>
    </xf>
    <xf numFmtId="0" fontId="2" fillId="2" borderId="0" xfId="0" applyFont="1" applyFill="1" applyAlignment="1">
      <alignment horizontal="left" indent="1"/>
    </xf>
    <xf numFmtId="0" fontId="2" fillId="5" borderId="0" xfId="0" applyFont="1" applyFill="1" applyAlignment="1">
      <alignment horizontal="left" indent="1"/>
    </xf>
    <xf numFmtId="0" fontId="2" fillId="6" borderId="0" xfId="0" applyFont="1" applyFill="1" applyAlignment="1">
      <alignment horizontal="left" indent="1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164" fontId="2" fillId="0" borderId="0" xfId="0" quotePrefix="1" applyNumberFormat="1" applyFont="1" applyAlignment="1">
      <alignment horizontal="center"/>
    </xf>
    <xf numFmtId="164" fontId="2" fillId="0" borderId="0" xfId="1" applyNumberFormat="1" applyFont="1" applyFill="1" applyAlignment="1">
      <alignment horizontal="center"/>
    </xf>
    <xf numFmtId="164" fontId="2" fillId="2" borderId="0" xfId="1" applyNumberFormat="1" applyFont="1" applyFill="1" applyAlignment="1">
      <alignment horizontal="center"/>
    </xf>
    <xf numFmtId="164" fontId="2" fillId="3" borderId="0" xfId="1" applyNumberFormat="1" applyFont="1" applyFill="1" applyAlignment="1">
      <alignment horizontal="center"/>
    </xf>
    <xf numFmtId="164" fontId="2" fillId="0" borderId="0" xfId="2" applyNumberFormat="1" applyFont="1" applyFill="1" applyAlignment="1">
      <alignment horizontal="center"/>
    </xf>
    <xf numFmtId="164" fontId="2" fillId="5" borderId="0" xfId="1" applyNumberFormat="1" applyFont="1" applyFill="1" applyAlignment="1">
      <alignment horizontal="center"/>
    </xf>
    <xf numFmtId="164" fontId="2" fillId="0" borderId="2" xfId="1" applyNumberFormat="1" applyFont="1" applyFill="1" applyBorder="1" applyAlignment="1">
      <alignment horizontal="center"/>
    </xf>
    <xf numFmtId="164" fontId="2" fillId="0" borderId="2" xfId="1" applyNumberFormat="1" applyFont="1" applyBorder="1" applyAlignment="1">
      <alignment horizontal="center"/>
    </xf>
    <xf numFmtId="164" fontId="2" fillId="4" borderId="0" xfId="1" applyNumberFormat="1" applyFont="1" applyFill="1" applyAlignment="1">
      <alignment horizontal="center"/>
    </xf>
    <xf numFmtId="164" fontId="2" fillId="6" borderId="0" xfId="1" applyNumberFormat="1" applyFont="1" applyFill="1" applyAlignment="1">
      <alignment horizontal="center"/>
    </xf>
    <xf numFmtId="164" fontId="2" fillId="0" borderId="0" xfId="0" applyNumberFormat="1" applyFont="1" applyAlignment="1">
      <alignment horizontal="center"/>
    </xf>
    <xf numFmtId="164" fontId="2" fillId="7" borderId="0" xfId="1" applyNumberFormat="1" applyFont="1" applyFill="1" applyAlignment="1">
      <alignment horizontal="center"/>
    </xf>
    <xf numFmtId="164" fontId="2" fillId="7" borderId="0" xfId="1" quotePrefix="1" applyNumberFormat="1" applyFont="1" applyFill="1" applyAlignment="1">
      <alignment horizontal="center"/>
    </xf>
    <xf numFmtId="164" fontId="2" fillId="0" borderId="3" xfId="0" applyNumberFormat="1" applyFont="1" applyBorder="1" applyAlignment="1">
      <alignment horizontal="center"/>
    </xf>
    <xf numFmtId="164" fontId="6" fillId="0" borderId="0" xfId="0" applyNumberFormat="1" applyFont="1" applyAlignment="1">
      <alignment horizontal="center"/>
    </xf>
    <xf numFmtId="164" fontId="2" fillId="0" borderId="1" xfId="1" applyNumberFormat="1" applyFont="1" applyFill="1" applyBorder="1" applyAlignment="1">
      <alignment horizontal="center"/>
    </xf>
    <xf numFmtId="164" fontId="2" fillId="6" borderId="1" xfId="1" applyNumberFormat="1" applyFont="1" applyFill="1" applyBorder="1" applyAlignment="1">
      <alignment horizontal="center"/>
    </xf>
    <xf numFmtId="164" fontId="2" fillId="4" borderId="1" xfId="1" applyNumberFormat="1" applyFont="1" applyFill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</cellXfs>
  <cellStyles count="3">
    <cellStyle name="Comma" xfId="1" builtinId="3"/>
    <cellStyle name="Comma 2" xfId="2" xr:uid="{C32F0885-26D9-4276-B9FC-F10EB4BCA47B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9600D8-8AFD-4577-A768-0AE2B6CC95BC}">
  <dimension ref="B2:AQ71"/>
  <sheetViews>
    <sheetView showGridLines="0" tabSelected="1" view="pageBreakPreview" topLeftCell="N1" zoomScale="80" zoomScaleNormal="70" zoomScaleSheetLayoutView="80" workbookViewId="0">
      <selection activeCell="B8" sqref="B8"/>
    </sheetView>
  </sheetViews>
  <sheetFormatPr defaultColWidth="8.85546875" defaultRowHeight="12.75" x14ac:dyDescent="0.2"/>
  <cols>
    <col min="1" max="1" width="9.28515625" style="1" customWidth="1"/>
    <col min="2" max="2" width="6.28515625" style="1" customWidth="1"/>
    <col min="3" max="3" width="1.7109375" style="1" customWidth="1"/>
    <col min="4" max="4" width="54.7109375" style="1" customWidth="1"/>
    <col min="5" max="5" width="1.7109375" style="1" customWidth="1"/>
    <col min="6" max="6" width="12.28515625" style="1" customWidth="1"/>
    <col min="7" max="7" width="1.7109375" style="1" customWidth="1"/>
    <col min="8" max="8" width="11.28515625" style="1" bestFit="1" customWidth="1"/>
    <col min="9" max="17" width="10.7109375" style="1" customWidth="1"/>
    <col min="18" max="18" width="1.7109375" style="1" customWidth="1"/>
    <col min="19" max="22" width="10.7109375" style="1" customWidth="1"/>
    <col min="23" max="23" width="6.28515625" style="1" customWidth="1"/>
    <col min="24" max="24" width="1.7109375" style="1" customWidth="1"/>
    <col min="25" max="25" width="54.7109375" style="1" customWidth="1"/>
    <col min="26" max="26" width="1.7109375" style="1" customWidth="1"/>
    <col min="27" max="28" width="10.7109375" style="1" customWidth="1"/>
    <col min="29" max="29" width="1.7109375" style="1" customWidth="1"/>
    <col min="30" max="43" width="10.7109375" style="1" customWidth="1"/>
    <col min="44" max="44" width="8.85546875" style="1" customWidth="1"/>
    <col min="45" max="16384" width="8.85546875" style="1"/>
  </cols>
  <sheetData>
    <row r="2" spans="2:43" x14ac:dyDescent="0.2"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  <c r="AH2" s="37"/>
      <c r="AI2" s="37"/>
      <c r="AJ2" s="37"/>
      <c r="AK2" s="37"/>
      <c r="AL2" s="37"/>
      <c r="AM2" s="37"/>
      <c r="AN2" s="37"/>
      <c r="AO2" s="37"/>
      <c r="AP2" s="37"/>
      <c r="AQ2" s="37"/>
    </row>
    <row r="3" spans="2:43" x14ac:dyDescent="0.2">
      <c r="B3" s="39" t="s">
        <v>0</v>
      </c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 t="str">
        <f>B3</f>
        <v>Mapping of Delivery Revenue Requirement to Rate Component by Rate Class</v>
      </c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39"/>
      <c r="AK3" s="39"/>
      <c r="AL3" s="39"/>
      <c r="AM3" s="39"/>
      <c r="AN3" s="39"/>
      <c r="AO3" s="39"/>
      <c r="AP3" s="39"/>
      <c r="AQ3" s="39"/>
    </row>
    <row r="5" spans="2:43" x14ac:dyDescent="0.2">
      <c r="B5" s="3"/>
      <c r="D5" s="3"/>
      <c r="F5" s="16"/>
      <c r="H5" s="38" t="s">
        <v>1</v>
      </c>
      <c r="I5" s="38"/>
      <c r="J5" s="38"/>
      <c r="K5" s="38"/>
      <c r="L5" s="38"/>
      <c r="M5" s="38"/>
      <c r="N5" s="38"/>
      <c r="O5" s="38"/>
      <c r="P5" s="38"/>
      <c r="Q5" s="38"/>
      <c r="S5" s="38" t="s">
        <v>2</v>
      </c>
      <c r="T5" s="38"/>
      <c r="U5" s="38"/>
      <c r="V5" s="38"/>
      <c r="W5" s="3"/>
      <c r="Y5" s="3"/>
      <c r="AA5" s="38" t="s">
        <v>2</v>
      </c>
      <c r="AB5" s="38"/>
      <c r="AD5" s="38" t="s">
        <v>3</v>
      </c>
      <c r="AE5" s="38"/>
      <c r="AF5" s="38"/>
      <c r="AG5" s="38"/>
      <c r="AH5" s="38"/>
      <c r="AI5" s="38"/>
      <c r="AJ5" s="38"/>
      <c r="AK5" s="38"/>
      <c r="AL5" s="38"/>
      <c r="AM5" s="38"/>
      <c r="AN5" s="38"/>
      <c r="AO5" s="38"/>
      <c r="AP5" s="38"/>
      <c r="AQ5" s="38"/>
    </row>
    <row r="6" spans="2:43" x14ac:dyDescent="0.2">
      <c r="B6" s="16" t="s">
        <v>4</v>
      </c>
      <c r="F6" s="16" t="s">
        <v>5</v>
      </c>
      <c r="H6" s="16" t="s">
        <v>6</v>
      </c>
      <c r="I6" s="16" t="s">
        <v>6</v>
      </c>
      <c r="J6" s="16" t="s">
        <v>6</v>
      </c>
      <c r="K6" s="16" t="s">
        <v>6</v>
      </c>
      <c r="L6" s="16" t="s">
        <v>6</v>
      </c>
      <c r="M6" s="16" t="s">
        <v>6</v>
      </c>
      <c r="N6" s="16" t="s">
        <v>6</v>
      </c>
      <c r="O6" s="16" t="s">
        <v>6</v>
      </c>
      <c r="P6" s="16" t="s">
        <v>6</v>
      </c>
      <c r="Q6" s="16" t="s">
        <v>6</v>
      </c>
      <c r="S6" s="16" t="s">
        <v>6</v>
      </c>
      <c r="T6" s="16" t="s">
        <v>6</v>
      </c>
      <c r="U6" s="16" t="s">
        <v>6</v>
      </c>
      <c r="V6" s="16" t="s">
        <v>7</v>
      </c>
      <c r="W6" s="16" t="s">
        <v>4</v>
      </c>
      <c r="AA6" s="16" t="s">
        <v>6</v>
      </c>
      <c r="AB6" s="16" t="s">
        <v>6</v>
      </c>
      <c r="AD6" s="16" t="s">
        <v>6</v>
      </c>
      <c r="AE6" s="16" t="s">
        <v>6</v>
      </c>
      <c r="AF6" s="16" t="s">
        <v>6</v>
      </c>
      <c r="AG6" s="16" t="s">
        <v>6</v>
      </c>
      <c r="AH6" s="16" t="s">
        <v>6</v>
      </c>
      <c r="AI6" s="16" t="s">
        <v>6</v>
      </c>
      <c r="AJ6" s="16" t="s">
        <v>6</v>
      </c>
      <c r="AK6" s="16" t="s">
        <v>6</v>
      </c>
      <c r="AL6" s="16" t="s">
        <v>6</v>
      </c>
      <c r="AM6" s="16" t="s">
        <v>6</v>
      </c>
      <c r="AN6" s="16" t="s">
        <v>6</v>
      </c>
      <c r="AO6" s="16" t="s">
        <v>6</v>
      </c>
      <c r="AP6" s="16" t="s">
        <v>6</v>
      </c>
      <c r="AQ6" s="16" t="s">
        <v>6</v>
      </c>
    </row>
    <row r="7" spans="2:43" x14ac:dyDescent="0.2">
      <c r="B7" s="4" t="s">
        <v>8</v>
      </c>
      <c r="D7" s="5" t="s">
        <v>9</v>
      </c>
      <c r="F7" s="17" t="s">
        <v>10</v>
      </c>
      <c r="H7" s="17">
        <v>1</v>
      </c>
      <c r="I7" s="17">
        <v>6</v>
      </c>
      <c r="J7" s="17">
        <v>100</v>
      </c>
      <c r="K7" s="17">
        <v>110</v>
      </c>
      <c r="L7" s="17">
        <v>115</v>
      </c>
      <c r="M7" s="17">
        <v>125</v>
      </c>
      <c r="N7" s="17">
        <v>135</v>
      </c>
      <c r="O7" s="17">
        <v>145</v>
      </c>
      <c r="P7" s="17">
        <v>170</v>
      </c>
      <c r="Q7" s="17">
        <v>200</v>
      </c>
      <c r="S7" s="6" t="s">
        <v>11</v>
      </c>
      <c r="T7" s="17">
        <v>10</v>
      </c>
      <c r="U7" s="17" t="s">
        <v>12</v>
      </c>
      <c r="V7" s="17" t="s">
        <v>13</v>
      </c>
      <c r="W7" s="4" t="s">
        <v>8</v>
      </c>
      <c r="Y7" s="5" t="s">
        <v>9</v>
      </c>
      <c r="AA7" s="17">
        <v>25</v>
      </c>
      <c r="AB7" s="17">
        <v>100</v>
      </c>
      <c r="AD7" s="17" t="s">
        <v>14</v>
      </c>
      <c r="AE7" s="17" t="s">
        <v>15</v>
      </c>
      <c r="AF7" s="17" t="s">
        <v>16</v>
      </c>
      <c r="AG7" s="17" t="s">
        <v>17</v>
      </c>
      <c r="AH7" s="17" t="s">
        <v>18</v>
      </c>
      <c r="AI7" s="17" t="s">
        <v>19</v>
      </c>
      <c r="AJ7" s="17" t="s">
        <v>20</v>
      </c>
      <c r="AK7" s="17" t="s">
        <v>21</v>
      </c>
      <c r="AL7" s="17" t="s">
        <v>22</v>
      </c>
      <c r="AM7" s="17" t="s">
        <v>23</v>
      </c>
      <c r="AN7" s="17" t="s">
        <v>24</v>
      </c>
      <c r="AO7" s="17" t="s">
        <v>25</v>
      </c>
      <c r="AP7" s="17" t="s">
        <v>26</v>
      </c>
      <c r="AQ7" s="17" t="s">
        <v>27</v>
      </c>
    </row>
    <row r="8" spans="2:43" x14ac:dyDescent="0.2">
      <c r="F8" s="7" t="s">
        <v>28</v>
      </c>
      <c r="H8" s="7" t="s">
        <v>29</v>
      </c>
      <c r="I8" s="7" t="s">
        <v>30</v>
      </c>
      <c r="J8" s="7" t="s">
        <v>31</v>
      </c>
      <c r="K8" s="7" t="s">
        <v>32</v>
      </c>
      <c r="L8" s="7" t="s">
        <v>33</v>
      </c>
      <c r="M8" s="7" t="s">
        <v>34</v>
      </c>
      <c r="N8" s="7" t="s">
        <v>35</v>
      </c>
      <c r="O8" s="7" t="s">
        <v>36</v>
      </c>
      <c r="P8" s="7" t="s">
        <v>37</v>
      </c>
      <c r="Q8" s="7" t="s">
        <v>38</v>
      </c>
      <c r="S8" s="7" t="s">
        <v>39</v>
      </c>
      <c r="T8" s="7" t="s">
        <v>40</v>
      </c>
      <c r="U8" s="7" t="s">
        <v>41</v>
      </c>
      <c r="V8" s="7" t="s">
        <v>42</v>
      </c>
      <c r="AA8" s="7" t="s">
        <v>43</v>
      </c>
      <c r="AB8" s="7" t="s">
        <v>44</v>
      </c>
      <c r="AD8" s="7" t="s">
        <v>45</v>
      </c>
      <c r="AE8" s="7" t="s">
        <v>46</v>
      </c>
      <c r="AF8" s="7" t="s">
        <v>47</v>
      </c>
      <c r="AG8" s="7" t="s">
        <v>48</v>
      </c>
      <c r="AH8" s="7" t="s">
        <v>49</v>
      </c>
      <c r="AI8" s="7" t="s">
        <v>50</v>
      </c>
      <c r="AJ8" s="7" t="s">
        <v>51</v>
      </c>
      <c r="AK8" s="7" t="s">
        <v>52</v>
      </c>
      <c r="AL8" s="7" t="s">
        <v>53</v>
      </c>
      <c r="AM8" s="7" t="s">
        <v>54</v>
      </c>
      <c r="AN8" s="7" t="s">
        <v>55</v>
      </c>
      <c r="AO8" s="7" t="s">
        <v>56</v>
      </c>
      <c r="AP8" s="7" t="s">
        <v>57</v>
      </c>
      <c r="AQ8" s="7" t="s">
        <v>58</v>
      </c>
    </row>
    <row r="9" spans="2:43" x14ac:dyDescent="0.2">
      <c r="D9" s="2" t="s">
        <v>59</v>
      </c>
      <c r="F9" s="7"/>
      <c r="H9" s="7"/>
      <c r="I9" s="7"/>
      <c r="J9" s="7"/>
      <c r="K9" s="7"/>
      <c r="L9" s="7"/>
      <c r="M9" s="7"/>
      <c r="N9" s="7"/>
      <c r="O9" s="7"/>
      <c r="P9" s="7"/>
      <c r="Q9" s="7"/>
      <c r="S9" s="7"/>
      <c r="T9" s="7"/>
      <c r="U9" s="7"/>
      <c r="V9" s="7"/>
      <c r="Y9" s="2" t="str">
        <f>D9</f>
        <v>Allocation of Delivery Revenue Requirement (1)</v>
      </c>
      <c r="AA9" s="7"/>
      <c r="AB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</row>
    <row r="10" spans="2:43" x14ac:dyDescent="0.2">
      <c r="F10" s="7"/>
      <c r="H10" s="7"/>
      <c r="I10" s="7"/>
      <c r="J10" s="7"/>
      <c r="K10" s="7"/>
      <c r="L10" s="7"/>
      <c r="M10" s="7"/>
      <c r="N10" s="7"/>
      <c r="O10" s="7"/>
      <c r="P10" s="7"/>
      <c r="Q10" s="7"/>
      <c r="S10" s="7"/>
      <c r="T10" s="7"/>
      <c r="U10" s="7"/>
      <c r="V10" s="7"/>
      <c r="AA10" s="7"/>
      <c r="AB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</row>
    <row r="11" spans="2:43" x14ac:dyDescent="0.2">
      <c r="D11" s="2" t="s">
        <v>60</v>
      </c>
      <c r="Y11" s="2" t="str">
        <f t="shared" ref="Y11:Y15" si="0">D11</f>
        <v>Gas Supply Revenue Requirement</v>
      </c>
    </row>
    <row r="12" spans="2:43" x14ac:dyDescent="0.2">
      <c r="B12" s="8">
        <v>1</v>
      </c>
      <c r="D12" s="1" t="s">
        <v>61</v>
      </c>
      <c r="F12" s="19">
        <f>SUM(H12:V12, AA12:AQ12)</f>
        <v>-7968.0774419795498</v>
      </c>
      <c r="G12" s="28"/>
      <c r="H12" s="20">
        <v>-2512.7661998169042</v>
      </c>
      <c r="I12" s="20">
        <v>-2183.896087376163</v>
      </c>
      <c r="J12" s="20">
        <v>-5.8555257247104926</v>
      </c>
      <c r="K12" s="20">
        <v>-159.56945143847452</v>
      </c>
      <c r="L12" s="20">
        <v>-5.8851023796617881</v>
      </c>
      <c r="M12" s="19">
        <v>0</v>
      </c>
      <c r="N12" s="20">
        <v>0</v>
      </c>
      <c r="O12" s="20">
        <v>0</v>
      </c>
      <c r="P12" s="20">
        <v>0</v>
      </c>
      <c r="Q12" s="20">
        <v>-47.338483746883732</v>
      </c>
      <c r="R12" s="28"/>
      <c r="S12" s="20">
        <v>-450.54396290826264</v>
      </c>
      <c r="T12" s="20">
        <v>-127.36490401500005</v>
      </c>
      <c r="U12" s="20">
        <v>-18.011819022310892</v>
      </c>
      <c r="V12" s="21">
        <v>-81.779096198967054</v>
      </c>
      <c r="W12" s="8">
        <f t="shared" ref="W12:W15" si="1">B12</f>
        <v>1</v>
      </c>
      <c r="Y12" s="1" t="str">
        <f t="shared" si="0"/>
        <v xml:space="preserve">Load Balancing - Transportation </v>
      </c>
      <c r="AA12" s="20">
        <v>0</v>
      </c>
      <c r="AB12" s="20">
        <v>0</v>
      </c>
      <c r="AC12" s="28"/>
      <c r="AD12" s="20">
        <v>-1425.6834715553241</v>
      </c>
      <c r="AE12" s="20">
        <v>-508.35760991538979</v>
      </c>
      <c r="AF12" s="20">
        <v>-159.16989271621605</v>
      </c>
      <c r="AG12" s="20">
        <v>0</v>
      </c>
      <c r="AH12" s="20">
        <v>-1.5404612917552192</v>
      </c>
      <c r="AI12" s="20">
        <v>0</v>
      </c>
      <c r="AJ12" s="20">
        <v>-264.3252601254494</v>
      </c>
      <c r="AK12" s="20">
        <v>0</v>
      </c>
      <c r="AL12" s="20">
        <v>-15.990113748076254</v>
      </c>
      <c r="AM12" s="19">
        <v>0</v>
      </c>
      <c r="AN12" s="19">
        <v>0</v>
      </c>
      <c r="AO12" s="19">
        <v>0</v>
      </c>
      <c r="AP12" s="19">
        <v>0</v>
      </c>
      <c r="AQ12" s="19">
        <v>0</v>
      </c>
    </row>
    <row r="13" spans="2:43" x14ac:dyDescent="0.2">
      <c r="B13" s="8">
        <f>MAX(B$12:B12)+1</f>
        <v>2</v>
      </c>
      <c r="D13" s="1" t="s">
        <v>62</v>
      </c>
      <c r="F13" s="19">
        <f t="shared" ref="F13:F14" si="2">SUM(H13:V13, AA13:AQ13)</f>
        <v>-7368.5151634722442</v>
      </c>
      <c r="G13" s="28"/>
      <c r="H13" s="20">
        <v>-1886.6577500672288</v>
      </c>
      <c r="I13" s="20">
        <v>-1809.1948919779502</v>
      </c>
      <c r="J13" s="20">
        <v>-10.347758471711291</v>
      </c>
      <c r="K13" s="20">
        <v>-403.01342623743017</v>
      </c>
      <c r="L13" s="20">
        <v>-144.06312934275209</v>
      </c>
      <c r="M13" s="22">
        <v>0</v>
      </c>
      <c r="N13" s="20">
        <v>-19.861105920575159</v>
      </c>
      <c r="O13" s="20">
        <v>-5.9280426586213393</v>
      </c>
      <c r="P13" s="20">
        <v>-121.9487924346745</v>
      </c>
      <c r="Q13" s="20">
        <v>-71.245225544134968</v>
      </c>
      <c r="R13" s="28"/>
      <c r="S13" s="20">
        <v>-373.10602977418108</v>
      </c>
      <c r="T13" s="20">
        <v>-122.26545910295191</v>
      </c>
      <c r="U13" s="20">
        <v>-51.051866269954537</v>
      </c>
      <c r="V13" s="21">
        <v>-11.260814688494872</v>
      </c>
      <c r="W13" s="8">
        <f t="shared" si="1"/>
        <v>2</v>
      </c>
      <c r="Y13" s="1" t="str">
        <f t="shared" si="0"/>
        <v>Transportation Demand</v>
      </c>
      <c r="AA13" s="20">
        <v>-2.1513883321357223</v>
      </c>
      <c r="AB13" s="20">
        <v>0</v>
      </c>
      <c r="AC13" s="28"/>
      <c r="AD13" s="20">
        <v>-1228.0118803454718</v>
      </c>
      <c r="AE13" s="20">
        <v>-497.7401318087613</v>
      </c>
      <c r="AF13" s="20">
        <v>-223.96117884923157</v>
      </c>
      <c r="AG13" s="20">
        <v>-8.9790108150655315E-2</v>
      </c>
      <c r="AH13" s="20">
        <v>-1.6621353076394283</v>
      </c>
      <c r="AI13" s="20">
        <v>-20.781804439825141</v>
      </c>
      <c r="AJ13" s="20">
        <v>-269.26044053517296</v>
      </c>
      <c r="AK13" s="20">
        <v>-28.670941809379201</v>
      </c>
      <c r="AL13" s="20">
        <v>-33.98056752693725</v>
      </c>
      <c r="AM13" s="21">
        <v>-2.2339865722541838</v>
      </c>
      <c r="AN13" s="26">
        <v>-0.21295988635624297</v>
      </c>
      <c r="AO13" s="21">
        <v>-28.162873242183689</v>
      </c>
      <c r="AP13" s="26">
        <v>-0.23694044266709341</v>
      </c>
      <c r="AQ13" s="21">
        <v>-1.4138517754150399</v>
      </c>
    </row>
    <row r="14" spans="2:43" x14ac:dyDescent="0.2">
      <c r="B14" s="8">
        <f>MAX(B$12:B13)+1</f>
        <v>3</v>
      </c>
      <c r="D14" s="1" t="s">
        <v>63</v>
      </c>
      <c r="F14" s="19">
        <f t="shared" si="2"/>
        <v>15491.673000000006</v>
      </c>
      <c r="G14" s="28"/>
      <c r="H14" s="23">
        <v>5792.196697682868</v>
      </c>
      <c r="I14" s="23">
        <v>3500.5325871986133</v>
      </c>
      <c r="J14" s="23">
        <v>17.387569098364541</v>
      </c>
      <c r="K14" s="23">
        <v>120.41737988861283</v>
      </c>
      <c r="L14" s="23">
        <v>1.9455147761352789</v>
      </c>
      <c r="M14" s="22">
        <v>0</v>
      </c>
      <c r="N14" s="23">
        <v>5.1744596480492007</v>
      </c>
      <c r="O14" s="23">
        <v>0.67589527369546609</v>
      </c>
      <c r="P14" s="23">
        <v>6.3158620327133219</v>
      </c>
      <c r="Q14" s="23">
        <v>165.32037512142145</v>
      </c>
      <c r="R14" s="28"/>
      <c r="S14" s="23">
        <v>1097.2370031330313</v>
      </c>
      <c r="T14" s="23">
        <v>193.93460501358385</v>
      </c>
      <c r="U14" s="23">
        <v>18.417885892049657</v>
      </c>
      <c r="V14" s="19">
        <v>0</v>
      </c>
      <c r="W14" s="8">
        <f t="shared" si="1"/>
        <v>3</v>
      </c>
      <c r="Y14" s="1" t="str">
        <f t="shared" si="0"/>
        <v>Admin</v>
      </c>
      <c r="AA14" s="23">
        <v>6.7194888629292411</v>
      </c>
      <c r="AB14" s="23">
        <v>0</v>
      </c>
      <c r="AC14" s="28"/>
      <c r="AD14" s="23">
        <v>3621.2135080982716</v>
      </c>
      <c r="AE14" s="23">
        <v>811.10889932591101</v>
      </c>
      <c r="AF14" s="23">
        <v>69.944996934692512</v>
      </c>
      <c r="AG14" s="23">
        <v>0</v>
      </c>
      <c r="AH14" s="23">
        <v>0.35789808165145259</v>
      </c>
      <c r="AI14" s="23">
        <v>2.1918765127907105</v>
      </c>
      <c r="AJ14" s="23">
        <v>39.407442830386408</v>
      </c>
      <c r="AK14" s="23">
        <v>2.5616199215787536</v>
      </c>
      <c r="AL14" s="23">
        <v>18.611434672654038</v>
      </c>
      <c r="AM14" s="19">
        <v>0</v>
      </c>
      <c r="AN14" s="19">
        <v>0</v>
      </c>
      <c r="AO14" s="19">
        <v>0</v>
      </c>
      <c r="AP14" s="19">
        <v>0</v>
      </c>
      <c r="AQ14" s="19">
        <v>0</v>
      </c>
    </row>
    <row r="15" spans="2:43" x14ac:dyDescent="0.2">
      <c r="B15" s="8">
        <f>MAX(B$12:B14)+1</f>
        <v>4</v>
      </c>
      <c r="D15" s="1" t="s">
        <v>64</v>
      </c>
      <c r="F15" s="24">
        <f>SUM(F12:F14)</f>
        <v>155.08039454821119</v>
      </c>
      <c r="G15" s="28"/>
      <c r="H15" s="25">
        <f>SUM(H12:H14)</f>
        <v>1392.7727477987355</v>
      </c>
      <c r="I15" s="25">
        <f t="shared" ref="I15:Q15" si="3">SUM(I12:I14)</f>
        <v>-492.55839215549986</v>
      </c>
      <c r="J15" s="25">
        <f t="shared" si="3"/>
        <v>1.1842849019427568</v>
      </c>
      <c r="K15" s="25">
        <f t="shared" si="3"/>
        <v>-442.16549778729188</v>
      </c>
      <c r="L15" s="25">
        <f t="shared" si="3"/>
        <v>-148.00271694627861</v>
      </c>
      <c r="M15" s="25">
        <f t="shared" si="3"/>
        <v>0</v>
      </c>
      <c r="N15" s="25">
        <f t="shared" si="3"/>
        <v>-14.686646272525959</v>
      </c>
      <c r="O15" s="25">
        <f t="shared" si="3"/>
        <v>-5.2521473849258733</v>
      </c>
      <c r="P15" s="25">
        <f t="shared" si="3"/>
        <v>-115.63293040196118</v>
      </c>
      <c r="Q15" s="25">
        <f t="shared" si="3"/>
        <v>46.736665830402757</v>
      </c>
      <c r="R15" s="28"/>
      <c r="S15" s="25">
        <f t="shared" ref="S15:AB15" si="4">SUM(S12:S14)</f>
        <v>273.58701045058751</v>
      </c>
      <c r="T15" s="25">
        <f t="shared" si="4"/>
        <v>-55.69575810436811</v>
      </c>
      <c r="U15" s="25">
        <f t="shared" si="4"/>
        <v>-50.645799400215779</v>
      </c>
      <c r="V15" s="25">
        <f t="shared" si="4"/>
        <v>-93.039910887461929</v>
      </c>
      <c r="W15" s="8">
        <f t="shared" si="1"/>
        <v>4</v>
      </c>
      <c r="Y15" s="1" t="str">
        <f t="shared" si="0"/>
        <v>Total Gas Supply Revenue Requirement</v>
      </c>
      <c r="AA15" s="25">
        <f t="shared" si="4"/>
        <v>4.5681005307935187</v>
      </c>
      <c r="AB15" s="25">
        <f t="shared" si="4"/>
        <v>0</v>
      </c>
      <c r="AC15" s="28"/>
      <c r="AD15" s="25">
        <f t="shared" ref="AD15:AQ15" si="5">SUM(AD12:AD14)</f>
        <v>967.51815619747595</v>
      </c>
      <c r="AE15" s="25">
        <f t="shared" si="5"/>
        <v>-194.98884239824008</v>
      </c>
      <c r="AF15" s="25">
        <f t="shared" si="5"/>
        <v>-313.18607463075512</v>
      </c>
      <c r="AG15" s="25">
        <f t="shared" si="5"/>
        <v>-8.9790108150655315E-2</v>
      </c>
      <c r="AH15" s="25">
        <f t="shared" si="5"/>
        <v>-2.8446985177431947</v>
      </c>
      <c r="AI15" s="25">
        <f t="shared" si="5"/>
        <v>-18.589927927034431</v>
      </c>
      <c r="AJ15" s="25">
        <f t="shared" si="5"/>
        <v>-494.17825783023596</v>
      </c>
      <c r="AK15" s="25">
        <f t="shared" si="5"/>
        <v>-26.109321887800448</v>
      </c>
      <c r="AL15" s="25">
        <f t="shared" si="5"/>
        <v>-31.359246602359466</v>
      </c>
      <c r="AM15" s="25">
        <f t="shared" si="5"/>
        <v>-2.2339865722541838</v>
      </c>
      <c r="AN15" s="25">
        <f t="shared" si="5"/>
        <v>-0.21295988635624297</v>
      </c>
      <c r="AO15" s="25">
        <f t="shared" si="5"/>
        <v>-28.162873242183689</v>
      </c>
      <c r="AP15" s="25">
        <f t="shared" si="5"/>
        <v>-0.23694044266709341</v>
      </c>
      <c r="AQ15" s="25">
        <f t="shared" si="5"/>
        <v>-1.4138517754150399</v>
      </c>
    </row>
    <row r="16" spans="2:43" x14ac:dyDescent="0.2">
      <c r="F16" s="19"/>
      <c r="G16" s="28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28"/>
      <c r="S16" s="19"/>
      <c r="T16" s="19"/>
      <c r="U16" s="19"/>
      <c r="V16" s="19"/>
      <c r="AA16" s="19"/>
      <c r="AB16" s="19"/>
      <c r="AC16" s="28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</row>
    <row r="17" spans="2:43" x14ac:dyDescent="0.2">
      <c r="D17" s="2" t="s">
        <v>65</v>
      </c>
      <c r="F17" s="19"/>
      <c r="G17" s="28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28"/>
      <c r="S17" s="19"/>
      <c r="T17" s="19"/>
      <c r="U17" s="19"/>
      <c r="V17" s="19"/>
      <c r="Y17" s="2" t="str">
        <f t="shared" ref="Y17:Y21" si="6">D17</f>
        <v>Storage Revenue Requirement</v>
      </c>
      <c r="AA17" s="19"/>
      <c r="AB17" s="19"/>
      <c r="AC17" s="28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</row>
    <row r="18" spans="2:43" x14ac:dyDescent="0.2">
      <c r="B18" s="8">
        <f>MAX(B$12:B17)+1</f>
        <v>5</v>
      </c>
      <c r="D18" s="1" t="s">
        <v>66</v>
      </c>
      <c r="F18" s="19">
        <f>SUM(H18:V18, AA18:AQ18)</f>
        <v>103457.49960175293</v>
      </c>
      <c r="G18" s="28"/>
      <c r="H18" s="26">
        <v>30957.291994583265</v>
      </c>
      <c r="I18" s="26">
        <v>26905.610584724556</v>
      </c>
      <c r="J18" s="21">
        <v>72.14010585420364</v>
      </c>
      <c r="K18" s="21">
        <v>1965.8964299807435</v>
      </c>
      <c r="L18" s="21">
        <v>72.504490389309652</v>
      </c>
      <c r="M18" s="19">
        <v>0</v>
      </c>
      <c r="N18" s="26">
        <v>0</v>
      </c>
      <c r="O18" s="21">
        <v>0</v>
      </c>
      <c r="P18" s="21">
        <v>0</v>
      </c>
      <c r="Q18" s="21">
        <v>583.21035360945928</v>
      </c>
      <c r="R18" s="28"/>
      <c r="S18" s="27">
        <v>5550.7038486764468</v>
      </c>
      <c r="T18" s="27">
        <v>1569.1362466359703</v>
      </c>
      <c r="U18" s="27">
        <v>221.90569933163601</v>
      </c>
      <c r="V18" s="21">
        <v>239.06447035542328</v>
      </c>
      <c r="W18" s="8">
        <f t="shared" ref="W18:W21" si="7">B18</f>
        <v>5</v>
      </c>
      <c r="Y18" s="1" t="str">
        <f t="shared" si="6"/>
        <v>Storage Demand - Deliverability</v>
      </c>
      <c r="AA18" s="26">
        <v>0</v>
      </c>
      <c r="AB18" s="19">
        <v>0</v>
      </c>
      <c r="AC18" s="28"/>
      <c r="AD18" s="26">
        <v>17564.427412309702</v>
      </c>
      <c r="AE18" s="26">
        <v>6262.968265398471</v>
      </c>
      <c r="AF18" s="21">
        <v>1960.9738645487346</v>
      </c>
      <c r="AG18" s="26">
        <v>0</v>
      </c>
      <c r="AH18" s="21">
        <v>18.978490724164523</v>
      </c>
      <c r="AI18" s="26">
        <v>0</v>
      </c>
      <c r="AJ18" s="21">
        <v>3256.4885104885466</v>
      </c>
      <c r="AK18" s="26">
        <v>0</v>
      </c>
      <c r="AL18" s="21">
        <v>196.99828036602312</v>
      </c>
      <c r="AM18" s="27">
        <v>685.47934810760557</v>
      </c>
      <c r="AN18" s="27">
        <v>0</v>
      </c>
      <c r="AO18" s="27">
        <v>4276.1371350638365</v>
      </c>
      <c r="AP18" s="27">
        <v>0</v>
      </c>
      <c r="AQ18" s="27">
        <v>1097.5840706048389</v>
      </c>
    </row>
    <row r="19" spans="2:43" x14ac:dyDescent="0.2">
      <c r="B19" s="8">
        <f>MAX(B$12:B18)+1</f>
        <v>6</v>
      </c>
      <c r="D19" s="1" t="s">
        <v>67</v>
      </c>
      <c r="F19" s="19">
        <f t="shared" ref="F19:F20" si="8">SUM(H19:V19, AA19:AQ19)</f>
        <v>79076.800922747629</v>
      </c>
      <c r="G19" s="28"/>
      <c r="H19" s="26">
        <v>24578.184159976834</v>
      </c>
      <c r="I19" s="26">
        <v>19886.356663564224</v>
      </c>
      <c r="J19" s="21">
        <v>78.664835607159176</v>
      </c>
      <c r="K19" s="21">
        <v>1678.8458132512242</v>
      </c>
      <c r="L19" s="21">
        <v>216.22440745169487</v>
      </c>
      <c r="M19" s="19">
        <v>0</v>
      </c>
      <c r="N19" s="26">
        <v>0</v>
      </c>
      <c r="O19" s="21">
        <v>41.043881256197935</v>
      </c>
      <c r="P19" s="21">
        <v>185.23179849990811</v>
      </c>
      <c r="Q19" s="21">
        <v>712.64907556934077</v>
      </c>
      <c r="R19" s="28"/>
      <c r="S19" s="27">
        <v>4886.4615544477765</v>
      </c>
      <c r="T19" s="27">
        <v>1213.883337205192</v>
      </c>
      <c r="U19" s="27">
        <v>166.04232727334218</v>
      </c>
      <c r="V19" s="21">
        <v>180.32195057010577</v>
      </c>
      <c r="W19" s="8">
        <f t="shared" si="7"/>
        <v>6</v>
      </c>
      <c r="Y19" s="1" t="str">
        <f t="shared" si="6"/>
        <v>Storage Demand - Space</v>
      </c>
      <c r="AA19" s="26">
        <v>0</v>
      </c>
      <c r="AB19" s="19">
        <v>0</v>
      </c>
      <c r="AC19" s="28"/>
      <c r="AD19" s="26">
        <v>15464.811209885396</v>
      </c>
      <c r="AE19" s="26">
        <v>4654.5630793714126</v>
      </c>
      <c r="AF19" s="21">
        <v>956.82706166990079</v>
      </c>
      <c r="AG19" s="26">
        <v>2.061047475570184</v>
      </c>
      <c r="AH19" s="21">
        <v>3.7960990564872992</v>
      </c>
      <c r="AI19" s="26">
        <v>0</v>
      </c>
      <c r="AJ19" s="21">
        <v>1314.6485754198704</v>
      </c>
      <c r="AK19" s="26">
        <v>136.59040687099417</v>
      </c>
      <c r="AL19" s="21">
        <v>133.17091128548418</v>
      </c>
      <c r="AM19" s="27">
        <v>272.44560800990564</v>
      </c>
      <c r="AN19" s="27">
        <v>0</v>
      </c>
      <c r="AO19" s="27">
        <v>1725.6274037940896</v>
      </c>
      <c r="AP19" s="27">
        <v>0</v>
      </c>
      <c r="AQ19" s="27">
        <v>588.34971523552792</v>
      </c>
    </row>
    <row r="20" spans="2:43" x14ac:dyDescent="0.2">
      <c r="B20" s="8">
        <f>MAX(B$12:B19)+1</f>
        <v>7</v>
      </c>
      <c r="D20" s="1" t="s">
        <v>68</v>
      </c>
      <c r="F20" s="19">
        <f t="shared" si="8"/>
        <v>6613.7659440764082</v>
      </c>
      <c r="G20" s="28"/>
      <c r="H20" s="26">
        <v>2045.5370771922462</v>
      </c>
      <c r="I20" s="26">
        <v>1807.0584001049335</v>
      </c>
      <c r="J20" s="21">
        <v>1.9279566980881546</v>
      </c>
      <c r="K20" s="21">
        <v>55.449573073136953</v>
      </c>
      <c r="L20" s="21">
        <v>13.00617631606552</v>
      </c>
      <c r="M20" s="21">
        <v>15.73806982884358</v>
      </c>
      <c r="N20" s="26">
        <v>1.0559209442238249</v>
      </c>
      <c r="O20" s="21">
        <v>0.79527573672556007</v>
      </c>
      <c r="P20" s="21">
        <v>8.4029720637552998</v>
      </c>
      <c r="Q20" s="21">
        <v>15.638304583538943</v>
      </c>
      <c r="R20" s="28"/>
      <c r="S20" s="26">
        <v>403.56691353774812</v>
      </c>
      <c r="T20" s="26">
        <v>117.06626312521448</v>
      </c>
      <c r="U20" s="21">
        <f>21.5103242030497+5.42006755961461</f>
        <v>26.930391762664307</v>
      </c>
      <c r="V20" s="19">
        <v>0</v>
      </c>
      <c r="W20" s="8">
        <f t="shared" si="7"/>
        <v>7</v>
      </c>
      <c r="Y20" s="1" t="str">
        <f t="shared" si="6"/>
        <v>Storage Demand - Operational Contingency</v>
      </c>
      <c r="AA20" s="26">
        <v>2.4195662547411994</v>
      </c>
      <c r="AB20" s="21">
        <v>20.534197556870101</v>
      </c>
      <c r="AC20" s="28"/>
      <c r="AD20" s="26">
        <v>1301.514870047165</v>
      </c>
      <c r="AE20" s="26">
        <v>461.09053078959897</v>
      </c>
      <c r="AF20" s="21">
        <v>34.107039426795161</v>
      </c>
      <c r="AG20" s="26">
        <v>2.9422635959175575E-2</v>
      </c>
      <c r="AH20" s="21">
        <v>0.22853565329289349</v>
      </c>
      <c r="AI20" s="26">
        <v>1.0509020585585727</v>
      </c>
      <c r="AJ20" s="21">
        <v>46.098882252396052</v>
      </c>
      <c r="AK20" s="26">
        <v>3.0988372574920531</v>
      </c>
      <c r="AL20" s="21">
        <v>4.6821782774057921</v>
      </c>
      <c r="AM20" s="21">
        <v>18.617576508642358</v>
      </c>
      <c r="AN20" s="26">
        <v>0</v>
      </c>
      <c r="AO20" s="21">
        <v>184.23130022607631</v>
      </c>
      <c r="AP20" s="26">
        <v>0</v>
      </c>
      <c r="AQ20" s="21">
        <v>23.888810164229408</v>
      </c>
    </row>
    <row r="21" spans="2:43" x14ac:dyDescent="0.2">
      <c r="B21" s="8">
        <f>MAX(B$12:B20)+1</f>
        <v>8</v>
      </c>
      <c r="D21" s="1" t="s">
        <v>69</v>
      </c>
      <c r="F21" s="24">
        <f>SUM(F18:F20)</f>
        <v>189148.06646857696</v>
      </c>
      <c r="G21" s="28"/>
      <c r="H21" s="25">
        <f>SUM(H18:H20)</f>
        <v>57581.013231752346</v>
      </c>
      <c r="I21" s="25">
        <f t="shared" ref="I21:Q21" si="9">SUM(I18:I20)</f>
        <v>48599.025648393719</v>
      </c>
      <c r="J21" s="25">
        <f t="shared" si="9"/>
        <v>152.732898159451</v>
      </c>
      <c r="K21" s="25">
        <f t="shared" si="9"/>
        <v>3700.1918163051046</v>
      </c>
      <c r="L21" s="25">
        <f t="shared" si="9"/>
        <v>301.73507415707007</v>
      </c>
      <c r="M21" s="25">
        <f t="shared" si="9"/>
        <v>15.73806982884358</v>
      </c>
      <c r="N21" s="25">
        <f t="shared" si="9"/>
        <v>1.0559209442238249</v>
      </c>
      <c r="O21" s="25">
        <f t="shared" si="9"/>
        <v>41.839156992923492</v>
      </c>
      <c r="P21" s="25">
        <f t="shared" si="9"/>
        <v>193.63477056366341</v>
      </c>
      <c r="Q21" s="25">
        <f t="shared" si="9"/>
        <v>1311.4977337623388</v>
      </c>
      <c r="R21" s="28"/>
      <c r="S21" s="25">
        <f t="shared" ref="S21:AB21" si="10">SUM(S18:S20)</f>
        <v>10840.732316661972</v>
      </c>
      <c r="T21" s="25">
        <f t="shared" si="10"/>
        <v>2900.0858469663767</v>
      </c>
      <c r="U21" s="25">
        <f t="shared" si="10"/>
        <v>414.8784183676425</v>
      </c>
      <c r="V21" s="25">
        <f t="shared" si="10"/>
        <v>419.38642092552902</v>
      </c>
      <c r="W21" s="8">
        <f t="shared" si="7"/>
        <v>8</v>
      </c>
      <c r="Y21" s="1" t="str">
        <f t="shared" si="6"/>
        <v>Total Storage Revenue Requirement</v>
      </c>
      <c r="AA21" s="25">
        <f t="shared" si="10"/>
        <v>2.4195662547411994</v>
      </c>
      <c r="AB21" s="25">
        <f t="shared" si="10"/>
        <v>20.534197556870101</v>
      </c>
      <c r="AC21" s="28"/>
      <c r="AD21" s="25">
        <f t="shared" ref="AD21:AQ21" si="11">SUM(AD18:AD20)</f>
        <v>34330.753492242264</v>
      </c>
      <c r="AE21" s="25">
        <f t="shared" si="11"/>
        <v>11378.621875559482</v>
      </c>
      <c r="AF21" s="25">
        <f t="shared" si="11"/>
        <v>2951.9079656454305</v>
      </c>
      <c r="AG21" s="25">
        <f t="shared" si="11"/>
        <v>2.0904701115293594</v>
      </c>
      <c r="AH21" s="25">
        <f t="shared" si="11"/>
        <v>23.003125433944717</v>
      </c>
      <c r="AI21" s="25">
        <f t="shared" si="11"/>
        <v>1.0509020585585727</v>
      </c>
      <c r="AJ21" s="25">
        <f t="shared" si="11"/>
        <v>4617.2359681608132</v>
      </c>
      <c r="AK21" s="25">
        <f t="shared" si="11"/>
        <v>139.68924412848622</v>
      </c>
      <c r="AL21" s="25">
        <f t="shared" si="11"/>
        <v>334.85136992891307</v>
      </c>
      <c r="AM21" s="25">
        <f t="shared" si="11"/>
        <v>976.54253262615362</v>
      </c>
      <c r="AN21" s="25">
        <f t="shared" si="11"/>
        <v>0</v>
      </c>
      <c r="AO21" s="25">
        <f t="shared" si="11"/>
        <v>6185.995839084002</v>
      </c>
      <c r="AP21" s="25">
        <f t="shared" si="11"/>
        <v>0</v>
      </c>
      <c r="AQ21" s="25">
        <f t="shared" si="11"/>
        <v>1709.8225960045963</v>
      </c>
    </row>
    <row r="22" spans="2:43" x14ac:dyDescent="0.2">
      <c r="F22" s="28"/>
      <c r="G22" s="28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28"/>
      <c r="S22" s="19"/>
      <c r="T22" s="19"/>
      <c r="U22" s="19"/>
      <c r="V22" s="19"/>
      <c r="AA22" s="19"/>
      <c r="AB22" s="19"/>
      <c r="AC22" s="28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</row>
    <row r="23" spans="2:43" x14ac:dyDescent="0.2">
      <c r="D23" s="2" t="s">
        <v>70</v>
      </c>
      <c r="F23" s="28"/>
      <c r="G23" s="28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28"/>
      <c r="S23" s="19"/>
      <c r="T23" s="19"/>
      <c r="U23" s="19"/>
      <c r="V23" s="19"/>
      <c r="Y23" s="2" t="str">
        <f t="shared" ref="Y23:Y30" si="12">D23</f>
        <v>Transmission Revenue Requirement</v>
      </c>
      <c r="AA23" s="19"/>
      <c r="AB23" s="19"/>
      <c r="AC23" s="28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</row>
    <row r="24" spans="2:43" x14ac:dyDescent="0.2">
      <c r="B24" s="8">
        <f>MAX(B$12:B23)+1</f>
        <v>9</v>
      </c>
      <c r="D24" s="1" t="s">
        <v>71</v>
      </c>
      <c r="F24" s="19">
        <f>SUM(H24:V24, AA24:AQ24)</f>
        <v>7973.5120639963206</v>
      </c>
      <c r="G24" s="28"/>
      <c r="H24" s="26">
        <v>2106.7470893259174</v>
      </c>
      <c r="I24" s="26">
        <v>1880.0455366087137</v>
      </c>
      <c r="J24" s="21">
        <v>6.6311952043151869</v>
      </c>
      <c r="K24" s="21">
        <v>215.72248937026356</v>
      </c>
      <c r="L24" s="21">
        <v>45.336134953058426</v>
      </c>
      <c r="M24" s="19">
        <v>0</v>
      </c>
      <c r="N24" s="26">
        <v>0.75168387683802063</v>
      </c>
      <c r="O24" s="19">
        <v>0</v>
      </c>
      <c r="P24" s="19">
        <v>0</v>
      </c>
      <c r="Q24" s="21">
        <v>50.018758580098122</v>
      </c>
      <c r="R24" s="28"/>
      <c r="S24" s="20">
        <v>387.81938040857733</v>
      </c>
      <c r="T24" s="20">
        <v>114.49135209521377</v>
      </c>
      <c r="U24" s="27">
        <v>25.959055142714686</v>
      </c>
      <c r="V24" s="21">
        <v>12.957109203178225</v>
      </c>
      <c r="W24" s="8">
        <f t="shared" ref="W24:W30" si="13">B24</f>
        <v>9</v>
      </c>
      <c r="Y24" s="1" t="str">
        <f t="shared" si="12"/>
        <v>Transmission Demand - Dawn Station</v>
      </c>
      <c r="AA24" s="19">
        <v>0</v>
      </c>
      <c r="AB24" s="19">
        <v>0</v>
      </c>
      <c r="AC24" s="28"/>
      <c r="AD24" s="26">
        <v>1240.9053700420229</v>
      </c>
      <c r="AE24" s="26">
        <v>459.79166278422559</v>
      </c>
      <c r="AF24" s="21">
        <v>163.67084409375906</v>
      </c>
      <c r="AG24" s="19">
        <v>0</v>
      </c>
      <c r="AH24" s="21">
        <v>1.4378046152982122</v>
      </c>
      <c r="AI24" s="19">
        <v>0</v>
      </c>
      <c r="AJ24" s="21">
        <v>242.09803041193001</v>
      </c>
      <c r="AK24" s="19">
        <v>0</v>
      </c>
      <c r="AL24" s="21">
        <v>19.764124503975093</v>
      </c>
      <c r="AM24" s="21">
        <v>67.14549260284025</v>
      </c>
      <c r="AN24" s="19">
        <v>0</v>
      </c>
      <c r="AO24" s="21">
        <v>848.10558620420977</v>
      </c>
      <c r="AP24" s="19">
        <v>0</v>
      </c>
      <c r="AQ24" s="21">
        <v>84.113363969171758</v>
      </c>
    </row>
    <row r="25" spans="2:43" x14ac:dyDescent="0.2">
      <c r="B25" s="8">
        <f>MAX(B$12:B24)+1</f>
        <v>10</v>
      </c>
      <c r="D25" s="1" t="s">
        <v>72</v>
      </c>
      <c r="F25" s="19">
        <f t="shared" ref="F25:F29" si="14">SUM(H25:V25, AA25:AQ25)</f>
        <v>218.11231022759057</v>
      </c>
      <c r="G25" s="28"/>
      <c r="H25" s="26">
        <v>60.450246771300435</v>
      </c>
      <c r="I25" s="26">
        <v>53.945353576181894</v>
      </c>
      <c r="J25" s="21">
        <v>0.19027314124249095</v>
      </c>
      <c r="K25" s="21">
        <v>6.1898638819167155</v>
      </c>
      <c r="L25" s="21">
        <v>1.3008588261281269</v>
      </c>
      <c r="M25" s="19">
        <v>0</v>
      </c>
      <c r="N25" s="26">
        <v>2.1568548061174791E-2</v>
      </c>
      <c r="O25" s="19">
        <v>0</v>
      </c>
      <c r="P25" s="19">
        <v>0</v>
      </c>
      <c r="Q25" s="21">
        <v>1.4352203521156826</v>
      </c>
      <c r="R25" s="28"/>
      <c r="S25" s="20">
        <v>11.127950463143867</v>
      </c>
      <c r="T25" s="20">
        <v>3.285173869422549</v>
      </c>
      <c r="U25" s="27">
        <v>0.74485983499281605</v>
      </c>
      <c r="V25" s="21">
        <v>0</v>
      </c>
      <c r="W25" s="8">
        <f t="shared" si="13"/>
        <v>10</v>
      </c>
      <c r="Y25" s="1" t="str">
        <f t="shared" si="12"/>
        <v>Transmission Demand - Kirkwall Station</v>
      </c>
      <c r="AA25" s="19">
        <v>0</v>
      </c>
      <c r="AB25" s="19">
        <v>0</v>
      </c>
      <c r="AC25" s="28"/>
      <c r="AD25" s="26">
        <v>35.60609444718569</v>
      </c>
      <c r="AE25" s="26">
        <v>13.193097367746322</v>
      </c>
      <c r="AF25" s="21">
        <v>4.6963126067023442</v>
      </c>
      <c r="AG25" s="19">
        <v>0</v>
      </c>
      <c r="AH25" s="21">
        <v>4.1255850901164154E-2</v>
      </c>
      <c r="AI25" s="19">
        <v>0</v>
      </c>
      <c r="AJ25" s="21">
        <v>6.9466742141932158</v>
      </c>
      <c r="AK25" s="19">
        <v>0</v>
      </c>
      <c r="AL25" s="21">
        <v>0.5671047130134047</v>
      </c>
      <c r="AM25" s="21">
        <v>1.2342741275496165</v>
      </c>
      <c r="AN25" s="19">
        <v>0</v>
      </c>
      <c r="AO25" s="21">
        <v>15.589948660796299</v>
      </c>
      <c r="AP25" s="19">
        <v>0</v>
      </c>
      <c r="AQ25" s="21">
        <v>1.5461789749967711</v>
      </c>
    </row>
    <row r="26" spans="2:43" x14ac:dyDescent="0.2">
      <c r="B26" s="8">
        <f>MAX(B$12:B25)+1</f>
        <v>11</v>
      </c>
      <c r="D26" s="1" t="s">
        <v>73</v>
      </c>
      <c r="F26" s="19">
        <f t="shared" si="14"/>
        <v>22980.338142387929</v>
      </c>
      <c r="G26" s="28"/>
      <c r="H26" s="26">
        <v>6927.9477819022068</v>
      </c>
      <c r="I26" s="26">
        <v>6182.4494127536509</v>
      </c>
      <c r="J26" s="21">
        <v>21.806402078284236</v>
      </c>
      <c r="K26" s="21">
        <v>709.39418846774333</v>
      </c>
      <c r="L26" s="21">
        <v>149.08594257916192</v>
      </c>
      <c r="M26" s="19">
        <v>0</v>
      </c>
      <c r="N26" s="26">
        <v>2.471880309514451</v>
      </c>
      <c r="O26" s="19">
        <v>0</v>
      </c>
      <c r="P26" s="19">
        <v>0</v>
      </c>
      <c r="Q26" s="21">
        <v>164.48455028807896</v>
      </c>
      <c r="R26" s="28"/>
      <c r="S26" s="20">
        <v>1275.3274609435757</v>
      </c>
      <c r="T26" s="20">
        <v>376.49991914730157</v>
      </c>
      <c r="U26" s="27">
        <v>85.365243605861821</v>
      </c>
      <c r="V26" s="21">
        <v>88.760595432766721</v>
      </c>
      <c r="W26" s="8">
        <f t="shared" si="13"/>
        <v>11</v>
      </c>
      <c r="Y26" s="1" t="str">
        <f t="shared" si="12"/>
        <v>Transmission Demand - Parkway Station</v>
      </c>
      <c r="AA26" s="19">
        <v>0</v>
      </c>
      <c r="AB26" s="19">
        <v>0</v>
      </c>
      <c r="AC26" s="28"/>
      <c r="AD26" s="26">
        <v>4080.6642854714346</v>
      </c>
      <c r="AE26" s="26">
        <v>1512.0052361588023</v>
      </c>
      <c r="AF26" s="21">
        <v>538.22457714382222</v>
      </c>
      <c r="AG26" s="19">
        <v>0</v>
      </c>
      <c r="AH26" s="21">
        <v>4.7281590399876503</v>
      </c>
      <c r="AI26" s="19">
        <v>0</v>
      </c>
      <c r="AJ26" s="21">
        <v>796.12902815585721</v>
      </c>
      <c r="AK26" s="19">
        <v>0</v>
      </c>
      <c r="AL26" s="21">
        <v>64.993478909879144</v>
      </c>
      <c r="AM26" s="21">
        <v>0</v>
      </c>
      <c r="AN26" s="19">
        <v>0</v>
      </c>
      <c r="AO26" s="21">
        <v>0</v>
      </c>
      <c r="AP26" s="19">
        <v>0</v>
      </c>
      <c r="AQ26" s="21">
        <v>0</v>
      </c>
    </row>
    <row r="27" spans="2:43" x14ac:dyDescent="0.2">
      <c r="B27" s="8">
        <f>MAX(B$12:B26)+1</f>
        <v>12</v>
      </c>
      <c r="D27" s="1" t="s">
        <v>74</v>
      </c>
      <c r="F27" s="19">
        <f t="shared" si="14"/>
        <v>172693.26777583949</v>
      </c>
      <c r="G27" s="28"/>
      <c r="H27" s="26">
        <v>46854.112776776812</v>
      </c>
      <c r="I27" s="26">
        <v>41812.26405582716</v>
      </c>
      <c r="J27" s="21">
        <v>147.47796236292302</v>
      </c>
      <c r="K27" s="21">
        <v>4797.6740524062589</v>
      </c>
      <c r="L27" s="21">
        <v>1008.2768789458416</v>
      </c>
      <c r="M27" s="19">
        <v>0</v>
      </c>
      <c r="N27" s="26">
        <v>16.717469940410545</v>
      </c>
      <c r="O27" s="19">
        <v>0</v>
      </c>
      <c r="P27" s="19">
        <v>0</v>
      </c>
      <c r="Q27" s="21">
        <v>1112.4185562378786</v>
      </c>
      <c r="R27" s="28"/>
      <c r="S27" s="20">
        <v>8625.113607014513</v>
      </c>
      <c r="T27" s="20">
        <v>2546.290795992611</v>
      </c>
      <c r="U27" s="27">
        <v>577.33009500655817</v>
      </c>
      <c r="V27" s="21">
        <v>309.08618207111925</v>
      </c>
      <c r="W27" s="8">
        <f t="shared" si="13"/>
        <v>12</v>
      </c>
      <c r="Y27" s="1" t="str">
        <f t="shared" si="12"/>
        <v>Transmission Demand - Dawn-Parkway</v>
      </c>
      <c r="AA27" s="19">
        <v>0</v>
      </c>
      <c r="AB27" s="19">
        <v>0</v>
      </c>
      <c r="AC27" s="28"/>
      <c r="AD27" s="26">
        <v>27597.769304079146</v>
      </c>
      <c r="AE27" s="26">
        <v>10225.77913175466</v>
      </c>
      <c r="AF27" s="21">
        <v>3640.0440405463814</v>
      </c>
      <c r="AG27" s="19">
        <v>0</v>
      </c>
      <c r="AH27" s="21">
        <v>31.976813893549817</v>
      </c>
      <c r="AI27" s="19">
        <v>0</v>
      </c>
      <c r="AJ27" s="21">
        <v>5384.2668051747733</v>
      </c>
      <c r="AK27" s="19">
        <v>0</v>
      </c>
      <c r="AL27" s="21">
        <v>439.55466849122502</v>
      </c>
      <c r="AM27" s="21">
        <v>1180.3027119536505</v>
      </c>
      <c r="AN27" s="19">
        <v>0</v>
      </c>
      <c r="AO27" s="21">
        <v>14908.243049772875</v>
      </c>
      <c r="AP27" s="19">
        <v>0</v>
      </c>
      <c r="AQ27" s="21">
        <v>1478.568817591166</v>
      </c>
    </row>
    <row r="28" spans="2:43" x14ac:dyDescent="0.2">
      <c r="B28" s="8">
        <f>MAX(B$12:B27)+1</f>
        <v>13</v>
      </c>
      <c r="D28" s="1" t="s">
        <v>75</v>
      </c>
      <c r="F28" s="19">
        <f t="shared" si="14"/>
        <v>14473.407855814863</v>
      </c>
      <c r="G28" s="28"/>
      <c r="H28" s="26">
        <v>4380.2579199962438</v>
      </c>
      <c r="I28" s="26">
        <v>3908.9098038430579</v>
      </c>
      <c r="J28" s="21">
        <v>13.787295807792706</v>
      </c>
      <c r="K28" s="21">
        <v>448.52091994001165</v>
      </c>
      <c r="L28" s="21">
        <v>94.260941522739842</v>
      </c>
      <c r="M28" s="19">
        <v>0</v>
      </c>
      <c r="N28" s="26">
        <v>1.5628687807546577</v>
      </c>
      <c r="O28" s="19">
        <v>0</v>
      </c>
      <c r="P28" s="19">
        <v>0</v>
      </c>
      <c r="Q28" s="21">
        <v>103.99685113079107</v>
      </c>
      <c r="R28" s="28"/>
      <c r="S28" s="20">
        <v>806.33737251596006</v>
      </c>
      <c r="T28" s="20">
        <v>238.04549408282361</v>
      </c>
      <c r="U28" s="27">
        <v>53.972950745064246</v>
      </c>
      <c r="V28" s="21">
        <v>0</v>
      </c>
      <c r="W28" s="8">
        <f t="shared" si="13"/>
        <v>13</v>
      </c>
      <c r="Y28" s="1" t="str">
        <f t="shared" si="12"/>
        <v>Transmission Demand - Parkway-Albion</v>
      </c>
      <c r="AA28" s="19">
        <v>0</v>
      </c>
      <c r="AB28" s="19">
        <v>0</v>
      </c>
      <c r="AC28" s="28"/>
      <c r="AD28" s="26">
        <v>2580.0370640747383</v>
      </c>
      <c r="AE28" s="26">
        <v>955.97904592489783</v>
      </c>
      <c r="AF28" s="21">
        <v>340.29737824085328</v>
      </c>
      <c r="AG28" s="19">
        <v>0</v>
      </c>
      <c r="AH28" s="21">
        <v>2.9894215045918315</v>
      </c>
      <c r="AI28" s="19">
        <v>0</v>
      </c>
      <c r="AJ28" s="21">
        <v>503.35981024976934</v>
      </c>
      <c r="AK28" s="19">
        <v>0</v>
      </c>
      <c r="AL28" s="21">
        <v>41.092717454769861</v>
      </c>
      <c r="AM28" s="21">
        <v>0</v>
      </c>
      <c r="AN28" s="19">
        <v>0</v>
      </c>
      <c r="AO28" s="21">
        <v>0</v>
      </c>
      <c r="AP28" s="19">
        <v>0</v>
      </c>
      <c r="AQ28" s="21">
        <v>0</v>
      </c>
    </row>
    <row r="29" spans="2:43" x14ac:dyDescent="0.2">
      <c r="B29" s="8">
        <f>MAX(B$12:B28)+1</f>
        <v>14</v>
      </c>
      <c r="D29" s="1" t="s">
        <v>76</v>
      </c>
      <c r="F29" s="19">
        <f t="shared" si="14"/>
        <v>83346.589718586896</v>
      </c>
      <c r="G29" s="28"/>
      <c r="H29" s="26">
        <v>15961.812136034121</v>
      </c>
      <c r="I29" s="26">
        <v>14244.203214795714</v>
      </c>
      <c r="J29" s="21">
        <v>50.241385226034069</v>
      </c>
      <c r="K29" s="21">
        <v>1634.4258246714855</v>
      </c>
      <c r="L29" s="21">
        <v>343.49014780229243</v>
      </c>
      <c r="M29" s="19">
        <v>0</v>
      </c>
      <c r="N29" s="26">
        <v>5.6951481687406993</v>
      </c>
      <c r="O29" s="19">
        <v>0</v>
      </c>
      <c r="P29" s="19">
        <v>0</v>
      </c>
      <c r="Q29" s="21">
        <v>378.96814087381836</v>
      </c>
      <c r="R29" s="28"/>
      <c r="S29" s="20">
        <v>2938.3214170123924</v>
      </c>
      <c r="T29" s="20">
        <v>867.44605586666262</v>
      </c>
      <c r="U29" s="27">
        <v>196.67930883414218</v>
      </c>
      <c r="V29" s="21">
        <v>0</v>
      </c>
      <c r="W29" s="8">
        <f t="shared" si="13"/>
        <v>14</v>
      </c>
      <c r="Y29" s="1" t="str">
        <f t="shared" si="12"/>
        <v>Transmission Demand - Panhandle St. Clair</v>
      </c>
      <c r="AA29" s="19">
        <v>0</v>
      </c>
      <c r="AB29" s="19">
        <v>0</v>
      </c>
      <c r="AC29" s="28"/>
      <c r="AD29" s="26">
        <v>9401.7447540626345</v>
      </c>
      <c r="AE29" s="26">
        <v>3483.6208770673124</v>
      </c>
      <c r="AF29" s="21">
        <v>1240.0554764295944</v>
      </c>
      <c r="AG29" s="19">
        <v>0</v>
      </c>
      <c r="AH29" s="21">
        <v>10.893555887173923</v>
      </c>
      <c r="AI29" s="19">
        <v>0</v>
      </c>
      <c r="AJ29" s="21">
        <v>1834.2606473829496</v>
      </c>
      <c r="AK29" s="19">
        <v>0</v>
      </c>
      <c r="AL29" s="21">
        <v>149.74329095505163</v>
      </c>
      <c r="AM29" s="21">
        <v>2056.2939104757584</v>
      </c>
      <c r="AN29" s="19">
        <v>0</v>
      </c>
      <c r="AO29" s="21">
        <v>25972.768755566787</v>
      </c>
      <c r="AP29" s="19">
        <v>0</v>
      </c>
      <c r="AQ29" s="21">
        <v>2575.9256714742264</v>
      </c>
    </row>
    <row r="30" spans="2:43" x14ac:dyDescent="0.2">
      <c r="B30" s="8">
        <f>MAX(B$12:B29)+1</f>
        <v>15</v>
      </c>
      <c r="D30" s="1" t="s">
        <v>77</v>
      </c>
      <c r="F30" s="24">
        <f>SUM(F24:F29)</f>
        <v>301685.22786685312</v>
      </c>
      <c r="G30" s="28"/>
      <c r="H30" s="24">
        <f t="shared" ref="H30:Q30" si="15">SUM(H24:H29)</f>
        <v>76291.327950806604</v>
      </c>
      <c r="I30" s="24">
        <f t="shared" si="15"/>
        <v>68081.817377404484</v>
      </c>
      <c r="J30" s="24">
        <f t="shared" si="15"/>
        <v>240.13451382059174</v>
      </c>
      <c r="K30" s="24">
        <f t="shared" si="15"/>
        <v>7811.9273387376788</v>
      </c>
      <c r="L30" s="24">
        <f t="shared" si="15"/>
        <v>1641.7509046292225</v>
      </c>
      <c r="M30" s="24">
        <f t="shared" si="15"/>
        <v>0</v>
      </c>
      <c r="N30" s="24">
        <f t="shared" si="15"/>
        <v>27.220619624319546</v>
      </c>
      <c r="O30" s="24">
        <f t="shared" si="15"/>
        <v>0</v>
      </c>
      <c r="P30" s="24">
        <f t="shared" si="15"/>
        <v>0</v>
      </c>
      <c r="Q30" s="24">
        <f t="shared" si="15"/>
        <v>1811.322077462781</v>
      </c>
      <c r="R30" s="28"/>
      <c r="S30" s="24">
        <f t="shared" ref="S30:AB30" si="16">SUM(S24:S29)</f>
        <v>14044.047188358161</v>
      </c>
      <c r="T30" s="24">
        <f t="shared" si="16"/>
        <v>4146.0587910540353</v>
      </c>
      <c r="U30" s="24">
        <f t="shared" si="16"/>
        <v>940.05151316933393</v>
      </c>
      <c r="V30" s="24">
        <f t="shared" si="16"/>
        <v>410.80388670706418</v>
      </c>
      <c r="W30" s="8">
        <f t="shared" si="13"/>
        <v>15</v>
      </c>
      <c r="Y30" s="1" t="str">
        <f t="shared" si="12"/>
        <v>Total Transmission Revenue Requirement</v>
      </c>
      <c r="AA30" s="24">
        <f t="shared" si="16"/>
        <v>0</v>
      </c>
      <c r="AB30" s="24">
        <f t="shared" si="16"/>
        <v>0</v>
      </c>
      <c r="AC30" s="28"/>
      <c r="AD30" s="24">
        <f t="shared" ref="AD30:AQ30" si="17">SUM(AD24:AD29)</f>
        <v>44936.726872177154</v>
      </c>
      <c r="AE30" s="24">
        <f t="shared" si="17"/>
        <v>16650.369051057645</v>
      </c>
      <c r="AF30" s="24">
        <f t="shared" si="17"/>
        <v>5926.9886290611121</v>
      </c>
      <c r="AG30" s="24">
        <f t="shared" si="17"/>
        <v>0</v>
      </c>
      <c r="AH30" s="24">
        <f t="shared" si="17"/>
        <v>52.067010791502604</v>
      </c>
      <c r="AI30" s="24">
        <f t="shared" si="17"/>
        <v>0</v>
      </c>
      <c r="AJ30" s="24">
        <f t="shared" si="17"/>
        <v>8767.0609955894724</v>
      </c>
      <c r="AK30" s="24">
        <f t="shared" si="17"/>
        <v>0</v>
      </c>
      <c r="AL30" s="24">
        <f t="shared" si="17"/>
        <v>715.71538502791418</v>
      </c>
      <c r="AM30" s="24">
        <f t="shared" si="17"/>
        <v>3304.9763891597986</v>
      </c>
      <c r="AN30" s="24">
        <f t="shared" si="17"/>
        <v>0</v>
      </c>
      <c r="AO30" s="24">
        <f t="shared" si="17"/>
        <v>41744.707340204666</v>
      </c>
      <c r="AP30" s="24">
        <f t="shared" si="17"/>
        <v>0</v>
      </c>
      <c r="AQ30" s="24">
        <f t="shared" si="17"/>
        <v>4140.154032009561</v>
      </c>
    </row>
    <row r="31" spans="2:43" x14ac:dyDescent="0.2">
      <c r="F31" s="28"/>
      <c r="G31" s="28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28"/>
      <c r="S31" s="19"/>
      <c r="T31" s="19"/>
      <c r="U31" s="19"/>
      <c r="V31" s="19"/>
      <c r="AA31" s="19"/>
      <c r="AB31" s="19"/>
      <c r="AC31" s="28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  <c r="AQ31" s="19"/>
    </row>
    <row r="32" spans="2:43" x14ac:dyDescent="0.2">
      <c r="D32" s="2" t="s">
        <v>78</v>
      </c>
      <c r="F32" s="28"/>
      <c r="G32" s="28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28"/>
      <c r="S32" s="19"/>
      <c r="T32" s="19"/>
      <c r="U32" s="19"/>
      <c r="V32" s="19"/>
      <c r="Y32" s="2" t="str">
        <f t="shared" ref="Y32:Y45" si="18">D32</f>
        <v>Distribution Revenue Requirement</v>
      </c>
      <c r="AA32" s="19"/>
      <c r="AB32" s="19"/>
      <c r="AC32" s="28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19"/>
      <c r="AQ32" s="19"/>
    </row>
    <row r="33" spans="2:43" x14ac:dyDescent="0.2">
      <c r="B33" s="8">
        <f>MAX(B$12:B32)+1</f>
        <v>16</v>
      </c>
      <c r="D33" s="1" t="s">
        <v>79</v>
      </c>
      <c r="F33" s="19">
        <f>SUM(H33:V33, AA33:AQ33)</f>
        <v>259345.08215671167</v>
      </c>
      <c r="G33" s="28"/>
      <c r="H33" s="26">
        <v>60838.38458551441</v>
      </c>
      <c r="I33" s="26">
        <v>54291.724893792467</v>
      </c>
      <c r="J33" s="21">
        <v>191.49484347019057</v>
      </c>
      <c r="K33" s="21">
        <v>6229.6076441961095</v>
      </c>
      <c r="L33" s="21">
        <v>1309.2113561564086</v>
      </c>
      <c r="M33" s="21">
        <v>10682.844189342759</v>
      </c>
      <c r="N33" s="26">
        <v>21.707034991292801</v>
      </c>
      <c r="O33" s="21">
        <v>0</v>
      </c>
      <c r="P33" s="21">
        <v>0</v>
      </c>
      <c r="Q33" s="21">
        <v>1444.4355881178303</v>
      </c>
      <c r="R33" s="28"/>
      <c r="S33" s="26">
        <v>11199.400599415218</v>
      </c>
      <c r="T33" s="26">
        <v>3341.2595878641737</v>
      </c>
      <c r="U33" s="21">
        <v>8778.4277997570134</v>
      </c>
      <c r="V33" s="19">
        <v>0</v>
      </c>
      <c r="W33" s="8">
        <f t="shared" ref="W33:W45" si="19">B33</f>
        <v>16</v>
      </c>
      <c r="Y33" s="1" t="str">
        <f t="shared" si="18"/>
        <v>Distribution Demand - High Pressure &gt; 4"</v>
      </c>
      <c r="AA33" s="26">
        <v>0</v>
      </c>
      <c r="AB33" s="21">
        <v>3920.0735288003843</v>
      </c>
      <c r="AC33" s="28"/>
      <c r="AD33" s="26">
        <v>35834.713392675068</v>
      </c>
      <c r="AE33" s="26">
        <v>13277.807360650115</v>
      </c>
      <c r="AF33" s="21">
        <v>4726.4666028791871</v>
      </c>
      <c r="AG33" s="26">
        <v>0</v>
      </c>
      <c r="AH33" s="21">
        <v>41.520745697258164</v>
      </c>
      <c r="AI33" s="26">
        <v>0</v>
      </c>
      <c r="AJ33" s="21">
        <v>6991.277290103797</v>
      </c>
      <c r="AK33" s="26">
        <v>0</v>
      </c>
      <c r="AL33" s="21">
        <v>570.74596835140562</v>
      </c>
      <c r="AM33" s="21">
        <v>2395.5264871017853</v>
      </c>
      <c r="AN33" s="26">
        <v>0</v>
      </c>
      <c r="AO33" s="21">
        <v>30257.569299971623</v>
      </c>
      <c r="AP33" s="26">
        <v>0</v>
      </c>
      <c r="AQ33" s="21">
        <v>3000.8833578631106</v>
      </c>
    </row>
    <row r="34" spans="2:43" x14ac:dyDescent="0.2">
      <c r="B34" s="8">
        <f>MAX(B$12:B33)+1</f>
        <v>17</v>
      </c>
      <c r="D34" s="1" t="s">
        <v>80</v>
      </c>
      <c r="F34" s="19">
        <f t="shared" ref="F34:F38" si="20">SUM(H34:V34, AA34:AQ34)</f>
        <v>49653.563421865147</v>
      </c>
      <c r="G34" s="28"/>
      <c r="H34" s="26">
        <v>15588.369792507287</v>
      </c>
      <c r="I34" s="26">
        <v>13910.946026647438</v>
      </c>
      <c r="J34" s="21">
        <v>45.247962890678409</v>
      </c>
      <c r="K34" s="21">
        <v>969.56156162597483</v>
      </c>
      <c r="L34" s="21">
        <v>35.052780432868971</v>
      </c>
      <c r="M34" s="21">
        <v>0</v>
      </c>
      <c r="N34" s="26">
        <v>3.8832065881383682</v>
      </c>
      <c r="O34" s="21">
        <v>0</v>
      </c>
      <c r="P34" s="21">
        <v>0</v>
      </c>
      <c r="Q34" s="21">
        <v>0</v>
      </c>
      <c r="R34" s="28"/>
      <c r="S34" s="26">
        <v>2869.5764883882148</v>
      </c>
      <c r="T34" s="26">
        <v>856.11724215288552</v>
      </c>
      <c r="U34" s="21">
        <v>230.85117293246242</v>
      </c>
      <c r="V34" s="19">
        <v>0</v>
      </c>
      <c r="W34" s="8">
        <f t="shared" si="19"/>
        <v>17</v>
      </c>
      <c r="Y34" s="1" t="str">
        <f t="shared" si="18"/>
        <v>Distribution Demand - High Pressure &lt;= 4"</v>
      </c>
      <c r="AA34" s="26">
        <v>0</v>
      </c>
      <c r="AB34" s="21">
        <v>38.852022510159983</v>
      </c>
      <c r="AC34" s="28"/>
      <c r="AD34" s="26">
        <v>9181.7816593791631</v>
      </c>
      <c r="AE34" s="26">
        <v>3402.1181295594561</v>
      </c>
      <c r="AF34" s="21">
        <v>960.06043745749935</v>
      </c>
      <c r="AG34" s="26">
        <v>0</v>
      </c>
      <c r="AH34" s="21">
        <v>10.638690399146851</v>
      </c>
      <c r="AI34" s="26">
        <v>0</v>
      </c>
      <c r="AJ34" s="21">
        <v>932.65876198403862</v>
      </c>
      <c r="AK34" s="26">
        <v>0</v>
      </c>
      <c r="AL34" s="21">
        <v>63.743712492658624</v>
      </c>
      <c r="AM34" s="21">
        <v>421.61655680097891</v>
      </c>
      <c r="AN34" s="26">
        <v>0</v>
      </c>
      <c r="AO34" s="21">
        <v>132.48721711610409</v>
      </c>
      <c r="AP34" s="26">
        <v>0</v>
      </c>
      <c r="AQ34" s="21">
        <v>0</v>
      </c>
    </row>
    <row r="35" spans="2:43" x14ac:dyDescent="0.2">
      <c r="B35" s="8">
        <f>MAX(B$12:B34)+1</f>
        <v>18</v>
      </c>
      <c r="D35" s="1" t="s">
        <v>81</v>
      </c>
      <c r="F35" s="19">
        <f t="shared" si="20"/>
        <v>504952.03069765016</v>
      </c>
      <c r="G35" s="28"/>
      <c r="H35" s="26">
        <v>161423.33955487359</v>
      </c>
      <c r="I35" s="26">
        <v>144052.99552672767</v>
      </c>
      <c r="J35" s="21">
        <v>338.85933950893678</v>
      </c>
      <c r="K35" s="21">
        <v>8306.0386219039101</v>
      </c>
      <c r="L35" s="21">
        <v>327.13230439661464</v>
      </c>
      <c r="M35" s="21">
        <v>0</v>
      </c>
      <c r="N35" s="26">
        <v>24.719633534384339</v>
      </c>
      <c r="O35" s="21">
        <v>51.132797122305604</v>
      </c>
      <c r="P35" s="21">
        <v>254.10704389789399</v>
      </c>
      <c r="Q35" s="21">
        <v>0</v>
      </c>
      <c r="R35" s="28"/>
      <c r="S35" s="26">
        <v>29715.526769606306</v>
      </c>
      <c r="T35" s="26">
        <v>8865.4109517759316</v>
      </c>
      <c r="U35" s="21">
        <v>321.69059546417355</v>
      </c>
      <c r="V35" s="19">
        <v>0</v>
      </c>
      <c r="W35" s="8">
        <f t="shared" si="19"/>
        <v>18</v>
      </c>
      <c r="Y35" s="1" t="str">
        <f t="shared" si="18"/>
        <v>Distribution Demand - Low Pressure</v>
      </c>
      <c r="AA35" s="26">
        <v>2652.7939888238611</v>
      </c>
      <c r="AB35" s="21">
        <v>0</v>
      </c>
      <c r="AC35" s="28"/>
      <c r="AD35" s="26">
        <v>95080.747906884149</v>
      </c>
      <c r="AE35" s="26">
        <v>35230.19259509979</v>
      </c>
      <c r="AF35" s="21">
        <v>7768.599749403129</v>
      </c>
      <c r="AG35" s="26">
        <v>2.6428812794971748</v>
      </c>
      <c r="AH35" s="21">
        <v>85.680451803457572</v>
      </c>
      <c r="AI35" s="26">
        <v>49.578577195727306</v>
      </c>
      <c r="AJ35" s="21">
        <v>6461.5776595747793</v>
      </c>
      <c r="AK35" s="26">
        <v>93.421461489784605</v>
      </c>
      <c r="AL35" s="21">
        <v>0</v>
      </c>
      <c r="AM35" s="21">
        <v>2471.0221588064437</v>
      </c>
      <c r="AN35" s="26">
        <v>17.743374596505078</v>
      </c>
      <c r="AO35" s="21">
        <v>806.41779578133207</v>
      </c>
      <c r="AP35" s="26">
        <v>550.6589580999713</v>
      </c>
      <c r="AQ35" s="21">
        <v>0</v>
      </c>
    </row>
    <row r="36" spans="2:43" x14ac:dyDescent="0.2">
      <c r="B36" s="8">
        <f>MAX(B$12:B35)+1</f>
        <v>19</v>
      </c>
      <c r="D36" s="9" t="s">
        <v>82</v>
      </c>
      <c r="F36" s="19">
        <f t="shared" si="20"/>
        <v>144347.57149315687</v>
      </c>
      <c r="G36" s="28"/>
      <c r="H36" s="26">
        <v>56893.312697637433</v>
      </c>
      <c r="I36" s="26">
        <v>23192.688405700643</v>
      </c>
      <c r="J36" s="21">
        <v>184.73747524735788</v>
      </c>
      <c r="K36" s="21">
        <v>1664.9070491573086</v>
      </c>
      <c r="L36" s="21">
        <v>714.84768900906147</v>
      </c>
      <c r="M36" s="21">
        <v>139.25157143873889</v>
      </c>
      <c r="N36" s="26">
        <v>661.02361534366526</v>
      </c>
      <c r="O36" s="21">
        <v>233.43877489657126</v>
      </c>
      <c r="P36" s="21">
        <v>262.02972680496083</v>
      </c>
      <c r="Q36" s="21">
        <v>33.69032795198293</v>
      </c>
      <c r="R36" s="28"/>
      <c r="S36" s="26">
        <v>5301.3007105267361</v>
      </c>
      <c r="T36" s="26">
        <v>1252.0740772384988</v>
      </c>
      <c r="U36" s="21">
        <v>931.12032184095222</v>
      </c>
      <c r="V36" s="19">
        <v>0</v>
      </c>
      <c r="W36" s="8">
        <f t="shared" si="19"/>
        <v>19</v>
      </c>
      <c r="Y36" s="9" t="str">
        <f t="shared" si="18"/>
        <v>Distribution Demand Specific - DSM Program</v>
      </c>
      <c r="AA36" s="26">
        <v>62.982296081059019</v>
      </c>
      <c r="AB36" s="21">
        <v>717.18715307386015</v>
      </c>
      <c r="AC36" s="28"/>
      <c r="AD36" s="26">
        <v>36345.932515774402</v>
      </c>
      <c r="AE36" s="26">
        <v>5198.7408015945784</v>
      </c>
      <c r="AF36" s="21">
        <v>3793.5025278462781</v>
      </c>
      <c r="AG36" s="26">
        <v>1.5208841282015346</v>
      </c>
      <c r="AH36" s="21">
        <v>21.666346437717859</v>
      </c>
      <c r="AI36" s="26">
        <v>270.89598092565882</v>
      </c>
      <c r="AJ36" s="21">
        <v>2601.8623555395016</v>
      </c>
      <c r="AK36" s="26">
        <v>277.0471742652548</v>
      </c>
      <c r="AL36" s="21">
        <v>14.128103887367409</v>
      </c>
      <c r="AM36" s="21">
        <v>627.82817381424832</v>
      </c>
      <c r="AN36" s="26">
        <v>59.849158543427983</v>
      </c>
      <c r="AO36" s="21">
        <v>2777.7372495714553</v>
      </c>
      <c r="AP36" s="26">
        <v>23.36971401556125</v>
      </c>
      <c r="AQ36" s="21">
        <v>88.898614864400031</v>
      </c>
    </row>
    <row r="37" spans="2:43" x14ac:dyDescent="0.2">
      <c r="B37" s="8">
        <f>MAX(B$12:B36)+1</f>
        <v>20</v>
      </c>
      <c r="D37" s="9" t="s">
        <v>83</v>
      </c>
      <c r="F37" s="19">
        <f t="shared" si="20"/>
        <v>65422.060839956328</v>
      </c>
      <c r="G37" s="28"/>
      <c r="H37" s="26">
        <v>20276.909027180536</v>
      </c>
      <c r="I37" s="26">
        <v>14530.559136573671</v>
      </c>
      <c r="J37" s="21">
        <v>160.62767767512051</v>
      </c>
      <c r="K37" s="21">
        <v>1327.0525182947517</v>
      </c>
      <c r="L37" s="21">
        <v>606.0340539672037</v>
      </c>
      <c r="M37" s="21">
        <v>58.833957148176601</v>
      </c>
      <c r="N37" s="26">
        <v>584.79880339478666</v>
      </c>
      <c r="O37" s="21">
        <v>152.23502783639321</v>
      </c>
      <c r="P37" s="21">
        <v>188.82142713917</v>
      </c>
      <c r="Q37" s="21">
        <v>14.23420425748648</v>
      </c>
      <c r="R37" s="28"/>
      <c r="S37" s="26">
        <v>2119.7668367147412</v>
      </c>
      <c r="T37" s="26">
        <v>693.66542635716553</v>
      </c>
      <c r="U37" s="21">
        <v>690.65823152451696</v>
      </c>
      <c r="V37" s="19">
        <v>0</v>
      </c>
      <c r="W37" s="8">
        <f t="shared" si="19"/>
        <v>20</v>
      </c>
      <c r="Y37" s="9" t="str">
        <f t="shared" si="18"/>
        <v>Distribution Demand Specific - DSM Admin</v>
      </c>
      <c r="AA37" s="26">
        <v>26.610096176594748</v>
      </c>
      <c r="AB37" s="21">
        <v>314.41241829820427</v>
      </c>
      <c r="AC37" s="28"/>
      <c r="AD37" s="26">
        <v>12907.97049617077</v>
      </c>
      <c r="AE37" s="26">
        <v>3264.3736867573948</v>
      </c>
      <c r="AF37" s="21">
        <v>3147.8428903140762</v>
      </c>
      <c r="AG37" s="26">
        <v>1.262027441607843</v>
      </c>
      <c r="AH37" s="21">
        <v>14.448306405820546</v>
      </c>
      <c r="AI37" s="26">
        <v>180.64827624585425</v>
      </c>
      <c r="AJ37" s="21">
        <v>2158.0240019598546</v>
      </c>
      <c r="AK37" s="26">
        <v>229.78711785681836</v>
      </c>
      <c r="AL37" s="21">
        <v>5.9691409591024778</v>
      </c>
      <c r="AM37" s="21">
        <v>455.19624824241248</v>
      </c>
      <c r="AN37" s="26">
        <v>43.392624870469739</v>
      </c>
      <c r="AO37" s="21">
        <v>1220.1024182065198</v>
      </c>
      <c r="AP37" s="26">
        <v>10.264989817730271</v>
      </c>
      <c r="AQ37" s="21">
        <v>37.559772169359817</v>
      </c>
    </row>
    <row r="38" spans="2:43" x14ac:dyDescent="0.2">
      <c r="B38" s="8">
        <f>MAX(B$12:B37)+1</f>
        <v>21</v>
      </c>
      <c r="D38" s="1" t="s">
        <v>84</v>
      </c>
      <c r="F38" s="19">
        <f t="shared" si="20"/>
        <v>358236.27763321943</v>
      </c>
      <c r="G38" s="28"/>
      <c r="H38" s="29">
        <v>197527.08521656567</v>
      </c>
      <c r="I38" s="29">
        <v>15816.976916736598</v>
      </c>
      <c r="J38" s="29">
        <v>1.2811504681091532</v>
      </c>
      <c r="K38" s="29">
        <v>38.068471052386265</v>
      </c>
      <c r="L38" s="29">
        <v>2.0132364498858122</v>
      </c>
      <c r="M38" s="29">
        <v>0.36604299088832948</v>
      </c>
      <c r="N38" s="29">
        <v>3.7519406566053775</v>
      </c>
      <c r="O38" s="29">
        <v>0.45755373861041188</v>
      </c>
      <c r="P38" s="29">
        <v>1.0066182249429061</v>
      </c>
      <c r="Q38" s="29">
        <v>9.151074772208237E-2</v>
      </c>
      <c r="R38" s="28"/>
      <c r="S38" s="29">
        <v>33782.900722230857</v>
      </c>
      <c r="T38" s="29">
        <v>201.68968797946954</v>
      </c>
      <c r="U38" s="29">
        <v>5.6736663587691067</v>
      </c>
      <c r="V38" s="19">
        <v>0</v>
      </c>
      <c r="W38" s="8">
        <f t="shared" si="19"/>
        <v>21</v>
      </c>
      <c r="Y38" s="1" t="str">
        <f t="shared" si="18"/>
        <v>Distribution Customer - Mains</v>
      </c>
      <c r="AA38" s="29">
        <v>0.36604299088832948</v>
      </c>
      <c r="AB38" s="29">
        <v>1.0981289726649885</v>
      </c>
      <c r="AC38" s="28"/>
      <c r="AD38" s="29">
        <v>110077.07354338119</v>
      </c>
      <c r="AE38" s="29">
        <v>738.40022336948277</v>
      </c>
      <c r="AF38" s="21">
        <v>20.589918237468535</v>
      </c>
      <c r="AG38" s="29">
        <v>0</v>
      </c>
      <c r="AH38" s="29">
        <v>0.64057523405457661</v>
      </c>
      <c r="AI38" s="29">
        <v>2.7453224316624709</v>
      </c>
      <c r="AJ38" s="21">
        <v>5.2161126201586949</v>
      </c>
      <c r="AK38" s="26">
        <v>0.36604299088832948</v>
      </c>
      <c r="AL38" s="21">
        <v>0.36604299088832948</v>
      </c>
      <c r="AM38" s="29">
        <v>4.2094943952157893</v>
      </c>
      <c r="AN38" s="19">
        <v>0</v>
      </c>
      <c r="AO38" s="29">
        <v>3.7519406566053775</v>
      </c>
      <c r="AP38" s="19">
        <v>0</v>
      </c>
      <c r="AQ38" s="29">
        <v>9.151074772208237E-2</v>
      </c>
    </row>
    <row r="39" spans="2:43" x14ac:dyDescent="0.2">
      <c r="B39" s="8">
        <f>MAX(B$12:B38)+1</f>
        <v>22</v>
      </c>
      <c r="D39" s="1" t="s">
        <v>85</v>
      </c>
      <c r="F39" s="19">
        <f>SUM(H39:V39, AA39:AQ39)</f>
        <v>567353.16469575721</v>
      </c>
      <c r="G39" s="28"/>
      <c r="H39" s="29">
        <v>312831.56929597072</v>
      </c>
      <c r="I39" s="29">
        <v>25049.980892270487</v>
      </c>
      <c r="J39" s="29">
        <v>2.029009393843078</v>
      </c>
      <c r="K39" s="29">
        <v>60.290564845622889</v>
      </c>
      <c r="L39" s="29">
        <v>3.1884433331819793</v>
      </c>
      <c r="M39" s="29">
        <v>0.57971696966945085</v>
      </c>
      <c r="N39" s="29">
        <v>5.9420989391118715</v>
      </c>
      <c r="O39" s="29">
        <v>0.72464621208681357</v>
      </c>
      <c r="P39" s="29">
        <v>1.5942216665909896</v>
      </c>
      <c r="Q39" s="29">
        <v>0.14492924241736271</v>
      </c>
      <c r="R39" s="28"/>
      <c r="S39" s="29">
        <v>53503.335184227908</v>
      </c>
      <c r="T39" s="29">
        <v>319.42405028786737</v>
      </c>
      <c r="U39" s="29">
        <v>8.9856130298764878</v>
      </c>
      <c r="V39" s="19">
        <v>0</v>
      </c>
      <c r="W39" s="8">
        <f t="shared" si="19"/>
        <v>22</v>
      </c>
      <c r="Y39" s="1" t="str">
        <f t="shared" si="18"/>
        <v>Distribution Customer - Services</v>
      </c>
      <c r="AA39" s="29">
        <v>0.57971696966945085</v>
      </c>
      <c r="AB39" s="29">
        <v>1.7391509090083526</v>
      </c>
      <c r="AC39" s="28"/>
      <c r="AD39" s="29">
        <v>174333.47746882043</v>
      </c>
      <c r="AE39" s="29">
        <v>1169.4340570656998</v>
      </c>
      <c r="AF39" s="21">
        <v>32.60907954390661</v>
      </c>
      <c r="AG39" s="29">
        <v>0</v>
      </c>
      <c r="AH39" s="29">
        <v>1.014504696921539</v>
      </c>
      <c r="AI39" s="29">
        <v>4.347877272520881</v>
      </c>
      <c r="AJ39" s="21">
        <v>8.260966817789674</v>
      </c>
      <c r="AK39" s="26">
        <v>0.57971696966945085</v>
      </c>
      <c r="AL39" s="21">
        <v>0.57971696966945085</v>
      </c>
      <c r="AM39" s="29">
        <v>6.6667451511986844</v>
      </c>
      <c r="AN39" s="19">
        <v>0</v>
      </c>
      <c r="AO39" s="29">
        <v>5.9420989391118715</v>
      </c>
      <c r="AP39" s="19">
        <v>0</v>
      </c>
      <c r="AQ39" s="29">
        <v>0.14492924241736271</v>
      </c>
    </row>
    <row r="40" spans="2:43" x14ac:dyDescent="0.2">
      <c r="B40" s="8">
        <f>MAX(B$12:B39)+1</f>
        <v>23</v>
      </c>
      <c r="D40" s="1" t="s">
        <v>86</v>
      </c>
      <c r="F40" s="19">
        <f t="shared" ref="F40:F44" si="21">SUM(H40:V40, AA40:AQ40)</f>
        <v>300858.91350519541</v>
      </c>
      <c r="G40" s="28"/>
      <c r="H40" s="29">
        <v>130924.06778272106</v>
      </c>
      <c r="I40" s="29">
        <v>46947.338078469256</v>
      </c>
      <c r="J40" s="29">
        <v>84.580553141050856</v>
      </c>
      <c r="K40" s="29">
        <v>1031.1267972506823</v>
      </c>
      <c r="L40" s="29">
        <v>174.84637483034155</v>
      </c>
      <c r="M40" s="29">
        <v>45.144027525801839</v>
      </c>
      <c r="N40" s="29">
        <v>293.38729391871834</v>
      </c>
      <c r="O40" s="29">
        <v>25.977988616966861</v>
      </c>
      <c r="P40" s="29">
        <v>115.69139435106084</v>
      </c>
      <c r="Q40" s="29">
        <v>0</v>
      </c>
      <c r="R40" s="28"/>
      <c r="S40" s="29">
        <v>25324.387814275986</v>
      </c>
      <c r="T40" s="29">
        <v>1587.9708711906917</v>
      </c>
      <c r="U40" s="29">
        <v>292.32367313375505</v>
      </c>
      <c r="V40" s="19">
        <v>0</v>
      </c>
      <c r="W40" s="8">
        <f t="shared" si="19"/>
        <v>23</v>
      </c>
      <c r="Y40" s="1" t="str">
        <f t="shared" si="18"/>
        <v>Distribution Customer - Meters</v>
      </c>
      <c r="AA40" s="29">
        <v>11.509994952082833</v>
      </c>
      <c r="AB40" s="29">
        <v>186.5546756830698</v>
      </c>
      <c r="AC40" s="28"/>
      <c r="AD40" s="29">
        <v>83518.12626999784</v>
      </c>
      <c r="AE40" s="29">
        <v>7262.5765359648858</v>
      </c>
      <c r="AF40" s="21">
        <v>976.47867972536994</v>
      </c>
      <c r="AG40" s="29">
        <v>0</v>
      </c>
      <c r="AH40" s="29">
        <v>39.601849659857329</v>
      </c>
      <c r="AI40" s="29">
        <v>169.72221282795996</v>
      </c>
      <c r="AJ40" s="21">
        <v>601.31725812119419</v>
      </c>
      <c r="AK40" s="26">
        <v>42.197702324294333</v>
      </c>
      <c r="AL40" s="21">
        <v>23.280016677381205</v>
      </c>
      <c r="AM40" s="29">
        <v>392.27267046663599</v>
      </c>
      <c r="AN40" s="19">
        <v>0</v>
      </c>
      <c r="AO40" s="29">
        <v>765.86097560649648</v>
      </c>
      <c r="AP40" s="19">
        <v>0</v>
      </c>
      <c r="AQ40" s="29">
        <v>22.572013762900919</v>
      </c>
    </row>
    <row r="41" spans="2:43" x14ac:dyDescent="0.2">
      <c r="B41" s="8">
        <f>MAX(B$12:B40)+1</f>
        <v>24</v>
      </c>
      <c r="D41" s="1" t="s">
        <v>87</v>
      </c>
      <c r="F41" s="19">
        <f t="shared" si="21"/>
        <v>49972.77810994997</v>
      </c>
      <c r="G41" s="28"/>
      <c r="H41" s="29">
        <v>0</v>
      </c>
      <c r="I41" s="29">
        <v>13838.234851764697</v>
      </c>
      <c r="J41" s="29">
        <v>36.96233579527221</v>
      </c>
      <c r="K41" s="29">
        <v>1492.1277092045111</v>
      </c>
      <c r="L41" s="29">
        <v>187.89458494258042</v>
      </c>
      <c r="M41" s="29">
        <v>494.62937872229008</v>
      </c>
      <c r="N41" s="29">
        <v>216.29602764458221</v>
      </c>
      <c r="O41" s="29">
        <v>144.92827834554893</v>
      </c>
      <c r="P41" s="29">
        <v>56.964726534683074</v>
      </c>
      <c r="Q41" s="29">
        <v>0</v>
      </c>
      <c r="R41" s="28"/>
      <c r="S41" s="29">
        <v>1602.0050561060314</v>
      </c>
      <c r="T41" s="29">
        <v>2282.2313766246079</v>
      </c>
      <c r="U41" s="29">
        <v>710.51047972830429</v>
      </c>
      <c r="V41" s="19">
        <v>0</v>
      </c>
      <c r="W41" s="8">
        <f t="shared" si="19"/>
        <v>24</v>
      </c>
      <c r="Y41" s="1" t="str">
        <f t="shared" si="18"/>
        <v>Distribution Customer - Stations</v>
      </c>
      <c r="AA41" s="29">
        <v>9.350613711497072</v>
      </c>
      <c r="AB41" s="29">
        <v>261.94454186657333</v>
      </c>
      <c r="AC41" s="28"/>
      <c r="AD41" s="29">
        <v>9199.5320529043238</v>
      </c>
      <c r="AE41" s="29">
        <v>11731.673881466455</v>
      </c>
      <c r="AF41" s="21">
        <v>754.91871429546768</v>
      </c>
      <c r="AG41" s="29">
        <v>0</v>
      </c>
      <c r="AH41" s="29">
        <v>37.855534192226365</v>
      </c>
      <c r="AI41" s="29">
        <v>162.23800368097011</v>
      </c>
      <c r="AJ41" s="21">
        <v>1844.9744590058165</v>
      </c>
      <c r="AK41" s="26">
        <v>129.47189186005727</v>
      </c>
      <c r="AL41" s="21">
        <v>73.159961220532239</v>
      </c>
      <c r="AM41" s="29">
        <v>514.04926815268379</v>
      </c>
      <c r="AN41" s="19">
        <v>0</v>
      </c>
      <c r="AO41" s="29">
        <v>3858.3878995122441</v>
      </c>
      <c r="AP41" s="19">
        <v>0</v>
      </c>
      <c r="AQ41" s="29">
        <v>332.43648266801813</v>
      </c>
    </row>
    <row r="42" spans="2:43" x14ac:dyDescent="0.2">
      <c r="B42" s="8">
        <f>MAX(B$12:B41)+1</f>
        <v>25</v>
      </c>
      <c r="D42" s="9" t="s">
        <v>88</v>
      </c>
      <c r="F42" s="19">
        <f t="shared" si="21"/>
        <v>12503.901685000221</v>
      </c>
      <c r="G42" s="28"/>
      <c r="H42" s="30">
        <v>6194.9606794236561</v>
      </c>
      <c r="I42" s="30">
        <v>496.06133740648784</v>
      </c>
      <c r="J42" s="30">
        <v>17.678299791451089</v>
      </c>
      <c r="K42" s="30">
        <v>525.29805094597521</v>
      </c>
      <c r="L42" s="30">
        <v>27.780185386565996</v>
      </c>
      <c r="M42" s="30">
        <v>5.0509427975574548</v>
      </c>
      <c r="N42" s="30">
        <v>51.772163674963906</v>
      </c>
      <c r="O42" s="30">
        <v>6.3136784969468183</v>
      </c>
      <c r="P42" s="30">
        <v>13.890092693282998</v>
      </c>
      <c r="Q42" s="30">
        <v>1.2627356993893637</v>
      </c>
      <c r="R42" s="28"/>
      <c r="S42" s="30">
        <v>1059.5192116647584</v>
      </c>
      <c r="T42" s="30">
        <v>6.3255106767163172</v>
      </c>
      <c r="U42" s="30">
        <v>78.289613362140543</v>
      </c>
      <c r="V42" s="19">
        <v>0</v>
      </c>
      <c r="W42" s="8">
        <f t="shared" si="19"/>
        <v>25</v>
      </c>
      <c r="Y42" s="9" t="str">
        <f t="shared" si="18"/>
        <v>Distribution Customer Specific - Uncollectible Accounts</v>
      </c>
      <c r="AA42" s="30">
        <v>5.0509427975574548</v>
      </c>
      <c r="AB42" s="30">
        <v>15.152828392672363</v>
      </c>
      <c r="AC42" s="28"/>
      <c r="AD42" s="30">
        <v>3452.3019542338839</v>
      </c>
      <c r="AE42" s="30">
        <v>23.158142309629746</v>
      </c>
      <c r="AF42" s="21">
        <v>284.11553236260681</v>
      </c>
      <c r="AG42" s="30">
        <v>0</v>
      </c>
      <c r="AH42" s="30">
        <v>8.8391498957255443</v>
      </c>
      <c r="AI42" s="30">
        <v>37.882070981680911</v>
      </c>
      <c r="AJ42" s="21">
        <v>71.975934865193736</v>
      </c>
      <c r="AK42" s="26">
        <v>5.0509427975574548</v>
      </c>
      <c r="AL42" s="21">
        <v>5.0509427975574548</v>
      </c>
      <c r="AM42" s="30">
        <v>58.085842171910727</v>
      </c>
      <c r="AN42" s="19">
        <v>0</v>
      </c>
      <c r="AO42" s="30">
        <v>51.772163674963906</v>
      </c>
      <c r="AP42" s="19">
        <v>0</v>
      </c>
      <c r="AQ42" s="30">
        <v>1.2627356993893637</v>
      </c>
    </row>
    <row r="43" spans="2:43" x14ac:dyDescent="0.2">
      <c r="B43" s="8">
        <f>MAX(B$12:B42)+1</f>
        <v>26</v>
      </c>
      <c r="D43" s="9" t="s">
        <v>89</v>
      </c>
      <c r="F43" s="19">
        <f t="shared" si="21"/>
        <v>140192.98549795608</v>
      </c>
      <c r="G43" s="28"/>
      <c r="H43" s="30">
        <v>75844.102134170767</v>
      </c>
      <c r="I43" s="30">
        <v>6073.214776654766</v>
      </c>
      <c r="J43" s="30">
        <v>37.218328698147772</v>
      </c>
      <c r="K43" s="30">
        <v>1105.9160527449626</v>
      </c>
      <c r="L43" s="30">
        <v>58.485945097089356</v>
      </c>
      <c r="M43" s="30">
        <v>10.633808199470792</v>
      </c>
      <c r="N43" s="30">
        <v>108.99653404457563</v>
      </c>
      <c r="O43" s="30">
        <v>13.292260249338494</v>
      </c>
      <c r="P43" s="30">
        <v>29.242972548544678</v>
      </c>
      <c r="Q43" s="30">
        <v>2.658452049867698</v>
      </c>
      <c r="R43" s="28"/>
      <c r="S43" s="30">
        <v>12971.556634657138</v>
      </c>
      <c r="T43" s="30">
        <v>77.44240886130909</v>
      </c>
      <c r="U43" s="30">
        <v>164.82402709179729</v>
      </c>
      <c r="V43" s="19">
        <v>0</v>
      </c>
      <c r="W43" s="8">
        <f t="shared" si="19"/>
        <v>26</v>
      </c>
      <c r="Y43" s="9" t="str">
        <f t="shared" si="18"/>
        <v>Distribution Customer Specific - Distribution Customer Accounting</v>
      </c>
      <c r="AA43" s="30">
        <v>10.633808199470792</v>
      </c>
      <c r="AB43" s="30">
        <v>31.90142459841238</v>
      </c>
      <c r="AC43" s="28"/>
      <c r="AD43" s="30">
        <v>42266.086189149435</v>
      </c>
      <c r="AE43" s="30">
        <v>283.52214024587255</v>
      </c>
      <c r="AF43" s="21">
        <v>598.15171122023219</v>
      </c>
      <c r="AG43" s="30">
        <v>0</v>
      </c>
      <c r="AH43" s="30">
        <v>18.609164349073886</v>
      </c>
      <c r="AI43" s="30">
        <v>79.753561496030954</v>
      </c>
      <c r="AJ43" s="21">
        <v>151.53176684245881</v>
      </c>
      <c r="AK43" s="26">
        <v>10.633808199470792</v>
      </c>
      <c r="AL43" s="21">
        <v>10.633808199470792</v>
      </c>
      <c r="AM43" s="30">
        <v>122.28879429391411</v>
      </c>
      <c r="AN43" s="19">
        <v>0</v>
      </c>
      <c r="AO43" s="30">
        <v>108.99653404457563</v>
      </c>
      <c r="AP43" s="19">
        <v>0</v>
      </c>
      <c r="AQ43" s="30">
        <v>2.658452049867698</v>
      </c>
    </row>
    <row r="44" spans="2:43" x14ac:dyDescent="0.2">
      <c r="B44" s="8">
        <f>MAX(B$12:B43)+1</f>
        <v>27</v>
      </c>
      <c r="D44" s="9" t="s">
        <v>90</v>
      </c>
      <c r="F44" s="19">
        <f t="shared" si="21"/>
        <v>11724.443938772296</v>
      </c>
      <c r="G44" s="28"/>
      <c r="H44" s="30">
        <v>0</v>
      </c>
      <c r="I44" s="30">
        <v>0</v>
      </c>
      <c r="J44" s="30">
        <v>163.00120669594054</v>
      </c>
      <c r="K44" s="30">
        <v>4843.464427536519</v>
      </c>
      <c r="L44" s="30">
        <v>256.1447533793351</v>
      </c>
      <c r="M44" s="30">
        <v>46.571773341697295</v>
      </c>
      <c r="N44" s="30">
        <v>477.36067675239724</v>
      </c>
      <c r="O44" s="30">
        <v>58.214716677121622</v>
      </c>
      <c r="P44" s="30">
        <v>128.07237668966755</v>
      </c>
      <c r="Q44" s="30">
        <v>11.642943335424324</v>
      </c>
      <c r="R44" s="28"/>
      <c r="S44" s="30">
        <v>0</v>
      </c>
      <c r="T44" s="30">
        <v>0</v>
      </c>
      <c r="U44" s="30">
        <v>721.86248679630808</v>
      </c>
      <c r="V44" s="19">
        <v>0</v>
      </c>
      <c r="W44" s="8">
        <f t="shared" si="19"/>
        <v>27</v>
      </c>
      <c r="Y44" s="9" t="str">
        <f t="shared" si="18"/>
        <v>Distribution Customer Specific - Large Volume Customer Care</v>
      </c>
      <c r="AA44" s="30">
        <v>46.571773341697295</v>
      </c>
      <c r="AB44" s="30">
        <v>139.7153200250919</v>
      </c>
      <c r="AC44" s="28"/>
      <c r="AD44" s="30">
        <v>0</v>
      </c>
      <c r="AE44" s="30">
        <v>0</v>
      </c>
      <c r="AF44" s="21">
        <v>2619.6622504704728</v>
      </c>
      <c r="AG44" s="30">
        <v>0</v>
      </c>
      <c r="AH44" s="30">
        <v>81.500603347970269</v>
      </c>
      <c r="AI44" s="30">
        <v>349.28830006272972</v>
      </c>
      <c r="AJ44" s="21">
        <v>663.64777011918648</v>
      </c>
      <c r="AK44" s="26">
        <v>46.571773341697295</v>
      </c>
      <c r="AL44" s="21">
        <v>46.571773341697295</v>
      </c>
      <c r="AM44" s="30">
        <v>535.57539342951895</v>
      </c>
      <c r="AN44" s="19">
        <v>0</v>
      </c>
      <c r="AO44" s="30">
        <v>477.36067675239724</v>
      </c>
      <c r="AP44" s="19">
        <v>0</v>
      </c>
      <c r="AQ44" s="30">
        <v>11.642943335424324</v>
      </c>
    </row>
    <row r="45" spans="2:43" x14ac:dyDescent="0.2">
      <c r="B45" s="8">
        <f>MAX(B$12:B44)+1</f>
        <v>28</v>
      </c>
      <c r="D45" s="1" t="s">
        <v>91</v>
      </c>
      <c r="F45" s="24">
        <f>SUM(F33:F44)</f>
        <v>2464562.7736751912</v>
      </c>
      <c r="G45" s="28"/>
      <c r="H45" s="25">
        <f>SUM(H33:H44)</f>
        <v>1038342.100766565</v>
      </c>
      <c r="I45" s="25">
        <f t="shared" ref="I45:Q45" si="22">SUM(I33:I44)</f>
        <v>358200.72084274422</v>
      </c>
      <c r="J45" s="25">
        <f t="shared" si="22"/>
        <v>1263.7181827760987</v>
      </c>
      <c r="K45" s="25">
        <f t="shared" si="22"/>
        <v>27593.459468758716</v>
      </c>
      <c r="L45" s="25">
        <f t="shared" si="22"/>
        <v>3702.6317073811379</v>
      </c>
      <c r="M45" s="25">
        <f t="shared" si="22"/>
        <v>11483.905408477049</v>
      </c>
      <c r="N45" s="25">
        <f t="shared" si="22"/>
        <v>2453.6390294832222</v>
      </c>
      <c r="O45" s="25">
        <f t="shared" si="22"/>
        <v>686.71572219188999</v>
      </c>
      <c r="P45" s="25">
        <f t="shared" si="22"/>
        <v>1051.4206005507981</v>
      </c>
      <c r="Q45" s="25">
        <f t="shared" si="22"/>
        <v>1508.1606914021208</v>
      </c>
      <c r="R45" s="28"/>
      <c r="S45" s="25">
        <f t="shared" ref="S45:AB45" si="23">SUM(S33:S44)</f>
        <v>179449.2760278139</v>
      </c>
      <c r="T45" s="25">
        <f t="shared" si="23"/>
        <v>19483.61119100932</v>
      </c>
      <c r="U45" s="25">
        <f t="shared" si="23"/>
        <v>12935.217681020067</v>
      </c>
      <c r="V45" s="25">
        <f t="shared" si="23"/>
        <v>0</v>
      </c>
      <c r="W45" s="8">
        <f t="shared" si="19"/>
        <v>28</v>
      </c>
      <c r="Y45" s="1" t="str">
        <f t="shared" si="18"/>
        <v>Total Distribution Revenue Requirement</v>
      </c>
      <c r="AA45" s="25">
        <f t="shared" si="23"/>
        <v>2826.4492740443775</v>
      </c>
      <c r="AB45" s="25">
        <f t="shared" si="23"/>
        <v>5628.6311931301034</v>
      </c>
      <c r="AC45" s="28"/>
      <c r="AD45" s="25">
        <f t="shared" ref="AD45:AQ45" si="24">SUM(AD33:AD44)</f>
        <v>612197.74344937073</v>
      </c>
      <c r="AE45" s="25">
        <f t="shared" si="24"/>
        <v>81581.997554083369</v>
      </c>
      <c r="AF45" s="25">
        <f t="shared" si="24"/>
        <v>25682.99809375569</v>
      </c>
      <c r="AG45" s="25">
        <f t="shared" si="24"/>
        <v>5.4257928493065517</v>
      </c>
      <c r="AH45" s="25">
        <f t="shared" si="24"/>
        <v>362.01592211923048</v>
      </c>
      <c r="AI45" s="25">
        <f t="shared" si="24"/>
        <v>1307.1001831207955</v>
      </c>
      <c r="AJ45" s="25">
        <f t="shared" si="24"/>
        <v>22492.324337553768</v>
      </c>
      <c r="AK45" s="25">
        <f t="shared" si="24"/>
        <v>835.12763209549257</v>
      </c>
      <c r="AL45" s="25">
        <f t="shared" si="24"/>
        <v>814.22918788773086</v>
      </c>
      <c r="AM45" s="25">
        <f t="shared" si="24"/>
        <v>8004.3378328269464</v>
      </c>
      <c r="AN45" s="25">
        <f t="shared" si="24"/>
        <v>120.98515801040281</v>
      </c>
      <c r="AO45" s="25">
        <f t="shared" si="24"/>
        <v>40466.386269833434</v>
      </c>
      <c r="AP45" s="25">
        <f t="shared" si="24"/>
        <v>584.2936619332628</v>
      </c>
      <c r="AQ45" s="25">
        <f t="shared" si="24"/>
        <v>3498.15081240261</v>
      </c>
    </row>
    <row r="46" spans="2:43" x14ac:dyDescent="0.2"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AA46" s="28"/>
      <c r="AB46" s="28"/>
      <c r="AC46" s="28"/>
      <c r="AD46" s="28"/>
      <c r="AE46" s="28"/>
      <c r="AF46" s="28"/>
      <c r="AG46" s="28"/>
      <c r="AH46" s="28"/>
      <c r="AI46" s="28"/>
      <c r="AJ46" s="28"/>
      <c r="AK46" s="28"/>
      <c r="AL46" s="28"/>
      <c r="AM46" s="28"/>
      <c r="AN46" s="28"/>
      <c r="AO46" s="28"/>
      <c r="AP46" s="28"/>
      <c r="AQ46" s="28"/>
    </row>
    <row r="47" spans="2:43" ht="13.5" thickBot="1" x14ac:dyDescent="0.25">
      <c r="B47" s="8">
        <f>MAX(B$12:B46)+1</f>
        <v>29</v>
      </c>
      <c r="D47" s="1" t="s">
        <v>92</v>
      </c>
      <c r="F47" s="31">
        <f>F15+F21+F30+F45</f>
        <v>2955551.1484051696</v>
      </c>
      <c r="G47" s="28"/>
      <c r="H47" s="31">
        <f t="shared" ref="H47:Q47" si="25">H15+H21+H30+H45</f>
        <v>1173607.2146969226</v>
      </c>
      <c r="I47" s="31">
        <f t="shared" si="25"/>
        <v>474389.00547638693</v>
      </c>
      <c r="J47" s="31">
        <f t="shared" si="25"/>
        <v>1657.7698796580842</v>
      </c>
      <c r="K47" s="31">
        <f t="shared" si="25"/>
        <v>38663.413126014209</v>
      </c>
      <c r="L47" s="31">
        <f t="shared" si="25"/>
        <v>5498.114969221152</v>
      </c>
      <c r="M47" s="31">
        <f t="shared" si="25"/>
        <v>11499.643478305892</v>
      </c>
      <c r="N47" s="31">
        <f t="shared" si="25"/>
        <v>2467.2289237792397</v>
      </c>
      <c r="O47" s="31">
        <f t="shared" si="25"/>
        <v>723.30273179988762</v>
      </c>
      <c r="P47" s="31">
        <f t="shared" si="25"/>
        <v>1129.4224407125002</v>
      </c>
      <c r="Q47" s="31">
        <f t="shared" si="25"/>
        <v>4677.7171684576433</v>
      </c>
      <c r="R47" s="28"/>
      <c r="S47" s="31">
        <f t="shared" ref="S47:AB47" si="26">S15+S21+S30+S45</f>
        <v>204607.64254328463</v>
      </c>
      <c r="T47" s="31">
        <f t="shared" si="26"/>
        <v>26474.060070925363</v>
      </c>
      <c r="U47" s="31">
        <f t="shared" si="26"/>
        <v>14239.501813156829</v>
      </c>
      <c r="V47" s="31">
        <f t="shared" si="26"/>
        <v>737.15039674513127</v>
      </c>
      <c r="W47" s="8">
        <f>B47</f>
        <v>29</v>
      </c>
      <c r="Y47" s="1" t="str">
        <f>D47</f>
        <v>Total Delivery Revenue Requirement</v>
      </c>
      <c r="AA47" s="31">
        <f t="shared" si="26"/>
        <v>2833.4369408299121</v>
      </c>
      <c r="AB47" s="31">
        <f t="shared" si="26"/>
        <v>5649.1653906869733</v>
      </c>
      <c r="AC47" s="28"/>
      <c r="AD47" s="31">
        <f t="shared" ref="AD47:AQ47" si="27">AD15+AD21+AD30+AD45</f>
        <v>692432.74196998763</v>
      </c>
      <c r="AE47" s="31">
        <f t="shared" si="27"/>
        <v>109415.99963830225</v>
      </c>
      <c r="AF47" s="31">
        <f t="shared" si="27"/>
        <v>34248.708613831477</v>
      </c>
      <c r="AG47" s="31">
        <f t="shared" si="27"/>
        <v>7.4264728526852561</v>
      </c>
      <c r="AH47" s="31">
        <f t="shared" si="27"/>
        <v>434.24135982693463</v>
      </c>
      <c r="AI47" s="31">
        <f t="shared" si="27"/>
        <v>1289.5611572523196</v>
      </c>
      <c r="AJ47" s="31">
        <f t="shared" si="27"/>
        <v>35382.443043473817</v>
      </c>
      <c r="AK47" s="31">
        <f t="shared" si="27"/>
        <v>948.7075543361783</v>
      </c>
      <c r="AL47" s="31">
        <f t="shared" si="27"/>
        <v>1833.4366962421986</v>
      </c>
      <c r="AM47" s="31">
        <f t="shared" si="27"/>
        <v>12283.622768040645</v>
      </c>
      <c r="AN47" s="31">
        <f t="shared" si="27"/>
        <v>120.77219812404657</v>
      </c>
      <c r="AO47" s="31">
        <f t="shared" si="27"/>
        <v>88368.926575879916</v>
      </c>
      <c r="AP47" s="31">
        <f t="shared" si="27"/>
        <v>584.05672149059569</v>
      </c>
      <c r="AQ47" s="31">
        <f t="shared" si="27"/>
        <v>9346.7135886413525</v>
      </c>
    </row>
    <row r="48" spans="2:43" ht="13.5" thickTop="1" x14ac:dyDescent="0.2">
      <c r="F48" s="32"/>
      <c r="G48" s="28"/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28"/>
      <c r="S48" s="28"/>
      <c r="T48" s="28"/>
      <c r="U48" s="28"/>
      <c r="V48" s="28"/>
      <c r="AA48" s="28"/>
      <c r="AB48" s="28"/>
      <c r="AC48" s="28"/>
      <c r="AD48" s="28"/>
      <c r="AE48" s="28"/>
      <c r="AF48" s="28"/>
      <c r="AG48" s="28"/>
      <c r="AH48" s="28"/>
      <c r="AI48" s="28"/>
      <c r="AJ48" s="28"/>
      <c r="AK48" s="28"/>
      <c r="AL48" s="28"/>
      <c r="AM48" s="28"/>
      <c r="AN48" s="28"/>
      <c r="AO48" s="28"/>
      <c r="AP48" s="28"/>
      <c r="AQ48" s="28"/>
    </row>
    <row r="49" spans="2:43" x14ac:dyDescent="0.2">
      <c r="D49" s="2" t="s">
        <v>93</v>
      </c>
      <c r="F49" s="18"/>
      <c r="G49" s="2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28"/>
      <c r="S49" s="18"/>
      <c r="T49" s="18"/>
      <c r="U49" s="18"/>
      <c r="V49" s="18"/>
      <c r="Y49" s="2" t="str">
        <f t="shared" ref="Y49:Y53" si="28">D49</f>
        <v>Delivery Revenue Requirement Adjustments</v>
      </c>
      <c r="AA49" s="18"/>
      <c r="AB49" s="18"/>
      <c r="AC49" s="2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18"/>
      <c r="AQ49" s="18"/>
    </row>
    <row r="50" spans="2:43" x14ac:dyDescent="0.2">
      <c r="B50" s="8">
        <f>MAX(B$12:B48)+1</f>
        <v>30</v>
      </c>
      <c r="D50" s="1" t="s">
        <v>94</v>
      </c>
      <c r="F50" s="19">
        <f t="shared" ref="F50:F52" si="29">SUM(H50:V50, AA50:AQ50)</f>
        <v>-4792.9956290477057</v>
      </c>
      <c r="G50" s="28"/>
      <c r="H50" s="26">
        <v>-917.91273113878856</v>
      </c>
      <c r="I50" s="26">
        <v>-819.13853918078053</v>
      </c>
      <c r="J50" s="21">
        <v>-2.8892212698653661</v>
      </c>
      <c r="K50" s="21">
        <v>-93.990598296862643</v>
      </c>
      <c r="L50" s="21">
        <v>-19.753019080877767</v>
      </c>
      <c r="M50" s="19">
        <v>0</v>
      </c>
      <c r="N50" s="26">
        <v>-0.32750974421051599</v>
      </c>
      <c r="O50" s="21">
        <v>0</v>
      </c>
      <c r="P50" s="21">
        <v>0</v>
      </c>
      <c r="Q50" s="21">
        <v>-21.793244917271974</v>
      </c>
      <c r="R50" s="28"/>
      <c r="S50" s="26">
        <v>-168.97346077420809</v>
      </c>
      <c r="T50" s="26">
        <v>-49.884046464787694</v>
      </c>
      <c r="U50" s="21">
        <v>-11.310397590939971</v>
      </c>
      <c r="V50" s="19">
        <v>0</v>
      </c>
      <c r="W50" s="8">
        <f t="shared" ref="W50:W53" si="30">B50</f>
        <v>30</v>
      </c>
      <c r="Y50" s="1" t="str">
        <f t="shared" si="28"/>
        <v>Panhandle/St. Clair Transmission Credit (2)</v>
      </c>
      <c r="AA50" s="26">
        <v>0</v>
      </c>
      <c r="AB50" s="21">
        <v>0</v>
      </c>
      <c r="AC50" s="28"/>
      <c r="AD50" s="26">
        <v>-540.66425109646855</v>
      </c>
      <c r="AE50" s="26">
        <v>-200.33188752436041</v>
      </c>
      <c r="AF50" s="21">
        <v>-71.311621727676453</v>
      </c>
      <c r="AG50" s="19">
        <v>0</v>
      </c>
      <c r="AH50" s="19">
        <v>0</v>
      </c>
      <c r="AI50" s="26">
        <v>-0.62645353491131128</v>
      </c>
      <c r="AJ50" s="21">
        <v>-105.482459391858</v>
      </c>
      <c r="AK50" s="19">
        <v>0</v>
      </c>
      <c r="AL50" s="21">
        <v>-8.6112574185710766</v>
      </c>
      <c r="AM50" s="21">
        <v>-118.25088174843231</v>
      </c>
      <c r="AN50" s="19">
        <v>0</v>
      </c>
      <c r="AO50" s="21">
        <v>-1493.6108068730834</v>
      </c>
      <c r="AP50" s="19">
        <v>0</v>
      </c>
      <c r="AQ50" s="21">
        <v>-148.13324127375071</v>
      </c>
    </row>
    <row r="51" spans="2:43" x14ac:dyDescent="0.2">
      <c r="B51" s="8">
        <f>MAX(B$12:B50)+1</f>
        <v>31</v>
      </c>
      <c r="D51" s="1" t="s">
        <v>95</v>
      </c>
      <c r="F51" s="19">
        <f t="shared" si="29"/>
        <v>4792.9956290477039</v>
      </c>
      <c r="G51" s="28"/>
      <c r="H51" s="23">
        <v>1792.0578012832136</v>
      </c>
      <c r="I51" s="23">
        <v>1083.0358599605092</v>
      </c>
      <c r="J51" s="23">
        <v>5.3795702173823434</v>
      </c>
      <c r="K51" s="23">
        <v>37.256142410667856</v>
      </c>
      <c r="L51" s="23">
        <v>0.60192619727153496</v>
      </c>
      <c r="M51" s="19">
        <v>0</v>
      </c>
      <c r="N51" s="23">
        <v>1.6009350620674432</v>
      </c>
      <c r="O51" s="23">
        <v>0.20911641321866078</v>
      </c>
      <c r="P51" s="23">
        <v>1.9540755292513141</v>
      </c>
      <c r="Q51" s="23">
        <v>51.148758132804616</v>
      </c>
      <c r="R51" s="28"/>
      <c r="S51" s="23">
        <v>339.47606304664572</v>
      </c>
      <c r="T51" s="23">
        <v>60.001764441529339</v>
      </c>
      <c r="U51" s="23">
        <v>5.698341720541956</v>
      </c>
      <c r="V51" s="19">
        <v>0</v>
      </c>
      <c r="W51" s="8">
        <f t="shared" si="30"/>
        <v>31</v>
      </c>
      <c r="Y51" s="1" t="str">
        <f t="shared" si="28"/>
        <v>Panhandle/St. Clair Re-Allocation (2)</v>
      </c>
      <c r="AA51" s="23">
        <v>2.0789543356262796</v>
      </c>
      <c r="AB51" s="23">
        <v>0</v>
      </c>
      <c r="AC51" s="28"/>
      <c r="AD51" s="23">
        <v>1120.3735397825344</v>
      </c>
      <c r="AE51" s="23">
        <v>250.95039181054139</v>
      </c>
      <c r="AF51" s="23">
        <v>21.640404143680041</v>
      </c>
      <c r="AG51" s="19">
        <v>0</v>
      </c>
      <c r="AH51" s="19">
        <v>0</v>
      </c>
      <c r="AI51" s="23">
        <v>0.78887919246799021</v>
      </c>
      <c r="AJ51" s="23">
        <v>12.984881253651416</v>
      </c>
      <c r="AK51" s="19">
        <v>0</v>
      </c>
      <c r="AL51" s="23">
        <v>5.7582241140990815</v>
      </c>
      <c r="AM51" s="19">
        <v>0</v>
      </c>
      <c r="AN51" s="19">
        <v>0</v>
      </c>
      <c r="AO51" s="19">
        <v>0</v>
      </c>
      <c r="AP51" s="19">
        <v>0</v>
      </c>
      <c r="AQ51" s="19">
        <v>0</v>
      </c>
    </row>
    <row r="52" spans="2:43" x14ac:dyDescent="0.2">
      <c r="B52" s="8">
        <f>MAX(B$12:B51)+1</f>
        <v>32</v>
      </c>
      <c r="D52" s="1" t="s">
        <v>96</v>
      </c>
      <c r="F52" s="33">
        <f t="shared" si="29"/>
        <v>0</v>
      </c>
      <c r="G52" s="28"/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28"/>
      <c r="S52" s="36"/>
      <c r="T52" s="36"/>
      <c r="U52" s="34">
        <f>-V52</f>
        <v>-20.873959155881721</v>
      </c>
      <c r="V52" s="34">
        <v>20.873959155881721</v>
      </c>
      <c r="W52" s="8">
        <f t="shared" si="30"/>
        <v>32</v>
      </c>
      <c r="Y52" s="1" t="str">
        <f t="shared" si="28"/>
        <v>Rate Design Adjustments</v>
      </c>
      <c r="AA52" s="36"/>
      <c r="AB52" s="36"/>
      <c r="AC52" s="28"/>
      <c r="AD52" s="36"/>
      <c r="AE52" s="36"/>
      <c r="AF52" s="36"/>
      <c r="AG52" s="35">
        <v>62.264620899928559</v>
      </c>
      <c r="AH52" s="36"/>
      <c r="AI52" s="35">
        <v>-62.264620899928559</v>
      </c>
      <c r="AJ52" s="36"/>
      <c r="AK52" s="36"/>
      <c r="AL52" s="36"/>
      <c r="AM52" s="36"/>
      <c r="AN52" s="36"/>
      <c r="AO52" s="36"/>
      <c r="AP52" s="36"/>
      <c r="AQ52" s="36"/>
    </row>
    <row r="53" spans="2:43" ht="13.5" thickBot="1" x14ac:dyDescent="0.25">
      <c r="B53" s="8">
        <f>MAX(B$12:B52)+1</f>
        <v>33</v>
      </c>
      <c r="D53" s="1" t="s">
        <v>92</v>
      </c>
      <c r="F53" s="31">
        <f>SUM(F47,F50:F52)</f>
        <v>2955551.1484051696</v>
      </c>
      <c r="G53" s="28"/>
      <c r="H53" s="31">
        <f t="shared" ref="H53:Q53" si="31">SUM(H47,H50:H52)</f>
        <v>1174481.359767067</v>
      </c>
      <c r="I53" s="31">
        <f t="shared" si="31"/>
        <v>474652.90279716661</v>
      </c>
      <c r="J53" s="31">
        <f t="shared" si="31"/>
        <v>1660.260228605601</v>
      </c>
      <c r="K53" s="31">
        <f t="shared" si="31"/>
        <v>38606.678670128014</v>
      </c>
      <c r="L53" s="31">
        <f t="shared" si="31"/>
        <v>5478.963876337546</v>
      </c>
      <c r="M53" s="31">
        <f t="shared" si="31"/>
        <v>11499.643478305892</v>
      </c>
      <c r="N53" s="31">
        <f t="shared" si="31"/>
        <v>2468.5023490970966</v>
      </c>
      <c r="O53" s="31">
        <f t="shared" si="31"/>
        <v>723.5118482131063</v>
      </c>
      <c r="P53" s="31">
        <f t="shared" si="31"/>
        <v>1131.3765162417515</v>
      </c>
      <c r="Q53" s="31">
        <f t="shared" si="31"/>
        <v>4707.0726816731758</v>
      </c>
      <c r="R53" s="28"/>
      <c r="S53" s="31">
        <f>SUM(S47,S50:S52)</f>
        <v>204778.14514555706</v>
      </c>
      <c r="T53" s="31">
        <f>SUM(T47,T50:T52)</f>
        <v>26484.177788902107</v>
      </c>
      <c r="U53" s="31">
        <f>SUM(U47,U50:U52)</f>
        <v>14213.015798130547</v>
      </c>
      <c r="V53" s="31">
        <f>SUM(V47,V50:V52)</f>
        <v>758.024355901013</v>
      </c>
      <c r="W53" s="8">
        <f t="shared" si="30"/>
        <v>33</v>
      </c>
      <c r="Y53" s="1" t="str">
        <f t="shared" si="28"/>
        <v>Total Delivery Revenue Requirement</v>
      </c>
      <c r="AA53" s="31">
        <f>SUM(AA47,AA50:AA52)</f>
        <v>2835.5158951655385</v>
      </c>
      <c r="AB53" s="31">
        <f>SUM(AB47,AB50:AB52)</f>
        <v>5649.1653906869733</v>
      </c>
      <c r="AC53" s="28"/>
      <c r="AD53" s="31">
        <f t="shared" ref="AD53:AQ53" si="32">SUM(AD47,AD50:AD52)</f>
        <v>693012.45125867368</v>
      </c>
      <c r="AE53" s="31">
        <f t="shared" si="32"/>
        <v>109466.61814258844</v>
      </c>
      <c r="AF53" s="31">
        <f t="shared" si="32"/>
        <v>34199.037396247484</v>
      </c>
      <c r="AG53" s="31">
        <f t="shared" si="32"/>
        <v>69.69109375261381</v>
      </c>
      <c r="AH53" s="31">
        <f t="shared" si="32"/>
        <v>434.24135982693463</v>
      </c>
      <c r="AI53" s="31">
        <f t="shared" si="32"/>
        <v>1227.4589620099478</v>
      </c>
      <c r="AJ53" s="31">
        <f t="shared" si="32"/>
        <v>35289.945465335608</v>
      </c>
      <c r="AK53" s="31">
        <f t="shared" si="32"/>
        <v>948.7075543361783</v>
      </c>
      <c r="AL53" s="31">
        <f t="shared" si="32"/>
        <v>1830.5836629377266</v>
      </c>
      <c r="AM53" s="31">
        <f t="shared" si="32"/>
        <v>12165.371886292212</v>
      </c>
      <c r="AN53" s="31">
        <f t="shared" si="32"/>
        <v>120.77219812404657</v>
      </c>
      <c r="AO53" s="31">
        <f t="shared" si="32"/>
        <v>86875.315769006833</v>
      </c>
      <c r="AP53" s="31">
        <f t="shared" si="32"/>
        <v>584.05672149059569</v>
      </c>
      <c r="AQ53" s="31">
        <f t="shared" si="32"/>
        <v>9198.5803473676024</v>
      </c>
    </row>
    <row r="54" spans="2:43" ht="13.5" thickTop="1" x14ac:dyDescent="0.2">
      <c r="F54" s="28"/>
      <c r="G54" s="28"/>
      <c r="H54" s="28"/>
      <c r="I54" s="28"/>
      <c r="J54" s="28"/>
      <c r="K54" s="28"/>
      <c r="L54" s="28"/>
      <c r="M54" s="28"/>
      <c r="N54" s="28"/>
      <c r="O54" s="28"/>
      <c r="P54" s="28"/>
      <c r="Q54" s="28"/>
      <c r="R54" s="28"/>
      <c r="S54" s="28"/>
      <c r="T54" s="28"/>
      <c r="U54" s="28"/>
      <c r="V54" s="28"/>
      <c r="AA54" s="28"/>
      <c r="AB54" s="28"/>
      <c r="AC54" s="28"/>
      <c r="AD54" s="28"/>
      <c r="AE54" s="28"/>
      <c r="AF54" s="28"/>
      <c r="AG54" s="28"/>
      <c r="AH54" s="28"/>
      <c r="AI54" s="28"/>
      <c r="AJ54" s="28"/>
      <c r="AK54" s="28"/>
      <c r="AL54" s="28"/>
      <c r="AM54" s="28"/>
      <c r="AN54" s="28"/>
      <c r="AO54" s="28"/>
      <c r="AP54" s="28"/>
      <c r="AQ54" s="28"/>
    </row>
    <row r="55" spans="2:43" x14ac:dyDescent="0.2">
      <c r="D55" s="2" t="s">
        <v>97</v>
      </c>
      <c r="F55" s="18"/>
      <c r="G55" s="2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28"/>
      <c r="S55" s="18"/>
      <c r="T55" s="18"/>
      <c r="U55" s="18"/>
      <c r="V55" s="18"/>
      <c r="Y55" s="2" t="str">
        <f>D55</f>
        <v>Proposed Delivery Revenue Requirement by Rate Design Component (3)</v>
      </c>
      <c r="AA55" s="18"/>
      <c r="AB55" s="18"/>
      <c r="AC55" s="2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  <c r="AQ55" s="18"/>
    </row>
    <row r="56" spans="2:43" x14ac:dyDescent="0.2">
      <c r="F56" s="18"/>
      <c r="G56" s="2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28"/>
      <c r="S56" s="18"/>
      <c r="T56" s="18"/>
      <c r="U56" s="18"/>
      <c r="V56" s="18"/>
      <c r="AA56" s="18"/>
      <c r="AB56" s="18"/>
      <c r="AC56" s="28"/>
      <c r="AD56" s="18"/>
      <c r="AE56" s="18"/>
      <c r="AF56" s="18"/>
      <c r="AG56" s="18"/>
      <c r="AH56" s="18"/>
      <c r="AI56" s="18"/>
      <c r="AJ56" s="18"/>
      <c r="AK56" s="18"/>
      <c r="AL56" s="18"/>
      <c r="AM56" s="18"/>
      <c r="AN56" s="18"/>
      <c r="AO56" s="18"/>
      <c r="AP56" s="18"/>
      <c r="AQ56" s="18"/>
    </row>
    <row r="57" spans="2:43" x14ac:dyDescent="0.2">
      <c r="B57" s="8">
        <f>MAX(B$12:B54)+1</f>
        <v>34</v>
      </c>
      <c r="D57" s="10" t="s">
        <v>98</v>
      </c>
      <c r="F57" s="29">
        <f t="shared" ref="F57:F64" si="33">SUM(H57:V57, AA57:AQ57)</f>
        <v>1431814.5007709221</v>
      </c>
      <c r="G57" s="28"/>
      <c r="H57" s="29">
        <f t="shared" ref="H57:Q57" si="34">SUM(H38:H41,H42:H44)</f>
        <v>723321.78510885173</v>
      </c>
      <c r="I57" s="29">
        <f t="shared" si="34"/>
        <v>108221.8068533023</v>
      </c>
      <c r="J57" s="29">
        <f t="shared" si="34"/>
        <v>342.75088398381467</v>
      </c>
      <c r="K57" s="29">
        <f t="shared" si="34"/>
        <v>9096.2920735806583</v>
      </c>
      <c r="L57" s="29">
        <f t="shared" si="34"/>
        <v>710.35352341898033</v>
      </c>
      <c r="M57" s="29">
        <f t="shared" si="34"/>
        <v>602.97569054737517</v>
      </c>
      <c r="N57" s="29">
        <f t="shared" si="34"/>
        <v>1157.5067356309546</v>
      </c>
      <c r="O57" s="29">
        <f t="shared" si="34"/>
        <v>249.90912233661993</v>
      </c>
      <c r="P57" s="29">
        <f t="shared" si="34"/>
        <v>346.46240270877308</v>
      </c>
      <c r="Q57" s="29">
        <f t="shared" si="34"/>
        <v>15.80057107482083</v>
      </c>
      <c r="R57" s="28"/>
      <c r="S57" s="29">
        <f>SUM(S38:S41,S42:S44)</f>
        <v>128243.70462316269</v>
      </c>
      <c r="T57" s="29">
        <f>SUM(T38:T41,T42:T44)</f>
        <v>4475.0839056206614</v>
      </c>
      <c r="U57" s="29">
        <f>SUM(U38:U41,U42:U44)</f>
        <v>1982.4695595009507</v>
      </c>
      <c r="V57" s="29"/>
      <c r="W57" s="8">
        <f t="shared" ref="W57:W65" si="35">B57</f>
        <v>34</v>
      </c>
      <c r="Y57" s="10" t="str">
        <f t="shared" ref="Y57:Y64" si="36">D57</f>
        <v>Monthly Customer Charge</v>
      </c>
      <c r="AA57" s="29">
        <f>SUM(AA38:AA41,AA42:AA44)</f>
        <v>84.062892962863231</v>
      </c>
      <c r="AB57" s="29">
        <f>SUM(AB38:AB41,AB42:AB44)</f>
        <v>638.10607044749315</v>
      </c>
      <c r="AC57" s="28"/>
      <c r="AD57" s="29">
        <f>SUM(AD38:AD41,AD42:AD44)</f>
        <v>422846.59747848712</v>
      </c>
      <c r="AE57" s="29">
        <f>SUM(AE38:AE41,AE42:AE44)</f>
        <v>21208.764980422024</v>
      </c>
      <c r="AF57" s="29">
        <v>0</v>
      </c>
      <c r="AG57" s="29">
        <f>SUM(AG38:AG41,AG42:AG44)</f>
        <v>0</v>
      </c>
      <c r="AH57" s="29">
        <f>SUM(AH38:AH41,AH42:AH44)</f>
        <v>188.06138137582951</v>
      </c>
      <c r="AI57" s="29">
        <f>SUM(AI38:AI41,AI42:AI44)</f>
        <v>805.97734875355502</v>
      </c>
      <c r="AJ57" s="29">
        <v>0</v>
      </c>
      <c r="AK57" s="29">
        <v>0</v>
      </c>
      <c r="AL57" s="29">
        <v>0</v>
      </c>
      <c r="AM57" s="29">
        <f>SUM(AM38:AM41,AM42:AM44)</f>
        <v>1633.1482080610781</v>
      </c>
      <c r="AN57" s="29">
        <v>0</v>
      </c>
      <c r="AO57" s="29">
        <f>SUM(AO38:AO41,AO42:AO44)</f>
        <v>5272.0722891863952</v>
      </c>
      <c r="AP57" s="29">
        <v>0</v>
      </c>
      <c r="AQ57" s="29">
        <f>SUM(AQ38:AQ41,AQ42:AQ44)</f>
        <v>370.80906750573985</v>
      </c>
    </row>
    <row r="58" spans="2:43" x14ac:dyDescent="0.2">
      <c r="B58" s="8">
        <f>MAX(B$12:B57)+1</f>
        <v>35</v>
      </c>
      <c r="D58" s="11" t="s">
        <v>99</v>
      </c>
      <c r="F58" s="21">
        <f t="shared" si="33"/>
        <v>234410.67004555618</v>
      </c>
      <c r="G58" s="28"/>
      <c r="H58" s="21">
        <v>0</v>
      </c>
      <c r="I58" s="21">
        <v>0</v>
      </c>
      <c r="J58" s="21">
        <f>SUM(J18:J20,J24:J29,J33:J37,J50)</f>
        <v>1310.9454895024617</v>
      </c>
      <c r="K58" s="21">
        <f>SUM(K18:K20,K24:K29,K33:K37,K50)</f>
        <v>29915.295951923978</v>
      </c>
      <c r="L58" s="21">
        <f>SUM(L18:L20,L24:L29,L33:L37,L50)</f>
        <v>4916.0111436675716</v>
      </c>
      <c r="M58" s="21">
        <f>SUM(M20,M33:M37)</f>
        <v>10896.667787758519</v>
      </c>
      <c r="N58" s="21">
        <v>0</v>
      </c>
      <c r="O58" s="21">
        <f>SUM(O18:O20,O33:O37,O50)</f>
        <v>478.64575684819357</v>
      </c>
      <c r="P58" s="21">
        <f>SUM(P18:P20,P33:P37,P50)</f>
        <v>898.59296840568823</v>
      </c>
      <c r="Q58" s="21">
        <f>SUM(Q18:Q20,Q24:Q29,Q33:Q37,Q50)</f>
        <v>4593.3866866351473</v>
      </c>
      <c r="R58" s="28"/>
      <c r="S58" s="21">
        <v>0</v>
      </c>
      <c r="T58" s="21">
        <v>0</v>
      </c>
      <c r="U58" s="21">
        <f>SUM(U20,U33:U37,U50)</f>
        <v>10968.368115690842</v>
      </c>
      <c r="V58" s="21">
        <f>SUM(V12:V13,V18:V19,V24:V29)</f>
        <v>737.15039674513127</v>
      </c>
      <c r="W58" s="8">
        <f t="shared" si="35"/>
        <v>35</v>
      </c>
      <c r="Y58" s="11" t="str">
        <f t="shared" si="36"/>
        <v>Delivery Demand Charge</v>
      </c>
      <c r="AA58" s="21">
        <f>0</f>
        <v>0</v>
      </c>
      <c r="AB58" s="21">
        <f>SUM(AB20,AB33:AB37,AB50)</f>
        <v>5011.0593202394784</v>
      </c>
      <c r="AC58" s="28"/>
      <c r="AD58" s="21">
        <v>0</v>
      </c>
      <c r="AE58" s="21">
        <v>0</v>
      </c>
      <c r="AF58" s="21">
        <f>SUM(AF18:AF20,AF24:AF29,AF33:AF44,AF50)</f>
        <v>34490.583066734558</v>
      </c>
      <c r="AG58" s="21">
        <f>0</f>
        <v>0</v>
      </c>
      <c r="AH58" s="21">
        <f>SUM(AH18:AH20,AH24:AH29,AH33:AH37)</f>
        <v>249.02467696884833</v>
      </c>
      <c r="AI58" s="21">
        <v>0</v>
      </c>
      <c r="AJ58" s="21">
        <f>SUM(AJ18:AJ20,AJ24:AJ29,AJ33:AJ44,AJ50)</f>
        <v>35771.138841912187</v>
      </c>
      <c r="AK58" s="21">
        <f>0</f>
        <v>0</v>
      </c>
      <c r="AL58" s="21">
        <f>SUM(AL18:AL20,AL24:AL29,AL33:AL44,AL50)</f>
        <v>1856.184685425987</v>
      </c>
      <c r="AM58" s="21">
        <f>SUM(AM13,AM20,AM24:AM29,AM33:AM37,AM50)</f>
        <v>9574.2987221136245</v>
      </c>
      <c r="AN58" s="21">
        <v>0</v>
      </c>
      <c r="AO58" s="21">
        <f>SUM(AO13,AO20,AO24:AO29,AO33:AO37,AO50)</f>
        <v>75601.478940962508</v>
      </c>
      <c r="AP58" s="21">
        <v>0</v>
      </c>
      <c r="AQ58" s="21">
        <f>SUM(AQ13,AQ20,AQ24:AQ29,AQ33:AQ37,AQ50)</f>
        <v>7141.8374940214944</v>
      </c>
    </row>
    <row r="59" spans="2:43" x14ac:dyDescent="0.2">
      <c r="B59" s="8">
        <f>MAX(B$12:B58)+1</f>
        <v>36</v>
      </c>
      <c r="D59" s="12" t="s">
        <v>100</v>
      </c>
      <c r="F59" s="26">
        <f t="shared" si="33"/>
        <v>1242847.9250670385</v>
      </c>
      <c r="G59" s="28"/>
      <c r="H59" s="26">
        <f>SUM(H18:H20,H24:H29,H33:H37,H50)</f>
        <v>447974.74410913337</v>
      </c>
      <c r="I59" s="26">
        <f>SUM(I18:I20,I24:I29,I33:I37,I50)</f>
        <v>365840.61847605929</v>
      </c>
      <c r="J59" s="26">
        <v>0</v>
      </c>
      <c r="K59" s="26">
        <v>0</v>
      </c>
      <c r="L59" s="26">
        <v>0</v>
      </c>
      <c r="M59" s="26">
        <v>0</v>
      </c>
      <c r="N59" s="26">
        <f>SUM(N18:N20,N24:N29,N33:N37,N50)</f>
        <v>1324.0813246766002</v>
      </c>
      <c r="O59" s="26">
        <v>0</v>
      </c>
      <c r="P59" s="26">
        <v>0</v>
      </c>
      <c r="Q59" s="26">
        <v>0</v>
      </c>
      <c r="R59" s="28"/>
      <c r="S59" s="26">
        <f>SUM(S20,S33:S37,S50)</f>
        <v>51440.164857414762</v>
      </c>
      <c r="T59" s="26">
        <f>SUM(T20,T33:T37,T50)</f>
        <v>15075.709502049081</v>
      </c>
      <c r="U59" s="26">
        <v>0</v>
      </c>
      <c r="V59" s="26">
        <v>0</v>
      </c>
      <c r="W59" s="8">
        <f t="shared" si="35"/>
        <v>36</v>
      </c>
      <c r="Y59" s="12" t="str">
        <f t="shared" si="36"/>
        <v>Delivery Commodity Charge</v>
      </c>
      <c r="AA59" s="26">
        <f>SUM(AA18:AA20,AA33:AA37,AA50)</f>
        <v>2744.8059473362559</v>
      </c>
      <c r="AB59" s="26">
        <v>0</v>
      </c>
      <c r="AC59" s="28"/>
      <c r="AD59" s="26">
        <f>SUM(AD18:AD20,AD24:AD29,AD33:AD37,AD50)</f>
        <v>268077.96208420646</v>
      </c>
      <c r="AE59" s="26">
        <f>SUM(AE18:AE20,AE24:AE29,AE33:AE37,AE50)</f>
        <v>88201.891612754102</v>
      </c>
      <c r="AF59" s="26">
        <f>-AF63</f>
        <v>-18.877293089594453</v>
      </c>
      <c r="AG59" s="26">
        <f>SUM(AG18:AG20,AG33:AG37,AG52)</f>
        <v>69.780883860764476</v>
      </c>
      <c r="AH59" s="26">
        <v>0</v>
      </c>
      <c r="AI59" s="26">
        <f>SUM(AI18:AI20,AI33:AI37,AI50,AI52) -AI63</f>
        <v>437.39776679876434</v>
      </c>
      <c r="AJ59" s="26">
        <v>0</v>
      </c>
      <c r="AK59" s="26">
        <f>SUM(AK18:AK20,AK33:AK44)</f>
        <v>974.81687622397885</v>
      </c>
      <c r="AL59" s="26">
        <v>0</v>
      </c>
      <c r="AM59" s="26">
        <v>0</v>
      </c>
      <c r="AN59" s="26">
        <f>SUM(AN13:AN13,AN20,AN33:AN37)</f>
        <v>120.77219812404655</v>
      </c>
      <c r="AO59" s="26">
        <v>0</v>
      </c>
      <c r="AP59" s="26">
        <f>SUM(AP13:AP13,AP20,AP33:AP37)</f>
        <v>584.05672149059569</v>
      </c>
      <c r="AQ59" s="26">
        <v>0</v>
      </c>
    </row>
    <row r="60" spans="2:43" x14ac:dyDescent="0.2">
      <c r="B60" s="8">
        <f>MAX(B$12:B59)+1</f>
        <v>37</v>
      </c>
      <c r="D60" s="13" t="s">
        <v>101</v>
      </c>
      <c r="F60" s="20">
        <f t="shared" si="33"/>
        <v>2978.8138967667451</v>
      </c>
      <c r="G60" s="28"/>
      <c r="H60" s="20">
        <f>SUM(H12,H13:H13)</f>
        <v>-4399.4239498841325</v>
      </c>
      <c r="I60" s="20">
        <f>SUM(I12,I13:I13)</f>
        <v>-3993.0909793541132</v>
      </c>
      <c r="J60" s="20">
        <f>SUM(J12,J13:J13)</f>
        <v>-16.203284196421784</v>
      </c>
      <c r="K60" s="20">
        <f>SUM(K12,K13:K13)</f>
        <v>-562.58287767590468</v>
      </c>
      <c r="L60" s="20">
        <f>SUM(L12,L13:L13)</f>
        <v>-149.94823172241388</v>
      </c>
      <c r="M60" s="20">
        <v>0</v>
      </c>
      <c r="N60" s="20">
        <f>SUM(N12,N13:N13)</f>
        <v>-19.861105920575159</v>
      </c>
      <c r="O60" s="20">
        <f>SUM(O12,O13:O13)</f>
        <v>-5.9280426586213393</v>
      </c>
      <c r="P60" s="20">
        <f>SUM(P12,P13:P13)</f>
        <v>-121.9487924346745</v>
      </c>
      <c r="Q60" s="20">
        <f>SUM(Q12,Q13:Q13)</f>
        <v>-118.58370929101869</v>
      </c>
      <c r="R60" s="28"/>
      <c r="S60" s="20">
        <f>SUM(S12,S13:S13,S24:S29)</f>
        <v>13220.397195675718</v>
      </c>
      <c r="T60" s="20">
        <f>SUM(T12,T13:T13,T24:T29)</f>
        <v>3896.4284279360827</v>
      </c>
      <c r="U60" s="20">
        <f>SUM(U12,U13:U13)</f>
        <v>-69.063685292265433</v>
      </c>
      <c r="V60" s="20"/>
      <c r="W60" s="8">
        <f t="shared" si="35"/>
        <v>37</v>
      </c>
      <c r="Y60" s="13" t="str">
        <f t="shared" si="36"/>
        <v>Gas Supply Transportation Charge</v>
      </c>
      <c r="AA60" s="20">
        <f>SUM(AA12,AA13:AA13)</f>
        <v>-2.1513883321357223</v>
      </c>
      <c r="AB60" s="20">
        <f>SUM(AB12,AB13:AB13)</f>
        <v>0</v>
      </c>
      <c r="AC60" s="28"/>
      <c r="AD60" s="20">
        <f t="shared" ref="AD60:AL60" si="37">SUM(AD12,AD13:AD13)</f>
        <v>-2653.6953519007957</v>
      </c>
      <c r="AE60" s="20">
        <f t="shared" si="37"/>
        <v>-1006.0977417241511</v>
      </c>
      <c r="AF60" s="20">
        <f t="shared" si="37"/>
        <v>-383.13107156544766</v>
      </c>
      <c r="AG60" s="20">
        <f t="shared" si="37"/>
        <v>-8.9790108150655315E-2</v>
      </c>
      <c r="AH60" s="20">
        <f t="shared" si="37"/>
        <v>-3.2025965993946475</v>
      </c>
      <c r="AI60" s="20">
        <f t="shared" si="37"/>
        <v>-20.781804439825141</v>
      </c>
      <c r="AJ60" s="20">
        <f t="shared" si="37"/>
        <v>-533.58570066062236</v>
      </c>
      <c r="AK60" s="20">
        <f t="shared" si="37"/>
        <v>-28.670941809379201</v>
      </c>
      <c r="AL60" s="20">
        <f t="shared" si="37"/>
        <v>-49.970681275013504</v>
      </c>
      <c r="AM60" s="20">
        <v>0</v>
      </c>
      <c r="AN60" s="20">
        <v>0</v>
      </c>
      <c r="AO60" s="20">
        <v>0</v>
      </c>
      <c r="AP60" s="20">
        <v>0</v>
      </c>
      <c r="AQ60" s="20">
        <v>0</v>
      </c>
    </row>
    <row r="61" spans="2:43" x14ac:dyDescent="0.2">
      <c r="B61" s="8">
        <f>MAX(B$12:B60)+1</f>
        <v>38</v>
      </c>
      <c r="D61" s="14" t="s">
        <v>102</v>
      </c>
      <c r="F61" s="23">
        <f t="shared" si="33"/>
        <v>20284.668629047712</v>
      </c>
      <c r="G61" s="28"/>
      <c r="H61" s="23">
        <f>SUM(H14,H51)</f>
        <v>7584.2544989660819</v>
      </c>
      <c r="I61" s="23">
        <f>SUM(I14,I51)</f>
        <v>4583.568447159123</v>
      </c>
      <c r="J61" s="23">
        <f>SUM(J14,J51)</f>
        <v>22.767139315746885</v>
      </c>
      <c r="K61" s="23">
        <f>SUM(K14,K51)</f>
        <v>157.67352229928068</v>
      </c>
      <c r="L61" s="23">
        <f>SUM(L14,L51)</f>
        <v>2.5474409734068137</v>
      </c>
      <c r="M61" s="23">
        <v>0</v>
      </c>
      <c r="N61" s="23">
        <f>SUM(N14,N51)</f>
        <v>6.7753947101166441</v>
      </c>
      <c r="O61" s="23">
        <f>SUM(O14,O51)</f>
        <v>0.8850116869141269</v>
      </c>
      <c r="P61" s="23">
        <f>SUM(P14,P51)</f>
        <v>8.2699375619646354</v>
      </c>
      <c r="Q61" s="23">
        <f>SUM(Q14,Q51)</f>
        <v>216.46913325422605</v>
      </c>
      <c r="R61" s="28"/>
      <c r="S61" s="23">
        <f>SUM(S14,S51)</f>
        <v>1436.7130661796771</v>
      </c>
      <c r="T61" s="23">
        <f>SUM(T14,T51)</f>
        <v>253.93636945511318</v>
      </c>
      <c r="U61" s="23">
        <f>SUM(U14,U51)</f>
        <v>24.116227612591615</v>
      </c>
      <c r="V61" s="23"/>
      <c r="W61" s="8">
        <f t="shared" si="35"/>
        <v>38</v>
      </c>
      <c r="Y61" s="14" t="str">
        <f t="shared" si="36"/>
        <v>Gas Supply Commodity Charge</v>
      </c>
      <c r="AA61" s="23">
        <f>SUM(AA14,AA51)</f>
        <v>8.7984431985555211</v>
      </c>
      <c r="AB61" s="23">
        <f>SUM(AB14,AB51)</f>
        <v>0</v>
      </c>
      <c r="AC61" s="28"/>
      <c r="AD61" s="23">
        <f t="shared" ref="AD61:AL61" si="38">SUM(AD14,AD51)</f>
        <v>4741.5870478808065</v>
      </c>
      <c r="AE61" s="23">
        <f t="shared" si="38"/>
        <v>1062.0592911364524</v>
      </c>
      <c r="AF61" s="23">
        <f t="shared" si="38"/>
        <v>91.585401078372556</v>
      </c>
      <c r="AG61" s="23">
        <f t="shared" si="38"/>
        <v>0</v>
      </c>
      <c r="AH61" s="23">
        <f t="shared" si="38"/>
        <v>0.35789808165145259</v>
      </c>
      <c r="AI61" s="23">
        <f t="shared" si="38"/>
        <v>2.9807557052587006</v>
      </c>
      <c r="AJ61" s="23">
        <f t="shared" si="38"/>
        <v>52.392324084037824</v>
      </c>
      <c r="AK61" s="23">
        <f t="shared" si="38"/>
        <v>2.5616199215787536</v>
      </c>
      <c r="AL61" s="23">
        <f t="shared" si="38"/>
        <v>24.369658786753121</v>
      </c>
      <c r="AM61" s="23">
        <v>0</v>
      </c>
      <c r="AN61" s="23">
        <v>0</v>
      </c>
      <c r="AO61" s="23">
        <v>0</v>
      </c>
      <c r="AP61" s="23">
        <v>0</v>
      </c>
      <c r="AQ61" s="23">
        <v>0</v>
      </c>
    </row>
    <row r="62" spans="2:43" x14ac:dyDescent="0.2">
      <c r="B62" s="8">
        <f>MAX(B$12:B61)+1</f>
        <v>39</v>
      </c>
      <c r="D62" s="15" t="s">
        <v>103</v>
      </c>
      <c r="F62" s="27">
        <f t="shared" si="33"/>
        <v>1327.9995397743121</v>
      </c>
      <c r="G62" s="28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8"/>
      <c r="S62" s="27"/>
      <c r="T62" s="27"/>
      <c r="U62" s="27">
        <f>SUM(U18:U19,U24:U29,U52)</f>
        <v>1307.1255806184304</v>
      </c>
      <c r="V62" s="27">
        <f>V52</f>
        <v>20.873959155881721</v>
      </c>
      <c r="W62" s="8">
        <f t="shared" si="35"/>
        <v>39</v>
      </c>
      <c r="Y62" s="15" t="str">
        <f t="shared" si="36"/>
        <v>Gas Supply Demand Charge (Rate 20)</v>
      </c>
      <c r="AA62" s="27"/>
      <c r="AB62" s="27"/>
      <c r="AC62" s="28"/>
      <c r="AD62" s="27"/>
      <c r="AE62" s="27"/>
      <c r="AF62" s="27"/>
      <c r="AG62" s="27"/>
      <c r="AH62" s="27"/>
      <c r="AI62" s="27"/>
      <c r="AJ62" s="27"/>
      <c r="AK62" s="27"/>
      <c r="AL62" s="27"/>
      <c r="AM62" s="27"/>
      <c r="AN62" s="27"/>
      <c r="AO62" s="27"/>
      <c r="AP62" s="27"/>
      <c r="AQ62" s="27"/>
    </row>
    <row r="63" spans="2:43" x14ac:dyDescent="0.2">
      <c r="B63" s="8">
        <f>MAX(B$12:B62)+1</f>
        <v>40</v>
      </c>
      <c r="D63" s="15" t="s">
        <v>104</v>
      </c>
      <c r="F63" s="27">
        <f t="shared" si="33"/>
        <v>20.762188281789111</v>
      </c>
      <c r="G63" s="28"/>
      <c r="H63" s="27"/>
      <c r="I63" s="27"/>
      <c r="J63" s="27"/>
      <c r="K63" s="27"/>
      <c r="L63" s="27"/>
      <c r="M63" s="27"/>
      <c r="N63" s="27"/>
      <c r="O63" s="27"/>
      <c r="P63" s="27"/>
      <c r="Q63" s="27"/>
      <c r="R63" s="28"/>
      <c r="S63" s="27"/>
      <c r="T63" s="27"/>
      <c r="U63" s="27"/>
      <c r="V63" s="27"/>
      <c r="W63" s="8">
        <f t="shared" si="35"/>
        <v>40</v>
      </c>
      <c r="Y63" s="15" t="str">
        <f t="shared" si="36"/>
        <v>MAV Gas Supply Charge (Rates M4, M5)</v>
      </c>
      <c r="AA63" s="27"/>
      <c r="AB63" s="27"/>
      <c r="AC63" s="28"/>
      <c r="AD63" s="27"/>
      <c r="AE63" s="27"/>
      <c r="AF63" s="27">
        <v>18.877293089594453</v>
      </c>
      <c r="AG63" s="27"/>
      <c r="AH63" s="27"/>
      <c r="AI63" s="27">
        <v>1.8848951921946577</v>
      </c>
      <c r="AJ63" s="27"/>
      <c r="AK63" s="27"/>
      <c r="AL63" s="27"/>
      <c r="AM63" s="27"/>
      <c r="AN63" s="27"/>
      <c r="AO63" s="27"/>
      <c r="AP63" s="27"/>
      <c r="AQ63" s="27"/>
    </row>
    <row r="64" spans="2:43" x14ac:dyDescent="0.2">
      <c r="B64" s="8">
        <f>MAX(B$12:B63)+1</f>
        <v>41</v>
      </c>
      <c r="D64" s="15" t="s">
        <v>105</v>
      </c>
      <c r="F64" s="34">
        <f t="shared" si="33"/>
        <v>21865.808267781191</v>
      </c>
      <c r="G64" s="28"/>
      <c r="H64" s="34"/>
      <c r="I64" s="34"/>
      <c r="J64" s="34"/>
      <c r="K64" s="34"/>
      <c r="L64" s="34"/>
      <c r="M64" s="34"/>
      <c r="N64" s="34"/>
      <c r="O64" s="34"/>
      <c r="P64" s="34"/>
      <c r="Q64" s="34"/>
      <c r="R64" s="28"/>
      <c r="S64" s="34">
        <f>SUM(S18:S19)</f>
        <v>10437.165403124223</v>
      </c>
      <c r="T64" s="34">
        <f>SUM(T18:T19)</f>
        <v>2783.0195838411623</v>
      </c>
      <c r="U64" s="34"/>
      <c r="V64" s="34"/>
      <c r="W64" s="8">
        <f t="shared" si="35"/>
        <v>41</v>
      </c>
      <c r="Y64" s="15" t="str">
        <f t="shared" si="36"/>
        <v>Storage Charges</v>
      </c>
      <c r="AA64" s="34"/>
      <c r="AB64" s="34"/>
      <c r="AC64" s="28"/>
      <c r="AD64" s="34"/>
      <c r="AE64" s="34"/>
      <c r="AF64" s="34"/>
      <c r="AG64" s="34"/>
      <c r="AH64" s="34"/>
      <c r="AI64" s="34"/>
      <c r="AJ64" s="34"/>
      <c r="AK64" s="34"/>
      <c r="AL64" s="34"/>
      <c r="AM64" s="34">
        <f>SUM(AM18:AM19)</f>
        <v>957.92495611751121</v>
      </c>
      <c r="AN64" s="34">
        <v>0</v>
      </c>
      <c r="AO64" s="34">
        <f>SUM(AO18:AO19)</f>
        <v>6001.7645388579258</v>
      </c>
      <c r="AP64" s="34">
        <v>0</v>
      </c>
      <c r="AQ64" s="34">
        <f>SUM(AQ18:AQ19)</f>
        <v>1685.9337858403669</v>
      </c>
    </row>
    <row r="65" spans="2:43" ht="13.5" thickBot="1" x14ac:dyDescent="0.25">
      <c r="B65" s="8">
        <f>MAX(B$12:B64)+1</f>
        <v>42</v>
      </c>
      <c r="D65" s="1" t="s">
        <v>92</v>
      </c>
      <c r="F65" s="31">
        <f>SUM(F57:F64)</f>
        <v>2955551.1484051687</v>
      </c>
      <c r="G65" s="28"/>
      <c r="H65" s="31">
        <f t="shared" ref="H65:AQ65" si="39">SUM(H57:H64)</f>
        <v>1174481.359767067</v>
      </c>
      <c r="I65" s="31">
        <f t="shared" si="39"/>
        <v>474652.90279716661</v>
      </c>
      <c r="J65" s="31">
        <f t="shared" si="39"/>
        <v>1660.2602286056015</v>
      </c>
      <c r="K65" s="31">
        <f t="shared" si="39"/>
        <v>38606.678670128007</v>
      </c>
      <c r="L65" s="31">
        <f t="shared" si="39"/>
        <v>5478.9638763375451</v>
      </c>
      <c r="M65" s="31">
        <f t="shared" si="39"/>
        <v>11499.643478305894</v>
      </c>
      <c r="N65" s="31">
        <f t="shared" si="39"/>
        <v>2468.5023490970966</v>
      </c>
      <c r="O65" s="31">
        <f t="shared" si="39"/>
        <v>723.51184821310619</v>
      </c>
      <c r="P65" s="31">
        <f t="shared" si="39"/>
        <v>1131.3765162417512</v>
      </c>
      <c r="Q65" s="31">
        <f t="shared" si="39"/>
        <v>4707.0726816731758</v>
      </c>
      <c r="R65" s="28"/>
      <c r="S65" s="31">
        <f t="shared" si="39"/>
        <v>204778.14514555709</v>
      </c>
      <c r="T65" s="31">
        <f t="shared" si="39"/>
        <v>26484.177788902103</v>
      </c>
      <c r="U65" s="31">
        <f t="shared" si="39"/>
        <v>14213.015798130551</v>
      </c>
      <c r="V65" s="31">
        <f>SUM(V57:V64)</f>
        <v>758.024355901013</v>
      </c>
      <c r="W65" s="8">
        <f t="shared" si="35"/>
        <v>42</v>
      </c>
      <c r="Y65" s="1" t="str">
        <f>D65</f>
        <v>Total Delivery Revenue Requirement</v>
      </c>
      <c r="AA65" s="31">
        <f t="shared" si="39"/>
        <v>2835.515895165539</v>
      </c>
      <c r="AB65" s="31">
        <f t="shared" si="39"/>
        <v>5649.1653906869715</v>
      </c>
      <c r="AC65" s="28"/>
      <c r="AD65" s="31">
        <f t="shared" si="39"/>
        <v>693012.45125867357</v>
      </c>
      <c r="AE65" s="31">
        <f t="shared" si="39"/>
        <v>109466.61814258843</v>
      </c>
      <c r="AF65" s="31">
        <f t="shared" si="39"/>
        <v>34199.037396247484</v>
      </c>
      <c r="AG65" s="31">
        <f t="shared" si="39"/>
        <v>69.691093752613824</v>
      </c>
      <c r="AH65" s="31">
        <f t="shared" si="39"/>
        <v>434.24135982693463</v>
      </c>
      <c r="AI65" s="31">
        <f t="shared" si="39"/>
        <v>1227.4589620099473</v>
      </c>
      <c r="AJ65" s="31">
        <f t="shared" si="39"/>
        <v>35289.945465335601</v>
      </c>
      <c r="AK65" s="31">
        <f t="shared" si="39"/>
        <v>948.70755433617842</v>
      </c>
      <c r="AL65" s="31">
        <f t="shared" si="39"/>
        <v>1830.5836629377268</v>
      </c>
      <c r="AM65" s="31">
        <f t="shared" si="39"/>
        <v>12165.371886292214</v>
      </c>
      <c r="AN65" s="31">
        <f t="shared" si="39"/>
        <v>120.77219812404655</v>
      </c>
      <c r="AO65" s="31">
        <f t="shared" si="39"/>
        <v>86875.315769006833</v>
      </c>
      <c r="AP65" s="31">
        <f t="shared" si="39"/>
        <v>584.05672149059569</v>
      </c>
      <c r="AQ65" s="31">
        <f t="shared" si="39"/>
        <v>9198.5803473676024</v>
      </c>
    </row>
    <row r="66" spans="2:43" ht="13.5" thickTop="1" x14ac:dyDescent="0.2"/>
    <row r="67" spans="2:43" x14ac:dyDescent="0.2">
      <c r="B67" s="2" t="s">
        <v>106</v>
      </c>
      <c r="W67" s="2" t="s">
        <v>107</v>
      </c>
    </row>
    <row r="68" spans="2:43" x14ac:dyDescent="0.2">
      <c r="B68" s="7" t="s">
        <v>108</v>
      </c>
      <c r="D68" s="1" t="s">
        <v>109</v>
      </c>
      <c r="W68" s="7" t="s">
        <v>108</v>
      </c>
      <c r="Y68" s="1" t="s">
        <v>109</v>
      </c>
    </row>
    <row r="69" spans="2:43" x14ac:dyDescent="0.2">
      <c r="B69" s="7" t="s">
        <v>110</v>
      </c>
      <c r="D69" s="1" t="s">
        <v>111</v>
      </c>
      <c r="W69" s="7" t="s">
        <v>110</v>
      </c>
      <c r="Y69" s="1" t="s">
        <v>111</v>
      </c>
    </row>
    <row r="70" spans="2:43" x14ac:dyDescent="0.2">
      <c r="B70" s="7" t="s">
        <v>112</v>
      </c>
      <c r="D70" s="1" t="s">
        <v>113</v>
      </c>
      <c r="W70" s="7" t="s">
        <v>112</v>
      </c>
      <c r="Y70" s="1" t="s">
        <v>113</v>
      </c>
    </row>
    <row r="71" spans="2:43" x14ac:dyDescent="0.2">
      <c r="B71" s="7" t="s">
        <v>114</v>
      </c>
      <c r="D71" s="1" t="s">
        <v>115</v>
      </c>
      <c r="W71" s="7" t="s">
        <v>114</v>
      </c>
      <c r="Y71" s="1" t="s">
        <v>116</v>
      </c>
    </row>
  </sheetData>
  <mergeCells count="7">
    <mergeCell ref="B2:AQ2"/>
    <mergeCell ref="H5:Q5"/>
    <mergeCell ref="S5:V5"/>
    <mergeCell ref="AA5:AB5"/>
    <mergeCell ref="AD5:AQ5"/>
    <mergeCell ref="B3:V3"/>
    <mergeCell ref="W3:AQ3"/>
  </mergeCells>
  <pageMargins left="0.7" right="0.7" top="0.75" bottom="0.75" header="0.3" footer="0.3"/>
  <pageSetup scale="51" fitToWidth="2" orientation="landscape" r:id="rId1"/>
  <headerFooter>
    <oddHeader>&amp;R&amp;"Arial,Regular"&amp;10Filed: 2023-04-06
EB-2022-0200
Exhibit JT8.4
Attachment 2
Page &amp;P of &amp;N</oddHeader>
  </headerFooter>
  <colBreaks count="1" manualBreakCount="1">
    <brk id="22" min="2" max="70" man="1"/>
  </colBreaks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bc9be6ef-036f-4d38-ab45-2a4da0c93cb0">C6U45NHNYSXQ-647284319-718</_dlc_DocId>
    <_dlc_DocIdUrl xmlns="bc9be6ef-036f-4d38-ab45-2a4da0c93cb0">
      <Url>https://enbridge.sharepoint.com/teams/EB-2022-02002024Rebasing/_layouts/15/DocIdRedir.aspx?ID=C6U45NHNYSXQ-647284319-718</Url>
      <Description>C6U45NHNYSXQ-647284319-718</Description>
    </_dlc_DocIdUrl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4A99DC5F2E29C4EA0320A2DE468F5FC" ma:contentTypeVersion="4" ma:contentTypeDescription="Create a new document." ma:contentTypeScope="" ma:versionID="ff3e3884dc2e643973374073d0034b45">
  <xsd:schema xmlns:xsd="http://www.w3.org/2001/XMLSchema" xmlns:xs="http://www.w3.org/2001/XMLSchema" xmlns:p="http://schemas.microsoft.com/office/2006/metadata/properties" xmlns:ns2="bc9be6ef-036f-4d38-ab45-2a4da0c93cb0" xmlns:ns3="fdff13a8-12b1-4cee-91e4-645a62808359" targetNamespace="http://schemas.microsoft.com/office/2006/metadata/properties" ma:root="true" ma:fieldsID="cdad84c82f7e98ec508be54dc62030bb" ns2:_="" ns3:_="">
    <xsd:import namespace="bc9be6ef-036f-4d38-ab45-2a4da0c93cb0"/>
    <xsd:import namespace="fdff13a8-12b1-4cee-91e4-645a62808359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9be6ef-036f-4d38-ab45-2a4da0c93cb0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ff13a8-12b1-4cee-91e4-645a6280835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46FDA07C-C8F8-43CD-B218-784B6DEB24A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F802722-B596-49A8-9885-C3AFCFC7B445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fdff13a8-12b1-4cee-91e4-645a62808359"/>
    <ds:schemaRef ds:uri="bc9be6ef-036f-4d38-ab45-2a4da0c93cb0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F2792020-8A29-4784-A929-3780B9E50E2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c9be6ef-036f-4d38-ab45-2a4da0c93cb0"/>
    <ds:schemaRef ds:uri="fdff13a8-12b1-4cee-91e4-645a6280835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08ECB20F-AAF2-46F1-B1FB-E17CC565CE58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Attach 2</vt:lpstr>
      <vt:lpstr>'Attach 2'!Print_Area</vt:lpstr>
      <vt:lpstr>'Attach 2'!Print_Titles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Ben McIntyre</dc:creator>
  <cp:keywords/>
  <dc:description/>
  <cp:lastModifiedBy>Angela Monforton</cp:lastModifiedBy>
  <cp:revision/>
  <cp:lastPrinted>2023-04-06T02:14:03Z</cp:lastPrinted>
  <dcterms:created xsi:type="dcterms:W3CDTF">2023-04-04T12:25:26Z</dcterms:created>
  <dcterms:modified xsi:type="dcterms:W3CDTF">2023-04-06T14:34:05Z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1a6f161-e42b-4c47-8f69-f6a81e023e2d_Enabled">
    <vt:lpwstr>true</vt:lpwstr>
  </property>
  <property fmtid="{D5CDD505-2E9C-101B-9397-08002B2CF9AE}" pid="3" name="MSIP_Label_b1a6f161-e42b-4c47-8f69-f6a81e023e2d_SetDate">
    <vt:lpwstr>2023-04-04T12:25:26Z</vt:lpwstr>
  </property>
  <property fmtid="{D5CDD505-2E9C-101B-9397-08002B2CF9AE}" pid="4" name="MSIP_Label_b1a6f161-e42b-4c47-8f69-f6a81e023e2d_Method">
    <vt:lpwstr>Standard</vt:lpwstr>
  </property>
  <property fmtid="{D5CDD505-2E9C-101B-9397-08002B2CF9AE}" pid="5" name="MSIP_Label_b1a6f161-e42b-4c47-8f69-f6a81e023e2d_Name">
    <vt:lpwstr>b1a6f161-e42b-4c47-8f69-f6a81e023e2d</vt:lpwstr>
  </property>
  <property fmtid="{D5CDD505-2E9C-101B-9397-08002B2CF9AE}" pid="6" name="MSIP_Label_b1a6f161-e42b-4c47-8f69-f6a81e023e2d_SiteId">
    <vt:lpwstr>271df5c2-953a-497b-93ad-7adf7a4b3cd7</vt:lpwstr>
  </property>
  <property fmtid="{D5CDD505-2E9C-101B-9397-08002B2CF9AE}" pid="7" name="MSIP_Label_b1a6f161-e42b-4c47-8f69-f6a81e023e2d_ActionId">
    <vt:lpwstr>98a19e65-3960-4784-8376-d04cb9d88852</vt:lpwstr>
  </property>
  <property fmtid="{D5CDD505-2E9C-101B-9397-08002B2CF9AE}" pid="8" name="MSIP_Label_b1a6f161-e42b-4c47-8f69-f6a81e023e2d_ContentBits">
    <vt:lpwstr>0</vt:lpwstr>
  </property>
  <property fmtid="{D5CDD505-2E9C-101B-9397-08002B2CF9AE}" pid="9" name="ContentTypeId">
    <vt:lpwstr>0x01010004A99DC5F2E29C4EA0320A2DE468F5FC</vt:lpwstr>
  </property>
  <property fmtid="{D5CDD505-2E9C-101B-9397-08002B2CF9AE}" pid="10" name="_dlc_DocIdItemGuid">
    <vt:lpwstr>b7ab6e01-47db-407c-bc70-a425bc14924c</vt:lpwstr>
  </property>
</Properties>
</file>