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"/>
    </mc:Choice>
  </mc:AlternateContent>
  <xr:revisionPtr revIDLastSave="116" documentId="13_ncr:1_{84FD9DC7-3978-4AA6-BD5D-80A64CB6CC3B}" xr6:coauthVersionLast="47" xr6:coauthVersionMax="47" xr10:uidLastSave="{1493D43F-8A1E-4B97-BBE2-EBADF816B2E1}"/>
  <bookViews>
    <workbookView xWindow="-120" yWindow="-120" windowWidth="29040" windowHeight="15840" firstSheet="2" activeTab="2" xr2:uid="{11E28360-26D9-42E0-BDCD-32E79A0AE5AA}"/>
  </bookViews>
  <sheets>
    <sheet name="Attach. 1 pg. 1" sheetId="1" r:id="rId1"/>
    <sheet name="Attach. 1 pg. 2" sheetId="2" r:id="rId2"/>
    <sheet name="Attach. 1 pg. 3-4" sheetId="3" r:id="rId3"/>
  </sheets>
  <externalReferences>
    <externalReference r:id="rId4"/>
    <externalReference r:id="rId5"/>
    <externalReference r:id="rId6"/>
  </externalReferences>
  <definedNames>
    <definedName name="CurrentYear">[1]Input!$B$6</definedName>
    <definedName name="Demand_Dawn_to_Parkway">'[2]Detail Model'!$U$26</definedName>
    <definedName name="Demand_FromDawn_Ojibway">'[2]Detail Model'!$U$85</definedName>
    <definedName name="Demand_Rate_M12_Dawn_to_Kirkwall">'[2]Detail Model'!$U$23</definedName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Fuel_UFG_West_to_Dawn_M16">'[3]8.2.8 - Attach 2'!#REF!</definedName>
    <definedName name="fuel_UFG_West_to_Pool_M16">'[3]8.2.8 - Attach 2'!#REF!</definedName>
    <definedName name="GSAdminChg">'[3]8.2.8 - Attach 6'!#REF!</definedName>
    <definedName name="Monthly_Fixed_Charge_M13_Large">'[2]Detail Model'!$U$181</definedName>
    <definedName name="Monthly_Fixed_Charge_M13_Typical">'[2]Detail Model'!$U$180</definedName>
    <definedName name="paolo" hidden="1">{#N/A,#N/A,FALSE,"H3 Tab 1"}</definedName>
    <definedName name="_xlnm.Print_Area" localSheetId="0">'Attach. 1 pg. 1'!$A$1:$R$110</definedName>
    <definedName name="_xlnm.Print_Area" localSheetId="1">'Attach. 1 pg. 2'!$A$1:$R$96</definedName>
    <definedName name="_xlnm.Print_Area" localSheetId="2">'Attach. 1 pg. 3-4'!$A$1:$R$138</definedName>
    <definedName name="_xlnm.Print_Titles" localSheetId="0">'Attach. 1 pg. 1'!$1:$12</definedName>
    <definedName name="_xlnm.Print_Titles" localSheetId="1">'Attach. 1 pg. 2'!$1:$12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8" i="1"/>
  <c r="K29" i="1"/>
  <c r="K26" i="3"/>
  <c r="K59" i="3"/>
  <c r="K58" i="3"/>
  <c r="G133" i="3"/>
  <c r="G132" i="3"/>
  <c r="G118" i="3"/>
  <c r="G117" i="3"/>
  <c r="G91" i="3"/>
  <c r="G90" i="3"/>
  <c r="G75" i="3"/>
  <c r="G74" i="3"/>
  <c r="G59" i="3"/>
  <c r="G58" i="3"/>
  <c r="G43" i="3"/>
  <c r="G42" i="3"/>
  <c r="K27" i="3"/>
  <c r="G27" i="3"/>
  <c r="G26" i="3"/>
  <c r="K59" i="2"/>
  <c r="K58" i="2"/>
  <c r="K42" i="2"/>
  <c r="G91" i="2"/>
  <c r="G90" i="2"/>
  <c r="G75" i="2"/>
  <c r="G74" i="2"/>
  <c r="G59" i="2"/>
  <c r="G58" i="2"/>
  <c r="G43" i="2"/>
  <c r="G42" i="2"/>
  <c r="K27" i="2"/>
  <c r="G27" i="2"/>
  <c r="G26" i="2"/>
  <c r="K30" i="1"/>
  <c r="K68" i="1"/>
  <c r="K67" i="1"/>
  <c r="K66" i="1"/>
  <c r="G30" i="1"/>
  <c r="G29" i="1"/>
  <c r="G28" i="1"/>
  <c r="G49" i="1"/>
  <c r="G48" i="1"/>
  <c r="G47" i="1"/>
  <c r="G68" i="1"/>
  <c r="G67" i="1"/>
  <c r="G66" i="1"/>
  <c r="G87" i="1"/>
  <c r="G86" i="1"/>
  <c r="G85" i="1"/>
  <c r="G106" i="1"/>
  <c r="G105" i="1"/>
  <c r="G104" i="1"/>
  <c r="K129" i="3"/>
  <c r="K87" i="3"/>
  <c r="I87" i="3" s="1"/>
  <c r="K71" i="3"/>
  <c r="I71" i="3" s="1"/>
  <c r="K39" i="3"/>
  <c r="K43" i="3" s="1"/>
  <c r="K87" i="2"/>
  <c r="K91" i="2" s="1"/>
  <c r="K71" i="2"/>
  <c r="K75" i="2" s="1"/>
  <c r="K39" i="2"/>
  <c r="K43" i="2" s="1"/>
  <c r="K101" i="1"/>
  <c r="K106" i="1" s="1"/>
  <c r="K82" i="1"/>
  <c r="K85" i="1" s="1"/>
  <c r="I63" i="1"/>
  <c r="K44" i="1"/>
  <c r="K49" i="1" s="1"/>
  <c r="E106" i="1"/>
  <c r="E105" i="1"/>
  <c r="E87" i="1"/>
  <c r="E86" i="1"/>
  <c r="E68" i="1"/>
  <c r="E67" i="1"/>
  <c r="E49" i="1"/>
  <c r="E48" i="1"/>
  <c r="R129" i="3"/>
  <c r="Q129" i="3"/>
  <c r="Q114" i="3"/>
  <c r="R114" i="3"/>
  <c r="I55" i="3"/>
  <c r="M55" i="3" s="1"/>
  <c r="O55" i="3" s="1"/>
  <c r="Q55" i="3" s="1"/>
  <c r="I23" i="3"/>
  <c r="I101" i="1"/>
  <c r="I105" i="1" s="1"/>
  <c r="M105" i="1" s="1"/>
  <c r="O105" i="1" s="1"/>
  <c r="I82" i="1"/>
  <c r="I25" i="1"/>
  <c r="M25" i="1" s="1"/>
  <c r="O25" i="1" s="1"/>
  <c r="Q25" i="1" s="1"/>
  <c r="I39" i="3" l="1"/>
  <c r="M39" i="3" s="1"/>
  <c r="O39" i="3" s="1"/>
  <c r="Q39" i="3" s="1"/>
  <c r="K42" i="3"/>
  <c r="I129" i="3"/>
  <c r="M129" i="3" s="1"/>
  <c r="K75" i="3"/>
  <c r="K90" i="3"/>
  <c r="I58" i="3"/>
  <c r="K91" i="3"/>
  <c r="K74" i="3"/>
  <c r="K74" i="2"/>
  <c r="K90" i="2"/>
  <c r="K104" i="1"/>
  <c r="K86" i="1"/>
  <c r="I44" i="1"/>
  <c r="I49" i="1" s="1"/>
  <c r="M49" i="1" s="1"/>
  <c r="K105" i="1"/>
  <c r="K87" i="1"/>
  <c r="K47" i="1"/>
  <c r="K48" i="1"/>
  <c r="M87" i="3"/>
  <c r="O87" i="3" s="1"/>
  <c r="Q87" i="3" s="1"/>
  <c r="I90" i="3"/>
  <c r="M71" i="3"/>
  <c r="O71" i="3" s="1"/>
  <c r="Q71" i="3" s="1"/>
  <c r="I74" i="3"/>
  <c r="I42" i="3"/>
  <c r="I106" i="1"/>
  <c r="M106" i="1" s="1"/>
  <c r="I87" i="1"/>
  <c r="M87" i="1" s="1"/>
  <c r="I86" i="1"/>
  <c r="M86" i="1" s="1"/>
  <c r="O86" i="1" s="1"/>
  <c r="M63" i="1"/>
  <c r="O63" i="1" s="1"/>
  <c r="Q63" i="1" s="1"/>
  <c r="I68" i="1"/>
  <c r="M68" i="1" s="1"/>
  <c r="O68" i="1" s="1"/>
  <c r="I67" i="1"/>
  <c r="M67" i="1" s="1"/>
  <c r="O67" i="1" s="1"/>
  <c r="O106" i="1"/>
  <c r="O87" i="1"/>
  <c r="O49" i="1"/>
  <c r="I114" i="3"/>
  <c r="M23" i="3"/>
  <c r="O23" i="3" s="1"/>
  <c r="Q23" i="3" s="1"/>
  <c r="M101" i="1"/>
  <c r="M82" i="1"/>
  <c r="M44" i="1"/>
  <c r="O44" i="1" s="1"/>
  <c r="Q44" i="1" s="1"/>
  <c r="I48" i="1" l="1"/>
  <c r="M48" i="1" s="1"/>
  <c r="M114" i="3"/>
  <c r="O101" i="1"/>
  <c r="Q101" i="1" s="1"/>
  <c r="O82" i="1"/>
  <c r="Q82" i="1" s="1"/>
  <c r="O48" i="1" l="1"/>
  <c r="I87" i="2"/>
  <c r="I55" i="2"/>
  <c r="I39" i="2"/>
  <c r="I71" i="2" l="1"/>
  <c r="M55" i="2"/>
  <c r="O55" i="2" s="1"/>
  <c r="Q55" i="2" s="1"/>
  <c r="M87" i="2"/>
  <c r="O87" i="2" s="1"/>
  <c r="Q87" i="2" s="1"/>
  <c r="M71" i="2" l="1"/>
  <c r="O71" i="2" s="1"/>
  <c r="Q71" i="2" s="1"/>
  <c r="M39" i="2"/>
  <c r="O39" i="2" s="1"/>
  <c r="Q39" i="2" s="1"/>
  <c r="I23" i="2"/>
  <c r="M23" i="2" s="1"/>
  <c r="O23" i="2" s="1"/>
  <c r="E124" i="3"/>
  <c r="E132" i="3" s="1"/>
  <c r="I26" i="3"/>
  <c r="A14" i="3"/>
  <c r="A15" i="3" s="1"/>
  <c r="A16" i="3" s="1"/>
  <c r="A17" i="3" s="1"/>
  <c r="A18" i="3" s="1"/>
  <c r="A20" i="3" s="1"/>
  <c r="A21" i="3" s="1"/>
  <c r="A23" i="3" s="1"/>
  <c r="M33" i="2"/>
  <c r="O33" i="2" s="1"/>
  <c r="Q33" i="2" s="1"/>
  <c r="A14" i="2"/>
  <c r="A15" i="2" s="1"/>
  <c r="A16" i="2" s="1"/>
  <c r="A17" i="2" s="1"/>
  <c r="A18" i="2" s="1"/>
  <c r="A20" i="2" s="1"/>
  <c r="A21" i="2" s="1"/>
  <c r="E75" i="1"/>
  <c r="E85" i="1" s="1"/>
  <c r="M54" i="1"/>
  <c r="O54" i="1" s="1"/>
  <c r="Q54" i="1" s="1"/>
  <c r="M52" i="1"/>
  <c r="M36" i="1"/>
  <c r="O36" i="1" s="1"/>
  <c r="Q36" i="1" s="1"/>
  <c r="I30" i="1"/>
  <c r="E30" i="1"/>
  <c r="I29" i="1"/>
  <c r="E29" i="1"/>
  <c r="A14" i="1"/>
  <c r="A15" i="1" s="1"/>
  <c r="A16" i="1" s="1"/>
  <c r="A17" i="1" s="1"/>
  <c r="A18" i="1" s="1"/>
  <c r="A20" i="1" s="1"/>
  <c r="A21" i="1" s="1"/>
  <c r="A22" i="1" s="1"/>
  <c r="A23" i="1" s="1"/>
  <c r="M29" i="1" l="1"/>
  <c r="O29" i="1" s="1"/>
  <c r="A26" i="3"/>
  <c r="A27" i="3" s="1"/>
  <c r="A30" i="3" s="1"/>
  <c r="A31" i="3" s="1"/>
  <c r="M15" i="2"/>
  <c r="O15" i="2" s="1"/>
  <c r="A23" i="2"/>
  <c r="A26" i="2" s="1"/>
  <c r="A27" i="2" s="1"/>
  <c r="A30" i="2" s="1"/>
  <c r="A31" i="2" s="1"/>
  <c r="A32" i="2" s="1"/>
  <c r="A33" i="2" s="1"/>
  <c r="A34" i="2" s="1"/>
  <c r="A36" i="2" s="1"/>
  <c r="A37" i="2" s="1"/>
  <c r="M64" i="2"/>
  <c r="O64" i="2" s="1"/>
  <c r="Q64" i="2" s="1"/>
  <c r="A25" i="1"/>
  <c r="A28" i="1" s="1"/>
  <c r="A29" i="1" s="1"/>
  <c r="A30" i="1" s="1"/>
  <c r="A33" i="1" s="1"/>
  <c r="A34" i="1" s="1"/>
  <c r="A35" i="1" s="1"/>
  <c r="A36" i="1" s="1"/>
  <c r="A37" i="1" s="1"/>
  <c r="M72" i="1"/>
  <c r="M74" i="1"/>
  <c r="O74" i="1" s="1"/>
  <c r="Q74" i="1" s="1"/>
  <c r="M30" i="1"/>
  <c r="O30" i="1" s="1"/>
  <c r="I37" i="1"/>
  <c r="I47" i="1" s="1"/>
  <c r="M47" i="1" s="1"/>
  <c r="M35" i="1"/>
  <c r="M53" i="1"/>
  <c r="M55" i="1"/>
  <c r="O55" i="1" s="1"/>
  <c r="Q55" i="1" s="1"/>
  <c r="M71" i="1"/>
  <c r="M91" i="1"/>
  <c r="M93" i="1"/>
  <c r="O93" i="1" s="1"/>
  <c r="Q93" i="1" s="1"/>
  <c r="E82" i="2"/>
  <c r="E90" i="2" s="1"/>
  <c r="M79" i="3"/>
  <c r="O79" i="3" s="1"/>
  <c r="Q79" i="3" s="1"/>
  <c r="M108" i="3"/>
  <c r="Q108" i="3" s="1"/>
  <c r="M121" i="3"/>
  <c r="Q121" i="3" s="1"/>
  <c r="M46" i="2"/>
  <c r="O46" i="2" s="1"/>
  <c r="Q46" i="2" s="1"/>
  <c r="M48" i="2"/>
  <c r="O48" i="2" s="1"/>
  <c r="Q48" i="2" s="1"/>
  <c r="E18" i="1"/>
  <c r="E28" i="1" s="1"/>
  <c r="M32" i="3"/>
  <c r="O32" i="3" s="1"/>
  <c r="Q32" i="3" s="1"/>
  <c r="M47" i="3"/>
  <c r="O47" i="3" s="1"/>
  <c r="Q47" i="3" s="1"/>
  <c r="E37" i="1"/>
  <c r="E47" i="1" s="1"/>
  <c r="M92" i="1"/>
  <c r="O92" i="1" s="1"/>
  <c r="Q92" i="1" s="1"/>
  <c r="E94" i="1"/>
  <c r="E104" i="1" s="1"/>
  <c r="I94" i="1"/>
  <c r="I104" i="1" s="1"/>
  <c r="M80" i="3"/>
  <c r="O80" i="3" s="1"/>
  <c r="Q80" i="3" s="1"/>
  <c r="M73" i="1"/>
  <c r="E18" i="3"/>
  <c r="E26" i="3" s="1"/>
  <c r="M26" i="3" s="1"/>
  <c r="I52" i="3"/>
  <c r="I59" i="3" s="1"/>
  <c r="M48" i="3"/>
  <c r="O48" i="3" s="1"/>
  <c r="Q48" i="3" s="1"/>
  <c r="Q23" i="2"/>
  <c r="I20" i="2"/>
  <c r="I27" i="2" s="1"/>
  <c r="M78" i="2"/>
  <c r="E36" i="2"/>
  <c r="E43" i="2" s="1"/>
  <c r="M79" i="2"/>
  <c r="O79" i="2" s="1"/>
  <c r="I18" i="2"/>
  <c r="I26" i="2" s="1"/>
  <c r="M26" i="2" s="1"/>
  <c r="M32" i="2"/>
  <c r="O32" i="2" s="1"/>
  <c r="Q32" i="2" s="1"/>
  <c r="M63" i="2"/>
  <c r="O63" i="2" s="1"/>
  <c r="M14" i="2"/>
  <c r="E66" i="2"/>
  <c r="E74" i="2" s="1"/>
  <c r="M80" i="2"/>
  <c r="O80" i="2" s="1"/>
  <c r="Q80" i="2" s="1"/>
  <c r="M31" i="2"/>
  <c r="O31" i="2" s="1"/>
  <c r="E18" i="2"/>
  <c r="E26" i="2" s="1"/>
  <c r="M63" i="3"/>
  <c r="O63" i="3" s="1"/>
  <c r="Q63" i="3" s="1"/>
  <c r="M49" i="3"/>
  <c r="O49" i="3" s="1"/>
  <c r="Q49" i="3" s="1"/>
  <c r="E82" i="3"/>
  <c r="E90" i="3" s="1"/>
  <c r="M90" i="3" s="1"/>
  <c r="M31" i="3"/>
  <c r="O31" i="3" s="1"/>
  <c r="Q31" i="3" s="1"/>
  <c r="E66" i="3"/>
  <c r="E74" i="3" s="1"/>
  <c r="M74" i="3" s="1"/>
  <c r="I84" i="3"/>
  <c r="I91" i="3" s="1"/>
  <c r="M91" i="3" s="1"/>
  <c r="M62" i="3"/>
  <c r="M64" i="3"/>
  <c r="O64" i="3" s="1"/>
  <c r="Q64" i="3" s="1"/>
  <c r="E126" i="3"/>
  <c r="E133" i="3" s="1"/>
  <c r="M15" i="3"/>
  <c r="I124" i="3"/>
  <c r="I132" i="3" s="1"/>
  <c r="E34" i="3"/>
  <c r="E42" i="3" s="1"/>
  <c r="M42" i="3" s="1"/>
  <c r="E84" i="3"/>
  <c r="E91" i="3" s="1"/>
  <c r="M107" i="3"/>
  <c r="E36" i="3"/>
  <c r="E43" i="3" s="1"/>
  <c r="M78" i="3"/>
  <c r="M123" i="3"/>
  <c r="Q123" i="3" s="1"/>
  <c r="M14" i="3"/>
  <c r="O14" i="3" s="1"/>
  <c r="Q14" i="3" s="1"/>
  <c r="M16" i="3"/>
  <c r="I36" i="3"/>
  <c r="I43" i="3" s="1"/>
  <c r="M81" i="3"/>
  <c r="O81" i="3" s="1"/>
  <c r="Q81" i="3" s="1"/>
  <c r="E109" i="3"/>
  <c r="E117" i="3" s="1"/>
  <c r="M33" i="3"/>
  <c r="O33" i="3" s="1"/>
  <c r="Q33" i="3" s="1"/>
  <c r="E50" i="3"/>
  <c r="E58" i="3" s="1"/>
  <c r="M58" i="3" s="1"/>
  <c r="M122" i="3"/>
  <c r="Q122" i="3" s="1"/>
  <c r="M46" i="3"/>
  <c r="I20" i="3"/>
  <c r="I27" i="3" s="1"/>
  <c r="M30" i="3"/>
  <c r="E52" i="3"/>
  <c r="E59" i="3" s="1"/>
  <c r="E68" i="3"/>
  <c r="E75" i="3" s="1"/>
  <c r="E111" i="3"/>
  <c r="E118" i="3" s="1"/>
  <c r="M16" i="2"/>
  <c r="O16" i="2" s="1"/>
  <c r="Q16" i="2" s="1"/>
  <c r="M81" i="2"/>
  <c r="O81" i="2" s="1"/>
  <c r="Q81" i="2" s="1"/>
  <c r="I50" i="2"/>
  <c r="I58" i="2" s="1"/>
  <c r="M65" i="2"/>
  <c r="O65" i="2" s="1"/>
  <c r="Q65" i="2" s="1"/>
  <c r="M15" i="1"/>
  <c r="O15" i="1" s="1"/>
  <c r="M17" i="1"/>
  <c r="O17" i="1" s="1"/>
  <c r="Q17" i="1" s="1"/>
  <c r="M90" i="1"/>
  <c r="M14" i="1"/>
  <c r="M16" i="1"/>
  <c r="M34" i="1"/>
  <c r="E56" i="1"/>
  <c r="E66" i="1" s="1"/>
  <c r="O52" i="1"/>
  <c r="Q52" i="1" s="1"/>
  <c r="I75" i="1"/>
  <c r="I85" i="1" s="1"/>
  <c r="M85" i="1" s="1"/>
  <c r="I36" i="2"/>
  <c r="I43" i="2" s="1"/>
  <c r="M43" i="2" s="1"/>
  <c r="I34" i="2"/>
  <c r="I42" i="2" s="1"/>
  <c r="E68" i="2"/>
  <c r="E75" i="2" s="1"/>
  <c r="M62" i="2"/>
  <c r="M33" i="1"/>
  <c r="M30" i="2"/>
  <c r="I52" i="2"/>
  <c r="I59" i="2" s="1"/>
  <c r="M59" i="2" s="1"/>
  <c r="I56" i="1"/>
  <c r="I66" i="1" s="1"/>
  <c r="M66" i="1" s="1"/>
  <c r="M17" i="2"/>
  <c r="O17" i="2" s="1"/>
  <c r="Q17" i="2" s="1"/>
  <c r="E20" i="2"/>
  <c r="E27" i="2" s="1"/>
  <c r="M47" i="2"/>
  <c r="O47" i="2" s="1"/>
  <c r="E52" i="2"/>
  <c r="E59" i="2" s="1"/>
  <c r="M49" i="2"/>
  <c r="O49" i="2" s="1"/>
  <c r="Q49" i="2" s="1"/>
  <c r="I18" i="1"/>
  <c r="I28" i="1" s="1"/>
  <c r="M28" i="1" s="1"/>
  <c r="E50" i="2"/>
  <c r="E58" i="2" s="1"/>
  <c r="I66" i="2"/>
  <c r="I74" i="2" s="1"/>
  <c r="I68" i="2"/>
  <c r="I75" i="2" s="1"/>
  <c r="M75" i="2" s="1"/>
  <c r="O75" i="2" s="1"/>
  <c r="E84" i="2"/>
  <c r="E91" i="2" s="1"/>
  <c r="E20" i="3"/>
  <c r="E27" i="3" s="1"/>
  <c r="M17" i="3"/>
  <c r="O17" i="3" s="1"/>
  <c r="Q17" i="3" s="1"/>
  <c r="I109" i="3"/>
  <c r="I117" i="3" s="1"/>
  <c r="E34" i="2"/>
  <c r="E42" i="2" s="1"/>
  <c r="I82" i="2"/>
  <c r="I90" i="2" s="1"/>
  <c r="M90" i="2" s="1"/>
  <c r="I84" i="2"/>
  <c r="I91" i="2" s="1"/>
  <c r="M91" i="2" s="1"/>
  <c r="I68" i="3"/>
  <c r="I75" i="3" s="1"/>
  <c r="I126" i="3"/>
  <c r="M65" i="3"/>
  <c r="O65" i="3" s="1"/>
  <c r="Q65" i="3" s="1"/>
  <c r="M106" i="3"/>
  <c r="I111" i="3"/>
  <c r="I118" i="3" s="1"/>
  <c r="M43" i="3" l="1"/>
  <c r="M59" i="3"/>
  <c r="Q59" i="3" s="1"/>
  <c r="Q43" i="3"/>
  <c r="O43" i="3"/>
  <c r="M132" i="3"/>
  <c r="Q132" i="3" s="1"/>
  <c r="K132" i="3"/>
  <c r="O90" i="3"/>
  <c r="Q90" i="3"/>
  <c r="O59" i="3"/>
  <c r="M118" i="3"/>
  <c r="Q118" i="3" s="1"/>
  <c r="K118" i="3"/>
  <c r="M117" i="3"/>
  <c r="Q117" i="3" s="1"/>
  <c r="K117" i="3"/>
  <c r="O42" i="3"/>
  <c r="Q42" i="3"/>
  <c r="O58" i="3"/>
  <c r="Q58" i="3"/>
  <c r="Q91" i="3"/>
  <c r="O91" i="3"/>
  <c r="M75" i="3"/>
  <c r="O74" i="3"/>
  <c r="Q74" i="3"/>
  <c r="Q91" i="2"/>
  <c r="O91" i="2"/>
  <c r="M74" i="2"/>
  <c r="Q75" i="2"/>
  <c r="Q43" i="2"/>
  <c r="O43" i="2"/>
  <c r="Q90" i="2"/>
  <c r="O90" i="2"/>
  <c r="Q59" i="2"/>
  <c r="O59" i="2"/>
  <c r="M58" i="2"/>
  <c r="M42" i="2"/>
  <c r="O53" i="1"/>
  <c r="Q68" i="1"/>
  <c r="Q67" i="1"/>
  <c r="Q47" i="1"/>
  <c r="O47" i="1"/>
  <c r="O91" i="1"/>
  <c r="Q105" i="1"/>
  <c r="Q106" i="1"/>
  <c r="Q87" i="1"/>
  <c r="Q86" i="1"/>
  <c r="Q85" i="1"/>
  <c r="O85" i="1"/>
  <c r="O66" i="1"/>
  <c r="Q66" i="1"/>
  <c r="Q49" i="1"/>
  <c r="Q48" i="1"/>
  <c r="M104" i="1"/>
  <c r="O26" i="3"/>
  <c r="Q26" i="3"/>
  <c r="A32" i="3"/>
  <c r="A33" i="3" s="1"/>
  <c r="A34" i="3" s="1"/>
  <c r="A36" i="3" s="1"/>
  <c r="A37" i="3" s="1"/>
  <c r="I133" i="3"/>
  <c r="A39" i="2"/>
  <c r="A42" i="2" s="1"/>
  <c r="A43" i="2" s="1"/>
  <c r="A39" i="1"/>
  <c r="A40" i="1" s="1"/>
  <c r="A41" i="1" s="1"/>
  <c r="A42" i="1" s="1"/>
  <c r="Q107" i="3"/>
  <c r="O78" i="3"/>
  <c r="Q78" i="3" s="1"/>
  <c r="O46" i="3"/>
  <c r="Q46" i="3" s="1"/>
  <c r="M27" i="3"/>
  <c r="Q27" i="3" s="1"/>
  <c r="O30" i="3"/>
  <c r="Q30" i="3" s="1"/>
  <c r="M50" i="3"/>
  <c r="O50" i="3" s="1"/>
  <c r="O16" i="3"/>
  <c r="Q16" i="3" s="1"/>
  <c r="O15" i="3"/>
  <c r="Q15" i="3" s="1"/>
  <c r="M18" i="3"/>
  <c r="M52" i="3"/>
  <c r="Q52" i="3" s="1"/>
  <c r="M66" i="3"/>
  <c r="O66" i="3" s="1"/>
  <c r="O72" i="1"/>
  <c r="O73" i="1"/>
  <c r="Q73" i="1" s="1"/>
  <c r="Q29" i="1"/>
  <c r="M75" i="1"/>
  <c r="M56" i="1"/>
  <c r="O56" i="1" s="1"/>
  <c r="Q56" i="1"/>
  <c r="O35" i="1"/>
  <c r="Q35" i="1" s="1"/>
  <c r="O34" i="1"/>
  <c r="Q30" i="1"/>
  <c r="O71" i="1"/>
  <c r="Q71" i="1" s="1"/>
  <c r="Q75" i="1"/>
  <c r="O16" i="1"/>
  <c r="Q16" i="1" s="1"/>
  <c r="M84" i="3"/>
  <c r="Q84" i="3" s="1"/>
  <c r="O78" i="2"/>
  <c r="Q78" i="2" s="1"/>
  <c r="M18" i="1"/>
  <c r="O18" i="1" s="1"/>
  <c r="Q94" i="1"/>
  <c r="M68" i="3"/>
  <c r="O68" i="3" s="1"/>
  <c r="M126" i="3"/>
  <c r="Q126" i="3" s="1"/>
  <c r="O62" i="3"/>
  <c r="Q62" i="3" s="1"/>
  <c r="M82" i="2"/>
  <c r="O82" i="2" s="1"/>
  <c r="M27" i="2"/>
  <c r="O14" i="2"/>
  <c r="Q14" i="2" s="1"/>
  <c r="Q18" i="2"/>
  <c r="Q82" i="2"/>
  <c r="M84" i="2"/>
  <c r="Q84" i="2" s="1"/>
  <c r="M20" i="2"/>
  <c r="M34" i="3"/>
  <c r="Q34" i="3" s="1"/>
  <c r="M124" i="3"/>
  <c r="Q124" i="3" s="1"/>
  <c r="M82" i="3"/>
  <c r="O82" i="3" s="1"/>
  <c r="M20" i="3"/>
  <c r="Q20" i="3" s="1"/>
  <c r="M36" i="3"/>
  <c r="O36" i="3" s="1"/>
  <c r="M52" i="2"/>
  <c r="O52" i="2" s="1"/>
  <c r="Q50" i="2"/>
  <c r="O14" i="1"/>
  <c r="Q14" i="1" s="1"/>
  <c r="Q18" i="1"/>
  <c r="O90" i="1"/>
  <c r="Q90" i="1" s="1"/>
  <c r="M94" i="1"/>
  <c r="O94" i="1" s="1"/>
  <c r="Q66" i="2"/>
  <c r="O62" i="2"/>
  <c r="Q62" i="2" s="1"/>
  <c r="M68" i="2"/>
  <c r="M66" i="2"/>
  <c r="O66" i="2" s="1"/>
  <c r="M50" i="2"/>
  <c r="O50" i="2" s="1"/>
  <c r="M111" i="3"/>
  <c r="Q111" i="3" s="1"/>
  <c r="Q106" i="3"/>
  <c r="M109" i="3"/>
  <c r="Q109" i="3" s="1"/>
  <c r="Q37" i="1"/>
  <c r="O33" i="1"/>
  <c r="Q33" i="1" s="1"/>
  <c r="M37" i="1"/>
  <c r="O37" i="1" s="1"/>
  <c r="Q34" i="2"/>
  <c r="O30" i="2"/>
  <c r="Q30" i="2" s="1"/>
  <c r="M34" i="2"/>
  <c r="O34" i="2" s="1"/>
  <c r="M36" i="2"/>
  <c r="M18" i="2"/>
  <c r="O18" i="2" s="1"/>
  <c r="M133" i="3" l="1"/>
  <c r="Q133" i="3" s="1"/>
  <c r="K133" i="3"/>
  <c r="Q75" i="3"/>
  <c r="O75" i="3"/>
  <c r="Q42" i="2"/>
  <c r="O42" i="2"/>
  <c r="O58" i="2"/>
  <c r="Q58" i="2"/>
  <c r="O74" i="2"/>
  <c r="Q74" i="2"/>
  <c r="O104" i="1"/>
  <c r="Q104" i="1"/>
  <c r="O26" i="2"/>
  <c r="Q26" i="2"/>
  <c r="O28" i="1"/>
  <c r="Q28" i="1"/>
  <c r="A39" i="3"/>
  <c r="A41" i="3" s="1"/>
  <c r="A42" i="3" s="1"/>
  <c r="A43" i="3" s="1"/>
  <c r="A46" i="3" s="1"/>
  <c r="A46" i="2"/>
  <c r="A47" i="2" s="1"/>
  <c r="A48" i="2" s="1"/>
  <c r="O27" i="2"/>
  <c r="Q27" i="2"/>
  <c r="O20" i="2"/>
  <c r="Q20" i="2"/>
  <c r="A44" i="1"/>
  <c r="O84" i="3"/>
  <c r="Q50" i="3"/>
  <c r="O27" i="3"/>
  <c r="Q36" i="3"/>
  <c r="Q66" i="3"/>
  <c r="O52" i="3"/>
  <c r="Q18" i="3"/>
  <c r="O18" i="3"/>
  <c r="Q82" i="3"/>
  <c r="Q68" i="3"/>
  <c r="O34" i="3"/>
  <c r="O75" i="1"/>
  <c r="O36" i="2"/>
  <c r="Q36" i="2"/>
  <c r="Q52" i="2"/>
  <c r="O84" i="2"/>
  <c r="O20" i="3"/>
  <c r="Q68" i="2"/>
  <c r="O68" i="2"/>
  <c r="A49" i="2" l="1"/>
  <c r="A50" i="2" s="1"/>
  <c r="A52" i="2" s="1"/>
  <c r="A47" i="1"/>
  <c r="A48" i="1" s="1"/>
  <c r="A49" i="1" s="1"/>
  <c r="A52" i="1" s="1"/>
  <c r="A53" i="1" s="1"/>
  <c r="A54" i="1" s="1"/>
  <c r="A55" i="1" s="1"/>
  <c r="A56" i="1" s="1"/>
  <c r="A58" i="1" s="1"/>
  <c r="A59" i="1" s="1"/>
  <c r="A60" i="1" s="1"/>
  <c r="A61" i="1" s="1"/>
  <c r="A63" i="1" l="1"/>
  <c r="A66" i="1" l="1"/>
  <c r="A67" i="1" s="1"/>
  <c r="A68" i="1" s="1"/>
  <c r="A71" i="1" l="1"/>
  <c r="A72" i="1" s="1"/>
  <c r="A73" i="1" s="1"/>
  <c r="A74" i="1" s="1"/>
  <c r="A75" i="1" s="1"/>
  <c r="A77" i="1" s="1"/>
  <c r="A78" i="1" s="1"/>
  <c r="A79" i="1" s="1"/>
  <c r="A80" i="1" s="1"/>
  <c r="A82" i="1" s="1"/>
  <c r="A85" i="1" s="1"/>
  <c r="A86" i="1" s="1"/>
  <c r="A87" i="1" s="1"/>
  <c r="A90" i="1" s="1"/>
  <c r="A91" i="1" s="1"/>
  <c r="A92" i="1" s="1"/>
  <c r="A93" i="1" s="1"/>
  <c r="A94" i="1" s="1"/>
  <c r="A96" i="1" s="1"/>
  <c r="A97" i="1" s="1"/>
  <c r="A98" i="1" s="1"/>
  <c r="A99" i="1" s="1"/>
  <c r="A101" i="1" s="1"/>
  <c r="A104" i="1" s="1"/>
  <c r="A105" i="1" s="1"/>
  <c r="A106" i="1" s="1"/>
  <c r="A53" i="2" l="1"/>
  <c r="A55" i="2" s="1"/>
  <c r="A58" i="2" s="1"/>
  <c r="A59" i="2" s="1"/>
  <c r="A62" i="2" s="1"/>
  <c r="A63" i="2" s="1"/>
  <c r="A64" i="2" s="1"/>
  <c r="A65" i="2" s="1"/>
  <c r="A66" i="2" s="1"/>
  <c r="A68" i="2" s="1"/>
  <c r="A69" i="2" s="1"/>
  <c r="A71" i="2" s="1"/>
  <c r="A74" i="2" s="1"/>
  <c r="A75" i="2" s="1"/>
  <c r="A78" i="2" s="1"/>
  <c r="A79" i="2" s="1"/>
  <c r="A80" i="2" s="1"/>
  <c r="A81" i="2" s="1"/>
  <c r="A82" i="2" s="1"/>
  <c r="A84" i="2" s="1"/>
  <c r="A85" i="2" s="1"/>
  <c r="A87" i="2" s="1"/>
  <c r="A90" i="2" s="1"/>
  <c r="A91" i="2" s="1"/>
  <c r="A47" i="3"/>
  <c r="A48" i="3"/>
  <c r="A49" i="3"/>
  <c r="A50" i="3"/>
  <c r="A52" i="3" s="1"/>
  <c r="A53" i="3" s="1"/>
  <c r="A55" i="3" s="1"/>
  <c r="A57" i="3" s="1"/>
  <c r="A58" i="3" s="1"/>
  <c r="A59" i="3" s="1"/>
  <c r="A62" i="3" s="1"/>
  <c r="A63" i="3" s="1"/>
  <c r="A64" i="3" s="1"/>
  <c r="A65" i="3" s="1"/>
  <c r="A66" i="3" s="1"/>
  <c r="A68" i="3" s="1"/>
  <c r="A69" i="3" s="1"/>
  <c r="A71" i="3" s="1"/>
  <c r="A74" i="3" s="1"/>
  <c r="A75" i="3" s="1"/>
  <c r="A78" i="3" s="1"/>
  <c r="A79" i="3" s="1"/>
  <c r="A80" i="3" s="1"/>
  <c r="A81" i="3" s="1"/>
  <c r="A82" i="3" s="1"/>
  <c r="A84" i="3" s="1"/>
  <c r="A85" i="3" s="1"/>
  <c r="A87" i="3" s="1"/>
  <c r="A90" i="3" s="1"/>
  <c r="A91" i="3" s="1"/>
  <c r="A106" i="3" s="1"/>
  <c r="A107" i="3" s="1"/>
  <c r="A108" i="3" s="1"/>
  <c r="A109" i="3" s="1"/>
  <c r="A111" i="3" s="1"/>
  <c r="A112" i="3" s="1"/>
  <c r="A114" i="3" s="1"/>
  <c r="A117" i="3" s="1"/>
  <c r="A118" i="3" s="1"/>
  <c r="A121" i="3" s="1"/>
  <c r="A122" i="3" s="1"/>
  <c r="A123" i="3" s="1"/>
  <c r="A124" i="3" s="1"/>
  <c r="A126" i="3" s="1"/>
  <c r="A127" i="3" s="1"/>
  <c r="A129" i="3" s="1"/>
  <c r="A132" i="3" s="1"/>
  <c r="A133" i="3" s="1"/>
</calcChain>
</file>

<file path=xl/sharedStrings.xml><?xml version="1.0" encoding="utf-8"?>
<sst xmlns="http://schemas.openxmlformats.org/spreadsheetml/2006/main" count="388" uniqueCount="88">
  <si>
    <t xml:space="preserve">Calculation of 2024 Sales Service and Direct Purchase Bill Impacts for Typical General Service Customers including Deferral and Variance Account Dispositions - Current Rate Class </t>
  </si>
  <si>
    <t>EGD Rate Zone</t>
  </si>
  <si>
    <t>EB-2022-0133 - Current Approved  (1)</t>
  </si>
  <si>
    <t>EB-2022-0200 - 2024 Proposed</t>
  </si>
  <si>
    <t>Bill Impact</t>
  </si>
  <si>
    <t>Total Bill</t>
  </si>
  <si>
    <t>Including Federal</t>
  </si>
  <si>
    <t xml:space="preserve">Excluding Federal </t>
  </si>
  <si>
    <t>Line</t>
  </si>
  <si>
    <t>Unit Rate</t>
  </si>
  <si>
    <t>Change</t>
  </si>
  <si>
    <t>Carbon Charge</t>
  </si>
  <si>
    <t>No.</t>
  </si>
  <si>
    <t>Particulars</t>
  </si>
  <si>
    <t>($)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</si>
  <si>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</si>
  <si>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(%)</t>
  </si>
  <si>
    <t>(a)</t>
  </si>
  <si>
    <t>(b)</t>
  </si>
  <si>
    <t>(c)</t>
  </si>
  <si>
    <t>(d)</t>
  </si>
  <si>
    <t>(e) = (c - a)</t>
  </si>
  <si>
    <t>(f) = (e / a)</t>
  </si>
  <si>
    <t>(g)</t>
  </si>
  <si>
    <t>DV&amp;A</t>
  </si>
  <si>
    <t>Rate 1 - Small Customer</t>
  </si>
  <si>
    <r>
      <t>Annual Volume 2,400 m</t>
    </r>
    <r>
      <rPr>
        <vertAlign val="superscript"/>
        <sz val="10"/>
        <rFont val="Arial"/>
        <family val="2"/>
      </rPr>
      <t xml:space="preserve">3 </t>
    </r>
  </si>
  <si>
    <t>Billing Units</t>
  </si>
  <si>
    <t>Delivery Charges</t>
  </si>
  <si>
    <t>Federal Carbon Charge</t>
  </si>
  <si>
    <t>Gas Supply Transportation</t>
  </si>
  <si>
    <t>Gas Supply Commodity</t>
  </si>
  <si>
    <t>Total Bill - Sales Service</t>
  </si>
  <si>
    <t>Total Bill - Bundled Direct Purchase WTS</t>
  </si>
  <si>
    <t xml:space="preserve">   Bundled Direct Purchase Impact WTS</t>
  </si>
  <si>
    <t>Total Bill - Bundled Direct Purchase DTS</t>
  </si>
  <si>
    <t xml:space="preserve">   Bundled Direct Purchase Impact DTS</t>
  </si>
  <si>
    <t>2024 Deferral and Variance Account Disposition (2)</t>
  </si>
  <si>
    <t>Total Bill Impact Including 2024 Deferral and Variance Account Disposition</t>
  </si>
  <si>
    <t>Sales Service</t>
  </si>
  <si>
    <t>Bundled Direct Purchase WTS</t>
  </si>
  <si>
    <t>Bundled Direct Purchase DTS</t>
  </si>
  <si>
    <t>Rate 1 - Large Customer</t>
  </si>
  <si>
    <r>
      <t>Annual Volume 5,048 m</t>
    </r>
    <r>
      <rPr>
        <vertAlign val="superscript"/>
        <sz val="10"/>
        <rFont val="Arial"/>
        <family val="2"/>
      </rPr>
      <t xml:space="preserve">3 </t>
    </r>
  </si>
  <si>
    <t>Rate 6 - Small Customer</t>
  </si>
  <si>
    <t>Rate 6 - Average Customer</t>
  </si>
  <si>
    <r>
      <t>Annual Volume 22,606 m</t>
    </r>
    <r>
      <rPr>
        <vertAlign val="superscript"/>
        <sz val="10"/>
        <rFont val="Arial"/>
        <family val="2"/>
      </rPr>
      <t xml:space="preserve">3 </t>
    </r>
  </si>
  <si>
    <t>Rate 6 - Large Customer</t>
  </si>
  <si>
    <r>
      <t>Annual Volume 339,124 m</t>
    </r>
    <r>
      <rPr>
        <vertAlign val="superscript"/>
        <sz val="10"/>
        <rFont val="Arial"/>
        <family val="2"/>
      </rPr>
      <t xml:space="preserve">3 </t>
    </r>
  </si>
  <si>
    <t>Notes:</t>
  </si>
  <si>
    <t>(1)</t>
  </si>
  <si>
    <t>EB-2022-0133, Application and Evidence, filed June 30, 2022, Exhibit D, Tab 1, Appendix A.</t>
  </si>
  <si>
    <t>(2)</t>
  </si>
  <si>
    <t>Unit rate per Exhibit 9, Tab 2, Schedule 2, Attachment 2, column (d).</t>
  </si>
  <si>
    <t>Union North Rate Zone (1)</t>
  </si>
  <si>
    <t>EB-2022-0133 - Current Approved  (2)</t>
  </si>
  <si>
    <t>Rate 01 - Small Customer</t>
  </si>
  <si>
    <r>
      <t>Annual Volume 2,200 m</t>
    </r>
    <r>
      <rPr>
        <vertAlign val="superscript"/>
        <sz val="10"/>
        <rFont val="Arial"/>
        <family val="2"/>
      </rPr>
      <t xml:space="preserve">3 </t>
    </r>
  </si>
  <si>
    <t>Total Bill - Bundled Direct Purchase</t>
  </si>
  <si>
    <t xml:space="preserve">   Bundled Direct Purchase Impact</t>
  </si>
  <si>
    <t>2024 Deferral and Variance Account Disposition (3)</t>
  </si>
  <si>
    <t xml:space="preserve">Bundled Direct Purchase </t>
  </si>
  <si>
    <t>Rate 01 - Large Customer</t>
  </si>
  <si>
    <r>
      <t>Annual Volume 40,000 m</t>
    </r>
    <r>
      <rPr>
        <vertAlign val="superscript"/>
        <sz val="10"/>
        <rFont val="Arial"/>
        <family val="2"/>
      </rPr>
      <t xml:space="preserve">3 </t>
    </r>
  </si>
  <si>
    <t>Rate 10 - Small Customer</t>
  </si>
  <si>
    <r>
      <t>Annual Volume 60,000 m</t>
    </r>
    <r>
      <rPr>
        <vertAlign val="superscript"/>
        <sz val="10"/>
        <rFont val="Arial"/>
        <family val="2"/>
      </rPr>
      <t xml:space="preserve">3 </t>
    </r>
  </si>
  <si>
    <t>Rate 10 - Average Customer</t>
  </si>
  <si>
    <r>
      <t>Annual Volume 93,000 m</t>
    </r>
    <r>
      <rPr>
        <vertAlign val="superscript"/>
        <sz val="10"/>
        <rFont val="Arial"/>
        <family val="2"/>
      </rPr>
      <t xml:space="preserve">3 </t>
    </r>
  </si>
  <si>
    <t>Rate 10 - Large Customer</t>
  </si>
  <si>
    <r>
      <t>Annual Volume 250,000 m</t>
    </r>
    <r>
      <rPr>
        <vertAlign val="superscript"/>
        <sz val="10"/>
        <rFont val="Arial"/>
        <family val="2"/>
      </rPr>
      <t xml:space="preserve">3 </t>
    </r>
  </si>
  <si>
    <t>Gas supply charges based on Union North East rate zone.</t>
  </si>
  <si>
    <t>EB-2022-0133, Application and Evidence, filed June 30, 2022, Exhibit D, Tab 2, Appendix A.</t>
  </si>
  <si>
    <t>(3)</t>
  </si>
  <si>
    <t xml:space="preserve">Calculation of 2024 Sales Service and Direct Purchase Bill Impacts for Typical General Service Customers &amp; Rate M9 including Deferral and Variance Account Dispositions - Current Rate Class </t>
  </si>
  <si>
    <t>Union South Rate Zone</t>
  </si>
  <si>
    <t>Rate M1 - Small Customer</t>
  </si>
  <si>
    <t>Rate M1 - Large Customer</t>
  </si>
  <si>
    <t>Rate M2 - Small Customer</t>
  </si>
  <si>
    <t>Rate M2 - Average Customer</t>
  </si>
  <si>
    <r>
      <t>Annual Volume 73,000 m</t>
    </r>
    <r>
      <rPr>
        <vertAlign val="superscript"/>
        <sz val="10"/>
        <rFont val="Arial"/>
        <family val="2"/>
      </rPr>
      <t xml:space="preserve">3 </t>
    </r>
  </si>
  <si>
    <t>Rate M2 - Large Customer</t>
  </si>
  <si>
    <t>Union South Rate Zone (Continued)</t>
  </si>
  <si>
    <t>Rate M9 - Small Customer (3)</t>
  </si>
  <si>
    <r>
      <t>Contract Demand 56,439m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6,950,000 m</t>
    </r>
    <r>
      <rPr>
        <vertAlign val="superscript"/>
        <sz val="10"/>
        <rFont val="Arial"/>
        <family val="2"/>
      </rPr>
      <t xml:space="preserve">3 </t>
    </r>
  </si>
  <si>
    <t>Rate M9 - Large Customer (3)</t>
  </si>
  <si>
    <r>
      <t>Contract Demand 168,100m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Annual Volume 20,178,000 m</t>
    </r>
    <r>
      <rPr>
        <vertAlign val="superscript"/>
        <sz val="10"/>
        <rFont val="Arial"/>
        <family val="2"/>
      </rPr>
      <t xml:space="preserve">3 </t>
    </r>
  </si>
  <si>
    <t>Unit rate per Exhibit 9, Tab 2, Schedule 2, Attachment 2, column (d). Rate M9 2024 deferral and variance account disposition unit rate applied to annual contract demand.</t>
  </si>
  <si>
    <t>Rate M9 customers are not charged the Federal Carbon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</si>
</sst>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#,##0.0000"/>
    <numFmt numFmtId="165" formatCode="0.0000"/>
    <numFmt numFmtId="166" formatCode="_(* #,##0_);_(* \(#,##0\);_(* &quot;-&quot;??_);_(@_)"/>
    <numFmt numFmtId="167" formatCode="0.0%"/>
    <numFmt numFmtId="168" formatCode="_(* #,##0.0000_);_(* \(#,##0.0000\);_(* &quot;-&quot;??_);_(@_)"/>
    <numFmt numFmtId="169" formatCode="0.00_);\(0.00\)"/>
    <numFmt numFmtId="170" formatCode="0_);\(0\)"/>
    <numFmt numFmtId="171" formatCode="0.000"/>
    <numFmt numFmtId="172" formatCode="0.0000_);\(0.0000\)"/>
    <numFmt numFmtId="173" formatCode="0.0%;\(0.0%\)"/>
    <numFmt numFmtId="174" formatCode="#,##0.0000_);\(#,##0.0000\)"/>
    <numFmt numFmtId="175" formatCode="#,##0;\ \(#,###\);\ \-"/>
    <numFmt numFmtId="176" formatCode="0.000000000000000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3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170" fontId="3" fillId="0" borderId="0" xfId="0" applyNumberFormat="1" applyFont="1"/>
    <xf numFmtId="171" fontId="3" fillId="0" borderId="0" xfId="0" applyNumberFormat="1" applyFont="1" applyAlignment="1">
      <alignment horizontal="center"/>
    </xf>
    <xf numFmtId="172" fontId="3" fillId="0" borderId="0" xfId="0" applyNumberFormat="1" applyFont="1"/>
    <xf numFmtId="173" fontId="3" fillId="0" borderId="0" xfId="2" applyNumberFormat="1" applyFont="1" applyFill="1" applyBorder="1"/>
    <xf numFmtId="173" fontId="3" fillId="0" borderId="0" xfId="2" applyNumberFormat="1" applyFont="1" applyFill="1" applyAlignment="1">
      <alignment horizontal="right"/>
    </xf>
    <xf numFmtId="166" fontId="3" fillId="0" borderId="0" xfId="1" applyNumberFormat="1" applyFont="1" applyFill="1"/>
    <xf numFmtId="0" fontId="3" fillId="0" borderId="0" xfId="0" applyFont="1"/>
    <xf numFmtId="165" fontId="3" fillId="0" borderId="0" xfId="0" applyNumberFormat="1" applyFont="1"/>
    <xf numFmtId="43" fontId="3" fillId="0" borderId="0" xfId="0" applyNumberFormat="1" applyFont="1"/>
    <xf numFmtId="0" fontId="3" fillId="0" borderId="0" xfId="0" quotePrefix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0" xfId="0" applyFont="1" applyAlignment="1">
      <alignment horizontal="center"/>
    </xf>
    <xf numFmtId="0" fontId="2" fillId="0" borderId="0" xfId="0" applyFont="1"/>
    <xf numFmtId="166" fontId="3" fillId="0" borderId="0" xfId="0" applyNumberFormat="1" applyFont="1"/>
    <xf numFmtId="4" fontId="3" fillId="0" borderId="0" xfId="0" applyNumberFormat="1" applyFont="1"/>
    <xf numFmtId="173" fontId="3" fillId="0" borderId="0" xfId="0" applyNumberFormat="1" applyFont="1"/>
    <xf numFmtId="167" fontId="3" fillId="0" borderId="0" xfId="0" applyNumberFormat="1" applyFont="1"/>
    <xf numFmtId="3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73" fontId="3" fillId="0" borderId="0" xfId="0" applyNumberFormat="1" applyFont="1" applyAlignment="1">
      <alignment horizontal="center"/>
    </xf>
    <xf numFmtId="37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0" borderId="0" xfId="0" quotePrefix="1" applyFont="1"/>
    <xf numFmtId="0" fontId="5" fillId="0" borderId="0" xfId="0" quotePrefix="1" applyFont="1" applyAlignment="1">
      <alignment horizontal="right"/>
    </xf>
    <xf numFmtId="169" fontId="3" fillId="0" borderId="0" xfId="3" applyNumberForma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vertical="top" wrapText="1"/>
    </xf>
    <xf numFmtId="169" fontId="3" fillId="0" borderId="0" xfId="0" applyNumberFormat="1" applyFont="1" applyAlignment="1">
      <alignment horizontal="right"/>
    </xf>
    <xf numFmtId="168" fontId="5" fillId="0" borderId="0" xfId="0" applyNumberFormat="1" applyFont="1"/>
    <xf numFmtId="168" fontId="0" fillId="0" borderId="0" xfId="0" applyNumberFormat="1"/>
    <xf numFmtId="166" fontId="5" fillId="0" borderId="0" xfId="1" applyNumberFormat="1" applyFont="1" applyFill="1"/>
    <xf numFmtId="166" fontId="5" fillId="0" borderId="0" xfId="1" applyNumberFormat="1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73" fontId="3" fillId="0" borderId="0" xfId="2" applyNumberFormat="1" applyFont="1" applyFill="1" applyAlignment="1">
      <alignment horizontal="center"/>
    </xf>
    <xf numFmtId="173" fontId="3" fillId="0" borderId="0" xfId="2" applyNumberFormat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73" fontId="3" fillId="0" borderId="2" xfId="0" applyNumberFormat="1" applyFont="1" applyBorder="1" applyAlignment="1">
      <alignment horizontal="center"/>
    </xf>
    <xf numFmtId="170" fontId="3" fillId="0" borderId="0" xfId="0" applyNumberFormat="1" applyFont="1" applyAlignment="1">
      <alignment horizontal="center"/>
    </xf>
    <xf numFmtId="172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8" fontId="3" fillId="0" borderId="0" xfId="1" applyNumberFormat="1" applyFont="1" applyFill="1" applyAlignment="1">
      <alignment horizontal="center"/>
    </xf>
    <xf numFmtId="174" fontId="3" fillId="0" borderId="0" xfId="1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167" fontId="3" fillId="0" borderId="0" xfId="2" applyNumberFormat="1" applyFont="1" applyFill="1" applyBorder="1" applyAlignment="1">
      <alignment horizontal="center"/>
    </xf>
    <xf numFmtId="167" fontId="3" fillId="0" borderId="0" xfId="2" applyNumberFormat="1" applyFont="1" applyFill="1" applyAlignment="1">
      <alignment horizontal="center"/>
    </xf>
    <xf numFmtId="167" fontId="3" fillId="0" borderId="0" xfId="0" applyNumberFormat="1" applyFont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73" fontId="6" fillId="0" borderId="0" xfId="2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73" fontId="3" fillId="0" borderId="3" xfId="0" applyNumberFormat="1" applyFont="1" applyBorder="1" applyAlignment="1">
      <alignment horizontal="center"/>
    </xf>
    <xf numFmtId="175" fontId="3" fillId="0" borderId="0" xfId="0" applyNumberFormat="1" applyFont="1" applyAlignment="1">
      <alignment horizontal="center"/>
    </xf>
    <xf numFmtId="175" fontId="3" fillId="0" borderId="2" xfId="0" applyNumberFormat="1" applyFont="1" applyBorder="1" applyAlignment="1">
      <alignment horizontal="center"/>
    </xf>
    <xf numFmtId="175" fontId="3" fillId="0" borderId="0" xfId="0" applyNumberFormat="1" applyFont="1"/>
    <xf numFmtId="175" fontId="6" fillId="0" borderId="0" xfId="0" applyNumberFormat="1" applyFont="1" applyAlignment="1">
      <alignment horizontal="center"/>
    </xf>
    <xf numFmtId="175" fontId="6" fillId="0" borderId="2" xfId="0" applyNumberFormat="1" applyFont="1" applyBorder="1" applyAlignment="1">
      <alignment horizontal="center"/>
    </xf>
    <xf numFmtId="37" fontId="3" fillId="0" borderId="0" xfId="1" applyNumberFormat="1" applyFont="1" applyFill="1" applyAlignment="1">
      <alignment horizontal="center"/>
    </xf>
    <xf numFmtId="37" fontId="6" fillId="0" borderId="0" xfId="1" applyNumberFormat="1" applyFont="1" applyAlignment="1">
      <alignment horizontal="center"/>
    </xf>
    <xf numFmtId="174" fontId="6" fillId="0" borderId="0" xfId="1" applyNumberFormat="1" applyFont="1" applyAlignment="1">
      <alignment horizontal="center"/>
    </xf>
    <xf numFmtId="9" fontId="3" fillId="0" borderId="0" xfId="2" applyFont="1" applyAlignment="1">
      <alignment horizontal="center"/>
    </xf>
    <xf numFmtId="176" fontId="5" fillId="0" borderId="0" xfId="0" applyNumberFormat="1" applyFont="1"/>
    <xf numFmtId="166" fontId="5" fillId="0" borderId="0" xfId="1" applyNumberFormat="1" applyFont="1"/>
    <xf numFmtId="166" fontId="5" fillId="0" borderId="0" xfId="1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10" xfId="3" xr:uid="{D45F61EA-ED70-4954-93F3-422F55C811C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Annual%20Rates/2023/Union%20RZ/2023%20Rates%20DM%20(Apr%2022%20QRAM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3.%20Updated%20Evidence%20-%20Mar%202023/3.%20Rate%20Design/Ex-franchise/2023-03-08%202024%20Exfran%20Model%20-%20Work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%20Rebasing/2024%20Cost%20of%20Service/3.%20Updated%20Evidence%20-%20Mar%202023/3.%20Rate%20Design/Working%20Papers/2023-03-08%20-%208.2.8_Working%20Papers%20Current%20Clas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etail Model"/>
      <sheetName val="DSM UR"/>
      <sheetName val="PDO UR"/>
      <sheetName val="ICM Rider"/>
      <sheetName val="Sch.6"/>
      <sheetName val="GasComm"/>
      <sheetName val="Supplementals"/>
      <sheetName val="Overrun"/>
      <sheetName val="Riders"/>
      <sheetName val="Pivots"/>
      <sheetName val="N-R20+Stor"/>
      <sheetName val="N-R100"/>
      <sheetName val="NorthVols"/>
      <sheetName val="U2"/>
      <sheetName val="Banner"/>
      <sheetName val="SouthDist"/>
      <sheetName val="SouthT"/>
      <sheetName val="North"/>
      <sheetName val="2023 Rates DM (Apr 22 QRA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e Schedule - 2024"/>
      <sheetName val="Source Files"/>
      <sheetName val="Index"/>
      <sheetName val="Inputs"/>
      <sheetName val="Cost Input"/>
      <sheetName val="Revenue"/>
      <sheetName val="Forecast"/>
      <sheetName val="Harmonized DM"/>
      <sheetName val="Detail Model"/>
      <sheetName val="S&amp;T Margin p.1"/>
      <sheetName val="Harm. Appendix A"/>
      <sheetName val="OR Rates"/>
      <sheetName val="Appendix A"/>
      <sheetName val="Summary Rates"/>
      <sheetName val="S&amp;T Margin p.2"/>
      <sheetName val="M17 Demand"/>
      <sheetName val="M12 - BA"/>
      <sheetName val="M12 - Proposed"/>
      <sheetName val="M12 p.2"/>
      <sheetName val="F24-T"/>
      <sheetName val="M13"/>
      <sheetName val="M16 Cust"/>
      <sheetName val="M16 Comm"/>
      <sheetName val="M16 East Dem"/>
      <sheetName val="M17 Cust"/>
      <sheetName val="C1 Ojib Demand BA"/>
      <sheetName val="D-D Vector"/>
      <sheetName val="Heritage - HTLP"/>
      <sheetName val="PDCI"/>
      <sheetName val="2023-03-08 2024 Exfran Model -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2.8 - Attach 1"/>
      <sheetName val="8.2.8 - Attach 2"/>
      <sheetName val="8.2.8 - Attach 3"/>
      <sheetName val="8.2.8 - Attach 4"/>
      <sheetName val="8.2.8 - Attach 4 p. 11-15"/>
      <sheetName val="8.2.8 - Attach 5 p.1"/>
      <sheetName val="8.2.8 - Attach 5 p.2"/>
      <sheetName val="8.2.8 - Attach 6"/>
      <sheetName val="8.2.8 - Attach 7"/>
      <sheetName val="8.2.8 - Attach 8"/>
      <sheetName val="8.2.8 - Attach 9"/>
      <sheetName val="8.2.8.10 pg 1-3"/>
      <sheetName val="8.2.8.10 pg 4-5"/>
      <sheetName val="8.2.8.10 pg 6-9"/>
      <sheetName val="8.2.8 - Attach 11"/>
      <sheetName val="8.2.8 - Attach 12 p.1-2"/>
      <sheetName val="8.2.8 - Attach 12 p.3"/>
      <sheetName val="8.2.8 - Attach 13"/>
      <sheetName val="8.2.8 - Attach 14"/>
      <sheetName val="8.2.8 - Attach 15"/>
      <sheetName val="8.2.8 - Attach 16"/>
      <sheetName val="8.2.8 - Attach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9703-AF0E-49A5-A731-46FC5B3C7C2D}">
  <sheetPr>
    <pageSetUpPr fitToPage="1"/>
  </sheetPr>
  <dimension ref="A4:T536"/>
  <sheetViews>
    <sheetView view="pageLayout" topLeftCell="D64" zoomScaleNormal="100" zoomScaleSheetLayoutView="90" workbookViewId="0">
      <selection activeCell="X16" sqref="X16"/>
    </sheetView>
  </sheetViews>
  <sheetFormatPr defaultColWidth="8.85546875" defaultRowHeight="15" customHeight="1"/>
  <cols>
    <col min="1" max="1" width="4.85546875" style="17" customWidth="1"/>
    <col min="2" max="2" width="1.85546875" style="17" customWidth="1"/>
    <col min="3" max="3" width="36.42578125" style="17" customWidth="1"/>
    <col min="4" max="4" width="1.85546875" style="17" customWidth="1"/>
    <col min="5" max="5" width="15.85546875" style="17" customWidth="1"/>
    <col min="6" max="6" width="1.85546875" style="17" customWidth="1"/>
    <col min="7" max="7" width="15.85546875" style="17" customWidth="1"/>
    <col min="8" max="8" width="1.85546875" style="17" customWidth="1"/>
    <col min="9" max="9" width="15.85546875" style="17" customWidth="1"/>
    <col min="10" max="10" width="1.85546875" style="17" customWidth="1"/>
    <col min="11" max="11" width="15.85546875" style="17" customWidth="1"/>
    <col min="12" max="12" width="1.85546875" style="17" customWidth="1"/>
    <col min="13" max="13" width="15.85546875" style="17" customWidth="1"/>
    <col min="14" max="14" width="1.85546875" style="17" customWidth="1"/>
    <col min="15" max="15" width="15.85546875" style="17" customWidth="1"/>
    <col min="16" max="16" width="1.85546875" style="17" customWidth="1"/>
    <col min="17" max="17" width="15.85546875" style="17" customWidth="1"/>
    <col min="18" max="18" width="12.140625" style="45" bestFit="1" customWidth="1"/>
    <col min="19" max="19" width="9.5703125" style="17" bestFit="1" customWidth="1"/>
    <col min="20" max="20" width="22.5703125" style="17" bestFit="1" customWidth="1"/>
    <col min="21" max="16384" width="8.85546875" style="17"/>
  </cols>
  <sheetData>
    <row r="4" spans="1:18" ht="15" customHeight="1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ht="15" customHeight="1">
      <c r="A5" s="84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7" spans="1:18" ht="15" customHeight="1">
      <c r="A7" s="2"/>
      <c r="B7" s="10"/>
      <c r="C7" s="10"/>
      <c r="D7" s="10"/>
      <c r="E7" s="85" t="s">
        <v>2</v>
      </c>
      <c r="F7" s="85"/>
      <c r="G7" s="85"/>
      <c r="H7" s="10"/>
      <c r="I7" s="85" t="s">
        <v>3</v>
      </c>
      <c r="J7" s="85"/>
      <c r="K7" s="85"/>
      <c r="L7" s="85"/>
      <c r="M7" s="85"/>
      <c r="N7" s="10"/>
      <c r="O7" s="85" t="s">
        <v>4</v>
      </c>
      <c r="P7" s="85"/>
      <c r="Q7" s="85"/>
    </row>
    <row r="8" spans="1:18" ht="15" customHeight="1">
      <c r="A8" s="2"/>
      <c r="B8" s="10"/>
      <c r="C8" s="10"/>
      <c r="D8" s="10"/>
      <c r="E8" s="2"/>
      <c r="F8" s="2"/>
      <c r="G8" s="2"/>
      <c r="H8" s="10"/>
      <c r="I8" s="2"/>
      <c r="J8" s="2"/>
      <c r="K8" s="2"/>
      <c r="L8" s="2"/>
      <c r="M8" s="2" t="s">
        <v>5</v>
      </c>
      <c r="N8" s="10"/>
      <c r="O8" s="2" t="s">
        <v>6</v>
      </c>
      <c r="P8" s="2"/>
      <c r="Q8" s="2" t="s">
        <v>7</v>
      </c>
    </row>
    <row r="9" spans="1:18" ht="15" customHeight="1">
      <c r="A9" s="2" t="s">
        <v>8</v>
      </c>
      <c r="B9" s="10"/>
      <c r="C9" s="10"/>
      <c r="D9" s="10"/>
      <c r="E9" s="2" t="s">
        <v>5</v>
      </c>
      <c r="F9" s="2"/>
      <c r="G9" s="2" t="s">
        <v>9</v>
      </c>
      <c r="H9" s="10"/>
      <c r="I9" s="2" t="s">
        <v>5</v>
      </c>
      <c r="J9" s="2"/>
      <c r="K9" s="2" t="s">
        <v>9</v>
      </c>
      <c r="L9" s="2"/>
      <c r="M9" s="2" t="s">
        <v>10</v>
      </c>
      <c r="N9" s="10"/>
      <c r="O9" s="2" t="s">
        <v>11</v>
      </c>
      <c r="P9" s="10"/>
      <c r="Q9" s="2" t="s">
        <v>11</v>
      </c>
    </row>
    <row r="10" spans="1:18" ht="15" customHeight="1">
      <c r="A10" s="18" t="s">
        <v>12</v>
      </c>
      <c r="B10" s="10"/>
      <c r="C10" s="19" t="s">
        <v>13</v>
      </c>
      <c r="D10" s="10"/>
      <c r="E10" s="18" t="s">
        <v>14</v>
      </c>
      <c r="F10" s="2"/>
      <c r="G10" s="18" t="s">
        <v>15</v>
      </c>
      <c r="H10" s="10"/>
      <c r="I10" s="18" t="s">
        <v>14</v>
      </c>
      <c r="J10" s="2"/>
      <c r="K10" s="18" t="s">
        <v>15</v>
      </c>
      <c r="L10" s="2"/>
      <c r="M10" s="18" t="s">
        <v>14</v>
      </c>
      <c r="N10" s="10"/>
      <c r="O10" s="18" t="s">
        <v>16</v>
      </c>
      <c r="P10" s="2"/>
      <c r="Q10" s="18" t="s">
        <v>16</v>
      </c>
    </row>
    <row r="11" spans="1:18" ht="15" customHeight="1">
      <c r="A11" s="2"/>
      <c r="B11" s="10"/>
      <c r="C11" s="10"/>
      <c r="D11" s="10"/>
      <c r="E11" s="2" t="s">
        <v>17</v>
      </c>
      <c r="F11" s="2"/>
      <c r="G11" s="2" t="s">
        <v>18</v>
      </c>
      <c r="H11" s="2"/>
      <c r="I11" s="2" t="s">
        <v>19</v>
      </c>
      <c r="J11" s="2"/>
      <c r="K11" s="2" t="s">
        <v>20</v>
      </c>
      <c r="L11" s="2"/>
      <c r="M11" s="2" t="s">
        <v>21</v>
      </c>
      <c r="N11" s="2"/>
      <c r="O11" s="2" t="s">
        <v>22</v>
      </c>
      <c r="P11" s="2"/>
      <c r="Q11" s="2" t="s">
        <v>23</v>
      </c>
    </row>
    <row r="12" spans="1:18" ht="15" customHeight="1">
      <c r="A12" s="20"/>
      <c r="R12" s="46" t="s">
        <v>24</v>
      </c>
    </row>
    <row r="13" spans="1:18" ht="15" customHeight="1">
      <c r="A13" s="2"/>
      <c r="B13" s="10"/>
      <c r="C13" s="21" t="s">
        <v>25</v>
      </c>
      <c r="D13" s="10"/>
      <c r="E13" s="83" t="s">
        <v>26</v>
      </c>
      <c r="F13" s="83"/>
      <c r="G13" s="83"/>
      <c r="H13" s="2"/>
      <c r="I13" s="2"/>
      <c r="J13" s="2"/>
      <c r="K13" s="2"/>
      <c r="L13" s="2"/>
      <c r="M13" s="2"/>
      <c r="N13" s="2"/>
      <c r="O13" s="2"/>
      <c r="P13" s="2"/>
      <c r="Q13" s="2"/>
      <c r="R13" s="46" t="s">
        <v>27</v>
      </c>
    </row>
    <row r="14" spans="1:18" ht="15" customHeight="1">
      <c r="A14" s="2">
        <f>1</f>
        <v>1</v>
      </c>
      <c r="B14" s="10"/>
      <c r="C14" s="10" t="s">
        <v>28</v>
      </c>
      <c r="D14" s="10"/>
      <c r="E14" s="26">
        <v>523.4028498113031</v>
      </c>
      <c r="F14" s="2"/>
      <c r="G14" s="58">
        <v>21.808452075470964</v>
      </c>
      <c r="H14" s="2"/>
      <c r="I14" s="26">
        <v>564.17825061516749</v>
      </c>
      <c r="J14" s="2"/>
      <c r="K14" s="58">
        <v>23.507427108965313</v>
      </c>
      <c r="L14" s="48"/>
      <c r="M14" s="70">
        <f>I14-E14</f>
        <v>40.775400803864386</v>
      </c>
      <c r="N14" s="48"/>
      <c r="O14" s="49">
        <f>M14/E14</f>
        <v>7.7904430246347939E-2</v>
      </c>
      <c r="P14" s="50"/>
      <c r="Q14" s="49">
        <f>O14</f>
        <v>7.7904430246347939E-2</v>
      </c>
    </row>
    <row r="15" spans="1:18" ht="15" customHeight="1">
      <c r="A15" s="2">
        <f>A14+1</f>
        <v>2</v>
      </c>
      <c r="B15" s="10"/>
      <c r="C15" s="10" t="s">
        <v>29</v>
      </c>
      <c r="D15" s="10"/>
      <c r="E15" s="26">
        <v>234.95999999999995</v>
      </c>
      <c r="F15" s="47"/>
      <c r="G15" s="58">
        <v>9.7899999999999991</v>
      </c>
      <c r="H15" s="48"/>
      <c r="I15" s="26">
        <v>234.95999999999995</v>
      </c>
      <c r="J15" s="47"/>
      <c r="K15" s="58">
        <v>9.7899999999999991</v>
      </c>
      <c r="L15" s="48"/>
      <c r="M15" s="70">
        <f>I15-E15</f>
        <v>0</v>
      </c>
      <c r="N15" s="48"/>
      <c r="O15" s="49">
        <f>IFERROR(M15/E15,"100.0%")</f>
        <v>0</v>
      </c>
      <c r="P15" s="50"/>
      <c r="Q15" s="49">
        <v>0</v>
      </c>
    </row>
    <row r="16" spans="1:18" ht="15" customHeight="1">
      <c r="A16" s="2">
        <f>A15+1</f>
        <v>3</v>
      </c>
      <c r="B16" s="10"/>
      <c r="C16" s="10" t="s">
        <v>30</v>
      </c>
      <c r="D16" s="10"/>
      <c r="E16" s="26">
        <v>94.241865288417301</v>
      </c>
      <c r="F16" s="47"/>
      <c r="G16" s="58">
        <v>3.9267443870173877</v>
      </c>
      <c r="H16" s="48"/>
      <c r="I16" s="26">
        <v>46.615199999999994</v>
      </c>
      <c r="J16" s="47"/>
      <c r="K16" s="58">
        <v>1.9422999999999999</v>
      </c>
      <c r="L16" s="48"/>
      <c r="M16" s="70">
        <f>I16-E16</f>
        <v>-47.626665288417307</v>
      </c>
      <c r="N16" s="48"/>
      <c r="O16" s="49">
        <f>IFERROR(M16/E16,"100.0%")</f>
        <v>-0.50536632676635718</v>
      </c>
      <c r="P16" s="50"/>
      <c r="Q16" s="49">
        <f>O16</f>
        <v>-0.50536632676635718</v>
      </c>
    </row>
    <row r="17" spans="1:20" ht="15" customHeight="1">
      <c r="A17" s="2">
        <f>A16+1</f>
        <v>4</v>
      </c>
      <c r="B17" s="10"/>
      <c r="C17" s="10" t="s">
        <v>31</v>
      </c>
      <c r="D17" s="10"/>
      <c r="E17" s="26">
        <v>441.05992846934868</v>
      </c>
      <c r="F17" s="2"/>
      <c r="G17" s="58">
        <v>18.377497019556195</v>
      </c>
      <c r="H17" s="2"/>
      <c r="I17" s="26">
        <v>501.68639999999999</v>
      </c>
      <c r="J17" s="2"/>
      <c r="K17" s="58">
        <v>20.903600000000001</v>
      </c>
      <c r="L17" s="48"/>
      <c r="M17" s="70">
        <f>I17-E17</f>
        <v>60.626471530651315</v>
      </c>
      <c r="N17" s="2"/>
      <c r="O17" s="49">
        <f>M17/E17</f>
        <v>0.13745631288938218</v>
      </c>
      <c r="P17" s="50"/>
      <c r="Q17" s="49">
        <f>O17</f>
        <v>0.13745631288938218</v>
      </c>
    </row>
    <row r="18" spans="1:20" ht="15" customHeight="1">
      <c r="A18" s="2">
        <f>A17+1</f>
        <v>5</v>
      </c>
      <c r="B18" s="10"/>
      <c r="C18" s="10" t="s">
        <v>32</v>
      </c>
      <c r="D18" s="10"/>
      <c r="E18" s="52">
        <f>SUM(E14:E17)</f>
        <v>1293.6646435690691</v>
      </c>
      <c r="F18" s="2"/>
      <c r="G18" s="68">
        <v>53.902693482044548</v>
      </c>
      <c r="H18" s="2"/>
      <c r="I18" s="52">
        <f>SUM(I14:I17)</f>
        <v>1347.4398506151674</v>
      </c>
      <c r="J18" s="2"/>
      <c r="K18" s="68">
        <v>56.143327108965316</v>
      </c>
      <c r="L18" s="48"/>
      <c r="M18" s="71">
        <f>SUM(M14:M17)</f>
        <v>53.775207046098394</v>
      </c>
      <c r="N18" s="2"/>
      <c r="O18" s="54">
        <f>M18/E18</f>
        <v>4.1568119924603415E-2</v>
      </c>
      <c r="P18" s="28"/>
      <c r="Q18" s="54">
        <f>(M14+M17+M16)/(E14+E17+E16)</f>
        <v>5.0793398680875949E-2</v>
      </c>
    </row>
    <row r="19" spans="1:20" ht="15" customHeight="1">
      <c r="A19" s="2"/>
      <c r="B19" s="10"/>
      <c r="C19" s="10"/>
      <c r="D19" s="10"/>
      <c r="E19" s="26"/>
      <c r="F19" s="2"/>
      <c r="G19" s="48"/>
      <c r="H19" s="2"/>
      <c r="I19" s="26"/>
      <c r="J19" s="2"/>
      <c r="K19" s="48"/>
      <c r="L19" s="48"/>
      <c r="M19" s="70"/>
      <c r="N19" s="2"/>
      <c r="O19" s="28"/>
      <c r="P19" s="28"/>
      <c r="Q19" s="28"/>
    </row>
    <row r="20" spans="1:20" ht="15" customHeight="1">
      <c r="A20" s="2">
        <f>A18+1</f>
        <v>6</v>
      </c>
      <c r="B20" s="10"/>
      <c r="C20" s="10" t="s">
        <v>33</v>
      </c>
      <c r="D20" s="10"/>
      <c r="E20" s="52">
        <v>1354.2911150997204</v>
      </c>
      <c r="F20" s="2"/>
      <c r="G20" s="53">
        <v>56.42879646248835</v>
      </c>
      <c r="H20" s="2"/>
      <c r="I20" s="52">
        <v>1392.1254506151674</v>
      </c>
      <c r="J20" s="2"/>
      <c r="K20" s="53">
        <v>58.005227108965308</v>
      </c>
      <c r="L20" s="48"/>
      <c r="M20" s="71">
        <v>37.83433551544708</v>
      </c>
      <c r="N20" s="2"/>
      <c r="O20" s="69">
        <v>2.7936634224068752E-2</v>
      </c>
      <c r="P20" s="28"/>
      <c r="Q20" s="69">
        <v>3.3800843204538675E-2</v>
      </c>
    </row>
    <row r="21" spans="1:20" ht="15" customHeight="1">
      <c r="A21" s="2">
        <f>A20+1</f>
        <v>7</v>
      </c>
      <c r="B21" s="10"/>
      <c r="C21" s="10" t="s">
        <v>34</v>
      </c>
      <c r="D21" s="10"/>
      <c r="E21" s="65"/>
      <c r="F21" s="65"/>
      <c r="G21" s="65"/>
      <c r="H21" s="65"/>
      <c r="I21" s="65"/>
      <c r="J21" s="65"/>
      <c r="K21" s="65"/>
      <c r="L21" s="65"/>
      <c r="M21" s="70"/>
      <c r="N21" s="2"/>
      <c r="O21" s="69">
        <v>4.4375001504679677E-2</v>
      </c>
      <c r="P21" s="28"/>
      <c r="Q21" s="69">
        <v>6.1255823275908096E-2</v>
      </c>
    </row>
    <row r="22" spans="1:20" ht="15" customHeight="1">
      <c r="A22" s="2">
        <f>A21+1</f>
        <v>8</v>
      </c>
      <c r="B22" s="10"/>
      <c r="C22" s="10" t="s">
        <v>35</v>
      </c>
      <c r="D22" s="10"/>
      <c r="E22" s="52">
        <v>1283.3225328762137</v>
      </c>
      <c r="F22" s="2"/>
      <c r="G22" s="53">
        <v>53.471772203175568</v>
      </c>
      <c r="H22" s="2"/>
      <c r="I22" s="52">
        <v>1347.4398506151674</v>
      </c>
      <c r="J22" s="2"/>
      <c r="K22" s="53">
        <v>56.143327108965316</v>
      </c>
      <c r="L22" s="48"/>
      <c r="M22" s="71">
        <v>64.117317738953773</v>
      </c>
      <c r="N22" s="2"/>
      <c r="O22" s="69">
        <v>4.9961966767039054E-2</v>
      </c>
      <c r="P22" s="28"/>
      <c r="Q22" s="69">
        <v>6.1159489898066091E-2</v>
      </c>
    </row>
    <row r="23" spans="1:20" ht="15" customHeight="1">
      <c r="A23" s="2">
        <f>A22+1</f>
        <v>9</v>
      </c>
      <c r="B23" s="10"/>
      <c r="C23" s="10" t="s">
        <v>36</v>
      </c>
      <c r="D23" s="10"/>
      <c r="E23" s="65"/>
      <c r="F23" s="65"/>
      <c r="G23" s="65"/>
      <c r="H23" s="65"/>
      <c r="I23" s="65"/>
      <c r="J23" s="65"/>
      <c r="K23" s="65"/>
      <c r="L23" s="65"/>
      <c r="M23" s="78"/>
      <c r="N23" s="2"/>
      <c r="O23" s="69">
        <v>8.2029623557727624E-2</v>
      </c>
      <c r="P23" s="28"/>
      <c r="Q23" s="69">
        <v>0.11728574540398334</v>
      </c>
    </row>
    <row r="24" spans="1:20" ht="15" customHeight="1">
      <c r="A24" s="2"/>
      <c r="B24" s="10"/>
      <c r="C24" s="10"/>
      <c r="D24" s="10"/>
      <c r="E24" s="2"/>
      <c r="F24" s="2"/>
      <c r="G24" s="2"/>
      <c r="H24" s="2"/>
      <c r="I24" s="2"/>
      <c r="J24" s="2"/>
      <c r="K24" s="26"/>
      <c r="L24" s="2"/>
      <c r="M24" s="70"/>
      <c r="N24" s="2"/>
      <c r="O24" s="28"/>
      <c r="P24" s="28"/>
      <c r="Q24" s="28"/>
    </row>
    <row r="25" spans="1:20" ht="15" customHeight="1">
      <c r="A25" s="2">
        <f>A23+1</f>
        <v>10</v>
      </c>
      <c r="B25" s="10"/>
      <c r="C25" s="10" t="s">
        <v>37</v>
      </c>
      <c r="D25" s="10"/>
      <c r="E25" s="26"/>
      <c r="F25" s="2"/>
      <c r="G25" s="58"/>
      <c r="H25" s="2"/>
      <c r="I25" s="55">
        <f>K25*R25/100</f>
        <v>-19.243199999999998</v>
      </c>
      <c r="J25" s="5"/>
      <c r="K25" s="56">
        <v>-0.80179999999999996</v>
      </c>
      <c r="L25" s="48"/>
      <c r="M25" s="70">
        <f>I25-E25</f>
        <v>-19.243199999999998</v>
      </c>
      <c r="N25" s="2"/>
      <c r="O25" s="49" t="str">
        <f>IFERROR(M25/E25,"(100.0%)")</f>
        <v>(100.0%)</v>
      </c>
      <c r="P25" s="50"/>
      <c r="Q25" s="49" t="str">
        <f>O25</f>
        <v>(100.0%)</v>
      </c>
      <c r="R25" s="45">
        <v>2400</v>
      </c>
    </row>
    <row r="26" spans="1:20" ht="15" customHeight="1">
      <c r="A26" s="2"/>
      <c r="B26" s="10"/>
      <c r="C26" s="10"/>
      <c r="D26" s="10"/>
      <c r="E26" s="26"/>
      <c r="F26" s="2"/>
      <c r="G26" s="58"/>
      <c r="H26" s="2"/>
      <c r="I26" s="55"/>
      <c r="J26" s="5"/>
      <c r="K26" s="56"/>
      <c r="L26" s="48"/>
      <c r="M26" s="70"/>
      <c r="N26" s="2"/>
      <c r="O26" s="49"/>
      <c r="P26" s="50"/>
      <c r="Q26" s="49"/>
    </row>
    <row r="27" spans="1:20" ht="15" customHeight="1">
      <c r="A27" s="2"/>
      <c r="B27" s="10"/>
      <c r="C27" s="10" t="s">
        <v>38</v>
      </c>
      <c r="D27" s="10"/>
      <c r="E27" s="26"/>
      <c r="F27" s="2"/>
      <c r="G27" s="58"/>
      <c r="H27" s="2"/>
      <c r="I27" s="55"/>
      <c r="J27" s="5"/>
      <c r="K27" s="56"/>
      <c r="L27" s="48"/>
      <c r="M27" s="70"/>
      <c r="N27" s="2"/>
      <c r="O27" s="49"/>
      <c r="P27" s="50"/>
      <c r="Q27" s="49"/>
    </row>
    <row r="28" spans="1:20" ht="15" customHeight="1">
      <c r="A28" s="2">
        <f>A25+1</f>
        <v>11</v>
      </c>
      <c r="B28" s="10"/>
      <c r="C28" s="30" t="s">
        <v>39</v>
      </c>
      <c r="D28" s="10"/>
      <c r="E28" s="26">
        <f>E18</f>
        <v>1293.6646435690691</v>
      </c>
      <c r="F28" s="2"/>
      <c r="G28" s="58">
        <f>G18</f>
        <v>53.902693482044548</v>
      </c>
      <c r="H28" s="2"/>
      <c r="I28" s="76">
        <f>I18+I25</f>
        <v>1328.1966506151675</v>
      </c>
      <c r="J28" s="5"/>
      <c r="K28" s="77">
        <f>K18+K25</f>
        <v>55.341527108965316</v>
      </c>
      <c r="L28" s="48"/>
      <c r="M28" s="70">
        <f>I28-E28</f>
        <v>34.532007046098443</v>
      </c>
      <c r="N28" s="2"/>
      <c r="O28" s="49">
        <f>M28/E28</f>
        <v>2.6693167520470129E-2</v>
      </c>
      <c r="P28" s="50"/>
      <c r="Q28" s="49">
        <f>(M28-M15)/(E28-E15)</f>
        <v>3.2617224507191463E-2</v>
      </c>
      <c r="T28" s="79"/>
    </row>
    <row r="29" spans="1:20" ht="15" customHeight="1">
      <c r="A29" s="2">
        <f>A28+1</f>
        <v>12</v>
      </c>
      <c r="B29" s="10"/>
      <c r="C29" s="30" t="s">
        <v>40</v>
      </c>
      <c r="D29" s="10"/>
      <c r="E29" s="26">
        <f>E20</f>
        <v>1354.2911150997204</v>
      </c>
      <c r="F29" s="2"/>
      <c r="G29" s="58">
        <f>G20</f>
        <v>56.42879646248835</v>
      </c>
      <c r="H29" s="2"/>
      <c r="I29" s="76">
        <f>I20+I25</f>
        <v>1372.8822506151675</v>
      </c>
      <c r="J29" s="5"/>
      <c r="K29" s="77">
        <f>K20+K25</f>
        <v>57.203427108965307</v>
      </c>
      <c r="L29" s="48"/>
      <c r="M29" s="70">
        <f>I29-E29</f>
        <v>18.591135515447149</v>
      </c>
      <c r="N29" s="2"/>
      <c r="O29" s="49">
        <f>M29/E29</f>
        <v>1.3727576964926208E-2</v>
      </c>
      <c r="P29" s="50"/>
      <c r="Q29" s="49">
        <f>(M29-M15)/(E29-E15)</f>
        <v>1.6609147431580939E-2</v>
      </c>
      <c r="T29" s="79"/>
    </row>
    <row r="30" spans="1:20" ht="15" customHeight="1">
      <c r="A30" s="2">
        <f>A29+1</f>
        <v>13</v>
      </c>
      <c r="B30" s="10"/>
      <c r="C30" s="30" t="s">
        <v>41</v>
      </c>
      <c r="D30" s="10"/>
      <c r="E30" s="26">
        <f>E22</f>
        <v>1283.3225328762137</v>
      </c>
      <c r="F30" s="2"/>
      <c r="G30" s="58">
        <f>G22</f>
        <v>53.471772203175568</v>
      </c>
      <c r="H30" s="2"/>
      <c r="I30" s="76">
        <f>I22+I25</f>
        <v>1328.1966506151675</v>
      </c>
      <c r="J30" s="5"/>
      <c r="K30" s="77">
        <f>K22+K25</f>
        <v>55.341527108965316</v>
      </c>
      <c r="L30" s="48"/>
      <c r="M30" s="70">
        <f t="shared" ref="M30" si="0">I30-E30</f>
        <v>44.874117738953828</v>
      </c>
      <c r="N30" s="2"/>
      <c r="O30" s="49">
        <f>M30/E30</f>
        <v>3.4967139272760107E-2</v>
      </c>
      <c r="P30" s="50"/>
      <c r="Q30" s="49">
        <f>(M30-M15)/(E30-E15)</f>
        <v>4.2804007518124819E-2</v>
      </c>
      <c r="T30" s="79"/>
    </row>
    <row r="31" spans="1:20" ht="15" customHeight="1">
      <c r="A31" s="2"/>
      <c r="B31" s="10"/>
      <c r="C31" s="30"/>
      <c r="D31" s="10"/>
      <c r="E31" s="26"/>
      <c r="F31" s="2"/>
      <c r="G31" s="58"/>
      <c r="H31" s="2"/>
      <c r="I31" s="59"/>
      <c r="J31" s="5"/>
      <c r="K31" s="56"/>
      <c r="L31" s="48"/>
      <c r="M31" s="70"/>
      <c r="N31" s="2"/>
      <c r="O31" s="49"/>
      <c r="P31" s="50"/>
      <c r="Q31" s="49"/>
    </row>
    <row r="32" spans="1:20" ht="15" customHeight="1">
      <c r="A32" s="2"/>
      <c r="B32" s="10"/>
      <c r="C32" s="21" t="s">
        <v>42</v>
      </c>
      <c r="D32" s="10"/>
      <c r="E32" s="83" t="s">
        <v>43</v>
      </c>
      <c r="F32" s="83"/>
      <c r="G32" s="83"/>
      <c r="H32" s="2"/>
      <c r="I32" s="2"/>
      <c r="J32" s="2"/>
      <c r="K32" s="2"/>
      <c r="L32" s="2"/>
      <c r="M32" s="70"/>
      <c r="N32" s="2"/>
      <c r="O32" s="28"/>
      <c r="P32" s="28"/>
      <c r="Q32" s="28"/>
    </row>
    <row r="33" spans="1:20" ht="15" customHeight="1">
      <c r="A33" s="2">
        <f>A30+1</f>
        <v>14</v>
      </c>
      <c r="B33" s="10"/>
      <c r="C33" s="10" t="s">
        <v>28</v>
      </c>
      <c r="D33" s="10"/>
      <c r="E33" s="26">
        <v>799.29773884635165</v>
      </c>
      <c r="F33" s="2"/>
      <c r="G33" s="58">
        <v>15.833948867796192</v>
      </c>
      <c r="H33" s="2"/>
      <c r="I33" s="26">
        <v>866.18721630785035</v>
      </c>
      <c r="J33" s="2"/>
      <c r="K33" s="58">
        <v>17.159017755702266</v>
      </c>
      <c r="L33" s="48"/>
      <c r="M33" s="70">
        <f>I33-E33</f>
        <v>66.8894774614987</v>
      </c>
      <c r="N33" s="48"/>
      <c r="O33" s="49">
        <f>M33/E33</f>
        <v>8.3685308003050421E-2</v>
      </c>
      <c r="P33" s="50"/>
      <c r="Q33" s="49">
        <f>O33</f>
        <v>8.3685308003050421E-2</v>
      </c>
    </row>
    <row r="34" spans="1:20" ht="15" customHeight="1">
      <c r="A34" s="2">
        <f>A33+1</f>
        <v>15</v>
      </c>
      <c r="B34" s="10"/>
      <c r="C34" s="10" t="s">
        <v>29</v>
      </c>
      <c r="D34" s="10"/>
      <c r="E34" s="26">
        <v>494.19919999999996</v>
      </c>
      <c r="F34" s="47"/>
      <c r="G34" s="58">
        <v>9.7899999999999991</v>
      </c>
      <c r="H34" s="48"/>
      <c r="I34" s="26">
        <v>494.19919999999996</v>
      </c>
      <c r="J34" s="47"/>
      <c r="K34" s="58">
        <v>9.7899999999999991</v>
      </c>
      <c r="L34" s="48"/>
      <c r="M34" s="70">
        <f>I34-E34</f>
        <v>0</v>
      </c>
      <c r="N34" s="48"/>
      <c r="O34" s="49">
        <f>IFERROR(M34/E34,"100.0%")</f>
        <v>0</v>
      </c>
      <c r="P34" s="50"/>
      <c r="Q34" s="49">
        <v>0</v>
      </c>
    </row>
    <row r="35" spans="1:20" ht="15" customHeight="1">
      <c r="A35" s="2">
        <f>A34+1</f>
        <v>16</v>
      </c>
      <c r="B35" s="10"/>
      <c r="C35" s="10" t="s">
        <v>30</v>
      </c>
      <c r="D35" s="10"/>
      <c r="E35" s="26">
        <v>198.22205665663773</v>
      </c>
      <c r="F35" s="47"/>
      <c r="G35" s="58">
        <v>3.9267443870173877</v>
      </c>
      <c r="H35" s="48"/>
      <c r="I35" s="26">
        <v>98.047303999999997</v>
      </c>
      <c r="J35" s="47"/>
      <c r="K35" s="58">
        <v>1.9422999999999999</v>
      </c>
      <c r="L35" s="48"/>
      <c r="M35" s="70">
        <f>I35-E35</f>
        <v>-100.17475265663774</v>
      </c>
      <c r="N35" s="48"/>
      <c r="O35" s="49">
        <f>IFERROR(M35/E35,"100.0%")</f>
        <v>-0.50536632676635707</v>
      </c>
      <c r="P35" s="50"/>
      <c r="Q35" s="49">
        <f>O35</f>
        <v>-0.50536632676635707</v>
      </c>
    </row>
    <row r="36" spans="1:20" ht="15" customHeight="1">
      <c r="A36" s="2">
        <f>A35+1</f>
        <v>17</v>
      </c>
      <c r="B36" s="10"/>
      <c r="C36" s="10" t="s">
        <v>31</v>
      </c>
      <c r="D36" s="10"/>
      <c r="E36" s="26">
        <v>927.69604954719671</v>
      </c>
      <c r="F36" s="2"/>
      <c r="G36" s="58">
        <v>18.377497019556195</v>
      </c>
      <c r="H36" s="2"/>
      <c r="I36" s="26">
        <v>1055.2137279999999</v>
      </c>
      <c r="J36" s="2"/>
      <c r="K36" s="58">
        <v>20.903600000000001</v>
      </c>
      <c r="L36" s="48"/>
      <c r="M36" s="70">
        <f>I36-E36</f>
        <v>127.51767845280324</v>
      </c>
      <c r="N36" s="2"/>
      <c r="O36" s="49">
        <f>M36/E36</f>
        <v>0.13745631288938215</v>
      </c>
      <c r="P36" s="50"/>
      <c r="Q36" s="49">
        <f>O36</f>
        <v>0.13745631288938215</v>
      </c>
    </row>
    <row r="37" spans="1:20" ht="15" customHeight="1">
      <c r="A37" s="2">
        <f>A36+1</f>
        <v>18</v>
      </c>
      <c r="B37" s="10"/>
      <c r="C37" s="10" t="s">
        <v>32</v>
      </c>
      <c r="D37" s="10"/>
      <c r="E37" s="52">
        <f>SUM(E33:E36)</f>
        <v>2419.4150450501861</v>
      </c>
      <c r="F37" s="2"/>
      <c r="G37" s="68">
        <v>47.928190274369769</v>
      </c>
      <c r="H37" s="2"/>
      <c r="I37" s="52">
        <f>SUM(I33:I36)</f>
        <v>2513.64744830785</v>
      </c>
      <c r="J37" s="2"/>
      <c r="K37" s="68">
        <v>49.794917755702258</v>
      </c>
      <c r="L37" s="48"/>
      <c r="M37" s="71">
        <f>SUM(M33:M36)</f>
        <v>94.232403257664203</v>
      </c>
      <c r="N37" s="2"/>
      <c r="O37" s="54">
        <f>M37/E37</f>
        <v>3.8948424103773208E-2</v>
      </c>
      <c r="P37" s="28"/>
      <c r="Q37" s="54">
        <f>(M33+M36+M35)/(E33+E36+E35)</f>
        <v>4.8946409567498531E-2</v>
      </c>
    </row>
    <row r="38" spans="1:20" ht="15" customHeight="1">
      <c r="A38" s="2"/>
      <c r="B38" s="10"/>
      <c r="C38" s="10"/>
      <c r="D38" s="10"/>
      <c r="E38" s="26"/>
      <c r="F38" s="2"/>
      <c r="G38" s="48"/>
      <c r="H38" s="2"/>
      <c r="I38" s="26"/>
      <c r="J38" s="2"/>
      <c r="K38" s="48"/>
      <c r="L38" s="48"/>
      <c r="M38" s="70"/>
      <c r="N38" s="2"/>
      <c r="O38" s="28"/>
      <c r="P38" s="28"/>
      <c r="Q38" s="28"/>
    </row>
    <row r="39" spans="1:20" ht="15" customHeight="1">
      <c r="A39" s="2">
        <f>A37+1</f>
        <v>19</v>
      </c>
      <c r="B39" s="10"/>
      <c r="C39" s="10" t="s">
        <v>33</v>
      </c>
      <c r="D39" s="10"/>
      <c r="E39" s="52">
        <v>2546.9327235029896</v>
      </c>
      <c r="F39" s="2"/>
      <c r="G39" s="53">
        <v>50.454293254813578</v>
      </c>
      <c r="H39" s="2"/>
      <c r="I39" s="52">
        <v>2607.6361603078503</v>
      </c>
      <c r="J39" s="2"/>
      <c r="K39" s="53">
        <v>51.656817755702264</v>
      </c>
      <c r="L39" s="48"/>
      <c r="M39" s="71">
        <v>60.703436804860956</v>
      </c>
      <c r="N39" s="2"/>
      <c r="O39" s="69">
        <v>2.3833938071741022E-2</v>
      </c>
      <c r="P39" s="28"/>
      <c r="Q39" s="69">
        <v>2.9572000510456199E-2</v>
      </c>
    </row>
    <row r="40" spans="1:20" ht="15" customHeight="1">
      <c r="A40" s="2">
        <f>A39+1</f>
        <v>20</v>
      </c>
      <c r="B40" s="10"/>
      <c r="C40" s="10" t="s">
        <v>34</v>
      </c>
      <c r="D40" s="10"/>
      <c r="E40" s="65"/>
      <c r="F40" s="65"/>
      <c r="G40" s="65"/>
      <c r="H40" s="65"/>
      <c r="I40" s="65"/>
      <c r="J40" s="65"/>
      <c r="K40" s="65"/>
      <c r="L40" s="65"/>
      <c r="M40" s="70"/>
      <c r="N40" s="2"/>
      <c r="O40" s="69">
        <v>4.0693613869542837E-2</v>
      </c>
      <c r="P40" s="28"/>
      <c r="Q40" s="69">
        <v>6.0854368082241268E-2</v>
      </c>
    </row>
    <row r="41" spans="1:20" ht="15" customHeight="1">
      <c r="A41" s="2">
        <f>A40+1</f>
        <v>21</v>
      </c>
      <c r="B41" s="10"/>
      <c r="C41" s="10" t="s">
        <v>35</v>
      </c>
      <c r="D41" s="10"/>
      <c r="E41" s="52">
        <v>2397.6621388928802</v>
      </c>
      <c r="F41" s="2"/>
      <c r="G41" s="53">
        <v>47.497268995500797</v>
      </c>
      <c r="H41" s="2"/>
      <c r="I41" s="52">
        <v>2513.64744830785</v>
      </c>
      <c r="J41" s="2"/>
      <c r="K41" s="53">
        <v>49.794917755702258</v>
      </c>
      <c r="L41" s="48"/>
      <c r="M41" s="71">
        <v>115.98530941497003</v>
      </c>
      <c r="N41" s="2"/>
      <c r="O41" s="69">
        <v>4.8374334120538855E-2</v>
      </c>
      <c r="P41" s="28"/>
      <c r="Q41" s="69">
        <v>6.093384170769886E-2</v>
      </c>
    </row>
    <row r="42" spans="1:20" ht="15" customHeight="1">
      <c r="A42" s="2">
        <f>A41+1</f>
        <v>22</v>
      </c>
      <c r="B42" s="10"/>
      <c r="C42" s="10" t="s">
        <v>36</v>
      </c>
      <c r="D42" s="10"/>
      <c r="E42" s="65"/>
      <c r="F42" s="65"/>
      <c r="G42" s="65"/>
      <c r="H42" s="65"/>
      <c r="I42" s="65"/>
      <c r="J42" s="65"/>
      <c r="K42" s="65"/>
      <c r="L42" s="65"/>
      <c r="M42" s="70"/>
      <c r="N42" s="2"/>
      <c r="O42" s="69">
        <v>8.6398336408195137E-2</v>
      </c>
      <c r="P42" s="28"/>
      <c r="Q42" s="69">
        <v>0.13673494525610239</v>
      </c>
    </row>
    <row r="43" spans="1:20" ht="15" customHeight="1">
      <c r="A43" s="2"/>
      <c r="B43" s="10"/>
      <c r="C43" s="10"/>
      <c r="D43" s="10"/>
      <c r="E43" s="2"/>
      <c r="F43" s="2"/>
      <c r="G43" s="2"/>
      <c r="H43" s="2"/>
      <c r="I43" s="2"/>
      <c r="J43" s="2"/>
      <c r="K43" s="2"/>
      <c r="L43" s="2"/>
      <c r="M43" s="70"/>
      <c r="N43" s="2"/>
      <c r="O43" s="28"/>
      <c r="P43" s="28"/>
      <c r="Q43" s="28"/>
    </row>
    <row r="44" spans="1:20" ht="15" customHeight="1">
      <c r="A44" s="2">
        <f>A42+1</f>
        <v>23</v>
      </c>
      <c r="B44" s="10"/>
      <c r="C44" s="10" t="s">
        <v>37</v>
      </c>
      <c r="D44" s="10"/>
      <c r="E44" s="26"/>
      <c r="F44" s="2"/>
      <c r="G44" s="58"/>
      <c r="H44" s="2"/>
      <c r="I44" s="55">
        <f>K44*R44/100</f>
        <v>-40.474863999999997</v>
      </c>
      <c r="J44" s="5"/>
      <c r="K44" s="56">
        <f>+K25</f>
        <v>-0.80179999999999996</v>
      </c>
      <c r="L44" s="48"/>
      <c r="M44" s="70">
        <f>I44-E44</f>
        <v>-40.474863999999997</v>
      </c>
      <c r="N44" s="2"/>
      <c r="O44" s="49" t="str">
        <f>IFERROR(M44/E44,"(100.0%)")</f>
        <v>(100.0%)</v>
      </c>
      <c r="P44" s="50"/>
      <c r="Q44" s="49" t="str">
        <f>O44</f>
        <v>(100.0%)</v>
      </c>
      <c r="R44" s="45">
        <v>5048</v>
      </c>
    </row>
    <row r="45" spans="1:20" ht="15" customHeight="1">
      <c r="A45" s="2"/>
      <c r="B45" s="10"/>
      <c r="C45" s="10"/>
      <c r="D45" s="10"/>
      <c r="E45" s="26"/>
      <c r="F45" s="2"/>
      <c r="G45" s="58"/>
      <c r="H45" s="2"/>
      <c r="I45" s="55"/>
      <c r="J45" s="5"/>
      <c r="K45" s="56"/>
      <c r="L45" s="48"/>
      <c r="M45" s="70"/>
      <c r="N45" s="2"/>
      <c r="O45" s="49"/>
      <c r="P45" s="50"/>
      <c r="Q45" s="49"/>
    </row>
    <row r="46" spans="1:20" ht="15" customHeight="1">
      <c r="A46" s="2"/>
      <c r="B46" s="10"/>
      <c r="C46" s="10" t="s">
        <v>38</v>
      </c>
      <c r="D46" s="10"/>
      <c r="E46" s="26"/>
      <c r="F46" s="2"/>
      <c r="G46" s="58"/>
      <c r="H46" s="2"/>
      <c r="I46" s="55"/>
      <c r="J46" s="5"/>
      <c r="K46" s="56"/>
      <c r="L46" s="48"/>
      <c r="M46" s="70"/>
      <c r="N46" s="2"/>
      <c r="O46" s="49"/>
      <c r="P46" s="50"/>
      <c r="Q46" s="49"/>
    </row>
    <row r="47" spans="1:20" ht="15" customHeight="1">
      <c r="A47" s="2">
        <f>A44+1</f>
        <v>24</v>
      </c>
      <c r="B47" s="10"/>
      <c r="C47" s="30" t="s">
        <v>39</v>
      </c>
      <c r="D47" s="10"/>
      <c r="E47" s="26">
        <f>E37</f>
        <v>2419.4150450501861</v>
      </c>
      <c r="F47" s="2"/>
      <c r="G47" s="58">
        <f>G37</f>
        <v>47.928190274369769</v>
      </c>
      <c r="H47" s="2"/>
      <c r="I47" s="76">
        <f>I37+I44</f>
        <v>2473.1725843078502</v>
      </c>
      <c r="J47" s="5"/>
      <c r="K47" s="77">
        <f>K37+K44</f>
        <v>48.993117755702258</v>
      </c>
      <c r="L47" s="48"/>
      <c r="M47" s="70">
        <f>I47-E47</f>
        <v>53.757539257664121</v>
      </c>
      <c r="N47" s="2"/>
      <c r="O47" s="49">
        <f>M47/E47</f>
        <v>2.2219229961244216E-2</v>
      </c>
      <c r="P47" s="50"/>
      <c r="Q47" s="49">
        <f>(M47-M34)/(E47-E34)</f>
        <v>2.7922863504306335E-2</v>
      </c>
      <c r="T47" s="79"/>
    </row>
    <row r="48" spans="1:20" ht="15" customHeight="1">
      <c r="A48" s="2">
        <f>A47+1</f>
        <v>25</v>
      </c>
      <c r="B48" s="10"/>
      <c r="C48" s="30" t="s">
        <v>40</v>
      </c>
      <c r="D48" s="10"/>
      <c r="E48" s="26">
        <f>E39</f>
        <v>2546.9327235029896</v>
      </c>
      <c r="F48" s="2"/>
      <c r="G48" s="58">
        <f>G39</f>
        <v>50.454293254813578</v>
      </c>
      <c r="H48" s="2"/>
      <c r="I48" s="76">
        <f>I39+I44</f>
        <v>2567.1612963078505</v>
      </c>
      <c r="J48" s="5"/>
      <c r="K48" s="77">
        <f>K39+K44</f>
        <v>50.855017755702264</v>
      </c>
      <c r="L48" s="48"/>
      <c r="M48" s="70">
        <f t="shared" ref="M48:M49" si="1">I48-E48</f>
        <v>20.22857280486096</v>
      </c>
      <c r="N48" s="2"/>
      <c r="O48" s="49">
        <f>M48/E48</f>
        <v>7.9423271051459379E-3</v>
      </c>
      <c r="P48" s="50"/>
      <c r="Q48" s="49">
        <f>(M48-M34)/(E48-E34)</f>
        <v>9.8544563009527429E-3</v>
      </c>
      <c r="T48" s="79"/>
    </row>
    <row r="49" spans="1:20" ht="15" customHeight="1">
      <c r="A49" s="2">
        <f>A48+1</f>
        <v>26</v>
      </c>
      <c r="B49" s="10"/>
      <c r="C49" s="30" t="s">
        <v>41</v>
      </c>
      <c r="D49" s="10"/>
      <c r="E49" s="26">
        <f>E41</f>
        <v>2397.6621388928802</v>
      </c>
      <c r="F49" s="2"/>
      <c r="G49" s="58">
        <f>G41</f>
        <v>47.497268995500797</v>
      </c>
      <c r="H49" s="2"/>
      <c r="I49" s="76">
        <f>I41+I44</f>
        <v>2473.1725843078502</v>
      </c>
      <c r="J49" s="5"/>
      <c r="K49" s="77">
        <f>K41+K44</f>
        <v>48.993117755702258</v>
      </c>
      <c r="L49" s="48"/>
      <c r="M49" s="70">
        <f t="shared" si="1"/>
        <v>75.510445414970036</v>
      </c>
      <c r="N49" s="2"/>
      <c r="O49" s="49">
        <f>M49/E49</f>
        <v>3.1493363551979417E-2</v>
      </c>
      <c r="P49" s="50"/>
      <c r="Q49" s="49">
        <f>(M49-M34)/(E49-E34)</f>
        <v>3.9670037105576386E-2</v>
      </c>
      <c r="T49" s="79"/>
    </row>
    <row r="50" spans="1:20" ht="15" customHeight="1">
      <c r="A50" s="2"/>
      <c r="B50" s="10"/>
      <c r="C50" s="30"/>
      <c r="D50" s="10"/>
      <c r="E50" s="26"/>
      <c r="F50" s="2"/>
      <c r="G50" s="58"/>
      <c r="H50" s="2"/>
      <c r="I50" s="59"/>
      <c r="J50" s="5"/>
      <c r="K50" s="56"/>
      <c r="L50" s="48"/>
      <c r="M50" s="70"/>
      <c r="N50" s="2"/>
      <c r="O50" s="49"/>
      <c r="P50" s="50"/>
      <c r="Q50" s="49"/>
    </row>
    <row r="51" spans="1:20" ht="15" customHeight="1">
      <c r="A51" s="2"/>
      <c r="B51" s="10"/>
      <c r="C51" s="21" t="s">
        <v>44</v>
      </c>
      <c r="D51" s="10"/>
      <c r="E51" s="83" t="s">
        <v>43</v>
      </c>
      <c r="F51" s="83"/>
      <c r="G51" s="83"/>
      <c r="H51" s="2"/>
      <c r="I51" s="2"/>
      <c r="J51" s="2"/>
      <c r="K51" s="2"/>
      <c r="L51" s="2"/>
      <c r="M51" s="70"/>
      <c r="N51" s="2"/>
      <c r="O51" s="28"/>
      <c r="P51" s="28"/>
      <c r="Q51" s="28"/>
    </row>
    <row r="52" spans="1:20" ht="15" customHeight="1">
      <c r="A52" s="2">
        <f>A49+1</f>
        <v>27</v>
      </c>
      <c r="B52" s="10"/>
      <c r="C52" s="10" t="s">
        <v>28</v>
      </c>
      <c r="D52" s="10"/>
      <c r="E52" s="26">
        <v>1473.4404328194944</v>
      </c>
      <c r="F52" s="2"/>
      <c r="G52" s="58">
        <v>29.188598114490777</v>
      </c>
      <c r="H52" s="2"/>
      <c r="I52" s="26">
        <v>1540.6099810000001</v>
      </c>
      <c r="J52" s="2"/>
      <c r="K52" s="58">
        <v>30.519215154516644</v>
      </c>
      <c r="L52" s="48"/>
      <c r="M52" s="70">
        <f>I52-E52</f>
        <v>67.169548180505672</v>
      </c>
      <c r="N52" s="48"/>
      <c r="O52" s="49">
        <f>M52/E52</f>
        <v>4.5586877273330779E-2</v>
      </c>
      <c r="P52" s="50"/>
      <c r="Q52" s="49">
        <f>O52</f>
        <v>4.5586877273330779E-2</v>
      </c>
    </row>
    <row r="53" spans="1:20" ht="15" customHeight="1">
      <c r="A53" s="2">
        <f>A52+1</f>
        <v>28</v>
      </c>
      <c r="B53" s="10"/>
      <c r="C53" s="10" t="s">
        <v>29</v>
      </c>
      <c r="D53" s="10"/>
      <c r="E53" s="26">
        <v>494.19919999999996</v>
      </c>
      <c r="F53" s="47"/>
      <c r="G53" s="58">
        <v>9.7899999999999991</v>
      </c>
      <c r="H53" s="48"/>
      <c r="I53" s="26">
        <v>494.19919999999996</v>
      </c>
      <c r="J53" s="47"/>
      <c r="K53" s="58">
        <v>9.7899999999999991</v>
      </c>
      <c r="L53" s="48"/>
      <c r="M53" s="70">
        <f>I53-E53</f>
        <v>0</v>
      </c>
      <c r="N53" s="48"/>
      <c r="O53" s="49">
        <f>IFERROR(M53/E53,"100.0%")</f>
        <v>0</v>
      </c>
      <c r="P53" s="50"/>
      <c r="Q53" s="49">
        <v>0</v>
      </c>
    </row>
    <row r="54" spans="1:20" ht="15" customHeight="1">
      <c r="A54" s="2">
        <f>A53+1</f>
        <v>29</v>
      </c>
      <c r="B54" s="10"/>
      <c r="C54" s="10" t="s">
        <v>30</v>
      </c>
      <c r="D54" s="10"/>
      <c r="E54" s="26">
        <v>198.22205653463902</v>
      </c>
      <c r="F54" s="47"/>
      <c r="G54" s="58">
        <v>3.9267443846006147</v>
      </c>
      <c r="H54" s="48"/>
      <c r="I54" s="26">
        <v>93.059879999999993</v>
      </c>
      <c r="J54" s="47"/>
      <c r="K54" s="58">
        <v>1.8434999999999999</v>
      </c>
      <c r="L54" s="48"/>
      <c r="M54" s="70">
        <f>I54-E54</f>
        <v>-105.16217653463903</v>
      </c>
      <c r="N54" s="48"/>
      <c r="O54" s="49">
        <f>IFERROR(M54/E54,"100.0%")</f>
        <v>-0.53052711879347336</v>
      </c>
      <c r="P54" s="50"/>
      <c r="Q54" s="49">
        <f>O54</f>
        <v>-0.53052711879347336</v>
      </c>
    </row>
    <row r="55" spans="1:20" ht="15" customHeight="1">
      <c r="A55" s="2">
        <f>A54+1</f>
        <v>30</v>
      </c>
      <c r="B55" s="10"/>
      <c r="C55" s="10" t="s">
        <v>31</v>
      </c>
      <c r="D55" s="10"/>
      <c r="E55" s="26">
        <v>928.87233049839688</v>
      </c>
      <c r="F55" s="2"/>
      <c r="G55" s="58">
        <v>18.400798940142568</v>
      </c>
      <c r="H55" s="2"/>
      <c r="I55" s="26">
        <v>1055.2137279999999</v>
      </c>
      <c r="J55" s="2"/>
      <c r="K55" s="58">
        <v>20.903600000000001</v>
      </c>
      <c r="L55" s="48"/>
      <c r="M55" s="70">
        <f>I55-E55</f>
        <v>126.34139750160307</v>
      </c>
      <c r="N55" s="2"/>
      <c r="O55" s="49">
        <f>M55/E55</f>
        <v>0.13601589083164226</v>
      </c>
      <c r="P55" s="50"/>
      <c r="Q55" s="49">
        <f>O55</f>
        <v>0.13601589083164226</v>
      </c>
    </row>
    <row r="56" spans="1:20" ht="15" customHeight="1">
      <c r="A56" s="2">
        <f>A55+1</f>
        <v>31</v>
      </c>
      <c r="B56" s="10"/>
      <c r="C56" s="10" t="s">
        <v>32</v>
      </c>
      <c r="D56" s="10"/>
      <c r="E56" s="52">
        <f>SUM(E52:E55)</f>
        <v>3094.7340198525303</v>
      </c>
      <c r="F56" s="2"/>
      <c r="G56" s="68">
        <v>61.306141439233961</v>
      </c>
      <c r="H56" s="2"/>
      <c r="I56" s="52">
        <f>SUM(I52:I55)</f>
        <v>3183.082789</v>
      </c>
      <c r="J56" s="2"/>
      <c r="K56" s="68">
        <v>63.056315154516639</v>
      </c>
      <c r="L56" s="48"/>
      <c r="M56" s="71">
        <f>SUM(M52:M55)</f>
        <v>88.34876914746971</v>
      </c>
      <c r="N56" s="2"/>
      <c r="O56" s="54">
        <f>M56/E56</f>
        <v>2.8548097697804638E-2</v>
      </c>
      <c r="P56" s="28"/>
      <c r="Q56" s="54">
        <f>(M52+M55+M54)/(E52+E55+E54)</f>
        <v>3.397330751852027E-2</v>
      </c>
    </row>
    <row r="57" spans="1:20" ht="15" customHeight="1">
      <c r="A57" s="2"/>
      <c r="B57" s="10"/>
      <c r="C57" s="10"/>
      <c r="D57" s="10"/>
      <c r="E57" s="26"/>
      <c r="F57" s="2"/>
      <c r="G57" s="48"/>
      <c r="H57" s="2"/>
      <c r="I57" s="26"/>
      <c r="J57" s="2"/>
      <c r="K57" s="48"/>
      <c r="L57" s="48"/>
      <c r="M57" s="70"/>
      <c r="N57" s="2"/>
      <c r="O57" s="28"/>
      <c r="P57" s="28"/>
      <c r="Q57" s="28"/>
    </row>
    <row r="58" spans="1:20" ht="15" customHeight="1">
      <c r="A58" s="2">
        <f>A56+1</f>
        <v>32</v>
      </c>
      <c r="B58" s="10"/>
      <c r="C58" s="10" t="s">
        <v>33</v>
      </c>
      <c r="D58" s="10"/>
      <c r="E58" s="52">
        <v>3221.0754173541336</v>
      </c>
      <c r="F58" s="2"/>
      <c r="G58" s="53">
        <v>63.808942499091394</v>
      </c>
      <c r="H58" s="2"/>
      <c r="I58" s="52">
        <v>3277.0715010000004</v>
      </c>
      <c r="J58" s="2"/>
      <c r="K58" s="53">
        <v>64.918215154516645</v>
      </c>
      <c r="L58" s="48"/>
      <c r="M58" s="71">
        <v>55.996083645866634</v>
      </c>
      <c r="N58" s="2"/>
      <c r="O58" s="69">
        <v>1.738428207678016E-2</v>
      </c>
      <c r="P58" s="28"/>
      <c r="Q58" s="69">
        <v>2.0534882841216455E-2</v>
      </c>
    </row>
    <row r="59" spans="1:20" ht="15" customHeight="1">
      <c r="A59" s="2">
        <f>A58+1</f>
        <v>33</v>
      </c>
      <c r="B59" s="10"/>
      <c r="C59" s="10" t="s">
        <v>34</v>
      </c>
      <c r="D59" s="10"/>
      <c r="E59" s="65"/>
      <c r="F59" s="65"/>
      <c r="G59" s="65"/>
      <c r="H59" s="65"/>
      <c r="I59" s="65"/>
      <c r="J59" s="65"/>
      <c r="K59" s="65"/>
      <c r="L59" s="65"/>
      <c r="M59" s="70"/>
      <c r="N59" s="2"/>
      <c r="O59" s="69">
        <v>2.5853951764835379E-2</v>
      </c>
      <c r="P59" s="28"/>
      <c r="Q59" s="69">
        <v>3.3497242417338313E-2</v>
      </c>
    </row>
    <row r="60" spans="1:20" ht="15" customHeight="1">
      <c r="A60" s="2">
        <f>A59+1</f>
        <v>34</v>
      </c>
      <c r="B60" s="10"/>
      <c r="C60" s="10" t="s">
        <v>35</v>
      </c>
      <c r="D60" s="10"/>
      <c r="E60" s="52">
        <v>3071.8048469365585</v>
      </c>
      <c r="F60" s="2"/>
      <c r="G60" s="53">
        <v>60.851918520930241</v>
      </c>
      <c r="H60" s="2"/>
      <c r="I60" s="52">
        <v>3183.082789</v>
      </c>
      <c r="J60" s="2"/>
      <c r="K60" s="53">
        <v>63.056315154516639</v>
      </c>
      <c r="L60" s="48"/>
      <c r="M60" s="71">
        <v>111.27794206344116</v>
      </c>
      <c r="N60" s="2"/>
      <c r="O60" s="69">
        <v>3.6225589712971552E-2</v>
      </c>
      <c r="P60" s="28"/>
      <c r="Q60" s="69">
        <v>4.3171049922121771E-2</v>
      </c>
    </row>
    <row r="61" spans="1:20" ht="15" customHeight="1">
      <c r="A61" s="2">
        <f>A60+1</f>
        <v>35</v>
      </c>
      <c r="B61" s="10"/>
      <c r="C61" s="10" t="s">
        <v>36</v>
      </c>
      <c r="D61" s="10"/>
      <c r="E61" s="65"/>
      <c r="F61" s="65"/>
      <c r="G61" s="65"/>
      <c r="H61" s="65"/>
      <c r="I61" s="65"/>
      <c r="J61" s="65"/>
      <c r="K61" s="65"/>
      <c r="L61" s="65"/>
      <c r="M61" s="70"/>
      <c r="N61" s="2"/>
      <c r="O61" s="69">
        <v>5.518121200599313E-2</v>
      </c>
      <c r="P61" s="28"/>
      <c r="Q61" s="69">
        <v>7.309414919988047E-2</v>
      </c>
    </row>
    <row r="62" spans="1:20" ht="15" customHeight="1">
      <c r="A62" s="2"/>
      <c r="B62" s="10"/>
      <c r="C62" s="10"/>
      <c r="D62" s="10"/>
      <c r="E62" s="2"/>
      <c r="F62" s="2"/>
      <c r="G62" s="2"/>
      <c r="H62" s="2"/>
      <c r="I62" s="2"/>
      <c r="J62" s="2"/>
      <c r="K62" s="2"/>
      <c r="L62" s="2"/>
      <c r="M62" s="70"/>
      <c r="N62" s="2"/>
      <c r="O62" s="28"/>
      <c r="P62" s="28"/>
      <c r="Q62" s="28"/>
    </row>
    <row r="63" spans="1:20" ht="15" customHeight="1">
      <c r="A63" s="2">
        <f>A61+1</f>
        <v>36</v>
      </c>
      <c r="B63" s="10"/>
      <c r="C63" s="10" t="s">
        <v>37</v>
      </c>
      <c r="D63" s="10"/>
      <c r="E63" s="26"/>
      <c r="F63" s="2"/>
      <c r="G63" s="58"/>
      <c r="H63" s="2"/>
      <c r="I63" s="55">
        <f>K63*R63/100</f>
        <v>-10.565464000000002</v>
      </c>
      <c r="J63" s="5"/>
      <c r="K63" s="56">
        <v>-0.20930000000000001</v>
      </c>
      <c r="L63" s="48"/>
      <c r="M63" s="70">
        <f>I63-E63</f>
        <v>-10.565464000000002</v>
      </c>
      <c r="N63" s="2"/>
      <c r="O63" s="49" t="str">
        <f>IFERROR(M63/E63,"(100.0%)")</f>
        <v>(100.0%)</v>
      </c>
      <c r="P63" s="50"/>
      <c r="Q63" s="49" t="str">
        <f>O63</f>
        <v>(100.0%)</v>
      </c>
      <c r="R63" s="45">
        <v>5048</v>
      </c>
    </row>
    <row r="64" spans="1:20" ht="15" customHeight="1">
      <c r="A64" s="2"/>
      <c r="B64" s="10"/>
      <c r="C64" s="10"/>
      <c r="D64" s="10"/>
      <c r="E64" s="26"/>
      <c r="F64" s="2"/>
      <c r="G64" s="58"/>
      <c r="H64" s="2"/>
      <c r="I64" s="55"/>
      <c r="J64" s="5"/>
      <c r="K64" s="56"/>
      <c r="L64" s="48"/>
      <c r="M64" s="70"/>
      <c r="N64" s="2"/>
      <c r="O64" s="49"/>
      <c r="P64" s="50"/>
      <c r="Q64" s="49"/>
    </row>
    <row r="65" spans="1:20" ht="15" customHeight="1">
      <c r="A65" s="2"/>
      <c r="B65" s="10"/>
      <c r="C65" s="10" t="s">
        <v>38</v>
      </c>
      <c r="D65" s="10"/>
      <c r="E65" s="26"/>
      <c r="F65" s="2"/>
      <c r="G65" s="58"/>
      <c r="H65" s="2"/>
      <c r="I65" s="55"/>
      <c r="J65" s="5"/>
      <c r="K65" s="56"/>
      <c r="L65" s="48"/>
      <c r="M65" s="70"/>
      <c r="N65" s="2"/>
      <c r="O65" s="49"/>
      <c r="P65" s="50"/>
      <c r="Q65" s="49"/>
    </row>
    <row r="66" spans="1:20" ht="15" customHeight="1">
      <c r="A66" s="2">
        <f>A63+1</f>
        <v>37</v>
      </c>
      <c r="B66" s="10"/>
      <c r="C66" s="30" t="s">
        <v>39</v>
      </c>
      <c r="D66" s="10"/>
      <c r="E66" s="26">
        <f>E56</f>
        <v>3094.7340198525303</v>
      </c>
      <c r="F66" s="2"/>
      <c r="G66" s="58">
        <f>G56</f>
        <v>61.306141439233961</v>
      </c>
      <c r="H66" s="2"/>
      <c r="I66" s="76">
        <f>I56+I63</f>
        <v>3172.5173250000003</v>
      </c>
      <c r="J66" s="5"/>
      <c r="K66" s="77">
        <f>K56+K63</f>
        <v>62.84701515451664</v>
      </c>
      <c r="L66" s="48"/>
      <c r="M66" s="70">
        <f>I66-E66</f>
        <v>77.783305147469946</v>
      </c>
      <c r="N66" s="2"/>
      <c r="O66" s="49">
        <f>M66/E66</f>
        <v>2.5134084108196304E-2</v>
      </c>
      <c r="P66" s="50"/>
      <c r="Q66" s="49">
        <f>(M66-M53)/(E66-E53)</f>
        <v>2.9910503237130598E-2</v>
      </c>
      <c r="T66" s="79"/>
    </row>
    <row r="67" spans="1:20" ht="15" customHeight="1">
      <c r="A67" s="2">
        <f>A66+1</f>
        <v>38</v>
      </c>
      <c r="B67" s="10"/>
      <c r="C67" s="30" t="s">
        <v>40</v>
      </c>
      <c r="D67" s="10"/>
      <c r="E67" s="26">
        <f>E58</f>
        <v>3221.0754173541336</v>
      </c>
      <c r="F67" s="2"/>
      <c r="G67" s="58">
        <f>G58</f>
        <v>63.808942499091394</v>
      </c>
      <c r="H67" s="2"/>
      <c r="I67" s="76">
        <f>I58+I63</f>
        <v>3266.5060370000006</v>
      </c>
      <c r="J67" s="5"/>
      <c r="K67" s="77">
        <f>K58+K63</f>
        <v>64.708915154516646</v>
      </c>
      <c r="L67" s="48"/>
      <c r="M67" s="70">
        <f t="shared" ref="M67:M68" si="2">I67-E67</f>
        <v>45.430619645866955</v>
      </c>
      <c r="N67" s="2"/>
      <c r="O67" s="49">
        <f>M67/E67</f>
        <v>1.410417756787102E-2</v>
      </c>
      <c r="P67" s="50"/>
      <c r="Q67" s="49">
        <f>(M67-M53)/(E67-E53)</f>
        <v>1.6660316063025378E-2</v>
      </c>
      <c r="T67" s="79"/>
    </row>
    <row r="68" spans="1:20" ht="15" customHeight="1">
      <c r="A68" s="2">
        <f>A67+1</f>
        <v>39</v>
      </c>
      <c r="B68" s="10"/>
      <c r="C68" s="30" t="s">
        <v>41</v>
      </c>
      <c r="D68" s="10"/>
      <c r="E68" s="26">
        <f>E60</f>
        <v>3071.8048469365585</v>
      </c>
      <c r="F68" s="2"/>
      <c r="G68" s="58">
        <f>G60</f>
        <v>60.851918520930241</v>
      </c>
      <c r="H68" s="2"/>
      <c r="I68" s="76">
        <f>I60+I63</f>
        <v>3172.5173250000003</v>
      </c>
      <c r="J68" s="5"/>
      <c r="K68" s="77">
        <f>K60+K63</f>
        <v>62.84701515451664</v>
      </c>
      <c r="L68" s="48"/>
      <c r="M68" s="70">
        <f t="shared" si="2"/>
        <v>100.71247806344172</v>
      </c>
      <c r="N68" s="2"/>
      <c r="O68" s="49">
        <f>M68/E68</f>
        <v>3.2786092568308819E-2</v>
      </c>
      <c r="P68" s="50"/>
      <c r="Q68" s="49">
        <f>(M68-M53)/(E68-E53)</f>
        <v>3.9072104836182689E-2</v>
      </c>
      <c r="T68" s="79"/>
    </row>
    <row r="69" spans="1:20" ht="15" customHeight="1">
      <c r="A69" s="2"/>
      <c r="B69" s="10"/>
      <c r="C69" s="30"/>
      <c r="D69" s="10"/>
      <c r="E69" s="26"/>
      <c r="F69" s="2"/>
      <c r="G69" s="58"/>
      <c r="H69" s="2"/>
      <c r="I69" s="59"/>
      <c r="J69" s="5"/>
      <c r="K69" s="56"/>
      <c r="L69" s="48"/>
      <c r="M69" s="70"/>
      <c r="N69" s="2"/>
      <c r="O69" s="49"/>
      <c r="P69" s="50"/>
      <c r="Q69" s="49"/>
    </row>
    <row r="70" spans="1:20" ht="15" customHeight="1">
      <c r="A70" s="2"/>
      <c r="B70" s="10"/>
      <c r="C70" s="21" t="s">
        <v>45</v>
      </c>
      <c r="D70" s="10"/>
      <c r="E70" s="83" t="s">
        <v>46</v>
      </c>
      <c r="F70" s="83"/>
      <c r="G70" s="83"/>
      <c r="H70" s="2"/>
      <c r="I70" s="2"/>
      <c r="J70" s="2"/>
      <c r="K70" s="2"/>
      <c r="L70" s="2"/>
      <c r="M70" s="70"/>
      <c r="N70" s="2"/>
      <c r="O70" s="28"/>
      <c r="P70" s="28"/>
      <c r="Q70" s="28"/>
    </row>
    <row r="71" spans="1:20" ht="15" customHeight="1">
      <c r="A71" s="2">
        <f>A68+1</f>
        <v>40</v>
      </c>
      <c r="B71" s="10"/>
      <c r="C71" s="10" t="s">
        <v>28</v>
      </c>
      <c r="D71" s="10"/>
      <c r="E71" s="26">
        <v>2906.7763366492927</v>
      </c>
      <c r="F71" s="2"/>
      <c r="G71" s="58">
        <v>12.85842845549541</v>
      </c>
      <c r="H71" s="2"/>
      <c r="I71" s="26">
        <v>2949.3006179999998</v>
      </c>
      <c r="J71" s="2"/>
      <c r="K71" s="58">
        <v>13.046539051579225</v>
      </c>
      <c r="L71" s="48"/>
      <c r="M71" s="73">
        <f>I71-E71</f>
        <v>42.524281350707042</v>
      </c>
      <c r="N71" s="48"/>
      <c r="O71" s="49">
        <f>M71/E71</f>
        <v>1.462936133563195E-2</v>
      </c>
      <c r="P71" s="50"/>
      <c r="Q71" s="49">
        <f>O71</f>
        <v>1.462936133563195E-2</v>
      </c>
    </row>
    <row r="72" spans="1:20" ht="15" customHeight="1">
      <c r="A72" s="2">
        <f>A71+1</f>
        <v>41</v>
      </c>
      <c r="B72" s="10"/>
      <c r="C72" s="10" t="s">
        <v>29</v>
      </c>
      <c r="D72" s="10"/>
      <c r="E72" s="26">
        <v>2213.1273999999999</v>
      </c>
      <c r="F72" s="47"/>
      <c r="G72" s="58">
        <v>9.7899999999999991</v>
      </c>
      <c r="H72" s="48"/>
      <c r="I72" s="26">
        <v>2213.1273999999999</v>
      </c>
      <c r="J72" s="47"/>
      <c r="K72" s="58">
        <v>9.7899999999999991</v>
      </c>
      <c r="L72" s="48"/>
      <c r="M72" s="73">
        <f>I72-E72</f>
        <v>0</v>
      </c>
      <c r="N72" s="48"/>
      <c r="O72" s="49">
        <f>IFERROR(M72/E72,"100.0%")</f>
        <v>0</v>
      </c>
      <c r="P72" s="50"/>
      <c r="Q72" s="49">
        <v>0</v>
      </c>
    </row>
    <row r="73" spans="1:20" ht="15" customHeight="1">
      <c r="A73" s="2">
        <f>A72+1</f>
        <v>42</v>
      </c>
      <c r="B73" s="10"/>
      <c r="C73" s="10" t="s">
        <v>30</v>
      </c>
      <c r="D73" s="10"/>
      <c r="E73" s="26">
        <v>887.6798355828148</v>
      </c>
      <c r="F73" s="47"/>
      <c r="G73" s="58">
        <v>3.9267443846006138</v>
      </c>
      <c r="H73" s="48"/>
      <c r="I73" s="26">
        <v>416.74160999999998</v>
      </c>
      <c r="J73" s="47"/>
      <c r="K73" s="58">
        <v>1.8434999999999999</v>
      </c>
      <c r="L73" s="48"/>
      <c r="M73" s="73">
        <f>I73-E73</f>
        <v>-470.93822558281482</v>
      </c>
      <c r="N73" s="48"/>
      <c r="O73" s="49">
        <f>IFERROR(M73/E73,"100.0%")</f>
        <v>-0.53052711879347325</v>
      </c>
      <c r="P73" s="50"/>
      <c r="Q73" s="49">
        <f>O73</f>
        <v>-0.53052711879347325</v>
      </c>
    </row>
    <row r="74" spans="1:20" ht="15" customHeight="1">
      <c r="A74" s="2">
        <f t="shared" ref="A74:A75" si="3">A73+1</f>
        <v>43</v>
      </c>
      <c r="B74" s="10"/>
      <c r="C74" s="10" t="s">
        <v>31</v>
      </c>
      <c r="D74" s="10"/>
      <c r="E74" s="26">
        <v>4159.6846084086292</v>
      </c>
      <c r="F74" s="2"/>
      <c r="G74" s="58">
        <v>18.400798940142568</v>
      </c>
      <c r="H74" s="2"/>
      <c r="I74" s="26">
        <v>4725.4678160000003</v>
      </c>
      <c r="J74" s="2"/>
      <c r="K74" s="58">
        <v>20.903600000000004</v>
      </c>
      <c r="L74" s="48"/>
      <c r="M74" s="73">
        <f>I74-E74</f>
        <v>565.78320759137114</v>
      </c>
      <c r="N74" s="2"/>
      <c r="O74" s="49">
        <f>M74/E74</f>
        <v>0.13601589083164237</v>
      </c>
      <c r="P74" s="50"/>
      <c r="Q74" s="49">
        <f>O74</f>
        <v>0.13601589083164237</v>
      </c>
    </row>
    <row r="75" spans="1:20" ht="15" customHeight="1">
      <c r="A75" s="2">
        <f t="shared" si="3"/>
        <v>44</v>
      </c>
      <c r="B75" s="10"/>
      <c r="C75" s="10" t="s">
        <v>32</v>
      </c>
      <c r="D75" s="10"/>
      <c r="E75" s="52">
        <f>SUM(E71:E74)</f>
        <v>10167.268180640736</v>
      </c>
      <c r="F75" s="2"/>
      <c r="G75" s="68">
        <v>44.975971780238595</v>
      </c>
      <c r="H75" s="2"/>
      <c r="I75" s="52">
        <f>SUM(I71:I74)</f>
        <v>10304.637444</v>
      </c>
      <c r="J75" s="2"/>
      <c r="K75" s="68">
        <v>45.583639051579226</v>
      </c>
      <c r="L75" s="48"/>
      <c r="M75" s="74">
        <f>SUM(M71:M74)</f>
        <v>137.36926335926336</v>
      </c>
      <c r="N75" s="2"/>
      <c r="O75" s="54">
        <f>M75/E75</f>
        <v>1.3510931443789891E-2</v>
      </c>
      <c r="P75" s="28"/>
      <c r="Q75" s="54">
        <f>(M71+M74+M73)/(E71+E74+E73)</f>
        <v>1.7270157412048938E-2</v>
      </c>
    </row>
    <row r="76" spans="1:20" ht="15" customHeight="1">
      <c r="A76" s="2"/>
      <c r="C76" s="10"/>
      <c r="D76" s="10"/>
      <c r="E76" s="26"/>
      <c r="F76" s="2"/>
      <c r="G76" s="48"/>
      <c r="H76" s="2"/>
      <c r="I76" s="26"/>
      <c r="J76" s="2"/>
      <c r="K76" s="48"/>
      <c r="L76" s="48"/>
      <c r="M76" s="73"/>
      <c r="N76" s="2"/>
      <c r="O76" s="28"/>
      <c r="P76" s="28"/>
      <c r="Q76" s="28"/>
    </row>
    <row r="77" spans="1:20" ht="15" customHeight="1">
      <c r="A77" s="2">
        <f>A75+1</f>
        <v>45</v>
      </c>
      <c r="B77" s="31"/>
      <c r="C77" s="10" t="s">
        <v>33</v>
      </c>
      <c r="D77" s="10"/>
      <c r="E77" s="52">
        <v>10733.051388232107</v>
      </c>
      <c r="F77" s="2"/>
      <c r="G77" s="53">
        <v>47.478772840096021</v>
      </c>
      <c r="H77" s="2"/>
      <c r="I77" s="52">
        <v>10725.538558</v>
      </c>
      <c r="J77" s="2"/>
      <c r="K77" s="53">
        <v>47.445539051579225</v>
      </c>
      <c r="L77" s="48"/>
      <c r="M77" s="74">
        <v>-7.5128302321077172</v>
      </c>
      <c r="N77" s="2"/>
      <c r="O77" s="69">
        <v>-6.9997151419072751E-4</v>
      </c>
      <c r="P77" s="28"/>
      <c r="Q77" s="69">
        <v>-8.817954529271141E-4</v>
      </c>
    </row>
    <row r="78" spans="1:20" ht="15" customHeight="1">
      <c r="A78" s="2">
        <f>A77+1</f>
        <v>46</v>
      </c>
      <c r="B78" s="10"/>
      <c r="C78" s="10" t="s">
        <v>34</v>
      </c>
      <c r="D78" s="10"/>
      <c r="E78" s="65"/>
      <c r="F78" s="65"/>
      <c r="G78" s="65"/>
      <c r="H78" s="65"/>
      <c r="I78" s="65"/>
      <c r="J78" s="65"/>
      <c r="K78" s="65"/>
      <c r="L78" s="65"/>
      <c r="M78" s="73"/>
      <c r="N78" s="2"/>
      <c r="O78" s="69">
        <v>-1.2505577561722273E-3</v>
      </c>
      <c r="P78" s="28"/>
      <c r="Q78" s="69">
        <v>-1.9799491392433867E-3</v>
      </c>
    </row>
    <row r="79" spans="1:20" ht="15" customHeight="1">
      <c r="A79" s="2">
        <f t="shared" ref="A79:A80" si="4">A78+1</f>
        <v>47</v>
      </c>
      <c r="B79" s="10"/>
      <c r="C79" s="10" t="s">
        <v>35</v>
      </c>
      <c r="D79" s="10"/>
      <c r="E79" s="52">
        <v>10064.586547728999</v>
      </c>
      <c r="F79" s="2"/>
      <c r="G79" s="53">
        <v>44.521748861934881</v>
      </c>
      <c r="H79" s="2"/>
      <c r="I79" s="52">
        <v>10304.637444</v>
      </c>
      <c r="J79" s="2"/>
      <c r="K79" s="53">
        <v>45.583639051579226</v>
      </c>
      <c r="L79" s="48"/>
      <c r="M79" s="74">
        <v>240.05089627100017</v>
      </c>
      <c r="N79" s="2"/>
      <c r="O79" s="69">
        <v>2.3851043968136566E-2</v>
      </c>
      <c r="P79" s="28"/>
      <c r="Q79" s="69">
        <v>3.0574048944830064E-2</v>
      </c>
    </row>
    <row r="80" spans="1:20" ht="15" customHeight="1">
      <c r="A80" s="2">
        <f t="shared" si="4"/>
        <v>48</v>
      </c>
      <c r="B80" s="10"/>
      <c r="C80" s="10" t="s">
        <v>36</v>
      </c>
      <c r="D80" s="10"/>
      <c r="E80" s="65"/>
      <c r="F80" s="65"/>
      <c r="G80" s="65"/>
      <c r="H80" s="65"/>
      <c r="I80" s="65"/>
      <c r="J80" s="65"/>
      <c r="K80" s="65"/>
      <c r="L80" s="65"/>
      <c r="M80" s="73"/>
      <c r="N80" s="2"/>
      <c r="O80" s="69">
        <v>4.4960771305653853E-2</v>
      </c>
      <c r="P80" s="28"/>
      <c r="Q80" s="69">
        <v>7.6791926399305446E-2</v>
      </c>
    </row>
    <row r="81" spans="1:20" ht="15" customHeight="1">
      <c r="A81" s="2"/>
      <c r="B81" s="10"/>
      <c r="C81" s="10"/>
      <c r="D81" s="10"/>
      <c r="E81" s="2"/>
      <c r="F81" s="2"/>
      <c r="G81" s="2"/>
      <c r="H81" s="2"/>
      <c r="I81" s="2"/>
      <c r="J81" s="2"/>
      <c r="K81" s="2"/>
      <c r="L81" s="2"/>
      <c r="M81" s="70"/>
      <c r="N81" s="2"/>
      <c r="O81" s="28"/>
      <c r="P81" s="28"/>
      <c r="Q81" s="28"/>
    </row>
    <row r="82" spans="1:20" ht="15" customHeight="1">
      <c r="A82" s="2">
        <f>A80+1</f>
        <v>49</v>
      </c>
      <c r="B82" s="10"/>
      <c r="C82" s="10" t="s">
        <v>37</v>
      </c>
      <c r="D82" s="10"/>
      <c r="E82" s="26"/>
      <c r="F82" s="2"/>
      <c r="G82" s="58"/>
      <c r="H82" s="2"/>
      <c r="I82" s="55">
        <f>K82*R82/100</f>
        <v>-47.314357999999999</v>
      </c>
      <c r="J82" s="5"/>
      <c r="K82" s="56">
        <f>+K63</f>
        <v>-0.20930000000000001</v>
      </c>
      <c r="L82" s="48"/>
      <c r="M82" s="70">
        <f>I82-E82</f>
        <v>-47.314357999999999</v>
      </c>
      <c r="N82" s="2"/>
      <c r="O82" s="49" t="str">
        <f>IFERROR(M82/E82,"(100.0%)")</f>
        <v>(100.0%)</v>
      </c>
      <c r="P82" s="50"/>
      <c r="Q82" s="49" t="str">
        <f>O82</f>
        <v>(100.0%)</v>
      </c>
      <c r="R82" s="45">
        <v>22606</v>
      </c>
    </row>
    <row r="83" spans="1:20" ht="15" customHeight="1">
      <c r="A83" s="20"/>
      <c r="C83" s="10"/>
      <c r="D83" s="10"/>
      <c r="E83" s="26"/>
      <c r="F83" s="2"/>
      <c r="G83" s="58"/>
      <c r="H83" s="2"/>
      <c r="I83" s="55"/>
      <c r="J83" s="5"/>
      <c r="K83" s="56"/>
      <c r="L83" s="48"/>
      <c r="M83" s="70"/>
      <c r="N83" s="2"/>
      <c r="O83" s="49"/>
      <c r="P83" s="50"/>
      <c r="Q83" s="49"/>
    </row>
    <row r="84" spans="1:20" ht="15" customHeight="1">
      <c r="A84" s="20"/>
      <c r="C84" s="10" t="s">
        <v>38</v>
      </c>
      <c r="D84" s="10"/>
      <c r="E84" s="26"/>
      <c r="F84" s="2"/>
      <c r="G84" s="58"/>
      <c r="H84" s="2"/>
      <c r="I84" s="55"/>
      <c r="J84" s="5"/>
      <c r="K84" s="56"/>
      <c r="L84" s="48"/>
      <c r="M84" s="70"/>
      <c r="N84" s="2"/>
      <c r="O84" s="49"/>
      <c r="P84" s="50"/>
      <c r="Q84" s="49"/>
    </row>
    <row r="85" spans="1:20" ht="15" customHeight="1">
      <c r="A85" s="20">
        <f>A82+1</f>
        <v>50</v>
      </c>
      <c r="C85" s="30" t="s">
        <v>39</v>
      </c>
      <c r="D85" s="10"/>
      <c r="E85" s="26">
        <f>E75</f>
        <v>10167.268180640736</v>
      </c>
      <c r="F85" s="2"/>
      <c r="G85" s="58">
        <f>G75</f>
        <v>44.975971780238595</v>
      </c>
      <c r="H85" s="2"/>
      <c r="I85" s="76">
        <f>I75+I82</f>
        <v>10257.323086</v>
      </c>
      <c r="J85" s="5"/>
      <c r="K85" s="77">
        <f>K75+K82</f>
        <v>45.374339051579227</v>
      </c>
      <c r="L85" s="48"/>
      <c r="M85" s="70">
        <f>I85-E85</f>
        <v>90.054905359264012</v>
      </c>
      <c r="N85" s="2"/>
      <c r="O85" s="49">
        <f>M85/E85</f>
        <v>8.8573354965432605E-3</v>
      </c>
      <c r="P85" s="50"/>
      <c r="Q85" s="49">
        <f>(M85-M72)/(E85-E72)</f>
        <v>1.1321764077704662E-2</v>
      </c>
      <c r="T85" s="79"/>
    </row>
    <row r="86" spans="1:20" ht="15" customHeight="1">
      <c r="A86" s="20">
        <f>A85+1</f>
        <v>51</v>
      </c>
      <c r="C86" s="30" t="s">
        <v>40</v>
      </c>
      <c r="D86" s="10"/>
      <c r="E86" s="26">
        <f>E77</f>
        <v>10733.051388232107</v>
      </c>
      <c r="F86" s="2"/>
      <c r="G86" s="58">
        <f>G77</f>
        <v>47.478772840096021</v>
      </c>
      <c r="H86" s="2"/>
      <c r="I86" s="76">
        <f>I77+I82</f>
        <v>10678.224200000001</v>
      </c>
      <c r="J86" s="5"/>
      <c r="K86" s="77">
        <f>K77+K82</f>
        <v>47.236239051579226</v>
      </c>
      <c r="L86" s="48"/>
      <c r="M86" s="70">
        <f t="shared" ref="M86:M87" si="5">I86-E86</f>
        <v>-54.827188232105982</v>
      </c>
      <c r="N86" s="2"/>
      <c r="O86" s="49">
        <f>M86/E86</f>
        <v>-5.1082573118227505E-3</v>
      </c>
      <c r="P86" s="50"/>
      <c r="Q86" s="49">
        <f>(M86-M72)/(E86-E72)</f>
        <v>-6.4351734015273389E-3</v>
      </c>
      <c r="T86" s="79"/>
    </row>
    <row r="87" spans="1:20" ht="15" customHeight="1">
      <c r="A87" s="20">
        <f>A86+1</f>
        <v>52</v>
      </c>
      <c r="C87" s="30" t="s">
        <v>41</v>
      </c>
      <c r="D87" s="10"/>
      <c r="E87" s="26">
        <f>E79</f>
        <v>10064.586547728999</v>
      </c>
      <c r="F87" s="2"/>
      <c r="G87" s="58">
        <f>G79</f>
        <v>44.521748861934881</v>
      </c>
      <c r="H87" s="2"/>
      <c r="I87" s="76">
        <f>I79+I82</f>
        <v>10257.323086</v>
      </c>
      <c r="J87" s="5"/>
      <c r="K87" s="77">
        <f>K79+K82</f>
        <v>45.374339051579227</v>
      </c>
      <c r="L87" s="48"/>
      <c r="M87" s="70">
        <f t="shared" si="5"/>
        <v>192.73653827100134</v>
      </c>
      <c r="N87" s="2"/>
      <c r="O87" s="49">
        <f>M87/E87</f>
        <v>1.914997077694075E-2</v>
      </c>
      <c r="P87" s="50"/>
      <c r="Q87" s="49">
        <f>(M87-M72)/(E87-E72)</f>
        <v>2.454786233292057E-2</v>
      </c>
      <c r="T87" s="79"/>
    </row>
    <row r="88" spans="1:20" ht="15" customHeight="1">
      <c r="A88" s="20"/>
      <c r="C88" s="30"/>
      <c r="D88" s="10"/>
      <c r="E88" s="26"/>
      <c r="F88" s="2"/>
      <c r="G88" s="58"/>
      <c r="H88" s="2"/>
      <c r="I88" s="59"/>
      <c r="J88" s="5"/>
      <c r="K88" s="56"/>
      <c r="L88" s="48"/>
      <c r="M88" s="70"/>
      <c r="N88" s="2"/>
      <c r="O88" s="49"/>
      <c r="P88" s="50"/>
      <c r="Q88" s="49"/>
    </row>
    <row r="89" spans="1:20" ht="15" customHeight="1">
      <c r="A89" s="20"/>
      <c r="C89" s="21" t="s">
        <v>47</v>
      </c>
      <c r="D89" s="10"/>
      <c r="E89" s="82" t="s">
        <v>48</v>
      </c>
      <c r="F89" s="82"/>
      <c r="G89" s="82"/>
      <c r="H89" s="2"/>
      <c r="I89" s="2"/>
      <c r="J89" s="2"/>
      <c r="K89" s="2"/>
      <c r="L89" s="2"/>
      <c r="M89" s="70"/>
      <c r="N89" s="2"/>
      <c r="O89" s="28"/>
      <c r="P89" s="28"/>
      <c r="Q89" s="28"/>
    </row>
    <row r="90" spans="1:20" ht="15" customHeight="1">
      <c r="A90" s="20">
        <f>A87+1</f>
        <v>53</v>
      </c>
      <c r="C90" s="10" t="s">
        <v>28</v>
      </c>
      <c r="D90" s="10"/>
      <c r="E90" s="26">
        <v>22068.760649455457</v>
      </c>
      <c r="F90" s="2"/>
      <c r="G90" s="58">
        <v>6.5075785404322479</v>
      </c>
      <c r="H90" s="2"/>
      <c r="I90" s="26">
        <v>20112.343076000001</v>
      </c>
      <c r="J90" s="2"/>
      <c r="K90" s="58">
        <v>5.9306752326582615</v>
      </c>
      <c r="L90" s="48"/>
      <c r="M90" s="70">
        <f>I90-E90</f>
        <v>-1956.4175734554556</v>
      </c>
      <c r="N90" s="48"/>
      <c r="O90" s="49">
        <f>M90/E90</f>
        <v>-8.8650994250722912E-2</v>
      </c>
      <c r="P90" s="50"/>
      <c r="Q90" s="49">
        <f>O90</f>
        <v>-8.8650994250722912E-2</v>
      </c>
    </row>
    <row r="91" spans="1:20" ht="15" customHeight="1">
      <c r="A91" s="20">
        <f>A90+1</f>
        <v>54</v>
      </c>
      <c r="C91" s="10" t="s">
        <v>29</v>
      </c>
      <c r="D91" s="10"/>
      <c r="E91" s="26">
        <v>33200.239599999994</v>
      </c>
      <c r="F91" s="47"/>
      <c r="G91" s="58">
        <v>9.7899999999999991</v>
      </c>
      <c r="H91" s="48"/>
      <c r="I91" s="26">
        <v>33200.239599999994</v>
      </c>
      <c r="J91" s="47"/>
      <c r="K91" s="58">
        <v>9.7899999999999991</v>
      </c>
      <c r="L91" s="48"/>
      <c r="M91" s="70">
        <f>I91-E91</f>
        <v>0</v>
      </c>
      <c r="N91" s="48"/>
      <c r="O91" s="49">
        <f>IFERROR(M91/E91,"100.0%")</f>
        <v>0</v>
      </c>
      <c r="P91" s="50"/>
      <c r="Q91" s="49">
        <v>0</v>
      </c>
    </row>
    <row r="92" spans="1:20" ht="15" customHeight="1">
      <c r="A92" s="20">
        <f t="shared" ref="A92:A94" si="6">A91+1</f>
        <v>55</v>
      </c>
      <c r="C92" s="10" t="s">
        <v>30</v>
      </c>
      <c r="D92" s="10"/>
      <c r="E92" s="26">
        <v>13316.532626832986</v>
      </c>
      <c r="F92" s="47"/>
      <c r="G92" s="58">
        <v>3.9267443846006138</v>
      </c>
      <c r="H92" s="48"/>
      <c r="I92" s="26">
        <v>6251.750939999999</v>
      </c>
      <c r="J92" s="47"/>
      <c r="K92" s="58">
        <v>1.8434999999999997</v>
      </c>
      <c r="L92" s="48"/>
      <c r="M92" s="70">
        <f>I92-E92</f>
        <v>-7064.7816868329874</v>
      </c>
      <c r="N92" s="48"/>
      <c r="O92" s="49">
        <f>IFERROR(M92/E92,"100.0%")</f>
        <v>-0.53052711879347336</v>
      </c>
      <c r="P92" s="50"/>
      <c r="Q92" s="49">
        <f>O92</f>
        <v>-0.53052711879347336</v>
      </c>
    </row>
    <row r="93" spans="1:20" ht="15" customHeight="1">
      <c r="A93" s="20">
        <f t="shared" si="6"/>
        <v>56</v>
      </c>
      <c r="C93" s="10" t="s">
        <v>31</v>
      </c>
      <c r="D93" s="10"/>
      <c r="E93" s="26">
        <v>62401.525397769081</v>
      </c>
      <c r="F93" s="2"/>
      <c r="G93" s="58">
        <v>18.400798940142568</v>
      </c>
      <c r="H93" s="2"/>
      <c r="I93" s="26">
        <v>70889.124464000008</v>
      </c>
      <c r="J93" s="2"/>
      <c r="K93" s="58">
        <v>20.903600000000004</v>
      </c>
      <c r="L93" s="48"/>
      <c r="M93" s="70">
        <f>I93-E93</f>
        <v>8487.5990662309268</v>
      </c>
      <c r="N93" s="2"/>
      <c r="O93" s="49">
        <f>M93/E93</f>
        <v>0.13601589083164251</v>
      </c>
      <c r="P93" s="50"/>
      <c r="Q93" s="49">
        <f>O93</f>
        <v>0.13601589083164251</v>
      </c>
    </row>
    <row r="94" spans="1:20" ht="15" customHeight="1">
      <c r="A94" s="20">
        <f t="shared" si="6"/>
        <v>57</v>
      </c>
      <c r="C94" s="10" t="s">
        <v>32</v>
      </c>
      <c r="D94" s="10"/>
      <c r="E94" s="52">
        <f>SUM(E90:E93)</f>
        <v>130987.05827405752</v>
      </c>
      <c r="F94" s="2"/>
      <c r="G94" s="68">
        <v>38.62512186517543</v>
      </c>
      <c r="H94" s="2"/>
      <c r="I94" s="52">
        <f>SUM(I90:I93)</f>
        <v>130453.45808</v>
      </c>
      <c r="J94" s="2"/>
      <c r="K94" s="68">
        <v>38.467775232658255</v>
      </c>
      <c r="L94" s="48"/>
      <c r="M94" s="71">
        <f>SUM(M90:M93)</f>
        <v>-533.60019405751518</v>
      </c>
      <c r="N94" s="2"/>
      <c r="O94" s="54">
        <f>M94/E94</f>
        <v>-4.0736863709168181E-3</v>
      </c>
      <c r="P94" s="28"/>
      <c r="Q94" s="54">
        <f>(M90+M93+M92)/(E90+E93+E92)</f>
        <v>-5.4567701587277251E-3</v>
      </c>
    </row>
    <row r="95" spans="1:20" ht="15" customHeight="1">
      <c r="A95" s="20"/>
      <c r="C95" s="10"/>
      <c r="D95" s="10"/>
      <c r="E95" s="26"/>
      <c r="F95" s="2"/>
      <c r="G95" s="48"/>
      <c r="H95" s="2"/>
      <c r="I95" s="26"/>
      <c r="J95" s="2"/>
      <c r="K95" s="48"/>
      <c r="L95" s="48"/>
      <c r="M95" s="70"/>
      <c r="N95" s="2"/>
      <c r="O95" s="28"/>
      <c r="P95" s="28"/>
      <c r="Q95" s="28"/>
    </row>
    <row r="96" spans="1:20" ht="15" customHeight="1">
      <c r="A96" s="20">
        <f>A94+1</f>
        <v>58</v>
      </c>
      <c r="C96" s="10" t="s">
        <v>33</v>
      </c>
      <c r="D96" s="10"/>
      <c r="E96" s="52">
        <v>139474.65734028845</v>
      </c>
      <c r="F96" s="2"/>
      <c r="G96" s="53">
        <v>41.12792292503287</v>
      </c>
      <c r="H96" s="2"/>
      <c r="I96" s="52">
        <v>136767.60783599998</v>
      </c>
      <c r="J96" s="2"/>
      <c r="K96" s="53">
        <v>40.329675232658261</v>
      </c>
      <c r="L96" s="48"/>
      <c r="M96" s="71">
        <v>-2707.0495042884413</v>
      </c>
      <c r="N96" s="2"/>
      <c r="O96" s="69">
        <v>-1.9408898762761018E-2</v>
      </c>
      <c r="P96" s="28"/>
      <c r="Q96" s="69">
        <v>-2.5472259099117166E-2</v>
      </c>
    </row>
    <row r="97" spans="1:20" ht="15" customHeight="1">
      <c r="A97" s="20">
        <f>A96+1</f>
        <v>59</v>
      </c>
      <c r="C97" s="10" t="s">
        <v>34</v>
      </c>
      <c r="D97" s="10"/>
      <c r="E97" s="65"/>
      <c r="F97" s="65"/>
      <c r="G97" s="65"/>
      <c r="H97" s="65"/>
      <c r="I97" s="65"/>
      <c r="J97" s="65"/>
      <c r="K97" s="65"/>
      <c r="L97" s="65"/>
      <c r="M97" s="70"/>
      <c r="N97" s="2"/>
      <c r="O97" s="69">
        <v>-3.9469686838641292E-2</v>
      </c>
      <c r="P97" s="28"/>
      <c r="Q97" s="69">
        <v>-7.6502107334586525E-2</v>
      </c>
    </row>
    <row r="98" spans="1:20" ht="15" customHeight="1">
      <c r="A98" s="20">
        <f t="shared" ref="A98:A99" si="7">A97+1</f>
        <v>60</v>
      </c>
      <c r="C98" s="10" t="s">
        <v>35</v>
      </c>
      <c r="D98" s="10"/>
      <c r="E98" s="52">
        <v>129446.67934458924</v>
      </c>
      <c r="F98" s="2"/>
      <c r="G98" s="53">
        <v>38.170898946871716</v>
      </c>
      <c r="H98" s="2"/>
      <c r="I98" s="52">
        <v>130453.45808</v>
      </c>
      <c r="J98" s="2"/>
      <c r="K98" s="53">
        <v>38.467775232658255</v>
      </c>
      <c r="L98" s="48"/>
      <c r="M98" s="71">
        <v>1006.7787354107509</v>
      </c>
      <c r="N98" s="2"/>
      <c r="O98" s="69">
        <v>7.7775555194481965E-3</v>
      </c>
      <c r="P98" s="28"/>
      <c r="Q98" s="69">
        <v>1.046042573712291E-2</v>
      </c>
    </row>
    <row r="99" spans="1:20" ht="15" customHeight="1">
      <c r="A99" s="20">
        <f t="shared" si="7"/>
        <v>61</v>
      </c>
      <c r="C99" s="10" t="s">
        <v>36</v>
      </c>
      <c r="D99" s="10"/>
      <c r="E99" s="65"/>
      <c r="F99" s="65"/>
      <c r="G99" s="65"/>
      <c r="H99" s="65"/>
      <c r="I99" s="65"/>
      <c r="J99" s="65"/>
      <c r="K99" s="65"/>
      <c r="L99" s="65"/>
      <c r="M99" s="70"/>
      <c r="N99" s="2"/>
      <c r="O99" s="69">
        <v>1.7192977703112389E-2</v>
      </c>
      <c r="P99" s="28"/>
      <c r="Q99" s="69">
        <v>3.9703680151874324E-2</v>
      </c>
    </row>
    <row r="100" spans="1:20" ht="15" customHeight="1">
      <c r="A100" s="20"/>
      <c r="C100" s="10"/>
      <c r="D100" s="10"/>
      <c r="E100" s="2"/>
      <c r="F100" s="2"/>
      <c r="G100" s="2"/>
      <c r="H100" s="2"/>
      <c r="I100" s="2"/>
      <c r="J100" s="2"/>
      <c r="K100" s="2"/>
      <c r="L100" s="2"/>
      <c r="M100" s="70"/>
      <c r="N100" s="2"/>
      <c r="O100" s="2"/>
      <c r="P100" s="2"/>
      <c r="Q100" s="2"/>
    </row>
    <row r="101" spans="1:20" ht="15" customHeight="1">
      <c r="A101" s="20">
        <f>A99+1</f>
        <v>62</v>
      </c>
      <c r="C101" s="10" t="s">
        <v>37</v>
      </c>
      <c r="D101" s="10"/>
      <c r="E101" s="26"/>
      <c r="F101" s="2"/>
      <c r="G101" s="58"/>
      <c r="H101" s="2"/>
      <c r="I101" s="55">
        <f>K101*R101/100</f>
        <v>-709.78653199999997</v>
      </c>
      <c r="J101" s="5"/>
      <c r="K101" s="56">
        <f>+K63</f>
        <v>-0.20930000000000001</v>
      </c>
      <c r="L101" s="48"/>
      <c r="M101" s="70">
        <f>I101-E101</f>
        <v>-709.78653199999997</v>
      </c>
      <c r="N101" s="2"/>
      <c r="O101" s="49" t="str">
        <f>IFERROR(M101/E101,"(100.0%)")</f>
        <v>(100.0%)</v>
      </c>
      <c r="P101" s="50"/>
      <c r="Q101" s="49" t="str">
        <f>O101</f>
        <v>(100.0%)</v>
      </c>
      <c r="R101" s="45">
        <v>339124</v>
      </c>
    </row>
    <row r="102" spans="1:20" ht="15" customHeight="1">
      <c r="A102" s="20"/>
      <c r="C102" s="10"/>
      <c r="D102" s="10"/>
      <c r="E102" s="26"/>
      <c r="F102" s="2"/>
      <c r="G102" s="58"/>
      <c r="H102" s="2"/>
      <c r="I102" s="55"/>
      <c r="J102" s="5"/>
      <c r="K102" s="56"/>
      <c r="L102" s="48"/>
      <c r="M102" s="70"/>
      <c r="N102" s="2"/>
      <c r="O102" s="49"/>
      <c r="P102" s="50"/>
      <c r="Q102" s="49"/>
    </row>
    <row r="103" spans="1:20" ht="15" customHeight="1">
      <c r="A103" s="20"/>
      <c r="C103" s="10" t="s">
        <v>38</v>
      </c>
      <c r="D103" s="10"/>
      <c r="E103" s="26"/>
      <c r="F103" s="2"/>
      <c r="G103" s="58"/>
      <c r="H103" s="2"/>
      <c r="I103" s="55"/>
      <c r="J103" s="5"/>
      <c r="K103" s="56"/>
      <c r="L103" s="48"/>
      <c r="M103" s="70"/>
      <c r="N103" s="2"/>
      <c r="O103" s="49"/>
      <c r="P103" s="50"/>
      <c r="Q103" s="49"/>
    </row>
    <row r="104" spans="1:20" ht="15" customHeight="1">
      <c r="A104" s="20">
        <f>A101+1</f>
        <v>63</v>
      </c>
      <c r="C104" s="30" t="s">
        <v>39</v>
      </c>
      <c r="D104" s="10"/>
      <c r="E104" s="26">
        <f>E94</f>
        <v>130987.05827405752</v>
      </c>
      <c r="F104" s="2"/>
      <c r="G104" s="58">
        <f>G94</f>
        <v>38.62512186517543</v>
      </c>
      <c r="H104" s="2"/>
      <c r="I104" s="76">
        <f>I94+I101</f>
        <v>129743.671548</v>
      </c>
      <c r="J104" s="5"/>
      <c r="K104" s="77">
        <f>K94+K101</f>
        <v>38.258475232658256</v>
      </c>
      <c r="L104" s="48"/>
      <c r="M104" s="70">
        <f>I104-E104</f>
        <v>-1243.3867260575207</v>
      </c>
      <c r="N104" s="2"/>
      <c r="O104" s="49">
        <f>M104/E104</f>
        <v>-9.492439500824932E-3</v>
      </c>
      <c r="P104" s="50"/>
      <c r="Q104" s="49">
        <f>(M104-M91)/(E104-E91)</f>
        <v>-1.2715279450924469E-2</v>
      </c>
      <c r="S104" s="43"/>
      <c r="T104" s="79"/>
    </row>
    <row r="105" spans="1:20" ht="15" customHeight="1">
      <c r="A105" s="20">
        <f>A104+1</f>
        <v>64</v>
      </c>
      <c r="C105" s="30" t="s">
        <v>40</v>
      </c>
      <c r="D105" s="10"/>
      <c r="E105" s="26">
        <f>E96</f>
        <v>139474.65734028845</v>
      </c>
      <c r="F105" s="2"/>
      <c r="G105" s="58">
        <f>G96</f>
        <v>41.12792292503287</v>
      </c>
      <c r="H105" s="2"/>
      <c r="I105" s="76">
        <f>I96+I101</f>
        <v>136057.82130399998</v>
      </c>
      <c r="J105" s="5"/>
      <c r="K105" s="77">
        <f>K96+K101</f>
        <v>40.120375232658262</v>
      </c>
      <c r="L105" s="48"/>
      <c r="M105" s="70">
        <f t="shared" ref="M105:M106" si="8">I105-E105</f>
        <v>-3416.8360362884705</v>
      </c>
      <c r="N105" s="2"/>
      <c r="O105" s="49">
        <f>M105/E105</f>
        <v>-2.4497898768463137E-2</v>
      </c>
      <c r="P105" s="50"/>
      <c r="Q105" s="49">
        <f>(M105-M91)/(E105-E91)</f>
        <v>-3.2151068045731139E-2</v>
      </c>
      <c r="T105" s="79"/>
    </row>
    <row r="106" spans="1:20" ht="15" customHeight="1">
      <c r="A106" s="20">
        <f>A105+1</f>
        <v>65</v>
      </c>
      <c r="C106" s="30" t="s">
        <v>41</v>
      </c>
      <c r="D106" s="10"/>
      <c r="E106" s="26">
        <f>E98</f>
        <v>129446.67934458924</v>
      </c>
      <c r="F106" s="2"/>
      <c r="G106" s="58">
        <f>G98</f>
        <v>38.170898946871716</v>
      </c>
      <c r="H106" s="2"/>
      <c r="I106" s="76">
        <f>I98+I101</f>
        <v>129743.671548</v>
      </c>
      <c r="J106" s="5"/>
      <c r="K106" s="77">
        <f>K98+K101</f>
        <v>38.258475232658256</v>
      </c>
      <c r="L106" s="48"/>
      <c r="M106" s="70">
        <f t="shared" si="8"/>
        <v>296.99220341075852</v>
      </c>
      <c r="N106" s="2"/>
      <c r="O106" s="49">
        <f>M106/E106</f>
        <v>2.294320757507887E-3</v>
      </c>
      <c r="P106" s="50"/>
      <c r="Q106" s="49">
        <f>(M106-M91)/(E106-E91)</f>
        <v>3.0857474229581024E-3</v>
      </c>
      <c r="T106" s="79"/>
    </row>
    <row r="107" spans="1:20" ht="15" customHeight="1">
      <c r="C107" s="10"/>
      <c r="D107" s="10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20" ht="15" customHeight="1">
      <c r="A108" s="21" t="s">
        <v>49</v>
      </c>
      <c r="C108" s="10"/>
      <c r="D108" s="10"/>
      <c r="E108" s="10"/>
      <c r="F108" s="10"/>
      <c r="G108" s="11"/>
      <c r="H108" s="10"/>
      <c r="I108" s="10"/>
      <c r="J108" s="10"/>
      <c r="K108" s="10"/>
      <c r="L108" s="10"/>
      <c r="M108" s="12"/>
      <c r="N108" s="10"/>
      <c r="O108" s="10"/>
      <c r="P108" s="10"/>
      <c r="Q108" s="10"/>
    </row>
    <row r="109" spans="1:20" ht="15" customHeight="1">
      <c r="A109" s="32" t="s">
        <v>50</v>
      </c>
      <c r="B109" s="21"/>
      <c r="C109" s="13" t="s">
        <v>51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20" ht="15" customHeight="1">
      <c r="A110" s="32" t="s">
        <v>52</v>
      </c>
      <c r="C110" s="15" t="s">
        <v>53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20" ht="15" customHeight="1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10"/>
      <c r="O111" s="33"/>
      <c r="P111" s="33"/>
      <c r="Q111" s="33"/>
    </row>
    <row r="112" spans="1:20" ht="15" customHeight="1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10"/>
      <c r="O112" s="33"/>
      <c r="P112" s="33"/>
      <c r="Q112" s="33"/>
    </row>
    <row r="113" spans="3:17" ht="15" customHeight="1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10"/>
      <c r="O113" s="34"/>
      <c r="P113" s="34"/>
      <c r="Q113" s="34"/>
    </row>
    <row r="114" spans="3:17" ht="15" customHeight="1"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21"/>
      <c r="O114" s="36"/>
      <c r="P114" s="36"/>
      <c r="Q114" s="34"/>
    </row>
    <row r="510" spans="1:2" ht="15" customHeight="1">
      <c r="A510" s="2"/>
      <c r="B510" s="31"/>
    </row>
    <row r="536" spans="3:17" ht="15" customHeight="1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</row>
  </sheetData>
  <mergeCells count="10">
    <mergeCell ref="E89:G89"/>
    <mergeCell ref="E32:G32"/>
    <mergeCell ref="E51:G51"/>
    <mergeCell ref="E70:G70"/>
    <mergeCell ref="A4:Q4"/>
    <mergeCell ref="A5:Q5"/>
    <mergeCell ref="E7:G7"/>
    <mergeCell ref="I7:M7"/>
    <mergeCell ref="O7:Q7"/>
    <mergeCell ref="E13:G13"/>
  </mergeCells>
  <pageMargins left="0.5" right="0.5" top="0.5" bottom="0.5" header="0.3" footer="0.3"/>
  <pageSetup scale="40" orientation="portrait" r:id="rId1"/>
  <headerFooter>
    <oddHeader>&amp;R&amp;"Arial,Regular"&amp;10Filed: 2023-04-06
EB-2022-0200
Exhibit JT8.8
Attachment 1
Page &amp;P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AE2B7-25D6-4049-A207-F566E8C63BE9}">
  <dimension ref="A4:S108"/>
  <sheetViews>
    <sheetView view="pageLayout" topLeftCell="A94" zoomScaleNormal="100" zoomScaleSheetLayoutView="90" workbookViewId="0">
      <selection activeCell="O84" sqref="O84"/>
    </sheetView>
  </sheetViews>
  <sheetFormatPr defaultColWidth="8.85546875" defaultRowHeight="15" customHeight="1"/>
  <cols>
    <col min="1" max="1" width="4.85546875" style="17" customWidth="1"/>
    <col min="2" max="2" width="1.85546875" style="17" customWidth="1"/>
    <col min="3" max="3" width="36.42578125" style="17" customWidth="1"/>
    <col min="4" max="4" width="1.85546875" style="17" customWidth="1"/>
    <col min="5" max="5" width="15.85546875" style="17" customWidth="1"/>
    <col min="6" max="6" width="1.85546875" style="17" customWidth="1"/>
    <col min="7" max="7" width="15.85546875" style="17" customWidth="1"/>
    <col min="8" max="8" width="1.85546875" style="17" customWidth="1"/>
    <col min="9" max="9" width="15.85546875" style="17" customWidth="1"/>
    <col min="10" max="10" width="1.85546875" style="17" customWidth="1"/>
    <col min="11" max="11" width="15.85546875" style="17" customWidth="1"/>
    <col min="12" max="12" width="1.85546875" style="17" customWidth="1"/>
    <col min="13" max="13" width="15.85546875" style="17" customWidth="1"/>
    <col min="14" max="14" width="1.85546875" style="17" customWidth="1"/>
    <col min="15" max="15" width="15.85546875" style="17" customWidth="1"/>
    <col min="16" max="16" width="1.85546875" style="17" customWidth="1"/>
    <col min="17" max="17" width="15.85546875" style="17" customWidth="1"/>
    <col min="18" max="18" width="12.140625" style="45" bestFit="1" customWidth="1"/>
    <col min="19" max="19" width="9.5703125" bestFit="1" customWidth="1"/>
  </cols>
  <sheetData>
    <row r="4" spans="1:18" ht="15" customHeight="1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ht="15" customHeight="1">
      <c r="A5" s="84" t="s">
        <v>54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8" ht="15" customHeight="1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ht="15" customHeight="1">
      <c r="A7" s="2"/>
      <c r="B7" s="10"/>
      <c r="C7" s="10"/>
      <c r="D7" s="10"/>
      <c r="E7" s="85" t="s">
        <v>55</v>
      </c>
      <c r="F7" s="85"/>
      <c r="G7" s="85"/>
      <c r="H7" s="10"/>
      <c r="I7" s="85" t="s">
        <v>3</v>
      </c>
      <c r="J7" s="85"/>
      <c r="K7" s="85"/>
      <c r="L7" s="85"/>
      <c r="M7" s="85"/>
      <c r="N7" s="10"/>
      <c r="O7" s="85" t="s">
        <v>4</v>
      </c>
      <c r="P7" s="85"/>
      <c r="Q7" s="85"/>
    </row>
    <row r="8" spans="1:18" ht="15" customHeight="1">
      <c r="A8" s="2"/>
      <c r="B8" s="10"/>
      <c r="C8" s="10"/>
      <c r="D8" s="10"/>
      <c r="E8" s="2"/>
      <c r="F8" s="2"/>
      <c r="G8" s="2"/>
      <c r="H8" s="10"/>
      <c r="I8" s="2"/>
      <c r="J8" s="2"/>
      <c r="K8" s="2"/>
      <c r="L8" s="2"/>
      <c r="M8" s="2" t="s">
        <v>5</v>
      </c>
      <c r="N8" s="10"/>
      <c r="O8" s="2" t="s">
        <v>6</v>
      </c>
      <c r="P8" s="2"/>
      <c r="Q8" s="2" t="s">
        <v>7</v>
      </c>
    </row>
    <row r="9" spans="1:18" ht="15" customHeight="1">
      <c r="A9" s="2" t="s">
        <v>8</v>
      </c>
      <c r="B9" s="10"/>
      <c r="C9" s="10"/>
      <c r="D9" s="10"/>
      <c r="E9" s="2" t="s">
        <v>5</v>
      </c>
      <c r="F9" s="2"/>
      <c r="G9" s="2" t="s">
        <v>9</v>
      </c>
      <c r="H9" s="10"/>
      <c r="I9" s="2" t="s">
        <v>5</v>
      </c>
      <c r="J9" s="2"/>
      <c r="K9" s="2" t="s">
        <v>9</v>
      </c>
      <c r="L9" s="2"/>
      <c r="M9" s="2" t="s">
        <v>10</v>
      </c>
      <c r="N9" s="10"/>
      <c r="O9" s="2" t="s">
        <v>11</v>
      </c>
      <c r="P9" s="10"/>
      <c r="Q9" s="2" t="s">
        <v>11</v>
      </c>
    </row>
    <row r="10" spans="1:18" ht="15" customHeight="1">
      <c r="A10" s="18" t="s">
        <v>12</v>
      </c>
      <c r="B10" s="10"/>
      <c r="C10" s="19" t="s">
        <v>13</v>
      </c>
      <c r="D10" s="10"/>
      <c r="E10" s="18" t="s">
        <v>14</v>
      </c>
      <c r="F10" s="2"/>
      <c r="G10" s="18" t="s">
        <v>15</v>
      </c>
      <c r="H10" s="10"/>
      <c r="I10" s="18" t="s">
        <v>14</v>
      </c>
      <c r="J10" s="2"/>
      <c r="K10" s="18" t="s">
        <v>15</v>
      </c>
      <c r="L10" s="2"/>
      <c r="M10" s="18" t="s">
        <v>14</v>
      </c>
      <c r="N10" s="10"/>
      <c r="O10" s="18" t="s">
        <v>16</v>
      </c>
      <c r="P10" s="2"/>
      <c r="Q10" s="18" t="s">
        <v>16</v>
      </c>
    </row>
    <row r="11" spans="1:18" ht="15" customHeight="1">
      <c r="A11" s="2"/>
      <c r="B11" s="10"/>
      <c r="C11" s="10"/>
      <c r="D11" s="10"/>
      <c r="E11" s="2" t="s">
        <v>17</v>
      </c>
      <c r="F11" s="2"/>
      <c r="G11" s="2" t="s">
        <v>18</v>
      </c>
      <c r="H11" s="2"/>
      <c r="I11" s="2" t="s">
        <v>19</v>
      </c>
      <c r="J11" s="2"/>
      <c r="K11" s="2" t="s">
        <v>20</v>
      </c>
      <c r="L11" s="2"/>
      <c r="M11" s="2" t="s">
        <v>21</v>
      </c>
      <c r="N11" s="2"/>
      <c r="O11" s="2" t="s">
        <v>22</v>
      </c>
      <c r="P11" s="2"/>
      <c r="Q11" s="2" t="s">
        <v>23</v>
      </c>
    </row>
    <row r="12" spans="1:18" ht="15" customHeight="1">
      <c r="A12" s="2"/>
      <c r="B12" s="10"/>
      <c r="C12" s="10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6" t="s">
        <v>24</v>
      </c>
    </row>
    <row r="13" spans="1:18" ht="15" customHeight="1">
      <c r="A13" s="2"/>
      <c r="B13" s="10"/>
      <c r="C13" s="21" t="s">
        <v>56</v>
      </c>
      <c r="D13" s="10"/>
      <c r="E13" s="82" t="s">
        <v>57</v>
      </c>
      <c r="F13" s="82"/>
      <c r="G13" s="82"/>
      <c r="H13" s="2"/>
      <c r="I13" s="2"/>
      <c r="J13" s="2"/>
      <c r="K13" s="2"/>
      <c r="L13" s="2"/>
      <c r="M13" s="2"/>
      <c r="N13" s="2"/>
      <c r="O13" s="2"/>
      <c r="P13" s="2"/>
      <c r="Q13" s="2"/>
      <c r="R13" s="46" t="s">
        <v>27</v>
      </c>
    </row>
    <row r="14" spans="1:18" ht="15" customHeight="1">
      <c r="A14" s="2">
        <f>1</f>
        <v>1</v>
      </c>
      <c r="B14" s="10"/>
      <c r="C14" s="10" t="s">
        <v>28</v>
      </c>
      <c r="D14" s="10"/>
      <c r="E14" s="26">
        <v>516.88424539999994</v>
      </c>
      <c r="F14" s="47"/>
      <c r="G14" s="48">
        <v>23.494738427272726</v>
      </c>
      <c r="H14" s="48"/>
      <c r="I14" s="26">
        <v>435.89951740000004</v>
      </c>
      <c r="J14" s="2"/>
      <c r="K14" s="48">
        <v>19.813614427272729</v>
      </c>
      <c r="L14" s="48"/>
      <c r="M14" s="70">
        <f>I14-E14</f>
        <v>-80.984727999999905</v>
      </c>
      <c r="N14" s="48"/>
      <c r="O14" s="49">
        <f>M14/E14</f>
        <v>-0.15667865430359257</v>
      </c>
      <c r="P14" s="50"/>
      <c r="Q14" s="49">
        <f>O14</f>
        <v>-0.15667865430359257</v>
      </c>
    </row>
    <row r="15" spans="1:18" ht="15" customHeight="1">
      <c r="A15" s="2">
        <f>A14+1</f>
        <v>2</v>
      </c>
      <c r="B15" s="10"/>
      <c r="C15" s="10" t="s">
        <v>29</v>
      </c>
      <c r="D15" s="10"/>
      <c r="E15" s="26">
        <v>215.37999999999997</v>
      </c>
      <c r="F15" s="47"/>
      <c r="G15" s="48">
        <v>9.7899999999999991</v>
      </c>
      <c r="H15" s="48"/>
      <c r="I15" s="26">
        <v>215.37999999999997</v>
      </c>
      <c r="J15" s="47"/>
      <c r="K15" s="48">
        <v>9.7899999999999991</v>
      </c>
      <c r="L15" s="48"/>
      <c r="M15" s="70">
        <f>I15-E15</f>
        <v>0</v>
      </c>
      <c r="N15" s="48"/>
      <c r="O15" s="49">
        <f>IFERROR(M15/E15,"100.0%")</f>
        <v>0</v>
      </c>
      <c r="P15" s="50"/>
      <c r="Q15" s="49">
        <v>0</v>
      </c>
    </row>
    <row r="16" spans="1:18" ht="15" customHeight="1">
      <c r="A16" s="2">
        <f>A15+1</f>
        <v>3</v>
      </c>
      <c r="B16" s="10"/>
      <c r="C16" s="10" t="s">
        <v>30</v>
      </c>
      <c r="D16" s="10"/>
      <c r="E16" s="26">
        <v>188.26060000000001</v>
      </c>
      <c r="F16" s="47"/>
      <c r="G16" s="48">
        <v>8.5573000000000015</v>
      </c>
      <c r="H16" s="48"/>
      <c r="I16" s="26">
        <v>122.1726</v>
      </c>
      <c r="J16" s="47"/>
      <c r="K16" s="48">
        <v>5.5533000000000001</v>
      </c>
      <c r="L16" s="48"/>
      <c r="M16" s="70">
        <f>I16-E16</f>
        <v>-66.088000000000008</v>
      </c>
      <c r="N16" s="2"/>
      <c r="O16" s="49">
        <f>M16/E16</f>
        <v>-0.35104530634662806</v>
      </c>
      <c r="P16" s="50"/>
      <c r="Q16" s="49">
        <f>O16</f>
        <v>-0.35104530634662806</v>
      </c>
    </row>
    <row r="17" spans="1:19" ht="15" customHeight="1">
      <c r="A17" s="2">
        <f>A16+1</f>
        <v>4</v>
      </c>
      <c r="B17" s="10"/>
      <c r="C17" s="10" t="s">
        <v>31</v>
      </c>
      <c r="D17" s="10"/>
      <c r="E17" s="26">
        <v>490.93276972764289</v>
      </c>
      <c r="F17" s="47"/>
      <c r="G17" s="48">
        <v>22.315125896711042</v>
      </c>
      <c r="H17" s="2"/>
      <c r="I17" s="26">
        <v>459.87919999999997</v>
      </c>
      <c r="J17" s="2"/>
      <c r="K17" s="48">
        <v>20.903600000000001</v>
      </c>
      <c r="L17" s="48"/>
      <c r="M17" s="70">
        <f>I17-E17</f>
        <v>-31.053569727642923</v>
      </c>
      <c r="N17" s="2"/>
      <c r="O17" s="49">
        <f>M17/E17</f>
        <v>-6.325422062346879E-2</v>
      </c>
      <c r="P17" s="50"/>
      <c r="Q17" s="49">
        <f>O17</f>
        <v>-6.325422062346879E-2</v>
      </c>
    </row>
    <row r="18" spans="1:19" ht="15" customHeight="1">
      <c r="A18" s="2">
        <f>A17+1</f>
        <v>5</v>
      </c>
      <c r="B18" s="10"/>
      <c r="C18" s="10" t="s">
        <v>32</v>
      </c>
      <c r="D18" s="10"/>
      <c r="E18" s="52">
        <f>SUM(E14:E17)</f>
        <v>1411.4576151276428</v>
      </c>
      <c r="F18" s="2"/>
      <c r="G18" s="53">
        <v>64.157164323983764</v>
      </c>
      <c r="H18" s="2"/>
      <c r="I18" s="52">
        <f>SUM(I14:I17)</f>
        <v>1233.3313174</v>
      </c>
      <c r="J18" s="2"/>
      <c r="K18" s="53">
        <v>56.060514427272722</v>
      </c>
      <c r="L18" s="48"/>
      <c r="M18" s="71">
        <f>SUM(M14:M17)</f>
        <v>-178.12629772764285</v>
      </c>
      <c r="N18" s="2"/>
      <c r="O18" s="54">
        <f>M18/E18</f>
        <v>-0.1262002456315589</v>
      </c>
      <c r="P18" s="28"/>
      <c r="Q18" s="54">
        <f>(M14+M17+M16)/(E14+E17+E16)</f>
        <v>-0.1489253669450486</v>
      </c>
    </row>
    <row r="19" spans="1:19" ht="15" customHeight="1">
      <c r="A19" s="2"/>
      <c r="B19" s="10"/>
      <c r="C19" s="10"/>
      <c r="D19" s="10"/>
      <c r="E19" s="26"/>
      <c r="F19" s="2"/>
      <c r="G19" s="48"/>
      <c r="H19" s="2"/>
      <c r="I19" s="26"/>
      <c r="J19" s="2"/>
      <c r="K19" s="48"/>
      <c r="L19" s="48"/>
      <c r="M19" s="70"/>
      <c r="N19" s="2"/>
      <c r="O19" s="28"/>
      <c r="P19" s="28"/>
      <c r="Q19" s="28"/>
    </row>
    <row r="20" spans="1:19" ht="15" customHeight="1">
      <c r="A20" s="2">
        <f>A18+1</f>
        <v>6</v>
      </c>
      <c r="B20" s="10"/>
      <c r="C20" s="10" t="s">
        <v>58</v>
      </c>
      <c r="D20" s="10"/>
      <c r="E20" s="52">
        <f>SUM(E14:E16)+I17</f>
        <v>1380.4040454000001</v>
      </c>
      <c r="F20" s="2"/>
      <c r="G20" s="53">
        <v>62.745638427272731</v>
      </c>
      <c r="H20" s="2"/>
      <c r="I20" s="52">
        <f>SUM(I14:I17)</f>
        <v>1233.3313174</v>
      </c>
      <c r="J20" s="47"/>
      <c r="K20" s="53">
        <v>56.060514427272722</v>
      </c>
      <c r="L20" s="48"/>
      <c r="M20" s="71">
        <f>M14+M15+M16</f>
        <v>-147.07272799999993</v>
      </c>
      <c r="N20" s="2"/>
      <c r="O20" s="54">
        <f>M20/E20</f>
        <v>-0.10654324615325408</v>
      </c>
      <c r="P20" s="28"/>
      <c r="Q20" s="54">
        <f>(M20-M15)/(E20-E15)</f>
        <v>-0.12624007940497389</v>
      </c>
    </row>
    <row r="21" spans="1:19" ht="15" customHeight="1">
      <c r="A21" s="2">
        <f>A20+1</f>
        <v>7</v>
      </c>
      <c r="B21" s="10"/>
      <c r="C21" s="38" t="s">
        <v>59</v>
      </c>
      <c r="D21" s="10"/>
      <c r="E21" s="65"/>
      <c r="F21" s="65"/>
      <c r="G21" s="65"/>
      <c r="H21" s="65"/>
      <c r="I21" s="65"/>
      <c r="J21" s="65"/>
      <c r="K21" s="65"/>
      <c r="L21" s="65"/>
      <c r="M21" s="70"/>
      <c r="N21" s="2"/>
      <c r="O21" s="50">
        <v>-0.15977051432663045</v>
      </c>
      <c r="P21" s="28"/>
      <c r="Q21" s="50">
        <v>-0.20857094674863805</v>
      </c>
    </row>
    <row r="22" spans="1:19" ht="15" customHeight="1">
      <c r="A22" s="2"/>
      <c r="B22" s="10"/>
      <c r="C22" s="10"/>
      <c r="D22" s="10"/>
      <c r="E22" s="2"/>
      <c r="F22" s="2"/>
      <c r="G22" s="2"/>
      <c r="H22" s="2"/>
      <c r="I22" s="2"/>
      <c r="J22" s="2"/>
      <c r="K22" s="2"/>
      <c r="L22" s="2"/>
      <c r="M22" s="70"/>
      <c r="N22" s="2"/>
      <c r="O22" s="28"/>
      <c r="P22" s="28"/>
      <c r="Q22" s="28"/>
    </row>
    <row r="23" spans="1:19" ht="15" customHeight="1">
      <c r="A23" s="2">
        <f>A21+1</f>
        <v>8</v>
      </c>
      <c r="B23" s="10"/>
      <c r="C23" s="10" t="s">
        <v>60</v>
      </c>
      <c r="D23" s="10"/>
      <c r="E23" s="26"/>
      <c r="F23" s="2"/>
      <c r="G23" s="58"/>
      <c r="H23" s="2"/>
      <c r="I23" s="55">
        <f>K23*R23/100</f>
        <v>-15.7828</v>
      </c>
      <c r="J23" s="5"/>
      <c r="K23" s="56">
        <v>-0.71740000000000004</v>
      </c>
      <c r="L23" s="48"/>
      <c r="M23" s="70">
        <f>I23-E23</f>
        <v>-15.7828</v>
      </c>
      <c r="N23" s="2"/>
      <c r="O23" s="49" t="str">
        <f>IFERROR(M23/E23,"(100.0%)")</f>
        <v>(100.0%)</v>
      </c>
      <c r="P23" s="50"/>
      <c r="Q23" s="49" t="str">
        <f>O23</f>
        <v>(100.0%)</v>
      </c>
      <c r="R23" s="45">
        <v>2200</v>
      </c>
    </row>
    <row r="24" spans="1:19" ht="15" customHeight="1">
      <c r="A24" s="2"/>
      <c r="B24" s="10"/>
      <c r="C24" s="10"/>
      <c r="D24" s="10"/>
      <c r="E24" s="26"/>
      <c r="F24" s="2"/>
      <c r="G24" s="58"/>
      <c r="H24" s="2"/>
      <c r="I24" s="55"/>
      <c r="J24" s="5"/>
      <c r="K24" s="56"/>
      <c r="L24" s="48"/>
      <c r="M24" s="70"/>
      <c r="N24" s="2"/>
      <c r="O24" s="49"/>
      <c r="P24" s="50"/>
      <c r="Q24" s="49"/>
    </row>
    <row r="25" spans="1:19" ht="15" customHeight="1">
      <c r="A25" s="2"/>
      <c r="B25" s="10"/>
      <c r="C25" s="10" t="s">
        <v>38</v>
      </c>
      <c r="D25" s="10"/>
      <c r="E25" s="26"/>
      <c r="F25" s="2"/>
      <c r="G25" s="58"/>
      <c r="H25" s="2"/>
      <c r="I25" s="55"/>
      <c r="J25" s="5"/>
      <c r="K25" s="56"/>
      <c r="L25" s="48"/>
      <c r="M25" s="70"/>
      <c r="N25" s="2"/>
      <c r="O25" s="49"/>
      <c r="P25" s="50"/>
      <c r="Q25" s="49"/>
    </row>
    <row r="26" spans="1:19" ht="15" customHeight="1">
      <c r="A26" s="2">
        <f>A23+1</f>
        <v>9</v>
      </c>
      <c r="B26" s="10"/>
      <c r="C26" s="30" t="s">
        <v>39</v>
      </c>
      <c r="D26" s="10"/>
      <c r="E26" s="26">
        <f>E18</f>
        <v>1411.4576151276428</v>
      </c>
      <c r="F26" s="2"/>
      <c r="G26" s="58">
        <f>+G18</f>
        <v>64.157164323983764</v>
      </c>
      <c r="H26" s="2"/>
      <c r="I26" s="75">
        <f>I18+I23</f>
        <v>1217.5485174</v>
      </c>
      <c r="J26" s="5"/>
      <c r="K26" s="60">
        <f>K18+K23</f>
        <v>55.343114427272724</v>
      </c>
      <c r="L26" s="48"/>
      <c r="M26" s="70">
        <f>I26-E26</f>
        <v>-193.9090977276428</v>
      </c>
      <c r="N26" s="2"/>
      <c r="O26" s="49">
        <f>M26/E26</f>
        <v>-0.13738216128445838</v>
      </c>
      <c r="P26" s="50"/>
      <c r="Q26" s="49">
        <f>(M26-M15)/(E26-E15)</f>
        <v>-0.16212083168779079</v>
      </c>
      <c r="S26" s="44"/>
    </row>
    <row r="27" spans="1:19" ht="15" customHeight="1">
      <c r="A27" s="2">
        <f>A26+1</f>
        <v>10</v>
      </c>
      <c r="B27" s="10"/>
      <c r="C27" s="30" t="s">
        <v>61</v>
      </c>
      <c r="D27" s="10"/>
      <c r="E27" s="26">
        <f>E20</f>
        <v>1380.4040454000001</v>
      </c>
      <c r="F27" s="2"/>
      <c r="G27" s="58">
        <f>+G20</f>
        <v>62.745638427272731</v>
      </c>
      <c r="H27" s="2"/>
      <c r="I27" s="75">
        <f>I20+I23</f>
        <v>1217.5485174</v>
      </c>
      <c r="J27" s="5"/>
      <c r="K27" s="60">
        <f>K20+K23</f>
        <v>55.343114427272724</v>
      </c>
      <c r="L27" s="48"/>
      <c r="M27" s="70">
        <f>I27-E27</f>
        <v>-162.85552800000005</v>
      </c>
      <c r="N27" s="2"/>
      <c r="O27" s="49">
        <f>M27/E27</f>
        <v>-0.11797671018329228</v>
      </c>
      <c r="P27" s="50"/>
      <c r="Q27" s="49">
        <f>(M27-M15)/(E27-E15)</f>
        <v>-0.13978726760449406</v>
      </c>
    </row>
    <row r="28" spans="1:19" ht="15" customHeight="1">
      <c r="A28" s="2"/>
      <c r="B28" s="10"/>
      <c r="C28" s="30"/>
      <c r="D28" s="10"/>
      <c r="E28" s="26"/>
      <c r="F28" s="2"/>
      <c r="G28" s="58"/>
      <c r="H28" s="2"/>
      <c r="I28" s="55"/>
      <c r="J28" s="5"/>
      <c r="K28" s="56"/>
      <c r="L28" s="48"/>
      <c r="M28" s="70"/>
      <c r="N28" s="2"/>
      <c r="O28" s="49"/>
      <c r="P28" s="50"/>
      <c r="Q28" s="49"/>
    </row>
    <row r="29" spans="1:19" ht="15" customHeight="1">
      <c r="A29" s="2"/>
      <c r="B29" s="10"/>
      <c r="C29" s="21" t="s">
        <v>62</v>
      </c>
      <c r="D29" s="10"/>
      <c r="E29" s="82" t="s">
        <v>63</v>
      </c>
      <c r="F29" s="82"/>
      <c r="G29" s="82"/>
      <c r="H29" s="2"/>
      <c r="I29" s="2"/>
      <c r="J29" s="2"/>
      <c r="K29" s="2"/>
      <c r="L29" s="2"/>
      <c r="M29" s="70"/>
      <c r="N29" s="2"/>
      <c r="O29" s="28"/>
      <c r="P29" s="28"/>
      <c r="Q29" s="28"/>
    </row>
    <row r="30" spans="1:19" ht="15" customHeight="1">
      <c r="A30" s="2">
        <f>A27+1</f>
        <v>11</v>
      </c>
      <c r="B30" s="10"/>
      <c r="C30" s="10" t="s">
        <v>28</v>
      </c>
      <c r="D30" s="10"/>
      <c r="E30" s="26">
        <v>4238.4152000000004</v>
      </c>
      <c r="F30" s="47"/>
      <c r="G30" s="48">
        <v>10.596038</v>
      </c>
      <c r="H30" s="48"/>
      <c r="I30" s="26">
        <v>2874.4747999999995</v>
      </c>
      <c r="J30" s="2"/>
      <c r="K30" s="48">
        <v>7.1861869999999994</v>
      </c>
      <c r="L30" s="48"/>
      <c r="M30" s="70">
        <f>I30-E30</f>
        <v>-1363.9404000000009</v>
      </c>
      <c r="N30" s="48"/>
      <c r="O30" s="49">
        <f>M30/E30</f>
        <v>-0.32180433856503743</v>
      </c>
      <c r="P30" s="50"/>
      <c r="Q30" s="49">
        <f>O30</f>
        <v>-0.32180433856503743</v>
      </c>
    </row>
    <row r="31" spans="1:19" ht="15" customHeight="1">
      <c r="A31" s="2">
        <f>A30+1</f>
        <v>12</v>
      </c>
      <c r="B31" s="10"/>
      <c r="C31" s="10" t="s">
        <v>29</v>
      </c>
      <c r="D31" s="10"/>
      <c r="E31" s="26">
        <v>3915.9999999999995</v>
      </c>
      <c r="F31" s="47"/>
      <c r="G31" s="48">
        <v>9.7899999999999991</v>
      </c>
      <c r="H31" s="48"/>
      <c r="I31" s="26">
        <v>3915.9999999999995</v>
      </c>
      <c r="J31" s="47"/>
      <c r="K31" s="48">
        <v>9.7899999999999991</v>
      </c>
      <c r="L31" s="48"/>
      <c r="M31" s="70">
        <f>I31-E31</f>
        <v>0</v>
      </c>
      <c r="N31" s="48"/>
      <c r="O31" s="49">
        <f>IFERROR(M31/E31,"100.0%")</f>
        <v>0</v>
      </c>
      <c r="P31" s="50"/>
      <c r="Q31" s="49">
        <v>0</v>
      </c>
    </row>
    <row r="32" spans="1:19" ht="15" customHeight="1">
      <c r="A32" s="2">
        <f>A31+1</f>
        <v>13</v>
      </c>
      <c r="B32" s="10"/>
      <c r="C32" s="10" t="s">
        <v>30</v>
      </c>
      <c r="D32" s="10"/>
      <c r="E32" s="26">
        <v>3422.9199999999996</v>
      </c>
      <c r="F32" s="47"/>
      <c r="G32" s="48">
        <v>8.5572999999999997</v>
      </c>
      <c r="H32" s="48"/>
      <c r="I32" s="26">
        <v>2221.3200000000002</v>
      </c>
      <c r="J32" s="47"/>
      <c r="K32" s="48">
        <v>5.553300000000001</v>
      </c>
      <c r="L32" s="48"/>
      <c r="M32" s="70">
        <f>I32-E32</f>
        <v>-1201.5999999999995</v>
      </c>
      <c r="N32" s="2"/>
      <c r="O32" s="49">
        <f>M32/E32</f>
        <v>-0.35104530634662789</v>
      </c>
      <c r="P32" s="50"/>
      <c r="Q32" s="49">
        <f>O32</f>
        <v>-0.35104530634662789</v>
      </c>
    </row>
    <row r="33" spans="1:18" ht="15" customHeight="1">
      <c r="A33" s="2">
        <f>A32+1</f>
        <v>14</v>
      </c>
      <c r="B33" s="10"/>
      <c r="C33" s="10" t="s">
        <v>31</v>
      </c>
      <c r="D33" s="10"/>
      <c r="E33" s="26">
        <v>8926.050358684417</v>
      </c>
      <c r="F33" s="47"/>
      <c r="G33" s="48">
        <v>22.315125896711045</v>
      </c>
      <c r="H33" s="2"/>
      <c r="I33" s="26">
        <v>8361.44</v>
      </c>
      <c r="J33" s="2"/>
      <c r="K33" s="48">
        <v>20.903600000000001</v>
      </c>
      <c r="L33" s="48"/>
      <c r="M33" s="70">
        <f>I33-E33</f>
        <v>-564.6103586844165</v>
      </c>
      <c r="N33" s="2"/>
      <c r="O33" s="49">
        <f>M33/E33</f>
        <v>-6.3254220623468749E-2</v>
      </c>
      <c r="P33" s="50"/>
      <c r="Q33" s="49">
        <f>O33</f>
        <v>-6.3254220623468749E-2</v>
      </c>
    </row>
    <row r="34" spans="1:18" ht="15" customHeight="1">
      <c r="A34" s="2">
        <f>A33+1</f>
        <v>15</v>
      </c>
      <c r="B34" s="10"/>
      <c r="C34" s="10" t="s">
        <v>32</v>
      </c>
      <c r="D34" s="10"/>
      <c r="E34" s="52">
        <f>SUM(E30:E33)</f>
        <v>20503.385558684415</v>
      </c>
      <c r="F34" s="2"/>
      <c r="G34" s="53">
        <v>51.258463896711035</v>
      </c>
      <c r="H34" s="2"/>
      <c r="I34" s="52">
        <f>SUM(I30:I33)</f>
        <v>17373.234799999998</v>
      </c>
      <c r="J34" s="2"/>
      <c r="K34" s="53">
        <v>43.433087</v>
      </c>
      <c r="L34" s="48"/>
      <c r="M34" s="71">
        <f>SUM(M30:M33)</f>
        <v>-3130.1507586844168</v>
      </c>
      <c r="N34" s="2"/>
      <c r="O34" s="54">
        <f>M34/E34</f>
        <v>-0.15266506839689264</v>
      </c>
      <c r="P34" s="28"/>
      <c r="Q34" s="54">
        <f>(M30+M33+M32)/(E30+E33+E32)</f>
        <v>-0.1887066980875482</v>
      </c>
    </row>
    <row r="35" spans="1:18" ht="15" customHeight="1">
      <c r="A35" s="2"/>
      <c r="B35" s="10"/>
      <c r="C35" s="10"/>
      <c r="D35" s="10"/>
      <c r="E35" s="26"/>
      <c r="F35" s="2"/>
      <c r="G35" s="48"/>
      <c r="H35" s="2"/>
      <c r="I35" s="26"/>
      <c r="J35" s="2"/>
      <c r="K35" s="48"/>
      <c r="L35" s="48"/>
      <c r="M35" s="70"/>
      <c r="N35" s="2"/>
      <c r="O35" s="28"/>
      <c r="P35" s="28"/>
      <c r="Q35" s="28"/>
    </row>
    <row r="36" spans="1:18" ht="15" customHeight="1">
      <c r="A36" s="2">
        <f>A34+1</f>
        <v>16</v>
      </c>
      <c r="B36" s="10"/>
      <c r="C36" s="10" t="s">
        <v>58</v>
      </c>
      <c r="D36" s="10"/>
      <c r="E36" s="52">
        <f>SUM(E30:E32)+I33</f>
        <v>19938.7752</v>
      </c>
      <c r="F36" s="2"/>
      <c r="G36" s="53">
        <v>49.846938000000002</v>
      </c>
      <c r="H36" s="2"/>
      <c r="I36" s="52">
        <f>SUM(I30:I33)</f>
        <v>17373.234799999998</v>
      </c>
      <c r="J36" s="47"/>
      <c r="K36" s="53">
        <v>43.433087</v>
      </c>
      <c r="L36" s="48"/>
      <c r="M36" s="71">
        <f>M30+M31+M32</f>
        <v>-2565.5404000000003</v>
      </c>
      <c r="N36" s="2"/>
      <c r="O36" s="54">
        <f>M36/E36</f>
        <v>-0.12867091254431717</v>
      </c>
      <c r="P36" s="28"/>
      <c r="Q36" s="54">
        <f>(M36-M31)/(E36-E31)</f>
        <v>-0.1601183545282468</v>
      </c>
    </row>
    <row r="37" spans="1:18" ht="15" customHeight="1">
      <c r="A37" s="2">
        <f>A36+1</f>
        <v>17</v>
      </c>
      <c r="B37" s="10"/>
      <c r="C37" s="10" t="s">
        <v>59</v>
      </c>
      <c r="D37" s="10"/>
      <c r="E37" s="65"/>
      <c r="F37" s="65"/>
      <c r="G37" s="65"/>
      <c r="H37" s="65"/>
      <c r="I37" s="65"/>
      <c r="J37" s="65"/>
      <c r="K37" s="65"/>
      <c r="L37" s="65"/>
      <c r="M37" s="70"/>
      <c r="N37" s="2"/>
      <c r="O37" s="50">
        <v>-0.22160025218929477</v>
      </c>
      <c r="P37" s="28"/>
      <c r="Q37" s="50">
        <v>-0.33486857486668897</v>
      </c>
    </row>
    <row r="38" spans="1:18" ht="15" customHeight="1">
      <c r="A38" s="2"/>
      <c r="B38" s="10"/>
      <c r="C38" s="10"/>
      <c r="D38" s="10"/>
      <c r="E38" s="2"/>
      <c r="F38" s="2"/>
      <c r="G38" s="2"/>
      <c r="H38" s="2"/>
      <c r="I38" s="2"/>
      <c r="J38" s="2"/>
      <c r="K38" s="2"/>
      <c r="L38" s="2"/>
      <c r="M38" s="70"/>
      <c r="N38" s="2"/>
      <c r="O38" s="28"/>
      <c r="P38" s="28"/>
      <c r="Q38" s="28"/>
    </row>
    <row r="39" spans="1:18" ht="15" customHeight="1">
      <c r="A39" s="2">
        <f>A37+1</f>
        <v>18</v>
      </c>
      <c r="B39" s="10"/>
      <c r="C39" s="10" t="s">
        <v>60</v>
      </c>
      <c r="D39" s="10"/>
      <c r="E39" s="26"/>
      <c r="F39" s="2"/>
      <c r="G39" s="58"/>
      <c r="H39" s="2"/>
      <c r="I39" s="55">
        <f>K39*R39/100</f>
        <v>-286.95999999999998</v>
      </c>
      <c r="J39" s="5"/>
      <c r="K39" s="56">
        <f>+K23</f>
        <v>-0.71740000000000004</v>
      </c>
      <c r="L39" s="48"/>
      <c r="M39" s="70">
        <f>I39-E39</f>
        <v>-286.95999999999998</v>
      </c>
      <c r="N39" s="2"/>
      <c r="O39" s="49" t="str">
        <f>IFERROR(M39/E39,"(100.0%)")</f>
        <v>(100.0%)</v>
      </c>
      <c r="P39" s="50"/>
      <c r="Q39" s="49" t="str">
        <f>O39</f>
        <v>(100.0%)</v>
      </c>
      <c r="R39" s="45">
        <v>40000</v>
      </c>
    </row>
    <row r="40" spans="1:18" ht="15" customHeight="1">
      <c r="A40" s="2"/>
      <c r="B40" s="10"/>
      <c r="C40" s="10"/>
      <c r="D40" s="10"/>
      <c r="E40" s="26"/>
      <c r="F40" s="2"/>
      <c r="G40" s="58"/>
      <c r="H40" s="2"/>
      <c r="I40" s="55"/>
      <c r="J40" s="5"/>
      <c r="K40" s="56"/>
      <c r="L40" s="48"/>
      <c r="M40" s="70"/>
      <c r="N40" s="2"/>
      <c r="O40" s="49"/>
      <c r="P40" s="50"/>
      <c r="Q40" s="49"/>
    </row>
    <row r="41" spans="1:18" ht="15" customHeight="1">
      <c r="A41" s="2"/>
      <c r="B41" s="10"/>
      <c r="C41" s="10" t="s">
        <v>38</v>
      </c>
      <c r="D41" s="10"/>
      <c r="E41" s="26"/>
      <c r="F41" s="2"/>
      <c r="G41" s="58"/>
      <c r="H41" s="2"/>
      <c r="I41" s="55"/>
      <c r="J41" s="5"/>
      <c r="K41" s="56"/>
      <c r="L41" s="48"/>
      <c r="M41" s="70"/>
      <c r="N41" s="2"/>
      <c r="O41" s="49"/>
      <c r="P41" s="50"/>
      <c r="Q41" s="49"/>
    </row>
    <row r="42" spans="1:18" ht="15" customHeight="1">
      <c r="A42" s="2">
        <f>A39+1</f>
        <v>19</v>
      </c>
      <c r="B42" s="10"/>
      <c r="C42" s="30" t="s">
        <v>39</v>
      </c>
      <c r="D42" s="10"/>
      <c r="E42" s="26">
        <f>E34</f>
        <v>20503.385558684415</v>
      </c>
      <c r="F42" s="2"/>
      <c r="G42" s="58">
        <f>+G34</f>
        <v>51.258463896711035</v>
      </c>
      <c r="H42" s="2"/>
      <c r="I42" s="75">
        <f>I34+I39</f>
        <v>17086.274799999999</v>
      </c>
      <c r="J42" s="5"/>
      <c r="K42" s="77">
        <f>K34+K39</f>
        <v>42.715687000000003</v>
      </c>
      <c r="L42" s="48"/>
      <c r="M42" s="70">
        <f>I42-E42</f>
        <v>-3417.1107586844155</v>
      </c>
      <c r="N42" s="2"/>
      <c r="O42" s="49">
        <f>M42/E42</f>
        <v>-0.16666080579248846</v>
      </c>
      <c r="P42" s="50"/>
      <c r="Q42" s="49">
        <f>(M42-M31)/(E42-E31)</f>
        <v>-0.20600659136999253</v>
      </c>
    </row>
    <row r="43" spans="1:18" ht="15" customHeight="1">
      <c r="A43" s="2">
        <f>A42+1</f>
        <v>20</v>
      </c>
      <c r="B43" s="10"/>
      <c r="C43" s="30" t="s">
        <v>61</v>
      </c>
      <c r="D43" s="10"/>
      <c r="E43" s="26">
        <f>E36</f>
        <v>19938.7752</v>
      </c>
      <c r="F43" s="2"/>
      <c r="G43" s="58">
        <f>+G36</f>
        <v>49.846938000000002</v>
      </c>
      <c r="H43" s="2"/>
      <c r="I43" s="75">
        <f>I36+I39</f>
        <v>17086.274799999999</v>
      </c>
      <c r="J43" s="5"/>
      <c r="K43" s="77">
        <f>K36+K39</f>
        <v>42.715687000000003</v>
      </c>
      <c r="L43" s="48"/>
      <c r="M43" s="70">
        <f>I43-E43</f>
        <v>-2852.5004000000008</v>
      </c>
      <c r="N43" s="2"/>
      <c r="O43" s="49">
        <f>M43/E43</f>
        <v>-0.14306297008654778</v>
      </c>
      <c r="P43" s="50"/>
      <c r="Q43" s="49">
        <f>(M43-M31)/(E43-E31)</f>
        <v>-0.17802786124091666</v>
      </c>
    </row>
    <row r="44" spans="1:18" ht="15" customHeight="1">
      <c r="A44" s="2"/>
      <c r="B44" s="10"/>
      <c r="C44" s="30"/>
      <c r="D44" s="10"/>
      <c r="E44" s="26"/>
      <c r="F44" s="2"/>
      <c r="G44" s="58"/>
      <c r="H44" s="2"/>
      <c r="I44" s="55"/>
      <c r="J44" s="5"/>
      <c r="K44" s="56"/>
      <c r="L44" s="48"/>
      <c r="M44" s="70"/>
      <c r="N44" s="2"/>
      <c r="O44" s="49"/>
      <c r="P44" s="50"/>
      <c r="Q44" s="49"/>
    </row>
    <row r="45" spans="1:18" ht="15" customHeight="1">
      <c r="A45" s="2"/>
      <c r="B45" s="10"/>
      <c r="C45" s="21" t="s">
        <v>64</v>
      </c>
      <c r="D45" s="10"/>
      <c r="E45" s="82" t="s">
        <v>65</v>
      </c>
      <c r="F45" s="82"/>
      <c r="G45" s="82"/>
      <c r="H45" s="2"/>
      <c r="I45" s="2"/>
      <c r="J45" s="2"/>
      <c r="K45" s="2"/>
      <c r="L45" s="2"/>
      <c r="M45" s="70"/>
      <c r="N45" s="2"/>
      <c r="O45" s="28"/>
      <c r="P45" s="28"/>
      <c r="Q45" s="28"/>
    </row>
    <row r="46" spans="1:18" ht="15" customHeight="1">
      <c r="A46" s="2">
        <f>A43+1</f>
        <v>21</v>
      </c>
      <c r="B46" s="10"/>
      <c r="C46" s="10" t="s">
        <v>28</v>
      </c>
      <c r="D46" s="10"/>
      <c r="E46" s="26">
        <v>6143.1103363599996</v>
      </c>
      <c r="F46" s="47"/>
      <c r="G46" s="48">
        <v>10.238517227266666</v>
      </c>
      <c r="H46" s="48"/>
      <c r="I46" s="26">
        <v>4344.4309283999983</v>
      </c>
      <c r="J46" s="2"/>
      <c r="K46" s="48">
        <v>7.2407182139999975</v>
      </c>
      <c r="L46" s="48"/>
      <c r="M46" s="70">
        <f>I46-E46</f>
        <v>-1798.6794079600013</v>
      </c>
      <c r="N46" s="48"/>
      <c r="O46" s="49">
        <f>M46/E46</f>
        <v>-0.29279620737298684</v>
      </c>
      <c r="P46" s="50"/>
      <c r="Q46" s="49">
        <f>O46</f>
        <v>-0.29279620737298684</v>
      </c>
    </row>
    <row r="47" spans="1:18" ht="15" customHeight="1">
      <c r="A47" s="2">
        <f>A46+1</f>
        <v>22</v>
      </c>
      <c r="B47" s="10"/>
      <c r="C47" s="10" t="s">
        <v>29</v>
      </c>
      <c r="D47" s="10"/>
      <c r="E47" s="26">
        <v>5874</v>
      </c>
      <c r="F47" s="47"/>
      <c r="G47" s="48">
        <v>9.7900000000000009</v>
      </c>
      <c r="H47" s="48"/>
      <c r="I47" s="26">
        <v>5874</v>
      </c>
      <c r="J47" s="47"/>
      <c r="K47" s="48">
        <v>9.7900000000000009</v>
      </c>
      <c r="L47" s="48"/>
      <c r="M47" s="70">
        <f>I47-E47</f>
        <v>0</v>
      </c>
      <c r="N47" s="48"/>
      <c r="O47" s="49">
        <f>IFERROR(M47/E47,"100.0%")</f>
        <v>0</v>
      </c>
      <c r="P47" s="50"/>
      <c r="Q47" s="49">
        <v>0</v>
      </c>
    </row>
    <row r="48" spans="1:18" ht="15" customHeight="1">
      <c r="A48" s="2">
        <f>A47+1</f>
        <v>23</v>
      </c>
      <c r="B48" s="10"/>
      <c r="C48" s="10" t="s">
        <v>30</v>
      </c>
      <c r="D48" s="10"/>
      <c r="E48" s="26">
        <v>4073.7000000000003</v>
      </c>
      <c r="F48" s="47"/>
      <c r="G48" s="48">
        <v>6.7895000000000012</v>
      </c>
      <c r="H48" s="48"/>
      <c r="I48" s="26">
        <v>2960.58</v>
      </c>
      <c r="J48" s="47"/>
      <c r="K48" s="48">
        <v>4.9342999999999995</v>
      </c>
      <c r="L48" s="48"/>
      <c r="M48" s="70">
        <f>I48-E48</f>
        <v>-1113.1200000000003</v>
      </c>
      <c r="N48" s="2"/>
      <c r="O48" s="49">
        <f>M48/E48</f>
        <v>-0.27324545253700572</v>
      </c>
      <c r="P48" s="50"/>
      <c r="Q48" s="49">
        <f>O48</f>
        <v>-0.27324545253700572</v>
      </c>
    </row>
    <row r="49" spans="1:18" ht="15" customHeight="1">
      <c r="A49" s="2">
        <f t="shared" ref="A49:A50" si="0">A48+1</f>
        <v>24</v>
      </c>
      <c r="B49" s="10"/>
      <c r="C49" s="10" t="s">
        <v>31</v>
      </c>
      <c r="D49" s="10"/>
      <c r="E49" s="26">
        <v>13389.075538026626</v>
      </c>
      <c r="F49" s="47"/>
      <c r="G49" s="48">
        <v>22.315125896711045</v>
      </c>
      <c r="H49" s="2"/>
      <c r="I49" s="26">
        <v>12542.16</v>
      </c>
      <c r="J49" s="2"/>
      <c r="K49" s="48">
        <v>20.903600000000001</v>
      </c>
      <c r="L49" s="48"/>
      <c r="M49" s="70">
        <f>I49-E49</f>
        <v>-846.91553802662565</v>
      </c>
      <c r="N49" s="2"/>
      <c r="O49" s="49">
        <f>M49/E49</f>
        <v>-6.3254220623468818E-2</v>
      </c>
      <c r="P49" s="50"/>
      <c r="Q49" s="49">
        <f>O49</f>
        <v>-6.3254220623468818E-2</v>
      </c>
    </row>
    <row r="50" spans="1:18" ht="15" customHeight="1">
      <c r="A50" s="2">
        <f t="shared" si="0"/>
        <v>25</v>
      </c>
      <c r="B50" s="10"/>
      <c r="C50" s="10" t="s">
        <v>32</v>
      </c>
      <c r="D50" s="10"/>
      <c r="E50" s="52">
        <f>SUM(E46:E49)</f>
        <v>29479.885874386626</v>
      </c>
      <c r="F50" s="2"/>
      <c r="G50" s="53">
        <v>49.13314312397771</v>
      </c>
      <c r="H50" s="2"/>
      <c r="I50" s="52">
        <f>SUM(I46:I49)</f>
        <v>25721.170928399995</v>
      </c>
      <c r="J50" s="2"/>
      <c r="K50" s="53">
        <v>42.868618213999994</v>
      </c>
      <c r="L50" s="48"/>
      <c r="M50" s="71">
        <f>SUM(M46:M49)</f>
        <v>-3758.7149459866273</v>
      </c>
      <c r="N50" s="2"/>
      <c r="O50" s="54">
        <f>M50/E50</f>
        <v>-0.12750100058061481</v>
      </c>
      <c r="P50" s="28"/>
      <c r="Q50" s="54">
        <f>(M46+M49+M48)/(E46+E49+E48)</f>
        <v>-0.1592278707940798</v>
      </c>
    </row>
    <row r="51" spans="1:18" ht="15" customHeight="1">
      <c r="A51" s="2"/>
      <c r="B51" s="10"/>
      <c r="C51" s="10"/>
      <c r="D51" s="10"/>
      <c r="E51" s="26"/>
      <c r="F51" s="2"/>
      <c r="G51" s="48"/>
      <c r="H51" s="2"/>
      <c r="I51" s="26"/>
      <c r="J51" s="2"/>
      <c r="K51" s="48"/>
      <c r="L51" s="48"/>
      <c r="M51" s="70"/>
      <c r="N51" s="2"/>
      <c r="O51" s="28"/>
      <c r="P51" s="28"/>
      <c r="Q51" s="28"/>
    </row>
    <row r="52" spans="1:18" ht="15" customHeight="1">
      <c r="A52" s="2">
        <f>A50+1</f>
        <v>26</v>
      </c>
      <c r="B52" s="10"/>
      <c r="C52" s="10" t="s">
        <v>58</v>
      </c>
      <c r="D52" s="10"/>
      <c r="E52" s="52">
        <f>SUM(E46:E48)+I49</f>
        <v>28632.970336359998</v>
      </c>
      <c r="F52" s="2"/>
      <c r="G52" s="53">
        <v>47.721617227266663</v>
      </c>
      <c r="H52" s="2"/>
      <c r="I52" s="52">
        <f>SUM(I46:I49)</f>
        <v>25721.170928399995</v>
      </c>
      <c r="J52" s="47"/>
      <c r="K52" s="53">
        <v>42.868618213999994</v>
      </c>
      <c r="L52" s="48"/>
      <c r="M52" s="71">
        <f>M46+M47+M48</f>
        <v>-2911.7994079600016</v>
      </c>
      <c r="N52" s="2"/>
      <c r="O52" s="54">
        <f>M52/E52</f>
        <v>-0.10169393443132969</v>
      </c>
      <c r="P52" s="28"/>
      <c r="Q52" s="54">
        <f>(M52-M47)/(E52-E47)</f>
        <v>-0.12794073567151132</v>
      </c>
    </row>
    <row r="53" spans="1:18" ht="15" customHeight="1">
      <c r="A53" s="2">
        <f>A52+1</f>
        <v>27</v>
      </c>
      <c r="B53" s="10"/>
      <c r="C53" s="10" t="s">
        <v>59</v>
      </c>
      <c r="D53" s="10"/>
      <c r="E53" s="65"/>
      <c r="F53" s="65"/>
      <c r="G53" s="65"/>
      <c r="H53" s="65"/>
      <c r="I53" s="65"/>
      <c r="J53" s="65"/>
      <c r="K53" s="65"/>
      <c r="L53" s="65"/>
      <c r="M53" s="70"/>
      <c r="N53" s="2"/>
      <c r="O53" s="50">
        <v>-0.18096039584658338</v>
      </c>
      <c r="P53" s="28"/>
      <c r="Q53" s="50">
        <v>-0.28500082825237255</v>
      </c>
    </row>
    <row r="54" spans="1:18" ht="15" customHeight="1">
      <c r="A54" s="2"/>
      <c r="B54" s="10"/>
      <c r="C54" s="10"/>
      <c r="D54" s="10"/>
      <c r="E54" s="2"/>
      <c r="F54" s="2"/>
      <c r="G54" s="2"/>
      <c r="H54" s="2"/>
      <c r="I54" s="2"/>
      <c r="J54" s="2"/>
      <c r="K54" s="2"/>
      <c r="L54" s="2"/>
      <c r="M54" s="70"/>
      <c r="N54" s="2"/>
      <c r="O54" s="28"/>
      <c r="P54" s="28"/>
      <c r="Q54" s="28"/>
    </row>
    <row r="55" spans="1:18" ht="15" customHeight="1">
      <c r="A55" s="2">
        <f>A53+1</f>
        <v>28</v>
      </c>
      <c r="B55" s="10"/>
      <c r="C55" s="10" t="s">
        <v>60</v>
      </c>
      <c r="D55" s="10"/>
      <c r="E55" s="26"/>
      <c r="F55" s="2"/>
      <c r="G55" s="58"/>
      <c r="H55" s="2"/>
      <c r="I55" s="55">
        <f>K55*R55/100</f>
        <v>-103.8</v>
      </c>
      <c r="J55" s="5"/>
      <c r="K55" s="56">
        <v>-0.17299999999999999</v>
      </c>
      <c r="L55" s="48"/>
      <c r="M55" s="70">
        <f>I55-E55</f>
        <v>-103.8</v>
      </c>
      <c r="N55" s="2"/>
      <c r="O55" s="49" t="str">
        <f>IFERROR(M55/E55,"(100.0%)")</f>
        <v>(100.0%)</v>
      </c>
      <c r="P55" s="50"/>
      <c r="Q55" s="49" t="str">
        <f>O55</f>
        <v>(100.0%)</v>
      </c>
      <c r="R55" s="45">
        <v>60000</v>
      </c>
    </row>
    <row r="56" spans="1:18" ht="15" customHeight="1">
      <c r="A56" s="2"/>
      <c r="B56" s="10"/>
      <c r="C56" s="10"/>
      <c r="D56" s="10"/>
      <c r="E56" s="26"/>
      <c r="F56" s="2"/>
      <c r="G56" s="58"/>
      <c r="H56" s="2"/>
      <c r="I56" s="55"/>
      <c r="J56" s="5"/>
      <c r="K56" s="56"/>
      <c r="L56" s="48"/>
      <c r="M56" s="70"/>
      <c r="N56" s="2"/>
      <c r="O56" s="49"/>
      <c r="P56" s="50"/>
      <c r="Q56" s="49"/>
    </row>
    <row r="57" spans="1:18" ht="15" customHeight="1">
      <c r="A57" s="2"/>
      <c r="B57" s="10"/>
      <c r="C57" s="10" t="s">
        <v>38</v>
      </c>
      <c r="D57" s="10"/>
      <c r="E57" s="26"/>
      <c r="F57" s="2"/>
      <c r="G57" s="58"/>
      <c r="H57" s="2"/>
      <c r="I57" s="55"/>
      <c r="J57" s="5"/>
      <c r="K57" s="56"/>
      <c r="L57" s="48"/>
      <c r="M57" s="70"/>
      <c r="N57" s="2"/>
      <c r="O57" s="49"/>
      <c r="P57" s="50"/>
      <c r="Q57" s="49"/>
    </row>
    <row r="58" spans="1:18" ht="15" customHeight="1">
      <c r="A58" s="2">
        <f>A55+1</f>
        <v>29</v>
      </c>
      <c r="B58" s="10"/>
      <c r="C58" s="30" t="s">
        <v>39</v>
      </c>
      <c r="D58" s="10"/>
      <c r="E58" s="26">
        <f>E50</f>
        <v>29479.885874386626</v>
      </c>
      <c r="F58" s="2"/>
      <c r="G58" s="58">
        <f>+G50</f>
        <v>49.13314312397771</v>
      </c>
      <c r="H58" s="2"/>
      <c r="I58" s="76">
        <f>I50+I55</f>
        <v>25617.370928399996</v>
      </c>
      <c r="J58" s="5"/>
      <c r="K58" s="77">
        <f>K50+K55</f>
        <v>42.695618213999992</v>
      </c>
      <c r="L58" s="48"/>
      <c r="M58" s="70">
        <f>I58-E58</f>
        <v>-3862.5149459866298</v>
      </c>
      <c r="N58" s="2"/>
      <c r="O58" s="49">
        <f>M58/E58</f>
        <v>-0.13102204541919704</v>
      </c>
      <c r="P58" s="50"/>
      <c r="Q58" s="49">
        <f>(M58-M47)/(E58-E47)</f>
        <v>-0.16362507920864008</v>
      </c>
    </row>
    <row r="59" spans="1:18" ht="15" customHeight="1">
      <c r="A59" s="2">
        <f>A58+1</f>
        <v>30</v>
      </c>
      <c r="B59" s="10"/>
      <c r="C59" s="30" t="s">
        <v>61</v>
      </c>
      <c r="D59" s="10"/>
      <c r="E59" s="26">
        <f>E52</f>
        <v>28632.970336359998</v>
      </c>
      <c r="F59" s="2"/>
      <c r="G59" s="58">
        <f>+G52</f>
        <v>47.721617227266663</v>
      </c>
      <c r="H59" s="2"/>
      <c r="I59" s="76">
        <f>I52+I55</f>
        <v>25617.370928399996</v>
      </c>
      <c r="J59" s="5"/>
      <c r="K59" s="77">
        <f>K52+K55</f>
        <v>42.695618213999992</v>
      </c>
      <c r="L59" s="48"/>
      <c r="M59" s="70">
        <f>I59-E59</f>
        <v>-3015.5994079600023</v>
      </c>
      <c r="N59" s="2"/>
      <c r="O59" s="49">
        <f>M59/E59</f>
        <v>-0.10531912590747175</v>
      </c>
      <c r="P59" s="50"/>
      <c r="Q59" s="49">
        <f>(M59-M47)/(E59-E47)</f>
        <v>-0.1325015746930451</v>
      </c>
    </row>
    <row r="60" spans="1:18" ht="15" customHeight="1">
      <c r="A60" s="2"/>
      <c r="B60" s="10"/>
      <c r="C60" s="10"/>
      <c r="D60" s="10"/>
      <c r="E60" s="2"/>
      <c r="F60" s="2"/>
      <c r="G60" s="2"/>
      <c r="H60" s="2"/>
      <c r="I60" s="2"/>
      <c r="J60" s="2"/>
      <c r="K60" s="2"/>
      <c r="L60" s="2"/>
      <c r="M60" s="70"/>
      <c r="N60" s="2"/>
      <c r="O60" s="28"/>
      <c r="P60" s="28"/>
      <c r="Q60" s="28"/>
    </row>
    <row r="61" spans="1:18" ht="15" customHeight="1">
      <c r="A61" s="2"/>
      <c r="B61" s="10"/>
      <c r="C61" s="21" t="s">
        <v>66</v>
      </c>
      <c r="D61" s="10"/>
      <c r="E61" s="83" t="s">
        <v>67</v>
      </c>
      <c r="F61" s="83"/>
      <c r="G61" s="83"/>
      <c r="H61" s="2"/>
      <c r="I61" s="2"/>
      <c r="J61" s="2"/>
      <c r="K61" s="2"/>
      <c r="L61" s="2"/>
      <c r="M61" s="70"/>
      <c r="N61" s="2"/>
      <c r="O61" s="28"/>
      <c r="P61" s="28"/>
      <c r="Q61" s="49"/>
    </row>
    <row r="62" spans="1:18" ht="15" customHeight="1">
      <c r="A62" s="2">
        <f>A59+1</f>
        <v>31</v>
      </c>
      <c r="B62" s="10"/>
      <c r="C62" s="10" t="s">
        <v>28</v>
      </c>
      <c r="D62" s="10"/>
      <c r="E62" s="26">
        <v>8765.3971026999989</v>
      </c>
      <c r="F62" s="47"/>
      <c r="G62" s="48">
        <v>9.425158174946235</v>
      </c>
      <c r="H62" s="48"/>
      <c r="I62" s="26">
        <v>6025.8898515599994</v>
      </c>
      <c r="J62" s="2"/>
      <c r="K62" s="48">
        <v>6.4794514532903218</v>
      </c>
      <c r="L62" s="48"/>
      <c r="M62" s="70">
        <f>I62-E62</f>
        <v>-2739.5072511399994</v>
      </c>
      <c r="N62" s="48"/>
      <c r="O62" s="49">
        <f>M62/E62</f>
        <v>-0.31253658209006308</v>
      </c>
      <c r="P62" s="50"/>
      <c r="Q62" s="49">
        <f>O62</f>
        <v>-0.31253658209006308</v>
      </c>
    </row>
    <row r="63" spans="1:18" ht="15" customHeight="1">
      <c r="A63" s="2">
        <f>A62+1</f>
        <v>32</v>
      </c>
      <c r="B63" s="10"/>
      <c r="C63" s="10" t="s">
        <v>29</v>
      </c>
      <c r="D63" s="10"/>
      <c r="E63" s="26">
        <v>9104.6999999999989</v>
      </c>
      <c r="F63" s="47"/>
      <c r="G63" s="48">
        <v>9.7899999999999991</v>
      </c>
      <c r="H63" s="48"/>
      <c r="I63" s="26">
        <v>9104.6999999999989</v>
      </c>
      <c r="J63" s="47"/>
      <c r="K63" s="48">
        <v>9.7899999999999991</v>
      </c>
      <c r="L63" s="48"/>
      <c r="M63" s="70">
        <f>I63-E63</f>
        <v>0</v>
      </c>
      <c r="N63" s="48"/>
      <c r="O63" s="49">
        <f>IFERROR(M63/E63,"100.0%")</f>
        <v>0</v>
      </c>
      <c r="P63" s="50"/>
      <c r="Q63" s="49">
        <v>0</v>
      </c>
    </row>
    <row r="64" spans="1:18" ht="15" customHeight="1">
      <c r="A64" s="2">
        <f>A63+1</f>
        <v>33</v>
      </c>
      <c r="B64" s="10"/>
      <c r="C64" s="10" t="s">
        <v>30</v>
      </c>
      <c r="D64" s="10"/>
      <c r="E64" s="26">
        <v>6314.2349999999997</v>
      </c>
      <c r="F64" s="47"/>
      <c r="G64" s="48">
        <v>6.7894999999999994</v>
      </c>
      <c r="H64" s="48"/>
      <c r="I64" s="26">
        <v>4588.8989999999994</v>
      </c>
      <c r="J64" s="47"/>
      <c r="K64" s="48">
        <v>4.9342999999999995</v>
      </c>
      <c r="L64" s="48"/>
      <c r="M64" s="70">
        <f>I64-E64</f>
        <v>-1725.3360000000002</v>
      </c>
      <c r="N64" s="2"/>
      <c r="O64" s="49">
        <f>M64/E64</f>
        <v>-0.27324545253700572</v>
      </c>
      <c r="P64" s="50"/>
      <c r="Q64" s="49">
        <f>O64</f>
        <v>-0.27324545253700572</v>
      </c>
    </row>
    <row r="65" spans="1:18" ht="15" customHeight="1">
      <c r="A65" s="2">
        <f>A64+1</f>
        <v>34</v>
      </c>
      <c r="B65" s="10"/>
      <c r="C65" s="10" t="s">
        <v>31</v>
      </c>
      <c r="D65" s="10"/>
      <c r="E65" s="26">
        <v>20753.067083941271</v>
      </c>
      <c r="F65" s="47"/>
      <c r="G65" s="48">
        <v>22.315125896711045</v>
      </c>
      <c r="H65" s="2"/>
      <c r="I65" s="26">
        <v>19440.348000000002</v>
      </c>
      <c r="J65" s="2"/>
      <c r="K65" s="48">
        <v>20.903600000000004</v>
      </c>
      <c r="L65" s="48"/>
      <c r="M65" s="70">
        <f>I65-E65</f>
        <v>-1312.7190839412688</v>
      </c>
      <c r="N65" s="2"/>
      <c r="O65" s="49">
        <f>M65/E65</f>
        <v>-6.3254220623468763E-2</v>
      </c>
      <c r="P65" s="50"/>
      <c r="Q65" s="49">
        <f>O65</f>
        <v>-6.3254220623468763E-2</v>
      </c>
    </row>
    <row r="66" spans="1:18" ht="15" customHeight="1">
      <c r="A66" s="2">
        <f>A65+1</f>
        <v>35</v>
      </c>
      <c r="B66" s="10"/>
      <c r="C66" s="10" t="s">
        <v>32</v>
      </c>
      <c r="D66" s="10"/>
      <c r="E66" s="52">
        <f>SUM(E62:E65)</f>
        <v>44937.399186641269</v>
      </c>
      <c r="F66" s="2"/>
      <c r="G66" s="53">
        <v>48.319784071657281</v>
      </c>
      <c r="H66" s="2"/>
      <c r="I66" s="52">
        <f>SUM(I62:I65)</f>
        <v>39159.836851560001</v>
      </c>
      <c r="J66" s="2"/>
      <c r="K66" s="53">
        <v>42.107351453290327</v>
      </c>
      <c r="L66" s="48"/>
      <c r="M66" s="71">
        <f>SUM(M62:M65)</f>
        <v>-5777.5623350812684</v>
      </c>
      <c r="N66" s="2"/>
      <c r="O66" s="54">
        <f>M66/E66</f>
        <v>-0.12856913038257872</v>
      </c>
      <c r="P66" s="28"/>
      <c r="Q66" s="54">
        <f>(M62+M65+M64)/(E62+E65+E64)</f>
        <v>-0.16123715115592496</v>
      </c>
    </row>
    <row r="67" spans="1:18" ht="15" customHeight="1">
      <c r="A67" s="2"/>
      <c r="B67" s="10"/>
      <c r="C67" s="10"/>
      <c r="D67" s="10"/>
      <c r="E67" s="26"/>
      <c r="F67" s="2"/>
      <c r="G67" s="48"/>
      <c r="H67" s="2"/>
      <c r="I67" s="26"/>
      <c r="J67" s="2"/>
      <c r="K67" s="48"/>
      <c r="L67" s="48"/>
      <c r="M67" s="70"/>
      <c r="N67" s="2"/>
      <c r="O67" s="28"/>
      <c r="P67" s="28"/>
      <c r="Q67" s="28"/>
    </row>
    <row r="68" spans="1:18" ht="15" customHeight="1">
      <c r="A68" s="2">
        <f>A66+1</f>
        <v>36</v>
      </c>
      <c r="B68" s="10"/>
      <c r="C68" s="10" t="s">
        <v>58</v>
      </c>
      <c r="D68" s="10"/>
      <c r="E68" s="52">
        <f>SUM(E62:E64)+I65</f>
        <v>43624.680102700004</v>
      </c>
      <c r="F68" s="2"/>
      <c r="G68" s="53">
        <v>46.908258174946241</v>
      </c>
      <c r="H68" s="2"/>
      <c r="I68" s="52">
        <f>SUM(I62:I65)</f>
        <v>39159.836851560001</v>
      </c>
      <c r="J68" s="47"/>
      <c r="K68" s="53">
        <v>42.107351453290327</v>
      </c>
      <c r="L68" s="48"/>
      <c r="M68" s="71">
        <f>M62+M63+M64</f>
        <v>-4464.8432511399997</v>
      </c>
      <c r="N68" s="2"/>
      <c r="O68" s="54">
        <f>M68/E68</f>
        <v>-0.10234672760072945</v>
      </c>
      <c r="P68" s="28"/>
      <c r="Q68" s="54">
        <f>(M68-M63)/(E68-E63)</f>
        <v>-0.12934084080745975</v>
      </c>
    </row>
    <row r="69" spans="1:18" ht="15" customHeight="1">
      <c r="A69" s="2">
        <f>A68+1</f>
        <v>37</v>
      </c>
      <c r="B69" s="10"/>
      <c r="C69" s="10" t="s">
        <v>59</v>
      </c>
      <c r="D69" s="10"/>
      <c r="E69" s="65"/>
      <c r="F69" s="65"/>
      <c r="G69" s="65"/>
      <c r="H69" s="65"/>
      <c r="I69" s="65"/>
      <c r="J69" s="65"/>
      <c r="K69" s="65"/>
      <c r="L69" s="65"/>
      <c r="M69" s="70"/>
      <c r="N69" s="2"/>
      <c r="O69" s="50">
        <v>-0.18461718240469971</v>
      </c>
      <c r="P69" s="28"/>
      <c r="Q69" s="50">
        <v>-0.29608436205420247</v>
      </c>
    </row>
    <row r="70" spans="1:18" ht="15" customHeight="1">
      <c r="A70" s="2"/>
      <c r="C70" s="10"/>
      <c r="D70" s="10"/>
      <c r="E70" s="2"/>
      <c r="F70" s="2"/>
      <c r="G70" s="2"/>
      <c r="H70" s="2"/>
      <c r="I70" s="2"/>
      <c r="J70" s="2"/>
      <c r="K70" s="2"/>
      <c r="L70" s="2"/>
      <c r="M70" s="70"/>
      <c r="N70" s="2"/>
      <c r="O70" s="28"/>
      <c r="P70" s="28"/>
      <c r="Q70" s="28"/>
    </row>
    <row r="71" spans="1:18" ht="15" customHeight="1">
      <c r="A71" s="2">
        <f>A69+1</f>
        <v>38</v>
      </c>
      <c r="B71" s="39"/>
      <c r="C71" s="10" t="s">
        <v>60</v>
      </c>
      <c r="D71" s="10"/>
      <c r="E71" s="26"/>
      <c r="F71" s="2"/>
      <c r="G71" s="58"/>
      <c r="H71" s="2"/>
      <c r="I71" s="55">
        <f>K71*R71/100</f>
        <v>-160.88999999999999</v>
      </c>
      <c r="J71" s="5"/>
      <c r="K71" s="56">
        <f>+K55</f>
        <v>-0.17299999999999999</v>
      </c>
      <c r="L71" s="48"/>
      <c r="M71" s="70">
        <f>I71-E71</f>
        <v>-160.88999999999999</v>
      </c>
      <c r="N71" s="2"/>
      <c r="O71" s="49" t="str">
        <f>IFERROR(M71/E71,"(100.0%)")</f>
        <v>(100.0%)</v>
      </c>
      <c r="P71" s="50"/>
      <c r="Q71" s="49" t="str">
        <f>O71</f>
        <v>(100.0%)</v>
      </c>
      <c r="R71" s="45">
        <v>93000</v>
      </c>
    </row>
    <row r="72" spans="1:18" ht="15" customHeight="1">
      <c r="A72" s="2"/>
      <c r="B72" s="39"/>
      <c r="C72" s="10"/>
      <c r="D72" s="10"/>
      <c r="E72" s="26"/>
      <c r="F72" s="2"/>
      <c r="G72" s="58"/>
      <c r="H72" s="2"/>
      <c r="I72" s="55"/>
      <c r="J72" s="5"/>
      <c r="K72" s="56"/>
      <c r="L72" s="48"/>
      <c r="M72" s="70"/>
      <c r="N72" s="2"/>
      <c r="O72" s="49"/>
      <c r="P72" s="50"/>
      <c r="Q72" s="49"/>
    </row>
    <row r="73" spans="1:18" ht="15" customHeight="1">
      <c r="A73" s="2"/>
      <c r="B73" s="10"/>
      <c r="C73" s="10" t="s">
        <v>38</v>
      </c>
      <c r="D73" s="10"/>
      <c r="E73" s="26"/>
      <c r="F73" s="2"/>
      <c r="G73" s="58"/>
      <c r="H73" s="2"/>
      <c r="I73" s="55"/>
      <c r="J73" s="5"/>
      <c r="K73" s="56"/>
      <c r="L73" s="48"/>
      <c r="M73" s="70"/>
      <c r="N73" s="2"/>
      <c r="O73" s="49"/>
      <c r="P73" s="50"/>
      <c r="Q73" s="49"/>
    </row>
    <row r="74" spans="1:18" ht="15" customHeight="1">
      <c r="A74" s="2">
        <f>A71+1</f>
        <v>39</v>
      </c>
      <c r="B74" s="10"/>
      <c r="C74" s="30" t="s">
        <v>39</v>
      </c>
      <c r="D74" s="10"/>
      <c r="E74" s="26">
        <f>E66</f>
        <v>44937.399186641269</v>
      </c>
      <c r="F74" s="2"/>
      <c r="G74" s="58">
        <f>+G66</f>
        <v>48.319784071657281</v>
      </c>
      <c r="H74" s="2"/>
      <c r="I74" s="76">
        <f>I66+I71</f>
        <v>38998.946851560002</v>
      </c>
      <c r="J74" s="5"/>
      <c r="K74" s="77">
        <f>K66+K71</f>
        <v>41.934351453290326</v>
      </c>
      <c r="L74" s="48"/>
      <c r="M74" s="70">
        <f>I74-E74</f>
        <v>-5938.4523350812669</v>
      </c>
      <c r="N74" s="2"/>
      <c r="O74" s="49">
        <f>M74/E74</f>
        <v>-0.13214944439522916</v>
      </c>
      <c r="P74" s="50"/>
      <c r="Q74" s="49">
        <f>(M74-M63)/(E74-E63)</f>
        <v>-0.16572718410493539</v>
      </c>
    </row>
    <row r="75" spans="1:18" ht="15" customHeight="1">
      <c r="A75" s="2">
        <f>A74+1</f>
        <v>40</v>
      </c>
      <c r="B75" s="10"/>
      <c r="C75" s="30" t="s">
        <v>61</v>
      </c>
      <c r="D75" s="10"/>
      <c r="E75" s="26">
        <f>E68</f>
        <v>43624.680102700004</v>
      </c>
      <c r="F75" s="2"/>
      <c r="G75" s="58">
        <f>+G68</f>
        <v>46.908258174946241</v>
      </c>
      <c r="H75" s="2"/>
      <c r="I75" s="76">
        <f>I68+I71</f>
        <v>38998.946851560002</v>
      </c>
      <c r="J75" s="5"/>
      <c r="K75" s="77">
        <f>K68+K71</f>
        <v>41.934351453290326</v>
      </c>
      <c r="L75" s="48"/>
      <c r="M75" s="70">
        <f>I75-E75</f>
        <v>-4625.7332511400018</v>
      </c>
      <c r="N75" s="2"/>
      <c r="O75" s="49">
        <f>M75/E75</f>
        <v>-0.10603477756742812</v>
      </c>
      <c r="P75" s="50"/>
      <c r="Q75" s="49">
        <f>(M75-M63)/(E75-E63)</f>
        <v>-0.13400161985545864</v>
      </c>
    </row>
    <row r="76" spans="1:18" ht="15" customHeight="1">
      <c r="A76" s="2"/>
      <c r="B76" s="10"/>
      <c r="C76" s="30"/>
      <c r="D76" s="10"/>
      <c r="E76" s="26"/>
      <c r="F76" s="2"/>
      <c r="G76" s="58"/>
      <c r="H76" s="2"/>
      <c r="I76" s="59"/>
      <c r="J76" s="5"/>
      <c r="K76" s="56"/>
      <c r="L76" s="48"/>
      <c r="M76" s="70"/>
      <c r="N76" s="2"/>
      <c r="O76" s="49"/>
      <c r="P76" s="50"/>
      <c r="Q76" s="49"/>
    </row>
    <row r="77" spans="1:18" ht="15" customHeight="1">
      <c r="A77" s="2"/>
      <c r="B77" s="10"/>
      <c r="C77" s="21" t="s">
        <v>68</v>
      </c>
      <c r="D77" s="10"/>
      <c r="E77" s="83" t="s">
        <v>69</v>
      </c>
      <c r="F77" s="83"/>
      <c r="G77" s="83"/>
      <c r="H77" s="2"/>
      <c r="I77" s="2"/>
      <c r="J77" s="2"/>
      <c r="K77" s="2"/>
      <c r="L77" s="2"/>
      <c r="M77" s="70"/>
      <c r="N77" s="2"/>
      <c r="O77" s="28"/>
      <c r="P77" s="28"/>
      <c r="Q77" s="49"/>
    </row>
    <row r="78" spans="1:18" ht="15" customHeight="1">
      <c r="A78" s="2">
        <f>A75+1</f>
        <v>41</v>
      </c>
      <c r="B78" s="10"/>
      <c r="C78" s="10" t="s">
        <v>28</v>
      </c>
      <c r="D78" s="10"/>
      <c r="E78" s="26">
        <v>20396.777521399999</v>
      </c>
      <c r="F78" s="47"/>
      <c r="G78" s="48">
        <v>8.158711008560001</v>
      </c>
      <c r="H78" s="48"/>
      <c r="I78" s="26">
        <v>13420.100491269999</v>
      </c>
      <c r="J78" s="2"/>
      <c r="K78" s="48">
        <v>5.3680401965079998</v>
      </c>
      <c r="L78" s="48"/>
      <c r="M78" s="70">
        <f>I78-E78</f>
        <v>-6976.6770301300003</v>
      </c>
      <c r="N78" s="48"/>
      <c r="O78" s="49">
        <f>M78/E78</f>
        <v>-0.34204800355400128</v>
      </c>
      <c r="P78" s="50"/>
      <c r="Q78" s="49">
        <f>O78</f>
        <v>-0.34204800355400128</v>
      </c>
    </row>
    <row r="79" spans="1:18" ht="15" customHeight="1">
      <c r="A79" s="2">
        <f>A78+1</f>
        <v>42</v>
      </c>
      <c r="B79" s="10"/>
      <c r="C79" s="10" t="s">
        <v>29</v>
      </c>
      <c r="D79" s="10"/>
      <c r="E79" s="26">
        <v>24475</v>
      </c>
      <c r="F79" s="47"/>
      <c r="G79" s="48">
        <v>9.7900000000000009</v>
      </c>
      <c r="H79" s="48"/>
      <c r="I79" s="26">
        <v>24475</v>
      </c>
      <c r="J79" s="47"/>
      <c r="K79" s="48">
        <v>9.7900000000000009</v>
      </c>
      <c r="L79" s="48"/>
      <c r="M79" s="70">
        <f>I79-E79</f>
        <v>0</v>
      </c>
      <c r="N79" s="48"/>
      <c r="O79" s="49">
        <f>IFERROR(M79/E79,"100.0%")</f>
        <v>0</v>
      </c>
      <c r="P79" s="50"/>
      <c r="Q79" s="49">
        <v>0</v>
      </c>
    </row>
    <row r="80" spans="1:18" ht="15" customHeight="1">
      <c r="A80" s="2">
        <f t="shared" ref="A80:A82" si="1">A79+1</f>
        <v>43</v>
      </c>
      <c r="B80" s="10"/>
      <c r="C80" s="10" t="s">
        <v>30</v>
      </c>
      <c r="D80" s="10"/>
      <c r="E80" s="26">
        <v>16973.75</v>
      </c>
      <c r="F80" s="47"/>
      <c r="G80" s="48">
        <v>6.7894999999999994</v>
      </c>
      <c r="H80" s="48"/>
      <c r="I80" s="26">
        <v>12335.75</v>
      </c>
      <c r="J80" s="47"/>
      <c r="K80" s="48">
        <v>4.9342999999999995</v>
      </c>
      <c r="L80" s="48"/>
      <c r="M80" s="70">
        <f>I80-E80</f>
        <v>-4638</v>
      </c>
      <c r="N80" s="2"/>
      <c r="O80" s="49">
        <f>M80/E80</f>
        <v>-0.27324545253700566</v>
      </c>
      <c r="P80" s="50"/>
      <c r="Q80" s="49">
        <f>O80</f>
        <v>-0.27324545253700566</v>
      </c>
    </row>
    <row r="81" spans="1:18" ht="15" customHeight="1">
      <c r="A81" s="2">
        <f t="shared" si="1"/>
        <v>44</v>
      </c>
      <c r="B81" s="40"/>
      <c r="C81" s="10" t="s">
        <v>31</v>
      </c>
      <c r="D81" s="10"/>
      <c r="E81" s="26">
        <v>55787.814741777598</v>
      </c>
      <c r="F81" s="47"/>
      <c r="G81" s="48">
        <v>22.315125896711038</v>
      </c>
      <c r="H81" s="2"/>
      <c r="I81" s="26">
        <v>52259</v>
      </c>
      <c r="J81" s="2"/>
      <c r="K81" s="48">
        <v>20.903600000000001</v>
      </c>
      <c r="L81" s="48"/>
      <c r="M81" s="70">
        <f>I81-E81</f>
        <v>-3528.8147417775981</v>
      </c>
      <c r="N81" s="2"/>
      <c r="O81" s="49">
        <f>M81/E81</f>
        <v>-6.3254220623468665E-2</v>
      </c>
      <c r="P81" s="50"/>
      <c r="Q81" s="49">
        <f>O81</f>
        <v>-6.3254220623468665E-2</v>
      </c>
    </row>
    <row r="82" spans="1:18" ht="15" customHeight="1">
      <c r="A82" s="2">
        <f t="shared" si="1"/>
        <v>45</v>
      </c>
      <c r="C82" s="10" t="s">
        <v>32</v>
      </c>
      <c r="D82" s="10"/>
      <c r="E82" s="52">
        <f>SUM(E78:E81)</f>
        <v>117633.34226317759</v>
      </c>
      <c r="F82" s="2"/>
      <c r="G82" s="53">
        <v>47.053336905271038</v>
      </c>
      <c r="H82" s="2"/>
      <c r="I82" s="52">
        <f>SUM(I78:I81)</f>
        <v>102489.85049127</v>
      </c>
      <c r="J82" s="2"/>
      <c r="K82" s="53">
        <v>40.995940196508002</v>
      </c>
      <c r="L82" s="48"/>
      <c r="M82" s="71">
        <f>SUM(M78:M81)</f>
        <v>-15143.491771907598</v>
      </c>
      <c r="N82" s="2"/>
      <c r="O82" s="54">
        <f>M82/E82</f>
        <v>-0.12873468933686771</v>
      </c>
      <c r="P82" s="28"/>
      <c r="Q82" s="54">
        <f>(M78+M81+M80)/(E78+E81+E80)</f>
        <v>-0.16255647539461765</v>
      </c>
    </row>
    <row r="83" spans="1:18" ht="15" customHeight="1">
      <c r="A83" s="20"/>
      <c r="C83" s="10"/>
      <c r="D83" s="10"/>
      <c r="E83" s="26"/>
      <c r="F83" s="2"/>
      <c r="G83" s="48"/>
      <c r="H83" s="2"/>
      <c r="I83" s="26"/>
      <c r="J83" s="2"/>
      <c r="K83" s="48"/>
      <c r="L83" s="48"/>
      <c r="M83" s="70"/>
      <c r="N83" s="2"/>
      <c r="O83" s="28"/>
      <c r="P83" s="28"/>
      <c r="Q83" s="28"/>
    </row>
    <row r="84" spans="1:18" ht="15" customHeight="1">
      <c r="A84" s="20">
        <f>A82+1</f>
        <v>46</v>
      </c>
      <c r="C84" s="10" t="s">
        <v>58</v>
      </c>
      <c r="D84" s="10"/>
      <c r="E84" s="52">
        <f>SUM(E78:E80)+I81</f>
        <v>114104.5275214</v>
      </c>
      <c r="F84" s="2"/>
      <c r="G84" s="53">
        <v>45.641811008560005</v>
      </c>
      <c r="H84" s="2"/>
      <c r="I84" s="52">
        <f>SUM(I78:I81)</f>
        <v>102489.85049127</v>
      </c>
      <c r="J84" s="47"/>
      <c r="K84" s="53">
        <v>40.995940196508002</v>
      </c>
      <c r="L84" s="48"/>
      <c r="M84" s="71">
        <f>M78+M79+M80</f>
        <v>-11614.67703013</v>
      </c>
      <c r="N84" s="2"/>
      <c r="O84" s="54">
        <f>M84/E84</f>
        <v>-0.10178979995295716</v>
      </c>
      <c r="P84" s="28"/>
      <c r="Q84" s="54">
        <f>(M84-M79)/(E84-E79)</f>
        <v>-0.12958538721914911</v>
      </c>
    </row>
    <row r="85" spans="1:18" ht="15" customHeight="1">
      <c r="A85" s="20">
        <f>A84+1</f>
        <v>47</v>
      </c>
      <c r="C85" s="10" t="s">
        <v>59</v>
      </c>
      <c r="D85" s="10"/>
      <c r="E85" s="65"/>
      <c r="F85" s="65"/>
      <c r="G85" s="65"/>
      <c r="H85" s="65"/>
      <c r="I85" s="65"/>
      <c r="J85" s="65"/>
      <c r="K85" s="65"/>
      <c r="L85" s="65"/>
      <c r="M85" s="70"/>
      <c r="N85" s="2"/>
      <c r="O85" s="50">
        <v>-0.18780140610994145</v>
      </c>
      <c r="P85" s="28"/>
      <c r="Q85" s="50">
        <v>-0.31079778104494055</v>
      </c>
    </row>
    <row r="86" spans="1:18" ht="15" customHeight="1">
      <c r="A86" s="20"/>
      <c r="C86" s="10"/>
      <c r="D86" s="10"/>
      <c r="E86" s="2"/>
      <c r="F86" s="2"/>
      <c r="G86" s="2"/>
      <c r="H86" s="2"/>
      <c r="I86" s="2"/>
      <c r="J86" s="2"/>
      <c r="K86" s="2"/>
      <c r="L86" s="2"/>
      <c r="M86" s="70"/>
      <c r="N86" s="2"/>
      <c r="O86" s="2"/>
      <c r="P86" s="2"/>
      <c r="Q86" s="2"/>
    </row>
    <row r="87" spans="1:18" ht="15" customHeight="1">
      <c r="A87" s="20">
        <f>A85+1</f>
        <v>48</v>
      </c>
      <c r="C87" s="10" t="s">
        <v>60</v>
      </c>
      <c r="D87" s="10"/>
      <c r="E87" s="26"/>
      <c r="F87" s="2"/>
      <c r="G87" s="58"/>
      <c r="H87" s="2"/>
      <c r="I87" s="55">
        <f>K87*R87/100</f>
        <v>-432.5</v>
      </c>
      <c r="J87" s="5"/>
      <c r="K87" s="56">
        <f>+K55</f>
        <v>-0.17299999999999999</v>
      </c>
      <c r="L87" s="48"/>
      <c r="M87" s="70">
        <f>I87-E87</f>
        <v>-432.5</v>
      </c>
      <c r="N87" s="2"/>
      <c r="O87" s="49" t="str">
        <f>IFERROR(M87/E87,"(100.0%)")</f>
        <v>(100.0%)</v>
      </c>
      <c r="P87" s="50"/>
      <c r="Q87" s="49" t="str">
        <f>O87</f>
        <v>(100.0%)</v>
      </c>
      <c r="R87" s="45">
        <v>250000</v>
      </c>
    </row>
    <row r="88" spans="1:18" ht="15" customHeight="1">
      <c r="A88" s="20"/>
      <c r="C88" s="10"/>
      <c r="D88" s="10"/>
      <c r="E88" s="26"/>
      <c r="F88" s="2"/>
      <c r="G88" s="58"/>
      <c r="H88" s="2"/>
      <c r="I88" s="55"/>
      <c r="J88" s="5"/>
      <c r="K88" s="56"/>
      <c r="L88" s="48"/>
      <c r="M88" s="70"/>
      <c r="N88" s="2"/>
      <c r="O88" s="49"/>
      <c r="P88" s="50"/>
      <c r="Q88" s="49"/>
    </row>
    <row r="89" spans="1:18" ht="15" customHeight="1">
      <c r="A89" s="20"/>
      <c r="C89" s="10" t="s">
        <v>38</v>
      </c>
      <c r="D89" s="10"/>
      <c r="E89" s="26"/>
      <c r="F89" s="2"/>
      <c r="G89" s="58"/>
      <c r="H89" s="2"/>
      <c r="I89" s="55"/>
      <c r="J89" s="5"/>
      <c r="K89" s="56"/>
      <c r="L89" s="48"/>
      <c r="M89" s="70"/>
      <c r="N89" s="2"/>
      <c r="O89" s="49"/>
      <c r="P89" s="50"/>
      <c r="Q89" s="49"/>
    </row>
    <row r="90" spans="1:18" ht="15" customHeight="1">
      <c r="A90" s="20">
        <f>A87+1</f>
        <v>49</v>
      </c>
      <c r="C90" s="30" t="s">
        <v>39</v>
      </c>
      <c r="D90" s="10"/>
      <c r="E90" s="26">
        <f>E82</f>
        <v>117633.34226317759</v>
      </c>
      <c r="F90" s="2"/>
      <c r="G90" s="58">
        <f>+G82</f>
        <v>47.053336905271038</v>
      </c>
      <c r="H90" s="2"/>
      <c r="I90" s="75">
        <f>I82+I87</f>
        <v>102057.35049127</v>
      </c>
      <c r="J90" s="5"/>
      <c r="K90" s="61">
        <f>K82+K87</f>
        <v>40.822940196508</v>
      </c>
      <c r="L90" s="48"/>
      <c r="M90" s="70">
        <f>I90-E90</f>
        <v>-15575.991771907589</v>
      </c>
      <c r="N90" s="2"/>
      <c r="O90" s="49">
        <f>M90/E90</f>
        <v>-0.13241136800363867</v>
      </c>
      <c r="P90" s="50"/>
      <c r="Q90" s="49">
        <f>(M90-M79)/(E90-E79)</f>
        <v>-0.16719910845884881</v>
      </c>
    </row>
    <row r="91" spans="1:18" ht="15" customHeight="1">
      <c r="A91" s="20">
        <f>A90+1</f>
        <v>50</v>
      </c>
      <c r="C91" s="30" t="s">
        <v>61</v>
      </c>
      <c r="D91" s="10"/>
      <c r="E91" s="26">
        <f>E84</f>
        <v>114104.5275214</v>
      </c>
      <c r="F91" s="2"/>
      <c r="G91" s="58">
        <f>+G84</f>
        <v>45.641811008560005</v>
      </c>
      <c r="H91" s="2"/>
      <c r="I91" s="75">
        <f>I84+I87</f>
        <v>102057.35049127</v>
      </c>
      <c r="J91" s="5"/>
      <c r="K91" s="61">
        <f>K84+K87</f>
        <v>40.822940196508</v>
      </c>
      <c r="L91" s="48"/>
      <c r="M91" s="70">
        <f>I91-E91</f>
        <v>-12047.177030129998</v>
      </c>
      <c r="N91" s="2"/>
      <c r="O91" s="49">
        <f>M91/E91</f>
        <v>-0.10558018416815741</v>
      </c>
      <c r="P91" s="50"/>
      <c r="Q91" s="49">
        <f>(M91-M79)/(E91-E79)</f>
        <v>-0.13441080593952262</v>
      </c>
    </row>
    <row r="92" spans="1:18" ht="15" customHeight="1">
      <c r="C92" s="30"/>
      <c r="D92" s="10"/>
      <c r="E92" s="1"/>
      <c r="F92" s="2"/>
      <c r="G92" s="3"/>
      <c r="H92" s="2"/>
      <c r="I92" s="9"/>
      <c r="J92" s="5"/>
      <c r="K92" s="6"/>
      <c r="L92" s="11"/>
      <c r="M92" s="29"/>
      <c r="N92" s="10"/>
      <c r="O92" s="8"/>
      <c r="P92" s="7"/>
      <c r="Q92" s="8"/>
    </row>
    <row r="93" spans="1:18" ht="15" customHeight="1">
      <c r="A93" s="21" t="s">
        <v>49</v>
      </c>
      <c r="C93" s="15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8" ht="15" customHeight="1">
      <c r="A94" s="32" t="s">
        <v>50</v>
      </c>
      <c r="C94" s="31" t="s">
        <v>70</v>
      </c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8" ht="15" customHeight="1">
      <c r="A95" s="32" t="s">
        <v>52</v>
      </c>
      <c r="C95" s="15" t="s">
        <v>71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1:18" ht="15" customHeight="1">
      <c r="A96" s="32" t="s">
        <v>72</v>
      </c>
      <c r="C96" s="15" t="s">
        <v>53</v>
      </c>
    </row>
    <row r="97" spans="3:17" ht="15" customHeight="1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3:17" ht="15" customHeight="1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42"/>
      <c r="P98" s="42"/>
      <c r="Q98" s="42"/>
    </row>
    <row r="99" spans="3:17" ht="15" customHeight="1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42"/>
      <c r="P99" s="42"/>
      <c r="Q99" s="42"/>
    </row>
    <row r="100" spans="3:17" ht="15" customHeight="1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42"/>
      <c r="P100" s="42"/>
      <c r="Q100" s="42"/>
    </row>
    <row r="101" spans="3:17" ht="15" customHeight="1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42"/>
      <c r="P101" s="42"/>
      <c r="Q101" s="42"/>
    </row>
    <row r="102" spans="3:17" ht="15" customHeight="1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42"/>
      <c r="P102" s="42"/>
      <c r="Q102" s="42"/>
    </row>
    <row r="103" spans="3:17" ht="15" customHeight="1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42"/>
      <c r="P103" s="42"/>
      <c r="Q103" s="42"/>
    </row>
    <row r="104" spans="3:17" ht="15" customHeight="1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34"/>
      <c r="P104" s="34"/>
      <c r="Q104" s="42"/>
    </row>
    <row r="105" spans="3:17" ht="15" customHeight="1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36"/>
      <c r="P105" s="36"/>
      <c r="Q105" s="34"/>
    </row>
    <row r="106" spans="3:17" ht="15" customHeight="1">
      <c r="C106" s="10"/>
      <c r="D106" s="40"/>
      <c r="E106" s="40"/>
      <c r="F106" s="40"/>
      <c r="G106" s="10"/>
      <c r="H106" s="40"/>
      <c r="I106" s="40"/>
      <c r="J106" s="40"/>
      <c r="K106" s="40"/>
      <c r="L106" s="40"/>
      <c r="M106" s="40"/>
      <c r="N106" s="40"/>
      <c r="O106" s="40"/>
      <c r="P106" s="40"/>
      <c r="Q106" s="40"/>
    </row>
    <row r="107" spans="3:17" ht="15" customHeight="1">
      <c r="C107" s="10"/>
      <c r="G107" s="10"/>
    </row>
    <row r="108" spans="3:17" ht="15" customHeight="1">
      <c r="C108" s="10"/>
      <c r="G108" s="10"/>
    </row>
  </sheetData>
  <mergeCells count="10">
    <mergeCell ref="E29:G29"/>
    <mergeCell ref="E45:G45"/>
    <mergeCell ref="E61:G61"/>
    <mergeCell ref="E77:G77"/>
    <mergeCell ref="E13:G13"/>
    <mergeCell ref="A4:Q4"/>
    <mergeCell ref="A5:Q5"/>
    <mergeCell ref="E7:G7"/>
    <mergeCell ref="I7:M7"/>
    <mergeCell ref="O7:Q7"/>
  </mergeCells>
  <printOptions horizontalCentered="1"/>
  <pageMargins left="0.5" right="0.5" top="0.5" bottom="0.5" header="0.3" footer="0.3"/>
  <pageSetup scale="50" firstPageNumber="2" fitToWidth="0" fitToHeight="0" orientation="portrait" useFirstPageNumber="1" r:id="rId1"/>
  <headerFooter>
    <oddHeader>&amp;R&amp;"Arial,Regular"&amp;10Filed: 2023-04-06
EB-2022-0200
Exhibit JT8.8
Attachment 1
Page &amp;P of 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43BC6-A6FB-47DD-A806-9256FD7AF642}">
  <dimension ref="A4:R138"/>
  <sheetViews>
    <sheetView tabSelected="1" view="pageLayout" topLeftCell="B1" zoomScaleNormal="100" zoomScaleSheetLayoutView="90" workbookViewId="0">
      <selection activeCell="O27" sqref="O27"/>
    </sheetView>
  </sheetViews>
  <sheetFormatPr defaultColWidth="8.85546875" defaultRowHeight="15" customHeight="1"/>
  <cols>
    <col min="1" max="1" width="4.85546875" style="17" customWidth="1"/>
    <col min="2" max="2" width="1.85546875" style="17" customWidth="1"/>
    <col min="3" max="3" width="36.42578125" style="17" customWidth="1"/>
    <col min="4" max="4" width="1.85546875" style="17" customWidth="1"/>
    <col min="5" max="5" width="15.85546875" style="17" customWidth="1"/>
    <col min="6" max="6" width="1.85546875" style="17" customWidth="1"/>
    <col min="7" max="7" width="15.85546875" style="17" customWidth="1"/>
    <col min="8" max="8" width="1.85546875" style="17" customWidth="1"/>
    <col min="9" max="9" width="15.85546875" style="17" customWidth="1"/>
    <col min="10" max="10" width="1.85546875" style="17" customWidth="1"/>
    <col min="11" max="11" width="15.85546875" style="17" customWidth="1"/>
    <col min="12" max="12" width="1.85546875" style="17" customWidth="1"/>
    <col min="13" max="13" width="15.85546875" style="17" customWidth="1"/>
    <col min="14" max="14" width="1.85546875" style="17" customWidth="1"/>
    <col min="15" max="15" width="15.85546875" style="17" customWidth="1"/>
    <col min="16" max="16" width="1.85546875" style="17" customWidth="1"/>
    <col min="17" max="17" width="15.85546875" style="17" customWidth="1"/>
    <col min="18" max="18" width="13.85546875" style="45" bestFit="1" customWidth="1"/>
  </cols>
  <sheetData>
    <row r="4" spans="1:18" ht="15" customHeight="1">
      <c r="A4" s="84" t="s">
        <v>73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8" ht="15" customHeight="1">
      <c r="A5" s="84" t="s">
        <v>74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8" ht="1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8" ht="15" customHeight="1">
      <c r="A7" s="2"/>
      <c r="B7" s="10"/>
      <c r="C7" s="10"/>
      <c r="D7" s="10"/>
      <c r="E7" s="85" t="s">
        <v>2</v>
      </c>
      <c r="F7" s="85"/>
      <c r="G7" s="85"/>
      <c r="H7" s="10"/>
      <c r="I7" s="85" t="s">
        <v>3</v>
      </c>
      <c r="J7" s="85"/>
      <c r="K7" s="85"/>
      <c r="L7" s="85"/>
      <c r="M7" s="85"/>
      <c r="N7" s="10"/>
      <c r="O7" s="85" t="s">
        <v>4</v>
      </c>
      <c r="P7" s="85"/>
      <c r="Q7" s="85"/>
    </row>
    <row r="8" spans="1:18" ht="15" customHeight="1">
      <c r="A8" s="2"/>
      <c r="B8" s="10"/>
      <c r="C8" s="10"/>
      <c r="D8" s="10"/>
      <c r="E8" s="2"/>
      <c r="F8" s="2"/>
      <c r="G8" s="2"/>
      <c r="H8" s="10"/>
      <c r="I8" s="2"/>
      <c r="J8" s="2"/>
      <c r="K8" s="2"/>
      <c r="L8" s="2"/>
      <c r="M8" s="2" t="s">
        <v>5</v>
      </c>
      <c r="N8" s="10"/>
      <c r="O8" s="2" t="s">
        <v>6</v>
      </c>
      <c r="P8" s="2"/>
      <c r="Q8" s="2" t="s">
        <v>7</v>
      </c>
    </row>
    <row r="9" spans="1:18" ht="15" customHeight="1">
      <c r="A9" s="2" t="s">
        <v>8</v>
      </c>
      <c r="B9" s="10"/>
      <c r="C9" s="10"/>
      <c r="D9" s="10"/>
      <c r="E9" s="2" t="s">
        <v>5</v>
      </c>
      <c r="F9" s="2"/>
      <c r="G9" s="2" t="s">
        <v>9</v>
      </c>
      <c r="H9" s="10"/>
      <c r="I9" s="2" t="s">
        <v>5</v>
      </c>
      <c r="J9" s="2"/>
      <c r="K9" s="2" t="s">
        <v>9</v>
      </c>
      <c r="L9" s="2"/>
      <c r="M9" s="2" t="s">
        <v>10</v>
      </c>
      <c r="N9" s="10"/>
      <c r="O9" s="2" t="s">
        <v>11</v>
      </c>
      <c r="P9" s="10"/>
      <c r="Q9" s="2" t="s">
        <v>11</v>
      </c>
    </row>
    <row r="10" spans="1:18" ht="15" customHeight="1">
      <c r="A10" s="18" t="s">
        <v>12</v>
      </c>
      <c r="B10" s="10"/>
      <c r="C10" s="19" t="s">
        <v>13</v>
      </c>
      <c r="D10" s="10"/>
      <c r="E10" s="18" t="s">
        <v>14</v>
      </c>
      <c r="F10" s="2"/>
      <c r="G10" s="18" t="s">
        <v>15</v>
      </c>
      <c r="H10" s="10"/>
      <c r="I10" s="18" t="s">
        <v>14</v>
      </c>
      <c r="J10" s="2"/>
      <c r="K10" s="18" t="s">
        <v>15</v>
      </c>
      <c r="L10" s="2"/>
      <c r="M10" s="18" t="s">
        <v>14</v>
      </c>
      <c r="N10" s="10"/>
      <c r="O10" s="18" t="s">
        <v>16</v>
      </c>
      <c r="P10" s="2"/>
      <c r="Q10" s="18" t="s">
        <v>16</v>
      </c>
    </row>
    <row r="11" spans="1:18" ht="15" customHeight="1">
      <c r="A11" s="20"/>
      <c r="D11" s="10"/>
      <c r="E11" s="2" t="s">
        <v>17</v>
      </c>
      <c r="F11" s="2"/>
      <c r="G11" s="2" t="s">
        <v>18</v>
      </c>
      <c r="H11" s="2"/>
      <c r="I11" s="2" t="s">
        <v>19</v>
      </c>
      <c r="J11" s="2"/>
      <c r="K11" s="2" t="s">
        <v>20</v>
      </c>
      <c r="L11" s="2"/>
      <c r="M11" s="2" t="s">
        <v>21</v>
      </c>
      <c r="N11" s="2"/>
      <c r="O11" s="2" t="s">
        <v>22</v>
      </c>
      <c r="P11" s="2"/>
      <c r="Q11" s="2" t="s">
        <v>23</v>
      </c>
    </row>
    <row r="12" spans="1:18" ht="15" customHeight="1">
      <c r="A12" s="2"/>
      <c r="B12" s="10"/>
      <c r="C12" s="10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46" t="s">
        <v>24</v>
      </c>
    </row>
    <row r="13" spans="1:18" ht="15" customHeight="1">
      <c r="A13" s="2"/>
      <c r="B13" s="10"/>
      <c r="C13" s="21" t="s">
        <v>75</v>
      </c>
      <c r="D13" s="10"/>
      <c r="E13" s="83" t="s">
        <v>57</v>
      </c>
      <c r="F13" s="83"/>
      <c r="G13" s="83"/>
      <c r="H13" s="10"/>
      <c r="I13" s="23"/>
      <c r="J13" s="10"/>
      <c r="K13" s="10"/>
      <c r="L13" s="10"/>
      <c r="M13" s="10"/>
      <c r="N13" s="10"/>
      <c r="O13" s="10"/>
      <c r="P13" s="10"/>
      <c r="Q13" s="10"/>
      <c r="R13" s="46" t="s">
        <v>27</v>
      </c>
    </row>
    <row r="14" spans="1:18" ht="15" customHeight="1">
      <c r="A14" s="2">
        <f>1</f>
        <v>1</v>
      </c>
      <c r="B14" s="10"/>
      <c r="C14" s="10" t="s">
        <v>28</v>
      </c>
      <c r="D14" s="10"/>
      <c r="E14" s="26">
        <v>432.56967980000002</v>
      </c>
      <c r="F14" s="47"/>
      <c r="G14" s="48">
        <v>19.662258172727274</v>
      </c>
      <c r="H14" s="48"/>
      <c r="I14" s="26">
        <v>536.36561139999992</v>
      </c>
      <c r="J14" s="2"/>
      <c r="K14" s="48">
        <v>24.380255063636362</v>
      </c>
      <c r="L14" s="48"/>
      <c r="M14" s="70">
        <f>I14-E14</f>
        <v>103.7959315999999</v>
      </c>
      <c r="N14" s="48"/>
      <c r="O14" s="49">
        <f>M14/E14</f>
        <v>0.23995193479115384</v>
      </c>
      <c r="P14" s="50"/>
      <c r="Q14" s="49">
        <f>O14</f>
        <v>0.23995193479115384</v>
      </c>
    </row>
    <row r="15" spans="1:18" ht="15" customHeight="1">
      <c r="A15" s="2">
        <f>A14+1</f>
        <v>2</v>
      </c>
      <c r="B15" s="10"/>
      <c r="C15" s="10" t="s">
        <v>29</v>
      </c>
      <c r="D15" s="10"/>
      <c r="E15" s="26">
        <v>215.37999999999997</v>
      </c>
      <c r="F15" s="47"/>
      <c r="G15" s="48">
        <v>9.7899999999999991</v>
      </c>
      <c r="H15" s="48"/>
      <c r="I15" s="26">
        <v>215.37999999999997</v>
      </c>
      <c r="J15" s="47"/>
      <c r="K15" s="48">
        <v>9.7899999999999991</v>
      </c>
      <c r="L15" s="48"/>
      <c r="M15" s="70">
        <f>I15-E15</f>
        <v>0</v>
      </c>
      <c r="N15" s="48"/>
      <c r="O15" s="49">
        <f>IFERROR(M15/E15,"100.0%")</f>
        <v>0</v>
      </c>
      <c r="P15" s="50"/>
      <c r="Q15" s="49">
        <f>O15</f>
        <v>0</v>
      </c>
    </row>
    <row r="16" spans="1:18" ht="15" customHeight="1">
      <c r="A16" s="2">
        <f>A15+1</f>
        <v>3</v>
      </c>
      <c r="B16" s="10"/>
      <c r="C16" s="10" t="s">
        <v>30</v>
      </c>
      <c r="D16" s="10"/>
      <c r="E16" s="51">
        <v>0</v>
      </c>
      <c r="F16" s="47"/>
      <c r="G16" s="51">
        <v>0</v>
      </c>
      <c r="H16" s="48"/>
      <c r="I16" s="26">
        <v>39.751799999999996</v>
      </c>
      <c r="J16" s="47"/>
      <c r="K16" s="48">
        <v>1.8068999999999997</v>
      </c>
      <c r="L16" s="48"/>
      <c r="M16" s="70">
        <f>I16-E16</f>
        <v>39.751799999999996</v>
      </c>
      <c r="N16" s="48"/>
      <c r="O16" s="49" t="str">
        <f>IFERROR(M16/E16,"100.0%")</f>
        <v>100.0%</v>
      </c>
      <c r="P16" s="50"/>
      <c r="Q16" s="49" t="str">
        <f>O16</f>
        <v>100.0%</v>
      </c>
    </row>
    <row r="17" spans="1:18" ht="15" customHeight="1">
      <c r="A17" s="2">
        <f>A16+1</f>
        <v>4</v>
      </c>
      <c r="B17" s="10"/>
      <c r="C17" s="10" t="s">
        <v>31</v>
      </c>
      <c r="D17" s="10"/>
      <c r="E17" s="26">
        <v>490.39407207210047</v>
      </c>
      <c r="F17" s="47"/>
      <c r="G17" s="48">
        <v>22.290639639640929</v>
      </c>
      <c r="H17" s="2"/>
      <c r="I17" s="26">
        <v>459.87919999999997</v>
      </c>
      <c r="J17" s="2"/>
      <c r="K17" s="48">
        <v>20.903600000000001</v>
      </c>
      <c r="L17" s="48"/>
      <c r="M17" s="70">
        <f>I17-E17</f>
        <v>-30.514872072100502</v>
      </c>
      <c r="N17" s="2"/>
      <c r="O17" s="49">
        <f>M17/E17</f>
        <v>-6.2225205829188807E-2</v>
      </c>
      <c r="P17" s="50"/>
      <c r="Q17" s="49">
        <f>O17</f>
        <v>-6.2225205829188807E-2</v>
      </c>
    </row>
    <row r="18" spans="1:18" ht="15" customHeight="1">
      <c r="A18" s="2">
        <f>A17+1</f>
        <v>5</v>
      </c>
      <c r="B18" s="10"/>
      <c r="C18" s="10" t="s">
        <v>32</v>
      </c>
      <c r="D18" s="10"/>
      <c r="E18" s="52">
        <f>SUM(E14:E17)</f>
        <v>1138.3437518721005</v>
      </c>
      <c r="F18" s="2"/>
      <c r="G18" s="53">
        <v>51.742897812368206</v>
      </c>
      <c r="H18" s="2"/>
      <c r="I18" s="52">
        <v>1251.3766114</v>
      </c>
      <c r="J18" s="47"/>
      <c r="K18" s="53">
        <v>56.880755063636371</v>
      </c>
      <c r="L18" s="48"/>
      <c r="M18" s="71">
        <f>SUM(M14:M17)</f>
        <v>113.0328595278994</v>
      </c>
      <c r="N18" s="2"/>
      <c r="O18" s="54">
        <f>M18/E18</f>
        <v>9.9295893127192475E-2</v>
      </c>
      <c r="P18" s="28"/>
      <c r="Q18" s="54">
        <f>(M18-M15)/(E18-E15)</f>
        <v>0.12246727923889573</v>
      </c>
    </row>
    <row r="19" spans="1:18" ht="15" customHeight="1">
      <c r="A19" s="2"/>
      <c r="B19" s="10"/>
      <c r="C19" s="10"/>
      <c r="D19" s="10"/>
      <c r="E19" s="26"/>
      <c r="F19" s="2"/>
      <c r="G19" s="48"/>
      <c r="H19" s="2"/>
      <c r="I19" s="26"/>
      <c r="J19" s="2"/>
      <c r="K19" s="48"/>
      <c r="L19" s="48"/>
      <c r="M19" s="70"/>
      <c r="N19" s="2"/>
      <c r="O19" s="28"/>
      <c r="P19" s="28"/>
      <c r="Q19" s="28"/>
    </row>
    <row r="20" spans="1:18" ht="15" customHeight="1">
      <c r="A20" s="2">
        <f>A18+1</f>
        <v>6</v>
      </c>
      <c r="B20" s="10"/>
      <c r="C20" s="10" t="s">
        <v>58</v>
      </c>
      <c r="D20" s="10"/>
      <c r="E20" s="52">
        <f>SUM(E14:E16)+I17</f>
        <v>1107.8288797999999</v>
      </c>
      <c r="F20" s="2"/>
      <c r="G20" s="53">
        <v>50.355858172727267</v>
      </c>
      <c r="H20" s="2"/>
      <c r="I20" s="52">
        <f>SUM(I14:I17)</f>
        <v>1251.3766114</v>
      </c>
      <c r="J20" s="47"/>
      <c r="K20" s="53">
        <v>56.880755063636371</v>
      </c>
      <c r="L20" s="48"/>
      <c r="M20" s="71">
        <f>M14+M15+M16</f>
        <v>143.54773159999991</v>
      </c>
      <c r="N20" s="2"/>
      <c r="O20" s="54">
        <f>M20/E20</f>
        <v>0.12957572619510974</v>
      </c>
      <c r="P20" s="28"/>
      <c r="Q20" s="54">
        <f>(M20-M15)/(E20-E15)</f>
        <v>0.16084700742990379</v>
      </c>
    </row>
    <row r="21" spans="1:18" ht="15" customHeight="1">
      <c r="A21" s="2">
        <f>A20+1</f>
        <v>7</v>
      </c>
      <c r="B21" s="10"/>
      <c r="C21" s="10" t="s">
        <v>59</v>
      </c>
      <c r="D21" s="10"/>
      <c r="E21" s="1"/>
      <c r="F21" s="2"/>
      <c r="G21" s="11"/>
      <c r="H21" s="2"/>
      <c r="I21" s="1"/>
      <c r="J21" s="2"/>
      <c r="K21" s="11"/>
      <c r="L21" s="11"/>
      <c r="M21" s="72"/>
      <c r="N21" s="10"/>
      <c r="O21" s="50">
        <v>0.22154148088213932</v>
      </c>
      <c r="P21" s="28"/>
      <c r="Q21" s="50">
        <v>0.33184880564530012</v>
      </c>
    </row>
    <row r="22" spans="1:18" ht="15" customHeight="1">
      <c r="A22" s="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72"/>
      <c r="N22" s="10"/>
      <c r="O22" s="24"/>
      <c r="P22" s="24"/>
      <c r="Q22" s="24"/>
    </row>
    <row r="23" spans="1:18" ht="15" customHeight="1">
      <c r="A23" s="2">
        <f>A21+1</f>
        <v>8</v>
      </c>
      <c r="B23" s="10"/>
      <c r="C23" s="10" t="s">
        <v>37</v>
      </c>
      <c r="D23" s="10"/>
      <c r="E23" s="1"/>
      <c r="F23" s="2"/>
      <c r="G23" s="3"/>
      <c r="H23" s="2"/>
      <c r="I23" s="55">
        <f>K23*R23/100</f>
        <v>-16.1524</v>
      </c>
      <c r="J23" s="5"/>
      <c r="K23" s="56">
        <v>-0.73419999999999996</v>
      </c>
      <c r="L23" s="48"/>
      <c r="M23" s="70">
        <f>I23-E23</f>
        <v>-16.1524</v>
      </c>
      <c r="N23" s="2"/>
      <c r="O23" s="49" t="str">
        <f>IFERROR(M23/E23,"(100.0%)")</f>
        <v>(100.0%)</v>
      </c>
      <c r="P23" s="50"/>
      <c r="Q23" s="49" t="str">
        <f>O23</f>
        <v>(100.0%)</v>
      </c>
      <c r="R23" s="45">
        <v>2200</v>
      </c>
    </row>
    <row r="24" spans="1:18" ht="15" customHeight="1">
      <c r="A24" s="2"/>
      <c r="B24" s="10"/>
      <c r="C24" s="10"/>
      <c r="D24" s="10"/>
      <c r="E24" s="1"/>
      <c r="F24" s="2"/>
      <c r="G24" s="3"/>
      <c r="H24" s="2"/>
      <c r="I24" s="4"/>
      <c r="J24" s="5"/>
      <c r="K24" s="6"/>
      <c r="L24" s="11"/>
      <c r="M24" s="72"/>
      <c r="N24" s="10"/>
      <c r="O24" s="8"/>
      <c r="P24" s="7"/>
      <c r="Q24" s="8"/>
    </row>
    <row r="25" spans="1:18" ht="15" customHeight="1">
      <c r="A25" s="2"/>
      <c r="B25" s="10"/>
      <c r="C25" s="10" t="s">
        <v>38</v>
      </c>
      <c r="D25" s="10"/>
      <c r="E25" s="1"/>
      <c r="F25" s="2"/>
      <c r="G25" s="3"/>
      <c r="H25" s="2"/>
      <c r="I25" s="4"/>
      <c r="J25" s="5"/>
      <c r="K25" s="6"/>
      <c r="L25" s="11"/>
      <c r="M25" s="72"/>
      <c r="N25" s="10"/>
      <c r="O25" s="8"/>
      <c r="P25" s="7"/>
      <c r="Q25" s="8"/>
    </row>
    <row r="26" spans="1:18" ht="15" customHeight="1">
      <c r="A26" s="2">
        <f>A23+1</f>
        <v>9</v>
      </c>
      <c r="B26" s="10"/>
      <c r="C26" s="30" t="s">
        <v>39</v>
      </c>
      <c r="D26" s="10"/>
      <c r="E26" s="26">
        <f>E18</f>
        <v>1138.3437518721005</v>
      </c>
      <c r="F26" s="2"/>
      <c r="G26" s="58">
        <f>+G18</f>
        <v>51.742897812368206</v>
      </c>
      <c r="H26" s="2"/>
      <c r="I26" s="59">
        <f>I18+I23</f>
        <v>1235.2242114000001</v>
      </c>
      <c r="J26" s="5"/>
      <c r="K26" s="61">
        <f>K18+K23</f>
        <v>56.14655506363637</v>
      </c>
      <c r="L26" s="48"/>
      <c r="M26" s="70">
        <f>I26-E26</f>
        <v>96.880459527899575</v>
      </c>
      <c r="N26" s="2"/>
      <c r="O26" s="49">
        <f>M26/E26</f>
        <v>8.5106506157363843E-2</v>
      </c>
      <c r="P26" s="50"/>
      <c r="Q26" s="49">
        <f>(M26-M15)/(E26-E15)</f>
        <v>0.10496670029715832</v>
      </c>
    </row>
    <row r="27" spans="1:18" ht="15" customHeight="1">
      <c r="A27" s="2">
        <f>A26+1</f>
        <v>10</v>
      </c>
      <c r="B27" s="10"/>
      <c r="C27" s="30" t="s">
        <v>61</v>
      </c>
      <c r="D27" s="10"/>
      <c r="E27" s="26">
        <f>E20</f>
        <v>1107.8288797999999</v>
      </c>
      <c r="F27" s="2"/>
      <c r="G27" s="58">
        <f>+G20</f>
        <v>50.355858172727267</v>
      </c>
      <c r="H27" s="2"/>
      <c r="I27" s="59">
        <f>I20+I23</f>
        <v>1235.2242114000001</v>
      </c>
      <c r="J27" s="5"/>
      <c r="K27" s="61">
        <f>K20+K23</f>
        <v>56.14655506363637</v>
      </c>
      <c r="L27" s="48"/>
      <c r="M27" s="70">
        <f>I27-E27</f>
        <v>127.39533160000019</v>
      </c>
      <c r="N27" s="2"/>
      <c r="O27" s="49">
        <f>M27/E27</f>
        <v>0.11499549607607205</v>
      </c>
      <c r="P27" s="50"/>
      <c r="Q27" s="49">
        <f>(M27-M15)/(E27-E15)</f>
        <v>0.14274804359500101</v>
      </c>
    </row>
    <row r="28" spans="1:18" ht="15" customHeight="1">
      <c r="A28" s="2"/>
      <c r="B28" s="10"/>
      <c r="C28" s="30"/>
      <c r="D28" s="10"/>
      <c r="E28" s="1"/>
      <c r="F28" s="2"/>
      <c r="G28" s="3"/>
      <c r="H28" s="2"/>
      <c r="I28" s="9"/>
      <c r="J28" s="5"/>
      <c r="K28" s="6"/>
      <c r="L28" s="11"/>
      <c r="M28" s="72"/>
      <c r="N28" s="10"/>
      <c r="O28" s="8"/>
      <c r="P28" s="7"/>
      <c r="Q28" s="8"/>
    </row>
    <row r="29" spans="1:18" ht="15" customHeight="1">
      <c r="A29" s="2"/>
      <c r="B29" s="10"/>
      <c r="C29" s="21" t="s">
        <v>76</v>
      </c>
      <c r="D29" s="10"/>
      <c r="E29" s="83" t="s">
        <v>63</v>
      </c>
      <c r="F29" s="83"/>
      <c r="G29" s="83"/>
      <c r="H29" s="10"/>
      <c r="I29" s="23"/>
      <c r="J29" s="10"/>
      <c r="K29" s="10"/>
      <c r="L29" s="10"/>
      <c r="M29" s="72"/>
      <c r="N29" s="10"/>
      <c r="O29" s="24"/>
      <c r="P29" s="24"/>
      <c r="Q29" s="24"/>
    </row>
    <row r="30" spans="1:18" ht="15" customHeight="1">
      <c r="A30" s="2">
        <f>A27+1</f>
        <v>11</v>
      </c>
      <c r="B30" s="10"/>
      <c r="C30" s="10" t="s">
        <v>28</v>
      </c>
      <c r="D30" s="10"/>
      <c r="E30" s="26">
        <v>2834.0341999999996</v>
      </c>
      <c r="F30" s="47"/>
      <c r="G30" s="48">
        <v>7.085085499999999</v>
      </c>
      <c r="H30" s="48"/>
      <c r="I30" s="26">
        <v>4464.2338</v>
      </c>
      <c r="J30" s="2"/>
      <c r="K30" s="48">
        <v>11.160584499999999</v>
      </c>
      <c r="L30" s="48"/>
      <c r="M30" s="70">
        <f>I30-E30</f>
        <v>1630.1996000000004</v>
      </c>
      <c r="N30" s="48"/>
      <c r="O30" s="49">
        <f>M30/E30</f>
        <v>0.57522227501700596</v>
      </c>
      <c r="P30" s="50"/>
      <c r="Q30" s="49">
        <f>O30</f>
        <v>0.57522227501700596</v>
      </c>
    </row>
    <row r="31" spans="1:18" ht="15" customHeight="1">
      <c r="A31" s="2">
        <f>A30+1</f>
        <v>12</v>
      </c>
      <c r="B31" s="10"/>
      <c r="C31" s="10" t="s">
        <v>29</v>
      </c>
      <c r="D31" s="10"/>
      <c r="E31" s="26">
        <v>3915.9999999999995</v>
      </c>
      <c r="F31" s="47"/>
      <c r="G31" s="48">
        <v>9.7899999999999991</v>
      </c>
      <c r="H31" s="48"/>
      <c r="I31" s="26">
        <v>3915.9999999999995</v>
      </c>
      <c r="J31" s="47"/>
      <c r="K31" s="48">
        <v>9.7899999999999991</v>
      </c>
      <c r="L31" s="48"/>
      <c r="M31" s="70">
        <f>I31-E31</f>
        <v>0</v>
      </c>
      <c r="N31" s="48"/>
      <c r="O31" s="49">
        <f>IFERROR(M31/E31,"100.0%")</f>
        <v>0</v>
      </c>
      <c r="P31" s="50"/>
      <c r="Q31" s="49">
        <f>O31</f>
        <v>0</v>
      </c>
    </row>
    <row r="32" spans="1:18" ht="15" customHeight="1">
      <c r="A32" s="2">
        <f>A31+1</f>
        <v>13</v>
      </c>
      <c r="B32" s="10"/>
      <c r="C32" s="10" t="s">
        <v>30</v>
      </c>
      <c r="D32" s="10"/>
      <c r="E32" s="51">
        <v>0</v>
      </c>
      <c r="F32" s="47"/>
      <c r="G32" s="51">
        <v>0</v>
      </c>
      <c r="H32" s="48"/>
      <c r="I32" s="26">
        <v>722.76</v>
      </c>
      <c r="J32" s="47"/>
      <c r="K32" s="48">
        <v>1.8068999999999997</v>
      </c>
      <c r="L32" s="48"/>
      <c r="M32" s="70">
        <f>I32-E32</f>
        <v>722.76</v>
      </c>
      <c r="N32" s="48"/>
      <c r="O32" s="49" t="str">
        <f>IFERROR(M32/E32,"100.0%")</f>
        <v>100.0%</v>
      </c>
      <c r="P32" s="50"/>
      <c r="Q32" s="49" t="str">
        <f>O32</f>
        <v>100.0%</v>
      </c>
    </row>
    <row r="33" spans="1:18" ht="15" customHeight="1">
      <c r="A33" s="2">
        <f t="shared" ref="A33:A34" si="0">A32+1</f>
        <v>14</v>
      </c>
      <c r="B33" s="10"/>
      <c r="C33" s="10" t="s">
        <v>31</v>
      </c>
      <c r="D33" s="10"/>
      <c r="E33" s="26">
        <v>8916.2558558563705</v>
      </c>
      <c r="F33" s="47"/>
      <c r="G33" s="48">
        <v>22.290639639640926</v>
      </c>
      <c r="H33" s="2"/>
      <c r="I33" s="26">
        <v>8361.44</v>
      </c>
      <c r="J33" s="2"/>
      <c r="K33" s="48">
        <v>20.903600000000001</v>
      </c>
      <c r="L33" s="48"/>
      <c r="M33" s="70">
        <f>I33-E33</f>
        <v>-554.81585585637004</v>
      </c>
      <c r="N33" s="2"/>
      <c r="O33" s="49">
        <f>M33/E33</f>
        <v>-6.2225205829188515E-2</v>
      </c>
      <c r="P33" s="50"/>
      <c r="Q33" s="49">
        <f>O33</f>
        <v>-6.2225205829188515E-2</v>
      </c>
    </row>
    <row r="34" spans="1:18" ht="15" customHeight="1">
      <c r="A34" s="2">
        <f t="shared" si="0"/>
        <v>15</v>
      </c>
      <c r="B34" s="10"/>
      <c r="C34" s="10" t="s">
        <v>32</v>
      </c>
      <c r="D34" s="10"/>
      <c r="E34" s="52">
        <f>SUM(E30:E33)</f>
        <v>15666.290055856371</v>
      </c>
      <c r="F34" s="2"/>
      <c r="G34" s="53">
        <v>39.165725139640926</v>
      </c>
      <c r="H34" s="2"/>
      <c r="I34" s="52">
        <v>17464.433799999999</v>
      </c>
      <c r="J34" s="47"/>
      <c r="K34" s="53">
        <v>43.661084499999994</v>
      </c>
      <c r="L34" s="48"/>
      <c r="M34" s="71">
        <f>SUM(M30:M33)</f>
        <v>1798.1437441436301</v>
      </c>
      <c r="N34" s="2"/>
      <c r="O34" s="54">
        <f>M34/E34</f>
        <v>0.11477789174926251</v>
      </c>
      <c r="P34" s="28"/>
      <c r="Q34" s="54">
        <f>(M34-M31)/(E34-E31)</f>
        <v>0.15302973250838445</v>
      </c>
    </row>
    <row r="35" spans="1:18" ht="15" customHeight="1">
      <c r="A35" s="2"/>
      <c r="B35" s="10"/>
      <c r="C35" s="10"/>
      <c r="D35" s="10"/>
      <c r="E35" s="26"/>
      <c r="F35" s="2"/>
      <c r="G35" s="48"/>
      <c r="H35" s="2"/>
      <c r="I35" s="26"/>
      <c r="J35" s="2"/>
      <c r="K35" s="48"/>
      <c r="L35" s="48"/>
      <c r="M35" s="70"/>
      <c r="N35" s="2"/>
      <c r="O35" s="28"/>
      <c r="P35" s="28"/>
      <c r="Q35" s="28"/>
    </row>
    <row r="36" spans="1:18" ht="15" customHeight="1">
      <c r="A36" s="2">
        <f>A34+1</f>
        <v>16</v>
      </c>
      <c r="B36" s="10"/>
      <c r="C36" s="10" t="s">
        <v>58</v>
      </c>
      <c r="D36" s="10"/>
      <c r="E36" s="52">
        <f>SUM(E30:E32)+I33</f>
        <v>15111.474200000001</v>
      </c>
      <c r="F36" s="2"/>
      <c r="G36" s="53">
        <v>37.778685500000002</v>
      </c>
      <c r="H36" s="2"/>
      <c r="I36" s="52">
        <f>SUM(I30:I33)</f>
        <v>17464.433799999999</v>
      </c>
      <c r="J36" s="47"/>
      <c r="K36" s="53">
        <v>43.661084499999994</v>
      </c>
      <c r="L36" s="48"/>
      <c r="M36" s="71">
        <f>M30+M31+M32</f>
        <v>2352.9596000000001</v>
      </c>
      <c r="N36" s="2"/>
      <c r="O36" s="54">
        <f>M36/E36</f>
        <v>0.15570682045038334</v>
      </c>
      <c r="P36" s="28"/>
      <c r="Q36" s="54">
        <f>(M36-M31)/(E36-E31)</f>
        <v>0.21017060626159095</v>
      </c>
    </row>
    <row r="37" spans="1:18" ht="15" customHeight="1">
      <c r="A37" s="2">
        <f>A36+1</f>
        <v>17</v>
      </c>
      <c r="B37" s="10"/>
      <c r="C37" s="10" t="s">
        <v>59</v>
      </c>
      <c r="D37" s="10"/>
      <c r="E37" s="26"/>
      <c r="F37" s="2"/>
      <c r="G37" s="48"/>
      <c r="H37" s="2"/>
      <c r="I37" s="26"/>
      <c r="J37" s="2"/>
      <c r="K37" s="48"/>
      <c r="L37" s="48"/>
      <c r="M37" s="70"/>
      <c r="N37" s="2"/>
      <c r="O37" s="50">
        <v>0.34858484124421185</v>
      </c>
      <c r="P37" s="28"/>
      <c r="Q37" s="50">
        <v>0.83025095462856469</v>
      </c>
    </row>
    <row r="38" spans="1:18" ht="15" customHeight="1">
      <c r="A38" s="2"/>
      <c r="B38" s="10"/>
      <c r="C38" s="10"/>
      <c r="D38" s="10"/>
      <c r="E38" s="2"/>
      <c r="F38" s="2"/>
      <c r="G38" s="2"/>
      <c r="H38" s="2"/>
      <c r="I38" s="2"/>
      <c r="J38" s="2"/>
      <c r="K38" s="2"/>
      <c r="L38" s="2"/>
      <c r="M38" s="70"/>
      <c r="N38" s="2"/>
      <c r="O38" s="28"/>
      <c r="P38" s="28"/>
      <c r="Q38" s="28"/>
    </row>
    <row r="39" spans="1:18" ht="15" customHeight="1">
      <c r="A39" s="2">
        <f>A37+1</f>
        <v>18</v>
      </c>
      <c r="B39" s="10"/>
      <c r="C39" s="10" t="s">
        <v>37</v>
      </c>
      <c r="D39" s="10"/>
      <c r="E39" s="26"/>
      <c r="F39" s="2"/>
      <c r="G39" s="58"/>
      <c r="H39" s="2"/>
      <c r="I39" s="55">
        <f>K39*R39/100</f>
        <v>-293.68</v>
      </c>
      <c r="J39" s="5"/>
      <c r="K39" s="56">
        <f>+K23</f>
        <v>-0.73419999999999996</v>
      </c>
      <c r="L39" s="48"/>
      <c r="M39" s="70">
        <f>I39-E39</f>
        <v>-293.68</v>
      </c>
      <c r="N39" s="2"/>
      <c r="O39" s="49" t="str">
        <f>IFERROR(M39/E39,"(100.0%)")</f>
        <v>(100.0%)</v>
      </c>
      <c r="P39" s="50"/>
      <c r="Q39" s="49" t="str">
        <f>O39</f>
        <v>(100.0%)</v>
      </c>
      <c r="R39" s="45">
        <v>40000</v>
      </c>
    </row>
    <row r="40" spans="1:18" ht="15" customHeight="1">
      <c r="A40" s="2"/>
      <c r="B40" s="10"/>
      <c r="C40" s="10"/>
      <c r="D40" s="10"/>
      <c r="E40" s="1"/>
      <c r="F40" s="2"/>
      <c r="G40" s="3"/>
      <c r="H40" s="2"/>
      <c r="I40" s="4"/>
      <c r="J40" s="5"/>
      <c r="K40" s="6"/>
      <c r="L40" s="11"/>
      <c r="M40" s="72"/>
      <c r="N40" s="10"/>
      <c r="O40" s="8"/>
      <c r="P40" s="7"/>
      <c r="Q40" s="8"/>
    </row>
    <row r="41" spans="1:18" ht="15" customHeight="1">
      <c r="A41" s="2">
        <f>A39+1</f>
        <v>19</v>
      </c>
      <c r="B41" s="10"/>
      <c r="C41" s="10" t="s">
        <v>38</v>
      </c>
      <c r="D41" s="10"/>
      <c r="E41" s="1"/>
      <c r="F41" s="2"/>
      <c r="G41" s="3"/>
      <c r="H41" s="2"/>
      <c r="I41" s="4"/>
      <c r="J41" s="5"/>
      <c r="K41" s="6"/>
      <c r="L41" s="11"/>
      <c r="M41" s="72"/>
      <c r="N41" s="10"/>
      <c r="O41" s="8"/>
      <c r="P41" s="7"/>
      <c r="Q41" s="8"/>
    </row>
    <row r="42" spans="1:18" ht="15" customHeight="1">
      <c r="A42" s="2">
        <f>A41+1</f>
        <v>20</v>
      </c>
      <c r="B42" s="10"/>
      <c r="C42" s="30" t="s">
        <v>39</v>
      </c>
      <c r="D42" s="10"/>
      <c r="E42" s="26">
        <f>E34</f>
        <v>15666.290055856371</v>
      </c>
      <c r="F42" s="2"/>
      <c r="G42" s="58">
        <f>+G34</f>
        <v>39.165725139640926</v>
      </c>
      <c r="H42" s="2"/>
      <c r="I42" s="75">
        <f>I34+I39</f>
        <v>17170.753799999999</v>
      </c>
      <c r="J42" s="5"/>
      <c r="K42" s="61">
        <f>K34+K39</f>
        <v>42.926884499999993</v>
      </c>
      <c r="L42" s="48"/>
      <c r="M42" s="70">
        <f>I42-E42</f>
        <v>1504.463744143628</v>
      </c>
      <c r="N42" s="2"/>
      <c r="O42" s="49">
        <f>M42/E42</f>
        <v>9.6031909199921231E-2</v>
      </c>
      <c r="P42" s="50"/>
      <c r="Q42" s="49">
        <f>(M42-M31)/(E42-E31)</f>
        <v>0.12803630693301907</v>
      </c>
    </row>
    <row r="43" spans="1:18" ht="15" customHeight="1">
      <c r="A43" s="2">
        <f>A42+1</f>
        <v>21</v>
      </c>
      <c r="B43" s="10"/>
      <c r="C43" s="30" t="s">
        <v>61</v>
      </c>
      <c r="D43" s="10"/>
      <c r="E43" s="26">
        <f>E36</f>
        <v>15111.474200000001</v>
      </c>
      <c r="F43" s="2"/>
      <c r="G43" s="58">
        <f>+G36</f>
        <v>37.778685500000002</v>
      </c>
      <c r="H43" s="2"/>
      <c r="I43" s="75">
        <f>I36+I39</f>
        <v>17170.753799999999</v>
      </c>
      <c r="J43" s="5"/>
      <c r="K43" s="61">
        <f>K36+K39</f>
        <v>42.926884499999993</v>
      </c>
      <c r="L43" s="48"/>
      <c r="M43" s="70">
        <f>I43-E43</f>
        <v>2059.279599999998</v>
      </c>
      <c r="N43" s="2"/>
      <c r="O43" s="49">
        <f>M43/E43</f>
        <v>0.13627258153277977</v>
      </c>
      <c r="P43" s="50"/>
      <c r="Q43" s="49">
        <f>(M43-M31)/(E43-E31)</f>
        <v>0.1839385776084409</v>
      </c>
    </row>
    <row r="44" spans="1:18" ht="15" customHeight="1">
      <c r="A44" s="2"/>
      <c r="B44" s="10"/>
      <c r="C44" s="30"/>
      <c r="D44" s="10"/>
      <c r="E44" s="26"/>
      <c r="F44" s="2"/>
      <c r="G44" s="58"/>
      <c r="H44" s="2"/>
      <c r="I44" s="59"/>
      <c r="J44" s="5"/>
      <c r="K44" s="56"/>
      <c r="L44" s="48"/>
      <c r="M44" s="70"/>
      <c r="N44" s="2"/>
      <c r="O44" s="49"/>
      <c r="P44" s="50"/>
      <c r="Q44" s="49"/>
    </row>
    <row r="45" spans="1:18" ht="15" customHeight="1">
      <c r="A45" s="2"/>
      <c r="B45" s="10"/>
      <c r="C45" s="21" t="s">
        <v>77</v>
      </c>
      <c r="D45" s="10"/>
      <c r="E45" s="82" t="s">
        <v>65</v>
      </c>
      <c r="F45" s="82"/>
      <c r="G45" s="82"/>
      <c r="H45" s="2"/>
      <c r="I45" s="2"/>
      <c r="J45" s="2"/>
      <c r="K45" s="2"/>
      <c r="L45" s="2"/>
      <c r="M45" s="70"/>
      <c r="N45" s="2"/>
      <c r="O45" s="28"/>
      <c r="P45" s="28"/>
      <c r="Q45" s="28"/>
    </row>
    <row r="46" spans="1:18" ht="15" customHeight="1">
      <c r="A46" s="2">
        <f>A43+1</f>
        <v>22</v>
      </c>
      <c r="B46" s="10"/>
      <c r="C46" s="10" t="s">
        <v>28</v>
      </c>
      <c r="D46" s="10"/>
      <c r="E46" s="26">
        <v>5093.3136199999999</v>
      </c>
      <c r="F46" s="47"/>
      <c r="G46" s="48">
        <v>8.4888560333333327</v>
      </c>
      <c r="H46" s="48"/>
      <c r="I46" s="26">
        <v>6094.9597999999987</v>
      </c>
      <c r="J46" s="2"/>
      <c r="K46" s="48">
        <v>10.15826633333333</v>
      </c>
      <c r="L46" s="48"/>
      <c r="M46" s="70">
        <f>I46-E46</f>
        <v>1001.6461799999988</v>
      </c>
      <c r="N46" s="48"/>
      <c r="O46" s="49">
        <f>M46/E46</f>
        <v>0.19665904256647734</v>
      </c>
      <c r="P46" s="50"/>
      <c r="Q46" s="49">
        <f>O46</f>
        <v>0.19665904256647734</v>
      </c>
    </row>
    <row r="47" spans="1:18" ht="15" customHeight="1">
      <c r="A47" s="2">
        <f>A46+1</f>
        <v>23</v>
      </c>
      <c r="B47" s="10"/>
      <c r="C47" s="10" t="s">
        <v>29</v>
      </c>
      <c r="D47" s="10"/>
      <c r="E47" s="26">
        <v>5874</v>
      </c>
      <c r="F47" s="47"/>
      <c r="G47" s="48">
        <v>9.7900000000000009</v>
      </c>
      <c r="H47" s="48"/>
      <c r="I47" s="26">
        <v>5874</v>
      </c>
      <c r="J47" s="47"/>
      <c r="K47" s="48">
        <v>9.7900000000000009</v>
      </c>
      <c r="L47" s="48"/>
      <c r="M47" s="70">
        <f>I47-E47</f>
        <v>0</v>
      </c>
      <c r="N47" s="48"/>
      <c r="O47" s="49">
        <f>IFERROR(M47/E47,"100.0%")</f>
        <v>0</v>
      </c>
      <c r="P47" s="50"/>
      <c r="Q47" s="49">
        <f>O47</f>
        <v>0</v>
      </c>
    </row>
    <row r="48" spans="1:18" ht="15" customHeight="1">
      <c r="A48" s="2">
        <f>A47+1</f>
        <v>24</v>
      </c>
      <c r="B48" s="10"/>
      <c r="C48" s="10" t="s">
        <v>30</v>
      </c>
      <c r="D48" s="10"/>
      <c r="E48" s="51">
        <v>0</v>
      </c>
      <c r="F48" s="47"/>
      <c r="G48" s="51">
        <v>0</v>
      </c>
      <c r="H48" s="48"/>
      <c r="I48" s="26">
        <v>1017.78</v>
      </c>
      <c r="J48" s="47"/>
      <c r="K48" s="48">
        <v>1.6962999999999999</v>
      </c>
      <c r="L48" s="48"/>
      <c r="M48" s="70">
        <f>I48-E48</f>
        <v>1017.78</v>
      </c>
      <c r="N48" s="48"/>
      <c r="O48" s="49" t="str">
        <f>IFERROR(M48/E48,"100.0%")</f>
        <v>100.0%</v>
      </c>
      <c r="P48" s="50"/>
      <c r="Q48" s="49" t="str">
        <f>O48</f>
        <v>100.0%</v>
      </c>
    </row>
    <row r="49" spans="1:18" ht="15" customHeight="1">
      <c r="A49" s="2">
        <f>A48+1</f>
        <v>25</v>
      </c>
      <c r="B49" s="10"/>
      <c r="C49" s="10" t="s">
        <v>31</v>
      </c>
      <c r="D49" s="10"/>
      <c r="E49" s="26">
        <v>13374.383783784557</v>
      </c>
      <c r="F49" s="47"/>
      <c r="G49" s="48">
        <v>22.290639639640926</v>
      </c>
      <c r="H49" s="2"/>
      <c r="I49" s="26">
        <v>12542.16</v>
      </c>
      <c r="J49" s="2"/>
      <c r="K49" s="48">
        <v>20.903600000000001</v>
      </c>
      <c r="L49" s="48"/>
      <c r="M49" s="70">
        <f>I49-E49</f>
        <v>-832.22378378455687</v>
      </c>
      <c r="N49" s="2"/>
      <c r="O49" s="49">
        <f>M49/E49</f>
        <v>-6.2225205829188647E-2</v>
      </c>
      <c r="P49" s="50"/>
      <c r="Q49" s="49">
        <f>O49</f>
        <v>-6.2225205829188647E-2</v>
      </c>
    </row>
    <row r="50" spans="1:18" ht="15" customHeight="1">
      <c r="A50" s="2">
        <f>A49+1</f>
        <v>26</v>
      </c>
      <c r="B50" s="10"/>
      <c r="C50" s="10" t="s">
        <v>32</v>
      </c>
      <c r="D50" s="10"/>
      <c r="E50" s="52">
        <f>SUM(E46:E49)</f>
        <v>24341.697403784558</v>
      </c>
      <c r="F50" s="2"/>
      <c r="G50" s="53">
        <v>40.569495672974263</v>
      </c>
      <c r="H50" s="2"/>
      <c r="I50" s="52">
        <v>25528.899799999999</v>
      </c>
      <c r="J50" s="47"/>
      <c r="K50" s="53">
        <v>42.548166333333334</v>
      </c>
      <c r="L50" s="48"/>
      <c r="M50" s="71">
        <f>SUM(M46:M49)</f>
        <v>1187.2023962154419</v>
      </c>
      <c r="N50" s="2"/>
      <c r="O50" s="54">
        <f>M50/E50</f>
        <v>4.8772375094551131E-2</v>
      </c>
      <c r="P50" s="28"/>
      <c r="Q50" s="54">
        <f>(M50-M47)/(E50-E47)</f>
        <v>6.4285350266360244E-2</v>
      </c>
    </row>
    <row r="51" spans="1:18" ht="15" customHeight="1">
      <c r="A51" s="2"/>
      <c r="B51" s="10"/>
      <c r="C51" s="10"/>
      <c r="D51" s="10"/>
      <c r="E51" s="26"/>
      <c r="F51" s="2"/>
      <c r="G51" s="48"/>
      <c r="H51" s="2"/>
      <c r="I51" s="26"/>
      <c r="J51" s="2"/>
      <c r="K51" s="48"/>
      <c r="L51" s="48"/>
      <c r="M51" s="70"/>
      <c r="N51" s="2"/>
      <c r="O51" s="28"/>
      <c r="P51" s="28"/>
      <c r="Q51" s="28"/>
    </row>
    <row r="52" spans="1:18" ht="15" customHeight="1">
      <c r="A52" s="2">
        <f>A50+1</f>
        <v>27</v>
      </c>
      <c r="B52" s="10"/>
      <c r="C52" s="10" t="s">
        <v>58</v>
      </c>
      <c r="D52" s="10"/>
      <c r="E52" s="52">
        <f>SUM(E46:E48)+I49</f>
        <v>23509.473620000001</v>
      </c>
      <c r="F52" s="2"/>
      <c r="G52" s="53">
        <v>39.182456033333338</v>
      </c>
      <c r="H52" s="2"/>
      <c r="I52" s="52">
        <f>SUM(I46:I49)</f>
        <v>25528.899799999999</v>
      </c>
      <c r="J52" s="47"/>
      <c r="K52" s="53">
        <v>42.548166333333334</v>
      </c>
      <c r="L52" s="48"/>
      <c r="M52" s="71">
        <f>M46+M47+M48</f>
        <v>2019.4261799999988</v>
      </c>
      <c r="N52" s="2"/>
      <c r="O52" s="54">
        <f>M52/E52</f>
        <v>8.5898400476394784E-2</v>
      </c>
      <c r="P52" s="28"/>
      <c r="Q52" s="54">
        <f>(M52-M47)/(E52-E47)</f>
        <v>0.11450932498403742</v>
      </c>
    </row>
    <row r="53" spans="1:18" ht="15" customHeight="1">
      <c r="A53" s="2">
        <f>A52+1</f>
        <v>28</v>
      </c>
      <c r="B53" s="10"/>
      <c r="C53" s="10" t="s">
        <v>59</v>
      </c>
      <c r="D53" s="10"/>
      <c r="E53" s="26"/>
      <c r="F53" s="2"/>
      <c r="G53" s="48"/>
      <c r="H53" s="2"/>
      <c r="I53" s="26"/>
      <c r="J53" s="2"/>
      <c r="K53" s="48"/>
      <c r="L53" s="48"/>
      <c r="M53" s="70"/>
      <c r="N53" s="2"/>
      <c r="O53" s="50">
        <v>0.18413134245722421</v>
      </c>
      <c r="P53" s="28"/>
      <c r="Q53" s="50">
        <v>0.39648573220982991</v>
      </c>
    </row>
    <row r="54" spans="1:18" ht="15" customHeight="1">
      <c r="A54" s="2"/>
      <c r="B54" s="10"/>
      <c r="C54" s="10"/>
      <c r="D54" s="10"/>
      <c r="E54" s="2"/>
      <c r="F54" s="2"/>
      <c r="G54" s="2"/>
      <c r="H54" s="2"/>
      <c r="I54" s="2"/>
      <c r="J54" s="2"/>
      <c r="K54" s="2"/>
      <c r="L54" s="2"/>
      <c r="M54" s="70"/>
      <c r="N54" s="2"/>
      <c r="O54" s="28"/>
      <c r="P54" s="28"/>
      <c r="Q54" s="28"/>
    </row>
    <row r="55" spans="1:18" ht="15" customHeight="1">
      <c r="A55" s="2">
        <f>A53+1</f>
        <v>29</v>
      </c>
      <c r="B55" s="10"/>
      <c r="C55" s="10" t="s">
        <v>37</v>
      </c>
      <c r="D55" s="10"/>
      <c r="E55" s="26"/>
      <c r="F55" s="2"/>
      <c r="G55" s="58"/>
      <c r="H55" s="2"/>
      <c r="I55" s="55">
        <f>K55*R55/100</f>
        <v>-110.88</v>
      </c>
      <c r="J55" s="5"/>
      <c r="K55" s="56">
        <v>-0.18479999999999999</v>
      </c>
      <c r="L55" s="48"/>
      <c r="M55" s="70">
        <f>I55-E55</f>
        <v>-110.88</v>
      </c>
      <c r="N55" s="2"/>
      <c r="O55" s="49" t="str">
        <f>IFERROR(M55/E55,"(100.0%)")</f>
        <v>(100.0%)</v>
      </c>
      <c r="P55" s="50"/>
      <c r="Q55" s="49" t="str">
        <f>O55</f>
        <v>(100.0%)</v>
      </c>
      <c r="R55" s="45">
        <v>60000</v>
      </c>
    </row>
    <row r="56" spans="1:18" ht="15" customHeight="1">
      <c r="A56" s="2"/>
      <c r="B56" s="10"/>
      <c r="C56" s="10"/>
      <c r="D56" s="10"/>
      <c r="E56" s="26"/>
      <c r="F56" s="2"/>
      <c r="G56" s="58"/>
      <c r="H56" s="2"/>
      <c r="I56" s="55"/>
      <c r="J56" s="5"/>
      <c r="K56" s="56"/>
      <c r="L56" s="48"/>
      <c r="M56" s="70"/>
      <c r="N56" s="2"/>
      <c r="O56" s="49"/>
      <c r="P56" s="50"/>
      <c r="Q56" s="49"/>
    </row>
    <row r="57" spans="1:18" ht="15" customHeight="1">
      <c r="A57" s="2">
        <f>A55+1</f>
        <v>30</v>
      </c>
      <c r="B57" s="10"/>
      <c r="C57" s="10" t="s">
        <v>38</v>
      </c>
      <c r="D57" s="10"/>
      <c r="E57" s="26"/>
      <c r="F57" s="2"/>
      <c r="G57" s="58"/>
      <c r="H57" s="2"/>
      <c r="I57" s="55"/>
      <c r="J57" s="5"/>
      <c r="K57" s="56"/>
      <c r="L57" s="48"/>
      <c r="M57" s="70"/>
      <c r="N57" s="2"/>
      <c r="O57" s="49"/>
      <c r="P57" s="50"/>
      <c r="Q57" s="49"/>
    </row>
    <row r="58" spans="1:18" ht="15" customHeight="1">
      <c r="A58" s="2">
        <f>A57+1</f>
        <v>31</v>
      </c>
      <c r="B58" s="10"/>
      <c r="C58" s="30" t="s">
        <v>39</v>
      </c>
      <c r="D58" s="10"/>
      <c r="E58" s="26">
        <f>E50</f>
        <v>24341.697403784558</v>
      </c>
      <c r="F58" s="2"/>
      <c r="G58" s="58">
        <f>+G50</f>
        <v>40.569495672974263</v>
      </c>
      <c r="H58" s="2"/>
      <c r="I58" s="76">
        <f>I50+I55</f>
        <v>25418.019799999998</v>
      </c>
      <c r="J58" s="5"/>
      <c r="K58" s="77">
        <f>K50+K55</f>
        <v>42.363366333333332</v>
      </c>
      <c r="L58" s="48"/>
      <c r="M58" s="70">
        <f>I58-E58</f>
        <v>1076.3223962154407</v>
      </c>
      <c r="N58" s="2"/>
      <c r="O58" s="49">
        <f>M58/E58</f>
        <v>4.4217228501414942E-2</v>
      </c>
      <c r="P58" s="50"/>
      <c r="Q58" s="49">
        <f>(M58-M47)/(E58-E47)</f>
        <v>5.8281353256030261E-2</v>
      </c>
    </row>
    <row r="59" spans="1:18" ht="15" customHeight="1">
      <c r="A59" s="2">
        <f>A58+1</f>
        <v>32</v>
      </c>
      <c r="B59" s="10"/>
      <c r="C59" s="30" t="s">
        <v>61</v>
      </c>
      <c r="D59" s="10"/>
      <c r="E59" s="26">
        <f>E52</f>
        <v>23509.473620000001</v>
      </c>
      <c r="F59" s="2"/>
      <c r="G59" s="58">
        <f>+G52</f>
        <v>39.182456033333338</v>
      </c>
      <c r="H59" s="2"/>
      <c r="I59" s="76">
        <f>I52+I55</f>
        <v>25418.019799999998</v>
      </c>
      <c r="J59" s="5"/>
      <c r="K59" s="77">
        <f>K52+K55</f>
        <v>42.363366333333332</v>
      </c>
      <c r="L59" s="48"/>
      <c r="M59" s="70">
        <f>I59-E59</f>
        <v>1908.5461799999975</v>
      </c>
      <c r="N59" s="2"/>
      <c r="O59" s="49">
        <f>M59/E59</f>
        <v>8.1182003938036165E-2</v>
      </c>
      <c r="P59" s="50"/>
      <c r="Q59" s="49">
        <f>(M59-M47)/(E59-E47)</f>
        <v>0.10822199738574401</v>
      </c>
    </row>
    <row r="60" spans="1:18" ht="15" customHeight="1">
      <c r="A60" s="2"/>
      <c r="B60" s="10"/>
      <c r="C60" s="30"/>
      <c r="D60" s="10"/>
      <c r="E60" s="26"/>
      <c r="F60" s="2"/>
      <c r="G60" s="58"/>
      <c r="H60" s="2"/>
      <c r="I60" s="59"/>
      <c r="J60" s="5"/>
      <c r="K60" s="56"/>
      <c r="L60" s="48"/>
      <c r="M60" s="70"/>
      <c r="N60" s="2"/>
      <c r="O60" s="49"/>
      <c r="P60" s="50"/>
      <c r="Q60" s="49"/>
    </row>
    <row r="61" spans="1:18" ht="15" customHeight="1">
      <c r="A61" s="2"/>
      <c r="B61" s="10"/>
      <c r="C61" s="21" t="s">
        <v>78</v>
      </c>
      <c r="D61" s="10"/>
      <c r="E61" s="82" t="s">
        <v>79</v>
      </c>
      <c r="F61" s="82"/>
      <c r="G61" s="82"/>
      <c r="H61" s="2"/>
      <c r="I61" s="2"/>
      <c r="J61" s="2"/>
      <c r="K61" s="2"/>
      <c r="L61" s="2"/>
      <c r="M61" s="70"/>
      <c r="N61" s="2"/>
      <c r="O61" s="28"/>
      <c r="P61" s="28"/>
      <c r="Q61" s="28"/>
    </row>
    <row r="62" spans="1:18" ht="15" customHeight="1">
      <c r="A62" s="2">
        <f>A59+1</f>
        <v>33</v>
      </c>
      <c r="B62" s="10"/>
      <c r="C62" s="10" t="s">
        <v>28</v>
      </c>
      <c r="D62" s="10"/>
      <c r="E62" s="26">
        <v>5972.2361709999996</v>
      </c>
      <c r="F62" s="47"/>
      <c r="G62" s="48">
        <v>8.181145439726027</v>
      </c>
      <c r="H62" s="48"/>
      <c r="I62" s="26">
        <v>7173.181489999999</v>
      </c>
      <c r="J62" s="2"/>
      <c r="K62" s="48">
        <v>9.826276013698628</v>
      </c>
      <c r="L62" s="48"/>
      <c r="M62" s="70">
        <f>I62-E62</f>
        <v>1200.9453189999995</v>
      </c>
      <c r="N62" s="48"/>
      <c r="O62" s="49">
        <f>M62/E62</f>
        <v>0.20108804886711495</v>
      </c>
      <c r="P62" s="50"/>
      <c r="Q62" s="49">
        <f>O62</f>
        <v>0.20108804886711495</v>
      </c>
    </row>
    <row r="63" spans="1:18" ht="15" customHeight="1">
      <c r="A63" s="2">
        <f>A62+1</f>
        <v>34</v>
      </c>
      <c r="B63" s="10"/>
      <c r="C63" s="10" t="s">
        <v>29</v>
      </c>
      <c r="D63" s="10"/>
      <c r="E63" s="26">
        <v>7146.6999999999989</v>
      </c>
      <c r="F63" s="47"/>
      <c r="G63" s="48">
        <v>9.7899999999999991</v>
      </c>
      <c r="H63" s="48"/>
      <c r="I63" s="26">
        <v>7146.6999999999989</v>
      </c>
      <c r="J63" s="47"/>
      <c r="K63" s="48">
        <v>9.7899999999999991</v>
      </c>
      <c r="L63" s="48"/>
      <c r="M63" s="70">
        <f>I63-E63</f>
        <v>0</v>
      </c>
      <c r="N63" s="48"/>
      <c r="O63" s="49">
        <f>IFERROR(M63/E63,"100.0%")</f>
        <v>0</v>
      </c>
      <c r="P63" s="50"/>
      <c r="Q63" s="49">
        <f>O63</f>
        <v>0</v>
      </c>
    </row>
    <row r="64" spans="1:18" ht="15" customHeight="1">
      <c r="A64" s="2">
        <f t="shared" ref="A64:A66" si="1">A63+1</f>
        <v>35</v>
      </c>
      <c r="B64" s="10"/>
      <c r="C64" s="10" t="s">
        <v>30</v>
      </c>
      <c r="D64" s="10"/>
      <c r="E64" s="51">
        <v>0</v>
      </c>
      <c r="F64" s="47"/>
      <c r="G64" s="51">
        <v>0</v>
      </c>
      <c r="H64" s="48"/>
      <c r="I64" s="26">
        <v>1238.299</v>
      </c>
      <c r="J64" s="47"/>
      <c r="K64" s="48">
        <v>1.6962999999999999</v>
      </c>
      <c r="L64" s="48"/>
      <c r="M64" s="70">
        <f>I64-E64</f>
        <v>1238.299</v>
      </c>
      <c r="N64" s="48"/>
      <c r="O64" s="49" t="str">
        <f>IFERROR(M64/E64,"100.0%")</f>
        <v>100.0%</v>
      </c>
      <c r="P64" s="50"/>
      <c r="Q64" s="49" t="str">
        <f>O64</f>
        <v>100.0%</v>
      </c>
    </row>
    <row r="65" spans="1:18" ht="15" customHeight="1">
      <c r="A65" s="2">
        <f t="shared" si="1"/>
        <v>36</v>
      </c>
      <c r="B65" s="10"/>
      <c r="C65" s="10" t="s">
        <v>31</v>
      </c>
      <c r="D65" s="10"/>
      <c r="E65" s="26">
        <v>16272.166936937878</v>
      </c>
      <c r="F65" s="47"/>
      <c r="G65" s="48">
        <v>22.290639639640926</v>
      </c>
      <c r="H65" s="2"/>
      <c r="I65" s="26">
        <v>15259.628000000001</v>
      </c>
      <c r="J65" s="2"/>
      <c r="K65" s="48">
        <v>20.903600000000001</v>
      </c>
      <c r="L65" s="48"/>
      <c r="M65" s="70">
        <f>I65-E65</f>
        <v>-1012.5389369378772</v>
      </c>
      <c r="N65" s="2"/>
      <c r="O65" s="49">
        <f>M65/E65</f>
        <v>-6.2225205829188626E-2</v>
      </c>
      <c r="P65" s="50"/>
      <c r="Q65" s="49">
        <f>O65</f>
        <v>-6.2225205829188626E-2</v>
      </c>
    </row>
    <row r="66" spans="1:18" ht="15" customHeight="1">
      <c r="A66" s="2">
        <f t="shared" si="1"/>
        <v>37</v>
      </c>
      <c r="B66" s="10"/>
      <c r="C66" s="10" t="s">
        <v>32</v>
      </c>
      <c r="D66" s="10"/>
      <c r="E66" s="52">
        <f>SUM(E62:E65)</f>
        <v>29391.103107937874</v>
      </c>
      <c r="F66" s="2"/>
      <c r="G66" s="53">
        <v>40.261785079366952</v>
      </c>
      <c r="H66" s="2"/>
      <c r="I66" s="52">
        <v>30817.808489999999</v>
      </c>
      <c r="J66" s="47"/>
      <c r="K66" s="53">
        <v>42.216176013698629</v>
      </c>
      <c r="L66" s="48"/>
      <c r="M66" s="71">
        <f>SUM(M62:M65)</f>
        <v>1426.7053820621222</v>
      </c>
      <c r="N66" s="2"/>
      <c r="O66" s="54">
        <f>M66/E66</f>
        <v>4.8542083528562811E-2</v>
      </c>
      <c r="P66" s="28"/>
      <c r="Q66" s="54">
        <f>(M66-M63)/(E66-E63)</f>
        <v>6.4137723774345956E-2</v>
      </c>
    </row>
    <row r="67" spans="1:18" ht="15" customHeight="1">
      <c r="A67" s="2"/>
      <c r="B67" s="10"/>
      <c r="C67" s="10"/>
      <c r="D67" s="10"/>
      <c r="E67" s="26"/>
      <c r="F67" s="2"/>
      <c r="G67" s="48"/>
      <c r="H67" s="2"/>
      <c r="I67" s="26"/>
      <c r="J67" s="2"/>
      <c r="K67" s="48"/>
      <c r="L67" s="48"/>
      <c r="M67" s="70"/>
      <c r="N67" s="2"/>
      <c r="O67" s="28"/>
      <c r="P67" s="28"/>
      <c r="Q67" s="28"/>
    </row>
    <row r="68" spans="1:18" ht="15" customHeight="1">
      <c r="A68" s="2">
        <f>A66+1</f>
        <v>38</v>
      </c>
      <c r="B68" s="10"/>
      <c r="C68" s="10" t="s">
        <v>58</v>
      </c>
      <c r="D68" s="10"/>
      <c r="E68" s="52">
        <f>SUM(E62:E64)+I65</f>
        <v>28378.564170999998</v>
      </c>
      <c r="F68" s="2"/>
      <c r="G68" s="53">
        <v>38.874745439726027</v>
      </c>
      <c r="H68" s="2"/>
      <c r="I68" s="52">
        <f>SUM(I62:I65)</f>
        <v>30817.808489999999</v>
      </c>
      <c r="J68" s="47"/>
      <c r="K68" s="53">
        <v>42.216176013698629</v>
      </c>
      <c r="L68" s="48"/>
      <c r="M68" s="71">
        <f>M62+M63+M64</f>
        <v>2439.2443189999995</v>
      </c>
      <c r="N68" s="2"/>
      <c r="O68" s="54">
        <f>M68/E68</f>
        <v>8.5953760884515035E-2</v>
      </c>
      <c r="P68" s="28"/>
      <c r="Q68" s="54">
        <f>(M68-M63)/(E68-E63)</f>
        <v>0.1148860175137939</v>
      </c>
    </row>
    <row r="69" spans="1:18" ht="15" customHeight="1">
      <c r="A69" s="2">
        <f>A68+1</f>
        <v>39</v>
      </c>
      <c r="B69" s="10"/>
      <c r="C69" s="10" t="s">
        <v>59</v>
      </c>
      <c r="D69" s="10"/>
      <c r="E69" s="26"/>
      <c r="F69" s="2"/>
      <c r="G69" s="48"/>
      <c r="H69" s="2"/>
      <c r="I69" s="26"/>
      <c r="J69" s="2"/>
      <c r="K69" s="48"/>
      <c r="L69" s="48"/>
      <c r="M69" s="70"/>
      <c r="N69" s="2"/>
      <c r="O69" s="50">
        <v>0.18593308841551187</v>
      </c>
      <c r="P69" s="28"/>
      <c r="Q69" s="50">
        <v>0.4084306529678931</v>
      </c>
    </row>
    <row r="70" spans="1:18" ht="15" customHeight="1">
      <c r="A70" s="2"/>
      <c r="B70" s="10"/>
      <c r="C70" s="10"/>
      <c r="D70" s="10"/>
      <c r="E70" s="2"/>
      <c r="F70" s="2"/>
      <c r="G70" s="2"/>
      <c r="H70" s="2"/>
      <c r="I70" s="2"/>
      <c r="J70" s="2"/>
      <c r="K70" s="2"/>
      <c r="L70" s="2"/>
      <c r="M70" s="70"/>
      <c r="N70" s="2"/>
      <c r="O70" s="28"/>
      <c r="P70" s="28"/>
      <c r="Q70" s="28"/>
    </row>
    <row r="71" spans="1:18" ht="15" customHeight="1">
      <c r="A71" s="2">
        <f>A69+1</f>
        <v>40</v>
      </c>
      <c r="B71" s="10"/>
      <c r="C71" s="10" t="s">
        <v>37</v>
      </c>
      <c r="D71" s="10"/>
      <c r="E71" s="26"/>
      <c r="F71" s="2"/>
      <c r="G71" s="58"/>
      <c r="H71" s="2"/>
      <c r="I71" s="55">
        <f>K71*R71/100</f>
        <v>-134.904</v>
      </c>
      <c r="J71" s="5"/>
      <c r="K71" s="56">
        <f>+K55</f>
        <v>-0.18479999999999999</v>
      </c>
      <c r="L71" s="48"/>
      <c r="M71" s="70">
        <f>I71-E71</f>
        <v>-134.904</v>
      </c>
      <c r="N71" s="2"/>
      <c r="O71" s="49" t="str">
        <f>IFERROR(M71/E71,"(100.0%)")</f>
        <v>(100.0%)</v>
      </c>
      <c r="P71" s="50"/>
      <c r="Q71" s="49" t="str">
        <f>O71</f>
        <v>(100.0%)</v>
      </c>
      <c r="R71" s="45">
        <v>73000</v>
      </c>
    </row>
    <row r="72" spans="1:18" ht="15" customHeight="1">
      <c r="A72" s="2"/>
      <c r="B72" s="10"/>
      <c r="C72" s="10"/>
      <c r="D72" s="10"/>
      <c r="E72" s="26"/>
      <c r="F72" s="2"/>
      <c r="G72" s="58"/>
      <c r="H72" s="2"/>
      <c r="I72" s="55"/>
      <c r="J72" s="5"/>
      <c r="K72" s="56"/>
      <c r="L72" s="48"/>
      <c r="M72" s="70"/>
      <c r="N72" s="2"/>
      <c r="O72" s="49"/>
      <c r="P72" s="50"/>
      <c r="Q72" s="49"/>
    </row>
    <row r="73" spans="1:18" ht="15" customHeight="1">
      <c r="A73" s="2"/>
      <c r="B73" s="10"/>
      <c r="C73" s="10" t="s">
        <v>38</v>
      </c>
      <c r="D73" s="10"/>
      <c r="E73" s="26"/>
      <c r="F73" s="2"/>
      <c r="G73" s="58"/>
      <c r="H73" s="2"/>
      <c r="I73" s="55"/>
      <c r="J73" s="5"/>
      <c r="K73" s="56"/>
      <c r="L73" s="48"/>
      <c r="M73" s="70"/>
      <c r="N73" s="2"/>
      <c r="O73" s="49"/>
      <c r="P73" s="50"/>
      <c r="Q73" s="49"/>
    </row>
    <row r="74" spans="1:18" ht="15" customHeight="1">
      <c r="A74" s="2">
        <f>A71+1</f>
        <v>41</v>
      </c>
      <c r="B74" s="10"/>
      <c r="C74" s="30" t="s">
        <v>39</v>
      </c>
      <c r="D74" s="10"/>
      <c r="E74" s="26">
        <f>E66</f>
        <v>29391.103107937874</v>
      </c>
      <c r="F74" s="2"/>
      <c r="G74" s="58">
        <f>+G66</f>
        <v>40.261785079366952</v>
      </c>
      <c r="H74" s="2"/>
      <c r="I74" s="76">
        <f>I66+I71</f>
        <v>30682.904490000001</v>
      </c>
      <c r="J74" s="5"/>
      <c r="K74" s="77">
        <f>K66+K71</f>
        <v>42.031376013698626</v>
      </c>
      <c r="L74" s="48"/>
      <c r="M74" s="70">
        <f>I74-E74</f>
        <v>1291.8013820621272</v>
      </c>
      <c r="N74" s="2"/>
      <c r="O74" s="49">
        <f>M74/E74</f>
        <v>4.3952123107391668E-2</v>
      </c>
      <c r="P74" s="50"/>
      <c r="Q74" s="49">
        <f>(M74-M63)/(E74-E63)</f>
        <v>5.8073097119929022E-2</v>
      </c>
    </row>
    <row r="75" spans="1:18" ht="15" customHeight="1">
      <c r="A75" s="2">
        <f>A74+1</f>
        <v>42</v>
      </c>
      <c r="B75" s="10"/>
      <c r="C75" s="30" t="s">
        <v>61</v>
      </c>
      <c r="D75" s="10"/>
      <c r="E75" s="26">
        <f>E68</f>
        <v>28378.564170999998</v>
      </c>
      <c r="F75" s="2"/>
      <c r="G75" s="58">
        <f>+G68</f>
        <v>38.874745439726027</v>
      </c>
      <c r="H75" s="2"/>
      <c r="I75" s="76">
        <f>I68+I71</f>
        <v>30682.904490000001</v>
      </c>
      <c r="J75" s="5"/>
      <c r="K75" s="77">
        <f>K68+K71</f>
        <v>42.031376013698626</v>
      </c>
      <c r="L75" s="48"/>
      <c r="M75" s="70">
        <f>I75-E75</f>
        <v>2304.3403190000026</v>
      </c>
      <c r="N75" s="2"/>
      <c r="O75" s="49">
        <f>M75/E75</f>
        <v>8.1200032007073972E-2</v>
      </c>
      <c r="P75" s="50"/>
      <c r="Q75" s="49">
        <f>(M75-M63)/(E75-E63)</f>
        <v>0.1085321712893885</v>
      </c>
    </row>
    <row r="76" spans="1:18" ht="15" customHeight="1">
      <c r="A76" s="2"/>
      <c r="B76" s="10"/>
      <c r="C76" s="30"/>
      <c r="D76" s="10"/>
      <c r="E76" s="26"/>
      <c r="F76" s="2"/>
      <c r="G76" s="58"/>
      <c r="H76" s="2"/>
      <c r="I76" s="59"/>
      <c r="J76" s="5"/>
      <c r="K76" s="56"/>
      <c r="L76" s="48"/>
      <c r="M76" s="70"/>
      <c r="N76" s="2"/>
      <c r="O76" s="49"/>
      <c r="P76" s="50"/>
      <c r="Q76" s="49"/>
    </row>
    <row r="77" spans="1:18" ht="15" customHeight="1">
      <c r="A77" s="2"/>
      <c r="B77" s="10"/>
      <c r="C77" s="21" t="s">
        <v>80</v>
      </c>
      <c r="D77" s="10"/>
      <c r="E77" s="82" t="s">
        <v>69</v>
      </c>
      <c r="F77" s="82"/>
      <c r="G77" s="82"/>
      <c r="H77" s="2"/>
      <c r="I77" s="2"/>
      <c r="J77" s="2"/>
      <c r="K77" s="2"/>
      <c r="L77" s="2"/>
      <c r="M77" s="70"/>
      <c r="N77" s="2"/>
      <c r="O77" s="28"/>
      <c r="P77" s="28"/>
      <c r="Q77" s="28"/>
    </row>
    <row r="78" spans="1:18" ht="15" customHeight="1">
      <c r="A78" s="2">
        <f>A75+1</f>
        <v>43</v>
      </c>
      <c r="B78" s="10"/>
      <c r="C78" s="10" t="s">
        <v>28</v>
      </c>
      <c r="D78" s="10"/>
      <c r="E78" s="26">
        <v>17465.478500000001</v>
      </c>
      <c r="F78" s="47"/>
      <c r="G78" s="48">
        <v>6.9861914000000009</v>
      </c>
      <c r="H78" s="48"/>
      <c r="I78" s="26">
        <v>21216.0075</v>
      </c>
      <c r="J78" s="2"/>
      <c r="K78" s="48">
        <v>8.4864029999999993</v>
      </c>
      <c r="L78" s="48"/>
      <c r="M78" s="70">
        <f>I78-E78</f>
        <v>3750.5289999999986</v>
      </c>
      <c r="N78" s="48"/>
      <c r="O78" s="49">
        <f>M78/E78</f>
        <v>0.21473955036502426</v>
      </c>
      <c r="P78" s="50"/>
      <c r="Q78" s="49">
        <f>O78</f>
        <v>0.21473955036502426</v>
      </c>
    </row>
    <row r="79" spans="1:18" ht="15" customHeight="1">
      <c r="A79" s="2">
        <f>A78+1</f>
        <v>44</v>
      </c>
      <c r="B79" s="10"/>
      <c r="C79" s="10" t="s">
        <v>29</v>
      </c>
      <c r="D79" s="10"/>
      <c r="E79" s="26">
        <v>24475</v>
      </c>
      <c r="F79" s="47"/>
      <c r="G79" s="48">
        <v>9.7900000000000009</v>
      </c>
      <c r="H79" s="48"/>
      <c r="I79" s="26">
        <v>24475</v>
      </c>
      <c r="J79" s="47"/>
      <c r="K79" s="48">
        <v>9.7900000000000009</v>
      </c>
      <c r="L79" s="48"/>
      <c r="M79" s="70">
        <f>I79-E79</f>
        <v>0</v>
      </c>
      <c r="N79" s="48"/>
      <c r="O79" s="49">
        <f>IFERROR(M79/E79,"100.0%")</f>
        <v>0</v>
      </c>
      <c r="P79" s="50"/>
      <c r="Q79" s="49">
        <f>O79</f>
        <v>0</v>
      </c>
    </row>
    <row r="80" spans="1:18" ht="15" customHeight="1">
      <c r="A80" s="2">
        <f t="shared" ref="A80:A82" si="2">A79+1</f>
        <v>45</v>
      </c>
      <c r="B80" s="10"/>
      <c r="C80" s="10" t="s">
        <v>30</v>
      </c>
      <c r="D80" s="10"/>
      <c r="E80" s="51">
        <v>0</v>
      </c>
      <c r="F80" s="47"/>
      <c r="G80" s="51">
        <v>0</v>
      </c>
      <c r="H80" s="48"/>
      <c r="I80" s="26">
        <v>4240.75</v>
      </c>
      <c r="J80" s="47"/>
      <c r="K80" s="48">
        <v>1.6962999999999999</v>
      </c>
      <c r="L80" s="48"/>
      <c r="M80" s="70">
        <f>I80-E80</f>
        <v>4240.75</v>
      </c>
      <c r="N80" s="48"/>
      <c r="O80" s="49" t="str">
        <f>IFERROR(M80/E80,"100.0%")</f>
        <v>100.0%</v>
      </c>
      <c r="P80" s="50"/>
      <c r="Q80" s="49" t="str">
        <f>O80</f>
        <v>100.0%</v>
      </c>
    </row>
    <row r="81" spans="1:18" ht="15" customHeight="1">
      <c r="A81" s="2">
        <f t="shared" si="2"/>
        <v>46</v>
      </c>
      <c r="B81" s="10"/>
      <c r="C81" s="10" t="s">
        <v>31</v>
      </c>
      <c r="D81" s="10"/>
      <c r="E81" s="26">
        <v>55726.599099102328</v>
      </c>
      <c r="F81" s="47"/>
      <c r="G81" s="48">
        <v>22.290639639640929</v>
      </c>
      <c r="H81" s="2"/>
      <c r="I81" s="26">
        <v>52259</v>
      </c>
      <c r="J81" s="2"/>
      <c r="K81" s="48">
        <v>20.903600000000001</v>
      </c>
      <c r="L81" s="48"/>
      <c r="M81" s="70">
        <f>I81-E81</f>
        <v>-3467.5990991023282</v>
      </c>
      <c r="N81" s="2"/>
      <c r="O81" s="49">
        <f>M81/E81</f>
        <v>-6.2225205829188779E-2</v>
      </c>
      <c r="P81" s="50"/>
      <c r="Q81" s="49">
        <f>O81</f>
        <v>-6.2225205829188779E-2</v>
      </c>
    </row>
    <row r="82" spans="1:18" ht="15" customHeight="1">
      <c r="A82" s="2">
        <f t="shared" si="2"/>
        <v>47</v>
      </c>
      <c r="C82" s="10" t="s">
        <v>32</v>
      </c>
      <c r="D82" s="10"/>
      <c r="E82" s="52">
        <f>SUM(E78:E81)</f>
        <v>97667.077599102326</v>
      </c>
      <c r="F82" s="2"/>
      <c r="G82" s="53">
        <v>39.066831039640931</v>
      </c>
      <c r="H82" s="2"/>
      <c r="I82" s="52">
        <v>102190.75750000001</v>
      </c>
      <c r="J82" s="47"/>
      <c r="K82" s="53">
        <v>40.876303</v>
      </c>
      <c r="L82" s="48"/>
      <c r="M82" s="71">
        <f>SUM(M78:M81)</f>
        <v>4523.6799008976704</v>
      </c>
      <c r="N82" s="2"/>
      <c r="O82" s="54">
        <f>M82/E82</f>
        <v>4.6317346767210409E-2</v>
      </c>
      <c r="P82" s="28"/>
      <c r="Q82" s="54">
        <f>(M82-M79)/(E82-E79)</f>
        <v>6.1805594939870263E-2</v>
      </c>
    </row>
    <row r="83" spans="1:18" ht="15" customHeight="1">
      <c r="A83" s="2"/>
      <c r="B83" s="31"/>
      <c r="C83" s="10"/>
      <c r="D83" s="10"/>
      <c r="E83" s="26"/>
      <c r="F83" s="2"/>
      <c r="G83" s="48"/>
      <c r="H83" s="2"/>
      <c r="I83" s="26"/>
      <c r="J83" s="2"/>
      <c r="K83" s="48"/>
      <c r="L83" s="48"/>
      <c r="M83" s="70"/>
      <c r="N83" s="2"/>
      <c r="O83" s="28"/>
      <c r="P83" s="28"/>
      <c r="Q83" s="28"/>
    </row>
    <row r="84" spans="1:18" ht="15" customHeight="1">
      <c r="A84" s="2">
        <f>A82+1</f>
        <v>48</v>
      </c>
      <c r="B84" s="39"/>
      <c r="C84" s="10" t="s">
        <v>58</v>
      </c>
      <c r="D84" s="10"/>
      <c r="E84" s="52">
        <f>SUM(E78:E80)+I81</f>
        <v>94199.478499999997</v>
      </c>
      <c r="F84" s="2"/>
      <c r="G84" s="53">
        <v>37.679791399999999</v>
      </c>
      <c r="H84" s="2"/>
      <c r="I84" s="52">
        <f>SUM(I78:I81)</f>
        <v>102190.75750000001</v>
      </c>
      <c r="J84" s="47"/>
      <c r="K84" s="53">
        <v>40.876303</v>
      </c>
      <c r="L84" s="48"/>
      <c r="M84" s="71">
        <f>M78+M79+M80</f>
        <v>7991.2789999999986</v>
      </c>
      <c r="N84" s="2"/>
      <c r="O84" s="54">
        <f>M84/E84</f>
        <v>8.4833580050021173E-2</v>
      </c>
      <c r="P84" s="28"/>
      <c r="Q84" s="54">
        <f>(M84-M79)/(E84-E79)</f>
        <v>0.11461224482302868</v>
      </c>
    </row>
    <row r="85" spans="1:18" ht="15" customHeight="1">
      <c r="A85" s="20">
        <f>A84+1</f>
        <v>49</v>
      </c>
      <c r="C85" s="10" t="s">
        <v>59</v>
      </c>
      <c r="D85" s="10"/>
      <c r="E85" s="26"/>
      <c r="F85" s="2"/>
      <c r="G85" s="48"/>
      <c r="H85" s="2"/>
      <c r="I85" s="26"/>
      <c r="J85" s="2"/>
      <c r="K85" s="48"/>
      <c r="L85" s="48"/>
      <c r="M85" s="70"/>
      <c r="N85" s="2"/>
      <c r="O85" s="50">
        <v>0.19053857480429076</v>
      </c>
      <c r="P85" s="28"/>
      <c r="Q85" s="50">
        <v>0.45754709783645475</v>
      </c>
    </row>
    <row r="86" spans="1:18" ht="15" customHeight="1">
      <c r="A86" s="20"/>
      <c r="C86" s="10"/>
      <c r="D86" s="10"/>
      <c r="E86" s="2"/>
      <c r="F86" s="2"/>
      <c r="G86" s="2"/>
      <c r="H86" s="2"/>
      <c r="I86" s="2"/>
      <c r="J86" s="2"/>
      <c r="K86" s="2"/>
      <c r="L86" s="2"/>
      <c r="M86" s="70"/>
      <c r="N86" s="2"/>
      <c r="O86" s="28"/>
      <c r="P86" s="28"/>
      <c r="Q86" s="28"/>
    </row>
    <row r="87" spans="1:18" ht="15" customHeight="1">
      <c r="A87" s="20">
        <f>A85+1</f>
        <v>50</v>
      </c>
      <c r="C87" s="10" t="s">
        <v>37</v>
      </c>
      <c r="D87" s="10"/>
      <c r="E87" s="26"/>
      <c r="F87" s="2"/>
      <c r="G87" s="58"/>
      <c r="H87" s="2"/>
      <c r="I87" s="55">
        <f>K87*R87/100</f>
        <v>-462</v>
      </c>
      <c r="J87" s="5"/>
      <c r="K87" s="56">
        <f>+K55</f>
        <v>-0.18479999999999999</v>
      </c>
      <c r="L87" s="48"/>
      <c r="M87" s="70">
        <f>I87-E87</f>
        <v>-462</v>
      </c>
      <c r="N87" s="2"/>
      <c r="O87" s="49" t="str">
        <f>IFERROR(M87/E87,"(100.0%)")</f>
        <v>(100.0%)</v>
      </c>
      <c r="P87" s="50"/>
      <c r="Q87" s="49" t="str">
        <f>O87</f>
        <v>(100.0%)</v>
      </c>
      <c r="R87" s="45">
        <v>250000</v>
      </c>
    </row>
    <row r="88" spans="1:18" ht="15" customHeight="1">
      <c r="A88" s="20"/>
      <c r="C88" s="10"/>
      <c r="D88" s="10"/>
      <c r="E88" s="26"/>
      <c r="F88" s="2"/>
      <c r="G88" s="58"/>
      <c r="H88" s="2"/>
      <c r="I88" s="55"/>
      <c r="J88" s="5"/>
      <c r="K88" s="56"/>
      <c r="L88" s="48"/>
      <c r="M88" s="70"/>
      <c r="N88" s="2"/>
      <c r="O88" s="49"/>
      <c r="P88" s="50"/>
      <c r="Q88" s="49"/>
    </row>
    <row r="89" spans="1:18" ht="15" customHeight="1">
      <c r="A89" s="20"/>
      <c r="C89" s="10" t="s">
        <v>38</v>
      </c>
      <c r="D89" s="10"/>
      <c r="E89" s="26"/>
      <c r="F89" s="2"/>
      <c r="G89" s="58"/>
      <c r="H89" s="2"/>
      <c r="I89" s="55"/>
      <c r="J89" s="5"/>
      <c r="K89" s="56"/>
      <c r="L89" s="48"/>
      <c r="M89" s="70"/>
      <c r="N89" s="2"/>
      <c r="O89" s="49"/>
      <c r="P89" s="50"/>
      <c r="Q89" s="49"/>
    </row>
    <row r="90" spans="1:18" ht="15" customHeight="1">
      <c r="A90" s="20">
        <f>A87+1</f>
        <v>51</v>
      </c>
      <c r="C90" s="30" t="s">
        <v>39</v>
      </c>
      <c r="D90" s="10"/>
      <c r="E90" s="26">
        <f>E82</f>
        <v>97667.077599102326</v>
      </c>
      <c r="F90" s="2"/>
      <c r="G90" s="58">
        <f>+G82</f>
        <v>39.066831039640931</v>
      </c>
      <c r="H90" s="2"/>
      <c r="I90" s="76">
        <f>I82+I87</f>
        <v>101728.75750000001</v>
      </c>
      <c r="J90" s="5"/>
      <c r="K90" s="77">
        <f>K82+K87</f>
        <v>40.691502999999997</v>
      </c>
      <c r="L90" s="48"/>
      <c r="M90" s="70">
        <f>I90-E90</f>
        <v>4061.6799008976814</v>
      </c>
      <c r="N90" s="2"/>
      <c r="O90" s="49">
        <f>M90/E90</f>
        <v>4.1586991243557109E-2</v>
      </c>
      <c r="P90" s="50"/>
      <c r="Q90" s="49">
        <f>(M90-M79)/(E90-E79)</f>
        <v>5.5493436368139061E-2</v>
      </c>
    </row>
    <row r="91" spans="1:18" ht="15" customHeight="1">
      <c r="A91" s="20">
        <f>A90+1</f>
        <v>52</v>
      </c>
      <c r="C91" s="30" t="s">
        <v>61</v>
      </c>
      <c r="D91" s="10"/>
      <c r="E91" s="26">
        <f>E84</f>
        <v>94199.478499999997</v>
      </c>
      <c r="F91" s="2"/>
      <c r="G91" s="58">
        <f>+G84</f>
        <v>37.679791399999999</v>
      </c>
      <c r="H91" s="2"/>
      <c r="I91" s="76">
        <f>I84+I87</f>
        <v>101728.75750000001</v>
      </c>
      <c r="J91" s="5"/>
      <c r="K91" s="77">
        <f>K84+K87</f>
        <v>40.691502999999997</v>
      </c>
      <c r="L91" s="48"/>
      <c r="M91" s="70">
        <f>I91-E91</f>
        <v>7529.2790000000095</v>
      </c>
      <c r="N91" s="2"/>
      <c r="O91" s="49">
        <f>M91/E91</f>
        <v>7.9929094299603889E-2</v>
      </c>
      <c r="P91" s="50"/>
      <c r="Q91" s="49">
        <f>(M91-M79)/(E91-E79)</f>
        <v>0.10798616442860895</v>
      </c>
    </row>
    <row r="92" spans="1:18" ht="15" customHeight="1">
      <c r="A92" s="20"/>
      <c r="C92" s="30"/>
      <c r="D92" s="10"/>
      <c r="E92" s="26"/>
      <c r="F92" s="2"/>
      <c r="G92" s="58"/>
      <c r="H92" s="2"/>
      <c r="I92" s="59"/>
      <c r="J92" s="5"/>
      <c r="K92" s="56"/>
      <c r="L92" s="48"/>
      <c r="M92" s="70"/>
      <c r="N92" s="2"/>
      <c r="O92" s="49"/>
      <c r="P92" s="50"/>
      <c r="Q92" s="49"/>
    </row>
    <row r="93" spans="1:18" ht="15" customHeight="1">
      <c r="R93" s="80"/>
    </row>
    <row r="94" spans="1:18" ht="15" customHeight="1">
      <c r="R94" s="80"/>
    </row>
    <row r="95" spans="1:18" ht="15" customHeight="1">
      <c r="R95" s="80"/>
    </row>
    <row r="96" spans="1:18" ht="15" customHeight="1">
      <c r="A96" s="84" t="s">
        <v>73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0"/>
    </row>
    <row r="97" spans="1:18" ht="15" customHeight="1">
      <c r="A97" s="84" t="s">
        <v>81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0"/>
    </row>
    <row r="98" spans="1:18" ht="1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80"/>
    </row>
    <row r="99" spans="1:18" ht="15" customHeight="1">
      <c r="A99" s="2"/>
      <c r="B99" s="10"/>
      <c r="C99" s="10"/>
      <c r="D99" s="10"/>
      <c r="E99" s="85" t="s">
        <v>2</v>
      </c>
      <c r="F99" s="85"/>
      <c r="G99" s="85"/>
      <c r="H99" s="10"/>
      <c r="I99" s="85" t="s">
        <v>3</v>
      </c>
      <c r="J99" s="85"/>
      <c r="K99" s="85"/>
      <c r="L99" s="85"/>
      <c r="M99" s="85"/>
      <c r="N99" s="10"/>
      <c r="O99" s="85" t="s">
        <v>4</v>
      </c>
      <c r="P99" s="85"/>
      <c r="Q99" s="85"/>
      <c r="R99" s="80"/>
    </row>
    <row r="100" spans="1:18" ht="15" customHeight="1">
      <c r="A100" s="2"/>
      <c r="B100" s="10"/>
      <c r="C100" s="10"/>
      <c r="D100" s="10"/>
      <c r="E100" s="2"/>
      <c r="F100" s="2"/>
      <c r="G100" s="2"/>
      <c r="H100" s="10"/>
      <c r="I100" s="2"/>
      <c r="J100" s="2"/>
      <c r="K100" s="2"/>
      <c r="L100" s="2"/>
      <c r="M100" s="2" t="s">
        <v>5</v>
      </c>
      <c r="N100" s="10"/>
      <c r="O100" s="2" t="s">
        <v>6</v>
      </c>
      <c r="P100" s="2"/>
      <c r="Q100" s="2" t="s">
        <v>7</v>
      </c>
      <c r="R100" s="80"/>
    </row>
    <row r="101" spans="1:18" ht="15" customHeight="1">
      <c r="A101" s="2" t="s">
        <v>8</v>
      </c>
      <c r="B101" s="10"/>
      <c r="C101" s="10"/>
      <c r="D101" s="10"/>
      <c r="E101" s="2" t="s">
        <v>5</v>
      </c>
      <c r="F101" s="2"/>
      <c r="G101" s="2" t="s">
        <v>9</v>
      </c>
      <c r="H101" s="10"/>
      <c r="I101" s="2" t="s">
        <v>5</v>
      </c>
      <c r="J101" s="2"/>
      <c r="K101" s="2" t="s">
        <v>9</v>
      </c>
      <c r="L101" s="2"/>
      <c r="M101" s="2" t="s">
        <v>10</v>
      </c>
      <c r="N101" s="10"/>
      <c r="O101" s="2" t="s">
        <v>11</v>
      </c>
      <c r="P101" s="10"/>
      <c r="Q101" s="2" t="s">
        <v>11</v>
      </c>
      <c r="R101" s="80"/>
    </row>
    <row r="102" spans="1:18" ht="15" customHeight="1">
      <c r="A102" s="18" t="s">
        <v>12</v>
      </c>
      <c r="B102" s="10"/>
      <c r="C102" s="19" t="s">
        <v>13</v>
      </c>
      <c r="D102" s="10"/>
      <c r="E102" s="18" t="s">
        <v>14</v>
      </c>
      <c r="F102" s="2"/>
      <c r="G102" s="18" t="s">
        <v>15</v>
      </c>
      <c r="H102" s="10"/>
      <c r="I102" s="18" t="s">
        <v>14</v>
      </c>
      <c r="J102" s="2"/>
      <c r="K102" s="18" t="s">
        <v>15</v>
      </c>
      <c r="L102" s="2"/>
      <c r="M102" s="18" t="s">
        <v>14</v>
      </c>
      <c r="N102" s="10"/>
      <c r="O102" s="18" t="s">
        <v>16</v>
      </c>
      <c r="P102" s="2"/>
      <c r="Q102" s="18" t="s">
        <v>16</v>
      </c>
      <c r="R102" s="80"/>
    </row>
    <row r="103" spans="1:18" ht="15" customHeight="1">
      <c r="A103" s="20"/>
      <c r="D103" s="10"/>
      <c r="E103" s="2" t="s">
        <v>17</v>
      </c>
      <c r="F103" s="2"/>
      <c r="G103" s="2" t="s">
        <v>18</v>
      </c>
      <c r="H103" s="2"/>
      <c r="I103" s="2" t="s">
        <v>19</v>
      </c>
      <c r="J103" s="2"/>
      <c r="K103" s="2" t="s">
        <v>20</v>
      </c>
      <c r="L103" s="2"/>
      <c r="M103" s="2" t="s">
        <v>21</v>
      </c>
      <c r="N103" s="2"/>
      <c r="O103" s="2" t="s">
        <v>22</v>
      </c>
      <c r="P103" s="2"/>
      <c r="Q103" s="2" t="s">
        <v>23</v>
      </c>
      <c r="R103" s="80"/>
    </row>
    <row r="104" spans="1:18" ht="15" customHeight="1">
      <c r="A104" s="2"/>
      <c r="B104" s="10"/>
      <c r="C104" s="10"/>
      <c r="D104" s="10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81" t="s">
        <v>24</v>
      </c>
    </row>
    <row r="105" spans="1:18" ht="15" customHeight="1">
      <c r="A105" s="20"/>
      <c r="C105" s="21" t="s">
        <v>82</v>
      </c>
      <c r="D105" s="10"/>
      <c r="E105" s="82" t="s">
        <v>83</v>
      </c>
      <c r="F105" s="82"/>
      <c r="G105" s="82"/>
      <c r="H105" s="2"/>
      <c r="I105" s="2"/>
      <c r="J105" s="2"/>
      <c r="K105" s="2"/>
      <c r="L105" s="2"/>
      <c r="M105" s="70"/>
      <c r="N105" s="2"/>
      <c r="O105" s="28"/>
      <c r="P105" s="28"/>
      <c r="Q105" s="28"/>
    </row>
    <row r="106" spans="1:18" ht="15" customHeight="1">
      <c r="A106" s="20">
        <f>A91+1</f>
        <v>53</v>
      </c>
      <c r="C106" s="10" t="s">
        <v>28</v>
      </c>
      <c r="D106" s="10"/>
      <c r="E106" s="26">
        <v>206517.19011200004</v>
      </c>
      <c r="F106" s="47"/>
      <c r="G106" s="48">
        <v>2.9714703613237416</v>
      </c>
      <c r="H106" s="48"/>
      <c r="I106" s="26">
        <v>228951.47767200001</v>
      </c>
      <c r="J106" s="2"/>
      <c r="K106" s="48">
        <v>3.2942658657841726</v>
      </c>
      <c r="L106" s="48"/>
      <c r="M106" s="70">
        <f>I106-E106</f>
        <v>22434.287559999968</v>
      </c>
      <c r="N106" s="48"/>
      <c r="O106" s="50"/>
      <c r="P106" s="50"/>
      <c r="Q106" s="49">
        <f>M106/E106</f>
        <v>0.10863157467827848</v>
      </c>
    </row>
    <row r="107" spans="1:18" ht="15" customHeight="1">
      <c r="A107" s="20">
        <f>A106+1</f>
        <v>54</v>
      </c>
      <c r="C107" s="10" t="s">
        <v>30</v>
      </c>
      <c r="D107" s="10"/>
      <c r="E107" s="51">
        <v>0</v>
      </c>
      <c r="F107" s="47"/>
      <c r="G107" s="51">
        <v>0</v>
      </c>
      <c r="H107" s="48"/>
      <c r="I107" s="26">
        <v>87583.9</v>
      </c>
      <c r="J107" s="47"/>
      <c r="K107" s="48">
        <v>1.2601999999999998</v>
      </c>
      <c r="L107" s="48"/>
      <c r="M107" s="70">
        <f>I107-E107</f>
        <v>87583.9</v>
      </c>
      <c r="N107" s="48"/>
      <c r="O107" s="50"/>
      <c r="P107" s="50"/>
      <c r="Q107" s="49" t="str">
        <f>IFERROR(M107/E107,"100.0%")</f>
        <v>100.0%</v>
      </c>
    </row>
    <row r="108" spans="1:18" ht="15" customHeight="1">
      <c r="A108" s="20">
        <f t="shared" ref="A108:A109" si="3">A107+1</f>
        <v>55</v>
      </c>
      <c r="C108" s="10" t="s">
        <v>31</v>
      </c>
      <c r="D108" s="10"/>
      <c r="E108" s="26">
        <v>1549199.4549550447</v>
      </c>
      <c r="F108" s="47"/>
      <c r="G108" s="48">
        <v>22.290639639640929</v>
      </c>
      <c r="H108" s="2"/>
      <c r="I108" s="26">
        <v>1452800.2</v>
      </c>
      <c r="J108" s="2"/>
      <c r="K108" s="48">
        <v>20.903600000000001</v>
      </c>
      <c r="L108" s="62"/>
      <c r="M108" s="70">
        <f>I108-E108</f>
        <v>-96399.254955044715</v>
      </c>
      <c r="N108" s="2"/>
      <c r="O108" s="50"/>
      <c r="P108" s="50"/>
      <c r="Q108" s="49">
        <f>M108/E108</f>
        <v>-6.2225205829188772E-2</v>
      </c>
    </row>
    <row r="109" spans="1:18" ht="15" customHeight="1">
      <c r="A109" s="20">
        <f t="shared" si="3"/>
        <v>56</v>
      </c>
      <c r="C109" s="10" t="s">
        <v>32</v>
      </c>
      <c r="D109" s="10"/>
      <c r="E109" s="52">
        <f>SUM(E106:E108)</f>
        <v>1755716.6450670448</v>
      </c>
      <c r="F109" s="2"/>
      <c r="G109" s="53">
        <v>25.262110000964672</v>
      </c>
      <c r="H109" s="2"/>
      <c r="I109" s="52">
        <f>SUM(I106:I108)</f>
        <v>1769335.577672</v>
      </c>
      <c r="J109" s="47"/>
      <c r="K109" s="53">
        <v>25.458065865784175</v>
      </c>
      <c r="L109" s="48"/>
      <c r="M109" s="71">
        <f>SUM(M106:M108)</f>
        <v>13618.932604955247</v>
      </c>
      <c r="N109" s="2"/>
      <c r="O109" s="28"/>
      <c r="P109" s="28"/>
      <c r="Q109" s="54">
        <f>M109/E109</f>
        <v>7.7569080655581456E-3</v>
      </c>
    </row>
    <row r="110" spans="1:18" ht="15" customHeight="1">
      <c r="A110" s="20"/>
      <c r="C110" s="10"/>
      <c r="D110" s="10"/>
      <c r="E110" s="26"/>
      <c r="F110" s="2"/>
      <c r="G110" s="48"/>
      <c r="H110" s="2"/>
      <c r="I110" s="26"/>
      <c r="J110" s="2"/>
      <c r="K110" s="48"/>
      <c r="L110" s="48"/>
      <c r="M110" s="70"/>
      <c r="N110" s="2"/>
      <c r="O110" s="28"/>
      <c r="P110" s="28"/>
      <c r="Q110" s="28"/>
    </row>
    <row r="111" spans="1:18" ht="15" customHeight="1">
      <c r="A111" s="20">
        <f>A109+1</f>
        <v>57</v>
      </c>
      <c r="C111" s="10" t="s">
        <v>58</v>
      </c>
      <c r="D111" s="10"/>
      <c r="E111" s="52">
        <f>SUM(E106:E107)+I108</f>
        <v>1659317.3901120001</v>
      </c>
      <c r="F111" s="2"/>
      <c r="G111" s="53">
        <v>23.87507036132374</v>
      </c>
      <c r="H111" s="2"/>
      <c r="I111" s="52">
        <f>SUM(I106:I108)</f>
        <v>1769335.577672</v>
      </c>
      <c r="J111" s="47"/>
      <c r="K111" s="53">
        <v>25.458065865784175</v>
      </c>
      <c r="L111" s="48"/>
      <c r="M111" s="71">
        <f>M106+M107</f>
        <v>110018.18755999996</v>
      </c>
      <c r="N111" s="2"/>
      <c r="O111" s="28"/>
      <c r="P111" s="28"/>
      <c r="Q111" s="54">
        <f>(M111)/(E111)</f>
        <v>6.6303281226127567E-2</v>
      </c>
    </row>
    <row r="112" spans="1:18" ht="15" customHeight="1">
      <c r="A112" s="20">
        <f>A111+1</f>
        <v>58</v>
      </c>
      <c r="C112" s="10" t="s">
        <v>59</v>
      </c>
      <c r="D112" s="10"/>
      <c r="E112" s="26"/>
      <c r="F112" s="2"/>
      <c r="G112" s="48"/>
      <c r="H112" s="2"/>
      <c r="I112" s="26"/>
      <c r="J112" s="2"/>
      <c r="K112" s="48"/>
      <c r="L112" s="48"/>
      <c r="M112" s="70"/>
      <c r="N112" s="2"/>
      <c r="O112" s="28"/>
      <c r="P112" s="28"/>
      <c r="Q112" s="49">
        <v>0.53273137940882331</v>
      </c>
    </row>
    <row r="113" spans="1:18" ht="15" customHeight="1">
      <c r="A113" s="20"/>
      <c r="C113" s="10"/>
      <c r="D113" s="10"/>
      <c r="E113" s="2"/>
      <c r="F113" s="2"/>
      <c r="G113" s="2"/>
      <c r="H113" s="2"/>
      <c r="I113" s="2"/>
      <c r="J113" s="2"/>
      <c r="K113" s="2"/>
      <c r="L113" s="2"/>
      <c r="M113" s="70"/>
      <c r="N113" s="2"/>
      <c r="O113" s="28"/>
      <c r="P113" s="28"/>
      <c r="Q113" s="28"/>
    </row>
    <row r="114" spans="1:18" ht="15" customHeight="1">
      <c r="A114" s="20">
        <f>A112+1</f>
        <v>59</v>
      </c>
      <c r="C114" s="10" t="s">
        <v>37</v>
      </c>
      <c r="D114" s="10"/>
      <c r="E114" s="26"/>
      <c r="F114" s="2"/>
      <c r="G114" s="58"/>
      <c r="H114" s="2"/>
      <c r="I114" s="59">
        <f>K114*R114/100</f>
        <v>-2641.3452000000002</v>
      </c>
      <c r="J114" s="5"/>
      <c r="K114" s="56">
        <v>-0.39</v>
      </c>
      <c r="L114" s="48"/>
      <c r="M114" s="70">
        <f>I114-E114</f>
        <v>-2641.3452000000002</v>
      </c>
      <c r="N114" s="2"/>
      <c r="O114" s="49"/>
      <c r="P114" s="50"/>
      <c r="Q114" s="49">
        <f>-1</f>
        <v>-1</v>
      </c>
      <c r="R114" s="45">
        <f>56439*12</f>
        <v>677268</v>
      </c>
    </row>
    <row r="115" spans="1:18" ht="15" customHeight="1">
      <c r="A115" s="20"/>
      <c r="C115" s="10"/>
      <c r="D115" s="10"/>
      <c r="E115" s="26"/>
      <c r="F115" s="2"/>
      <c r="G115" s="58"/>
      <c r="H115" s="2"/>
      <c r="I115" s="55"/>
      <c r="J115" s="5"/>
      <c r="K115" s="56"/>
      <c r="L115" s="48"/>
      <c r="M115" s="70"/>
      <c r="N115" s="2"/>
      <c r="O115" s="49"/>
      <c r="P115" s="50"/>
      <c r="Q115" s="49"/>
    </row>
    <row r="116" spans="1:18" ht="15" customHeight="1">
      <c r="A116" s="20"/>
      <c r="C116" s="10" t="s">
        <v>38</v>
      </c>
      <c r="D116" s="10"/>
      <c r="E116" s="26"/>
      <c r="F116" s="2"/>
      <c r="G116" s="58"/>
      <c r="H116" s="2"/>
      <c r="I116" s="55"/>
      <c r="J116" s="5"/>
      <c r="K116" s="56"/>
      <c r="L116" s="48"/>
      <c r="M116" s="70"/>
      <c r="N116" s="2"/>
      <c r="O116" s="49"/>
      <c r="P116" s="50"/>
      <c r="Q116" s="49"/>
    </row>
    <row r="117" spans="1:18" ht="15" customHeight="1">
      <c r="A117" s="20">
        <f>A114+1</f>
        <v>60</v>
      </c>
      <c r="C117" s="30" t="s">
        <v>39</v>
      </c>
      <c r="D117" s="10"/>
      <c r="E117" s="26">
        <f>E109</f>
        <v>1755716.6450670448</v>
      </c>
      <c r="F117" s="2"/>
      <c r="G117" s="58">
        <f>+G109</f>
        <v>25.262110000964672</v>
      </c>
      <c r="H117" s="2"/>
      <c r="I117" s="76">
        <f>I109+I114</f>
        <v>1766694.2324719999</v>
      </c>
      <c r="J117" s="5"/>
      <c r="K117" s="77">
        <f>I117/6950000*100</f>
        <v>25.420060898877693</v>
      </c>
      <c r="L117" s="48"/>
      <c r="M117" s="70">
        <f>I117-E117</f>
        <v>10977.587404955178</v>
      </c>
      <c r="N117" s="2"/>
      <c r="O117" s="49"/>
      <c r="P117" s="50"/>
      <c r="Q117" s="49">
        <f>M117/E117</f>
        <v>6.2524823899109197E-3</v>
      </c>
    </row>
    <row r="118" spans="1:18" ht="15" customHeight="1">
      <c r="A118" s="20">
        <f>A117+1</f>
        <v>61</v>
      </c>
      <c r="C118" s="30" t="s">
        <v>61</v>
      </c>
      <c r="D118" s="10"/>
      <c r="E118" s="26">
        <f>E111</f>
        <v>1659317.3901120001</v>
      </c>
      <c r="F118" s="2"/>
      <c r="G118" s="58">
        <f>+G111</f>
        <v>23.87507036132374</v>
      </c>
      <c r="H118" s="2"/>
      <c r="I118" s="76">
        <f>I111+I114</f>
        <v>1766694.2324719999</v>
      </c>
      <c r="J118" s="5"/>
      <c r="K118" s="77">
        <f>I118/6950000*100</f>
        <v>25.420060898877693</v>
      </c>
      <c r="L118" s="48"/>
      <c r="M118" s="70">
        <f>I118-E118</f>
        <v>107376.84235999989</v>
      </c>
      <c r="N118" s="2"/>
      <c r="O118" s="49"/>
      <c r="P118" s="50"/>
      <c r="Q118" s="49">
        <f>M118/E118</f>
        <v>6.4711454842736396E-2</v>
      </c>
    </row>
    <row r="119" spans="1:18" ht="15" customHeight="1">
      <c r="A119" s="20"/>
      <c r="C119" s="30"/>
      <c r="D119" s="10"/>
      <c r="E119" s="26"/>
      <c r="F119" s="2"/>
      <c r="G119" s="58"/>
      <c r="H119" s="2"/>
      <c r="I119" s="59"/>
      <c r="J119" s="5"/>
      <c r="K119" s="56"/>
      <c r="L119" s="48"/>
      <c r="M119" s="70"/>
      <c r="N119" s="2"/>
      <c r="O119" s="49"/>
      <c r="P119" s="50"/>
      <c r="Q119" s="49"/>
    </row>
    <row r="120" spans="1:18" ht="15" customHeight="1">
      <c r="A120" s="20"/>
      <c r="C120" s="21" t="s">
        <v>84</v>
      </c>
      <c r="D120" s="10"/>
      <c r="E120" s="82" t="s">
        <v>85</v>
      </c>
      <c r="F120" s="82"/>
      <c r="G120" s="82"/>
      <c r="H120" s="2"/>
      <c r="I120" s="2"/>
      <c r="J120" s="2"/>
      <c r="K120" s="2"/>
      <c r="L120" s="2"/>
      <c r="M120" s="70"/>
      <c r="N120" s="2"/>
      <c r="O120" s="2"/>
      <c r="P120" s="2"/>
      <c r="Q120" s="2"/>
    </row>
    <row r="121" spans="1:18" ht="15" customHeight="1">
      <c r="A121" s="20">
        <f>A118+1</f>
        <v>62</v>
      </c>
      <c r="C121" s="10" t="s">
        <v>28</v>
      </c>
      <c r="D121" s="10"/>
      <c r="E121" s="26">
        <v>613437.50280000002</v>
      </c>
      <c r="F121" s="47"/>
      <c r="G121" s="48">
        <v>3.0401303538507287</v>
      </c>
      <c r="H121" s="48"/>
      <c r="I121" s="26">
        <v>679928.18880000012</v>
      </c>
      <c r="J121" s="2"/>
      <c r="K121" s="48">
        <v>3.3696510496580441</v>
      </c>
      <c r="L121" s="48"/>
      <c r="M121" s="70">
        <f>I121-E121</f>
        <v>66490.686000000103</v>
      </c>
      <c r="N121" s="48"/>
      <c r="O121" s="63"/>
      <c r="P121" s="63"/>
      <c r="Q121" s="64">
        <f>M121/E121</f>
        <v>0.10839031799736275</v>
      </c>
    </row>
    <row r="122" spans="1:18" ht="15" customHeight="1">
      <c r="A122" s="20">
        <f>A121+1</f>
        <v>63</v>
      </c>
      <c r="C122" s="10" t="s">
        <v>30</v>
      </c>
      <c r="D122" s="10"/>
      <c r="E122" s="51">
        <v>0</v>
      </c>
      <c r="F122" s="47"/>
      <c r="G122" s="51">
        <v>0</v>
      </c>
      <c r="H122" s="48"/>
      <c r="I122" s="26">
        <v>254283.15600000002</v>
      </c>
      <c r="J122" s="47"/>
      <c r="K122" s="48">
        <v>1.2602</v>
      </c>
      <c r="L122" s="48"/>
      <c r="M122" s="70">
        <f>I122-E122</f>
        <v>254283.15600000002</v>
      </c>
      <c r="N122" s="48"/>
      <c r="O122" s="63"/>
      <c r="P122" s="63"/>
      <c r="Q122" s="64" t="str">
        <f>IFERROR(M122/E122,"100.0%")</f>
        <v>100.0%</v>
      </c>
    </row>
    <row r="123" spans="1:18" ht="15" customHeight="1">
      <c r="A123" s="20">
        <f t="shared" ref="A123:A124" si="4">A122+1</f>
        <v>64</v>
      </c>
      <c r="C123" s="10" t="s">
        <v>31</v>
      </c>
      <c r="D123" s="10"/>
      <c r="E123" s="26">
        <v>4497805.2664867463</v>
      </c>
      <c r="F123" s="47"/>
      <c r="G123" s="48">
        <v>22.290639639640926</v>
      </c>
      <c r="H123" s="2"/>
      <c r="I123" s="26">
        <v>4217928.4079999998</v>
      </c>
      <c r="J123" s="2"/>
      <c r="K123" s="48">
        <v>20.903600000000001</v>
      </c>
      <c r="L123" s="62"/>
      <c r="M123" s="70">
        <f>I123-E123</f>
        <v>-279876.85848674644</v>
      </c>
      <c r="N123" s="2"/>
      <c r="O123" s="63"/>
      <c r="P123" s="63"/>
      <c r="Q123" s="67">
        <f>M123/E123</f>
        <v>-6.222520582918864E-2</v>
      </c>
    </row>
    <row r="124" spans="1:18" ht="15" customHeight="1">
      <c r="A124" s="20">
        <f t="shared" si="4"/>
        <v>65</v>
      </c>
      <c r="C124" s="10" t="s">
        <v>32</v>
      </c>
      <c r="D124" s="10"/>
      <c r="E124" s="52">
        <f>SUM(E121:E123)</f>
        <v>5111242.7692867462</v>
      </c>
      <c r="F124" s="2"/>
      <c r="G124" s="53">
        <v>25.330769993491653</v>
      </c>
      <c r="H124" s="2"/>
      <c r="I124" s="52">
        <f>SUM(I121:I123)</f>
        <v>5152139.7527999999</v>
      </c>
      <c r="J124" s="47"/>
      <c r="K124" s="53">
        <v>25.533451049658041</v>
      </c>
      <c r="L124" s="48"/>
      <c r="M124" s="71">
        <f>SUM(M121:M123)</f>
        <v>40896.983513253683</v>
      </c>
      <c r="N124" s="2"/>
      <c r="O124" s="65"/>
      <c r="P124" s="65"/>
      <c r="Q124" s="66">
        <f>M124/E124</f>
        <v>8.0013776217013263E-3</v>
      </c>
    </row>
    <row r="125" spans="1:18" ht="15" customHeight="1">
      <c r="A125" s="20"/>
      <c r="C125" s="10"/>
      <c r="D125" s="10"/>
      <c r="E125" s="26"/>
      <c r="F125" s="2"/>
      <c r="G125" s="48"/>
      <c r="H125" s="2"/>
      <c r="I125" s="26"/>
      <c r="J125" s="2"/>
      <c r="K125" s="48"/>
      <c r="L125" s="48"/>
      <c r="M125" s="70"/>
      <c r="N125" s="2"/>
      <c r="O125" s="65"/>
      <c r="P125" s="65"/>
      <c r="Q125" s="65"/>
    </row>
    <row r="126" spans="1:18" ht="15" customHeight="1">
      <c r="A126" s="20">
        <f>A124+1</f>
        <v>66</v>
      </c>
      <c r="C126" s="10" t="s">
        <v>58</v>
      </c>
      <c r="D126" s="10"/>
      <c r="E126" s="52">
        <f>SUM(E121:E122)+I123</f>
        <v>4831365.9107999997</v>
      </c>
      <c r="F126" s="2"/>
      <c r="G126" s="53">
        <v>23.943730353850729</v>
      </c>
      <c r="H126" s="2"/>
      <c r="I126" s="52">
        <f>SUM(I121:I123)</f>
        <v>5152139.7527999999</v>
      </c>
      <c r="J126" s="47"/>
      <c r="K126" s="53">
        <v>25.533451049658041</v>
      </c>
      <c r="L126" s="48"/>
      <c r="M126" s="71">
        <f>M121+M122</f>
        <v>320773.84200000012</v>
      </c>
      <c r="N126" s="2"/>
      <c r="O126" s="65"/>
      <c r="P126" s="65"/>
      <c r="Q126" s="66">
        <f>(M126)/(E126)</f>
        <v>6.6394027677130527E-2</v>
      </c>
    </row>
    <row r="127" spans="1:18" ht="15" customHeight="1">
      <c r="A127" s="20">
        <f>A126+1</f>
        <v>67</v>
      </c>
      <c r="C127" s="10" t="s">
        <v>59</v>
      </c>
      <c r="D127" s="10"/>
      <c r="E127" s="26"/>
      <c r="F127" s="2"/>
      <c r="G127" s="48"/>
      <c r="H127" s="2"/>
      <c r="I127" s="26"/>
      <c r="J127" s="2"/>
      <c r="K127" s="48"/>
      <c r="L127" s="48"/>
      <c r="M127" s="27"/>
      <c r="N127" s="2"/>
      <c r="O127" s="65"/>
      <c r="P127" s="65"/>
      <c r="Q127" s="64">
        <v>0.5229120171750935</v>
      </c>
    </row>
    <row r="128" spans="1:18" ht="15" customHeight="1">
      <c r="A128" s="20"/>
      <c r="C128" s="10"/>
      <c r="D128" s="10"/>
      <c r="E128" s="2"/>
      <c r="F128" s="2"/>
      <c r="G128" s="2"/>
      <c r="H128" s="2"/>
      <c r="I128" s="2"/>
      <c r="J128" s="2"/>
      <c r="K128" s="2"/>
      <c r="L128" s="2"/>
      <c r="M128" s="27"/>
      <c r="N128" s="2"/>
      <c r="O128" s="2"/>
      <c r="P128" s="2"/>
      <c r="Q128" s="2"/>
    </row>
    <row r="129" spans="1:18" ht="15" customHeight="1">
      <c r="A129" s="20">
        <f>A127+1</f>
        <v>68</v>
      </c>
      <c r="C129" s="10" t="s">
        <v>37</v>
      </c>
      <c r="D129" s="10"/>
      <c r="E129" s="26"/>
      <c r="F129" s="2"/>
      <c r="G129" s="58"/>
      <c r="H129" s="2"/>
      <c r="I129" s="59">
        <f>K129*R129/100</f>
        <v>-7867.08</v>
      </c>
      <c r="J129" s="5"/>
      <c r="K129" s="56">
        <f>+K114</f>
        <v>-0.39</v>
      </c>
      <c r="L129" s="48"/>
      <c r="M129" s="57">
        <f>I129-E129</f>
        <v>-7867.08</v>
      </c>
      <c r="N129" s="2"/>
      <c r="O129" s="49"/>
      <c r="P129" s="50"/>
      <c r="Q129" s="49">
        <f>-1</f>
        <v>-1</v>
      </c>
      <c r="R129" s="45">
        <f>168100*12</f>
        <v>2017200</v>
      </c>
    </row>
    <row r="130" spans="1:18" ht="15" customHeight="1">
      <c r="A130" s="20"/>
      <c r="C130" s="10"/>
      <c r="D130" s="10"/>
      <c r="E130" s="26"/>
      <c r="F130" s="2"/>
      <c r="G130" s="58"/>
      <c r="H130" s="2"/>
      <c r="I130" s="55"/>
      <c r="J130" s="5"/>
      <c r="K130" s="56"/>
      <c r="L130" s="48"/>
      <c r="M130" s="57"/>
      <c r="N130" s="2"/>
      <c r="O130" s="49"/>
      <c r="P130" s="50"/>
      <c r="Q130" s="49"/>
    </row>
    <row r="131" spans="1:18" ht="15" customHeight="1">
      <c r="A131" s="20"/>
      <c r="C131" s="10" t="s">
        <v>38</v>
      </c>
      <c r="D131" s="10"/>
      <c r="E131" s="26"/>
      <c r="F131" s="2"/>
      <c r="G131" s="58"/>
      <c r="H131" s="2"/>
      <c r="I131" s="55"/>
      <c r="J131" s="5"/>
      <c r="K131" s="56"/>
      <c r="L131" s="48"/>
      <c r="M131" s="57"/>
      <c r="N131" s="2"/>
      <c r="O131" s="49"/>
      <c r="P131" s="50"/>
      <c r="Q131" s="49"/>
    </row>
    <row r="132" spans="1:18" ht="15" customHeight="1">
      <c r="A132" s="20">
        <f>A129+1</f>
        <v>69</v>
      </c>
      <c r="C132" s="30" t="s">
        <v>39</v>
      </c>
      <c r="D132" s="10"/>
      <c r="E132" s="26">
        <f>E124</f>
        <v>5111242.7692867462</v>
      </c>
      <c r="F132" s="2"/>
      <c r="G132" s="58">
        <f>+G124</f>
        <v>25.330769993491653</v>
      </c>
      <c r="H132" s="2"/>
      <c r="I132" s="76">
        <f>I124+I129</f>
        <v>5144272.6727999998</v>
      </c>
      <c r="J132" s="5"/>
      <c r="K132" s="77">
        <f>I132/20178000*100</f>
        <v>25.494462646446625</v>
      </c>
      <c r="L132" s="48"/>
      <c r="M132" s="57">
        <f>I132-E132</f>
        <v>33029.903513253666</v>
      </c>
      <c r="N132" s="2"/>
      <c r="O132" s="49"/>
      <c r="P132" s="50"/>
      <c r="Q132" s="49">
        <f>M132/E132</f>
        <v>6.4622059651967692E-3</v>
      </c>
    </row>
    <row r="133" spans="1:18" ht="15" customHeight="1">
      <c r="A133" s="20">
        <f>A132+1</f>
        <v>70</v>
      </c>
      <c r="C133" s="30" t="s">
        <v>61</v>
      </c>
      <c r="D133" s="10"/>
      <c r="E133" s="26">
        <f>E126</f>
        <v>4831365.9107999997</v>
      </c>
      <c r="F133" s="2"/>
      <c r="G133" s="58">
        <f>+G126</f>
        <v>23.943730353850729</v>
      </c>
      <c r="H133" s="2"/>
      <c r="I133" s="76">
        <f>I126+I129</f>
        <v>5144272.6727999998</v>
      </c>
      <c r="J133" s="5"/>
      <c r="K133" s="77">
        <f>I133/20178000*100</f>
        <v>25.494462646446625</v>
      </c>
      <c r="L133" s="48"/>
      <c r="M133" s="57">
        <f>I133-E133</f>
        <v>312906.7620000001</v>
      </c>
      <c r="N133" s="2"/>
      <c r="O133" s="49"/>
      <c r="P133" s="50"/>
      <c r="Q133" s="49">
        <f>M133/E133</f>
        <v>6.4765693134633137E-2</v>
      </c>
    </row>
    <row r="134" spans="1:18" ht="15" customHeight="1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2"/>
      <c r="N134" s="10"/>
      <c r="O134" s="10"/>
      <c r="P134" s="10"/>
      <c r="Q134" s="10"/>
    </row>
    <row r="135" spans="1:18" ht="15" customHeight="1">
      <c r="A135" s="21" t="s">
        <v>49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8" ht="15" customHeight="1">
      <c r="A136" s="32" t="s">
        <v>50</v>
      </c>
      <c r="C136" s="15" t="s">
        <v>71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1:18" ht="15" customHeight="1">
      <c r="A137" s="32" t="s">
        <v>52</v>
      </c>
      <c r="C137" s="15" t="s">
        <v>86</v>
      </c>
      <c r="D137" s="10"/>
      <c r="E137" s="1"/>
      <c r="F137" s="10"/>
      <c r="G137" s="11"/>
      <c r="H137" s="10"/>
      <c r="I137" s="1"/>
      <c r="J137" s="10"/>
      <c r="K137" s="11"/>
      <c r="L137" s="11"/>
      <c r="M137" s="22"/>
      <c r="N137" s="10"/>
      <c r="O137" s="25"/>
      <c r="P137" s="25"/>
      <c r="Q137" s="25"/>
    </row>
    <row r="138" spans="1:18" ht="15" customHeight="1">
      <c r="A138" s="32" t="s">
        <v>72</v>
      </c>
      <c r="C138" s="15" t="s">
        <v>87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</sheetData>
  <mergeCells count="17">
    <mergeCell ref="A4:Q4"/>
    <mergeCell ref="A5:Q5"/>
    <mergeCell ref="E7:G7"/>
    <mergeCell ref="I7:M7"/>
    <mergeCell ref="O7:Q7"/>
    <mergeCell ref="E105:G105"/>
    <mergeCell ref="E120:G120"/>
    <mergeCell ref="E13:G13"/>
    <mergeCell ref="E29:G29"/>
    <mergeCell ref="E45:G45"/>
    <mergeCell ref="E61:G61"/>
    <mergeCell ref="E77:G77"/>
    <mergeCell ref="A96:Q96"/>
    <mergeCell ref="A97:Q97"/>
    <mergeCell ref="E99:G99"/>
    <mergeCell ref="I99:M99"/>
    <mergeCell ref="O99:Q99"/>
  </mergeCells>
  <pageMargins left="0.5" right="0.5" top="0.5" bottom="0.5" header="0.3" footer="0.3"/>
  <pageSetup scale="50" firstPageNumber="3" fitToWidth="0" fitToHeight="0" orientation="portrait" useFirstPageNumber="1" r:id="rId1"/>
  <headerFooter>
    <oddHeader>&amp;R&amp;"Arial,Regular"&amp;10Filed: 2023-04-06
EB-2022-0200
Exhibit JT8.8
Attachment 1
Page &amp;P of 4</oddHeader>
  </headerFooter>
  <rowBreaks count="1" manualBreakCount="1">
    <brk id="9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C6U45NHNYSXQ-647284319-662</_dlc_DocId>
    <_dlc_DocIdUrl xmlns="bc9be6ef-036f-4d38-ab45-2a4da0c93cb0">
      <Url>https://enbridge.sharepoint.com/teams/EB-2022-02002024Rebasing/_layouts/15/DocIdRedir.aspx?ID=C6U45NHNYSXQ-647284319-662</Url>
      <Description>C6U45NHNYSXQ-647284319-662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D49BE7-055F-48D1-AB6C-36F428CCDD7A}"/>
</file>

<file path=customXml/itemProps2.xml><?xml version="1.0" encoding="utf-8"?>
<ds:datastoreItem xmlns:ds="http://schemas.openxmlformats.org/officeDocument/2006/customXml" ds:itemID="{56569967-FA89-4186-8748-82A76F0A5BD2}"/>
</file>

<file path=customXml/itemProps3.xml><?xml version="1.0" encoding="utf-8"?>
<ds:datastoreItem xmlns:ds="http://schemas.openxmlformats.org/officeDocument/2006/customXml" ds:itemID="{FE821721-21FA-41B1-8B86-860580488424}"/>
</file>

<file path=customXml/itemProps4.xml><?xml version="1.0" encoding="utf-8"?>
<ds:datastoreItem xmlns:ds="http://schemas.openxmlformats.org/officeDocument/2006/customXml" ds:itemID="{4073B878-A701-49F1-B3E5-F0EB1A7830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Goodreau</dc:creator>
  <cp:keywords/>
  <dc:description/>
  <cp:lastModifiedBy>Angela Monforton</cp:lastModifiedBy>
  <cp:revision/>
  <dcterms:created xsi:type="dcterms:W3CDTF">2023-04-05T19:03:28Z</dcterms:created>
  <dcterms:modified xsi:type="dcterms:W3CDTF">2023-04-06T17:45:43Z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2023-04-05T19:03:30Z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fe3c2997-ae1d-4475-b112-c1828af30570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0x01010004A99DC5F2E29C4EA0320A2DE468F5FC</vt:lpwstr>
  </property>
  <property fmtid="{D5CDD505-2E9C-101B-9397-08002B2CF9AE}" pid="10" name="_dlc_DocIdItemGuid">
    <vt:lpwstr>bac24cb9-9fa3-4ac4-8942-cf52e147434a</vt:lpwstr>
  </property>
</Properties>
</file>