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Regulatory/Filed Undertakings/Live Excels/"/>
    </mc:Choice>
  </mc:AlternateContent>
  <xr:revisionPtr revIDLastSave="0" documentId="8_{96768D13-23BB-453C-9E8E-FF4E707923CE}" xr6:coauthVersionLast="47" xr6:coauthVersionMax="47" xr10:uidLastSave="{00000000-0000-0000-0000-000000000000}"/>
  <bookViews>
    <workbookView xWindow="28680" yWindow="-360" windowWidth="29040" windowHeight="15840" xr2:uid="{A3F18F18-0382-4C25-A97A-4FDDE653CF6B}"/>
  </bookViews>
  <sheets>
    <sheet name="Attach 4 - Delivery" sheetId="1" r:id="rId1"/>
  </sheets>
  <externalReferences>
    <externalReference r:id="rId2"/>
    <externalReference r:id="rId3"/>
    <externalReference r:id="rId4"/>
  </externalReferences>
  <definedNames>
    <definedName name="CurrentYear">[1]Input!$B$6</definedName>
    <definedName name="Demand_Dawn_to_Parkway">'[2]Detail Model'!$U$26</definedName>
    <definedName name="Demand_FromDawn_Ojibway">'[2]Detail Model'!$U$85</definedName>
    <definedName name="Demand_Rate_M12_Dawn_to_Kirkwall">'[2]Detail Model'!$U$23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'Attach 4 - Delivery'!#REF!</definedName>
    <definedName name="fuel_UFG_West_to_Pool_M16">'Attach 4 - Delivery'!#REF!</definedName>
    <definedName name="GSAdminChg">#REF!</definedName>
    <definedName name="Monthly_Fixed_Charge_M13_Large">'[2]Detail Model'!$U$181</definedName>
    <definedName name="Monthly_Fixed_Charge_M13_Typical">'[2]Detail Model'!$U$180</definedName>
    <definedName name="paolo" hidden="1">{#N/A,#N/A,FALSE,"H3 Tab 1"}</definedName>
    <definedName name="_xlnm.Print_Area" localSheetId="0">'Attach 4 - Delivery'!$B$1:$U$712</definedName>
    <definedName name="Refprice">[3]Supplementals!$J$32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R20" i="1"/>
  <c r="R12" i="1"/>
  <c r="Q702" i="1"/>
  <c r="P702" i="1" s="1"/>
  <c r="J702" i="1"/>
  <c r="M702" i="1" s="1"/>
  <c r="T700" i="1"/>
  <c r="J700" i="1"/>
  <c r="M700" i="1" s="1"/>
  <c r="Q700" i="1"/>
  <c r="P700" i="1" s="1"/>
  <c r="Q699" i="1"/>
  <c r="P699" i="1"/>
  <c r="J699" i="1"/>
  <c r="M699" i="1" s="1"/>
  <c r="T698" i="1"/>
  <c r="J698" i="1"/>
  <c r="M698" i="1" s="1"/>
  <c r="Q698" i="1"/>
  <c r="P698" i="1" s="1"/>
  <c r="Q697" i="1"/>
  <c r="P697" i="1" s="1"/>
  <c r="O705" i="1"/>
  <c r="J697" i="1"/>
  <c r="M697" i="1" s="1"/>
  <c r="Q695" i="1"/>
  <c r="P695" i="1" s="1"/>
  <c r="R689" i="1"/>
  <c r="T689" i="1" s="1"/>
  <c r="H691" i="1"/>
  <c r="H707" i="1" s="1"/>
  <c r="J688" i="1"/>
  <c r="M688" i="1" s="1"/>
  <c r="Q686" i="1"/>
  <c r="O691" i="1"/>
  <c r="O707" i="1" s="1"/>
  <c r="J686" i="1"/>
  <c r="B678" i="1"/>
  <c r="T671" i="1"/>
  <c r="Q671" i="1"/>
  <c r="P671" i="1" s="1"/>
  <c r="J671" i="1"/>
  <c r="M671" i="1" s="1"/>
  <c r="Q669" i="1"/>
  <c r="P669" i="1" s="1"/>
  <c r="T668" i="1"/>
  <c r="Q668" i="1"/>
  <c r="P668" i="1" s="1"/>
  <c r="J668" i="1"/>
  <c r="M668" i="1" s="1"/>
  <c r="Q667" i="1"/>
  <c r="P667" i="1" s="1"/>
  <c r="T666" i="1"/>
  <c r="Q666" i="1"/>
  <c r="P666" i="1" s="1"/>
  <c r="J666" i="1"/>
  <c r="M666" i="1" s="1"/>
  <c r="Q664" i="1"/>
  <c r="O674" i="1"/>
  <c r="T657" i="1"/>
  <c r="Q657" i="1"/>
  <c r="P657" i="1" s="1"/>
  <c r="J657" i="1"/>
  <c r="M657" i="1" s="1"/>
  <c r="T654" i="1"/>
  <c r="J654" i="1"/>
  <c r="J651" i="1"/>
  <c r="J647" i="1"/>
  <c r="Q647" i="1"/>
  <c r="B639" i="1"/>
  <c r="T632" i="1"/>
  <c r="J632" i="1"/>
  <c r="T630" i="1"/>
  <c r="T629" i="1"/>
  <c r="J629" i="1"/>
  <c r="T628" i="1"/>
  <c r="T627" i="1"/>
  <c r="J627" i="1"/>
  <c r="M627" i="1" s="1"/>
  <c r="T625" i="1"/>
  <c r="O635" i="1"/>
  <c r="H621" i="1"/>
  <c r="H637" i="1" s="1"/>
  <c r="T618" i="1"/>
  <c r="J618" i="1"/>
  <c r="J617" i="1"/>
  <c r="M617" i="1" s="1"/>
  <c r="Q615" i="1"/>
  <c r="P615" i="1" s="1"/>
  <c r="R614" i="1"/>
  <c r="J614" i="1"/>
  <c r="M614" i="1" s="1"/>
  <c r="J612" i="1"/>
  <c r="M612" i="1" s="1"/>
  <c r="J611" i="1"/>
  <c r="M611" i="1" s="1"/>
  <c r="T608" i="1"/>
  <c r="J608" i="1"/>
  <c r="M608" i="1" s="1"/>
  <c r="Q608" i="1"/>
  <c r="T603" i="1"/>
  <c r="J603" i="1"/>
  <c r="H603" i="1"/>
  <c r="Q603" i="1" s="1"/>
  <c r="H601" i="1"/>
  <c r="H600" i="1"/>
  <c r="Q600" i="1" s="1"/>
  <c r="J599" i="1"/>
  <c r="H596" i="1"/>
  <c r="H605" i="1" s="1"/>
  <c r="T594" i="1"/>
  <c r="R594" i="1"/>
  <c r="Q594" i="1" s="1"/>
  <c r="M594" i="1"/>
  <c r="J594" i="1"/>
  <c r="P593" i="1"/>
  <c r="P596" i="1" s="1"/>
  <c r="B584" i="1"/>
  <c r="T580" i="1"/>
  <c r="O573" i="1"/>
  <c r="J573" i="1"/>
  <c r="H573" i="1"/>
  <c r="M571" i="1"/>
  <c r="J571" i="1"/>
  <c r="Q570" i="1"/>
  <c r="M570" i="1"/>
  <c r="J570" i="1"/>
  <c r="O567" i="1"/>
  <c r="H567" i="1"/>
  <c r="H582" i="1" s="1"/>
  <c r="J565" i="1"/>
  <c r="M565" i="1" s="1"/>
  <c r="Q564" i="1"/>
  <c r="P564" i="1" s="1"/>
  <c r="R564" i="1"/>
  <c r="J564" i="1"/>
  <c r="M564" i="1" s="1"/>
  <c r="H577" i="1"/>
  <c r="J577" i="1" s="1"/>
  <c r="M563" i="1"/>
  <c r="J563" i="1"/>
  <c r="H559" i="1"/>
  <c r="T556" i="1"/>
  <c r="Q552" i="1"/>
  <c r="J552" i="1"/>
  <c r="H549" i="1"/>
  <c r="R547" i="1"/>
  <c r="T547" i="1" s="1"/>
  <c r="R546" i="1"/>
  <c r="J546" i="1"/>
  <c r="M546" i="1" s="1"/>
  <c r="O549" i="1"/>
  <c r="H542" i="1"/>
  <c r="J540" i="1"/>
  <c r="M540" i="1" s="1"/>
  <c r="T539" i="1"/>
  <c r="Q539" i="1"/>
  <c r="P539" i="1"/>
  <c r="J539" i="1"/>
  <c r="M539" i="1" s="1"/>
  <c r="T538" i="1"/>
  <c r="S538" i="1"/>
  <c r="Q538" i="1"/>
  <c r="T537" i="1"/>
  <c r="Q537" i="1"/>
  <c r="S537" i="1" s="1"/>
  <c r="J537" i="1"/>
  <c r="M537" i="1" s="1"/>
  <c r="H553" i="1"/>
  <c r="T536" i="1"/>
  <c r="Q536" i="1"/>
  <c r="S536" i="1" s="1"/>
  <c r="B528" i="1"/>
  <c r="T523" i="1"/>
  <c r="Q519" i="1"/>
  <c r="J519" i="1"/>
  <c r="H524" i="1"/>
  <c r="J524" i="1" s="1"/>
  <c r="T514" i="1"/>
  <c r="Q514" i="1"/>
  <c r="S514" i="1" s="1"/>
  <c r="P514" i="1"/>
  <c r="J514" i="1"/>
  <c r="M514" i="1" s="1"/>
  <c r="Q513" i="1"/>
  <c r="H516" i="1"/>
  <c r="Q512" i="1"/>
  <c r="P512" i="1" s="1"/>
  <c r="O516" i="1"/>
  <c r="J512" i="1"/>
  <c r="T507" i="1"/>
  <c r="J507" i="1"/>
  <c r="M507" i="1" s="1"/>
  <c r="Q507" i="1"/>
  <c r="P507" i="1" s="1"/>
  <c r="Q506" i="1"/>
  <c r="P506" i="1" s="1"/>
  <c r="T506" i="1"/>
  <c r="J506" i="1"/>
  <c r="M506" i="1" s="1"/>
  <c r="Q503" i="1"/>
  <c r="J503" i="1"/>
  <c r="T502" i="1"/>
  <c r="H504" i="1"/>
  <c r="H526" i="1" s="1"/>
  <c r="J498" i="1"/>
  <c r="H499" i="1"/>
  <c r="Q490" i="1"/>
  <c r="H490" i="1"/>
  <c r="Q486" i="1"/>
  <c r="J486" i="1"/>
  <c r="O483" i="1"/>
  <c r="J481" i="1"/>
  <c r="M481" i="1" s="1"/>
  <c r="J477" i="1"/>
  <c r="J476" i="1"/>
  <c r="T473" i="1"/>
  <c r="J473" i="1"/>
  <c r="Q473" i="1"/>
  <c r="S473" i="1" s="1"/>
  <c r="B465" i="1"/>
  <c r="O454" i="1"/>
  <c r="J452" i="1"/>
  <c r="M452" i="1" s="1"/>
  <c r="J448" i="1"/>
  <c r="T445" i="1"/>
  <c r="H439" i="1"/>
  <c r="R438" i="1"/>
  <c r="J437" i="1"/>
  <c r="H434" i="1"/>
  <c r="R433" i="1"/>
  <c r="J433" i="1"/>
  <c r="J432" i="1"/>
  <c r="J431" i="1"/>
  <c r="J430" i="1"/>
  <c r="R428" i="1"/>
  <c r="J428" i="1"/>
  <c r="J427" i="1"/>
  <c r="J426" i="1"/>
  <c r="J425" i="1"/>
  <c r="J423" i="1"/>
  <c r="M423" i="1" s="1"/>
  <c r="J417" i="1"/>
  <c r="M417" i="1" s="1"/>
  <c r="R415" i="1"/>
  <c r="Q415" i="1" s="1"/>
  <c r="P415" i="1" s="1"/>
  <c r="J415" i="1"/>
  <c r="M415" i="1" s="1"/>
  <c r="O419" i="1"/>
  <c r="J414" i="1"/>
  <c r="J413" i="1"/>
  <c r="M413" i="1" s="1"/>
  <c r="B405" i="1"/>
  <c r="H399" i="1"/>
  <c r="H403" i="1" s="1"/>
  <c r="J398" i="1"/>
  <c r="M398" i="1" s="1"/>
  <c r="T397" i="1"/>
  <c r="T396" i="1"/>
  <c r="Q396" i="1"/>
  <c r="P396" i="1" s="1"/>
  <c r="J396" i="1"/>
  <c r="J395" i="1"/>
  <c r="J390" i="1"/>
  <c r="H390" i="1"/>
  <c r="Q389" i="1"/>
  <c r="O389" i="1" s="1"/>
  <c r="J389" i="1"/>
  <c r="Q388" i="1"/>
  <c r="J388" i="1"/>
  <c r="H385" i="1"/>
  <c r="J384" i="1"/>
  <c r="R437" i="1"/>
  <c r="Q383" i="1"/>
  <c r="J383" i="1"/>
  <c r="R432" i="1"/>
  <c r="Q432" i="1" s="1"/>
  <c r="O432" i="1" s="1"/>
  <c r="R431" i="1"/>
  <c r="R430" i="1"/>
  <c r="H377" i="1"/>
  <c r="J377" i="1" s="1"/>
  <c r="R425" i="1"/>
  <c r="M368" i="1"/>
  <c r="J368" i="1"/>
  <c r="J363" i="1"/>
  <c r="M363" i="1" s="1"/>
  <c r="J362" i="1"/>
  <c r="M362" i="1" s="1"/>
  <c r="J359" i="1"/>
  <c r="J358" i="1"/>
  <c r="H360" i="1"/>
  <c r="H365" i="1" s="1"/>
  <c r="J354" i="1"/>
  <c r="J353" i="1"/>
  <c r="H355" i="1"/>
  <c r="B343" i="1"/>
  <c r="H339" i="1"/>
  <c r="Q338" i="1"/>
  <c r="O338" i="1" s="1"/>
  <c r="J338" i="1"/>
  <c r="J337" i="1"/>
  <c r="J339" i="1" s="1"/>
  <c r="H330" i="1"/>
  <c r="Q330" i="1" s="1"/>
  <c r="Q332" i="1"/>
  <c r="O332" i="1" s="1"/>
  <c r="J332" i="1"/>
  <c r="M332" i="1" s="1"/>
  <c r="H331" i="1"/>
  <c r="O330" i="1"/>
  <c r="J330" i="1"/>
  <c r="M330" i="1" s="1"/>
  <c r="J326" i="1"/>
  <c r="J325" i="1"/>
  <c r="H327" i="1"/>
  <c r="R326" i="1" s="1"/>
  <c r="Q326" i="1" s="1"/>
  <c r="J318" i="1"/>
  <c r="J317" i="1"/>
  <c r="J316" i="1"/>
  <c r="J315" i="1"/>
  <c r="O322" i="1"/>
  <c r="J307" i="1"/>
  <c r="Q307" i="1"/>
  <c r="H299" i="1"/>
  <c r="Q301" i="1"/>
  <c r="J301" i="1"/>
  <c r="H300" i="1"/>
  <c r="J300" i="1" s="1"/>
  <c r="J294" i="1"/>
  <c r="O291" i="1"/>
  <c r="J286" i="1"/>
  <c r="J284" i="1"/>
  <c r="T282" i="1"/>
  <c r="J282" i="1"/>
  <c r="B274" i="1"/>
  <c r="H272" i="1"/>
  <c r="O268" i="1"/>
  <c r="O272" i="1" s="1"/>
  <c r="M267" i="1"/>
  <c r="J267" i="1"/>
  <c r="Q266" i="1"/>
  <c r="J266" i="1"/>
  <c r="M266" i="1" s="1"/>
  <c r="H261" i="1"/>
  <c r="Q257" i="1"/>
  <c r="O257" i="1" s="1"/>
  <c r="M257" i="1" s="1"/>
  <c r="J257" i="1"/>
  <c r="Q256" i="1"/>
  <c r="J256" i="1"/>
  <c r="J255" i="1"/>
  <c r="Q255" i="1"/>
  <c r="O255" i="1" s="1"/>
  <c r="M255" i="1" s="1"/>
  <c r="J246" i="1"/>
  <c r="H252" i="1"/>
  <c r="H263" i="1" s="1"/>
  <c r="J245" i="1"/>
  <c r="M245" i="1" s="1"/>
  <c r="Q244" i="1"/>
  <c r="J244" i="1"/>
  <c r="Q234" i="1"/>
  <c r="O234" i="1" s="1"/>
  <c r="M234" i="1" s="1"/>
  <c r="J234" i="1"/>
  <c r="Q233" i="1"/>
  <c r="J226" i="1"/>
  <c r="M226" i="1" s="1"/>
  <c r="O230" i="1"/>
  <c r="J222" i="1"/>
  <c r="Q219" i="1"/>
  <c r="T219" i="1"/>
  <c r="B211" i="1"/>
  <c r="T207" i="1"/>
  <c r="Q203" i="1"/>
  <c r="O203" i="1"/>
  <c r="J203" i="1"/>
  <c r="M203" i="1" s="1"/>
  <c r="J202" i="1"/>
  <c r="Q202" i="1"/>
  <c r="J194" i="1"/>
  <c r="M194" i="1" s="1"/>
  <c r="J191" i="1"/>
  <c r="J189" i="1"/>
  <c r="J187" i="1"/>
  <c r="M187" i="1" s="1"/>
  <c r="Q186" i="1"/>
  <c r="P186" i="1"/>
  <c r="J186" i="1"/>
  <c r="T181" i="1"/>
  <c r="J181" i="1"/>
  <c r="Q177" i="1"/>
  <c r="J176" i="1"/>
  <c r="Q175" i="1"/>
  <c r="O175" i="1" s="1"/>
  <c r="P175" i="1" s="1"/>
  <c r="H181" i="1"/>
  <c r="Q181" i="1" s="1"/>
  <c r="H168" i="1"/>
  <c r="J167" i="1"/>
  <c r="J165" i="1"/>
  <c r="J160" i="1"/>
  <c r="J159" i="1"/>
  <c r="J158" i="1"/>
  <c r="Q155" i="1"/>
  <c r="P155" i="1" s="1"/>
  <c r="O172" i="1"/>
  <c r="J155" i="1"/>
  <c r="B147" i="1"/>
  <c r="H145" i="1"/>
  <c r="O141" i="1"/>
  <c r="O145" i="1" s="1"/>
  <c r="J140" i="1"/>
  <c r="M140" i="1" s="1"/>
  <c r="T139" i="1"/>
  <c r="T134" i="1"/>
  <c r="J130" i="1"/>
  <c r="Q129" i="1"/>
  <c r="O129" i="1" s="1"/>
  <c r="P129" i="1" s="1"/>
  <c r="J129" i="1"/>
  <c r="J128" i="1"/>
  <c r="J123" i="1"/>
  <c r="M123" i="1" s="1"/>
  <c r="H121" i="1"/>
  <c r="H125" i="1" s="1"/>
  <c r="J119" i="1"/>
  <c r="T116" i="1"/>
  <c r="B108" i="1"/>
  <c r="T104" i="1"/>
  <c r="J99" i="1"/>
  <c r="Q98" i="1"/>
  <c r="J93" i="1"/>
  <c r="M93" i="1" s="1"/>
  <c r="J90" i="1"/>
  <c r="J89" i="1"/>
  <c r="H91" i="1"/>
  <c r="H95" i="1" s="1"/>
  <c r="J87" i="1"/>
  <c r="M87" i="1" s="1"/>
  <c r="J86" i="1"/>
  <c r="T81" i="1"/>
  <c r="Q77" i="1"/>
  <c r="O77" i="1" s="1"/>
  <c r="J77" i="1"/>
  <c r="J76" i="1"/>
  <c r="Q76" i="1"/>
  <c r="J75" i="1"/>
  <c r="J70" i="1"/>
  <c r="M70" i="1" s="1"/>
  <c r="R68" i="1"/>
  <c r="J68" i="1"/>
  <c r="M68" i="1" s="1"/>
  <c r="J67" i="1"/>
  <c r="M67" i="1" s="1"/>
  <c r="O72" i="1"/>
  <c r="T66" i="1"/>
  <c r="Q66" i="1"/>
  <c r="B58" i="1"/>
  <c r="T54" i="1"/>
  <c r="Q50" i="1"/>
  <c r="J50" i="1"/>
  <c r="Q49" i="1"/>
  <c r="J49" i="1"/>
  <c r="J48" i="1"/>
  <c r="J43" i="1"/>
  <c r="M43" i="1" s="1"/>
  <c r="J40" i="1"/>
  <c r="J39" i="1"/>
  <c r="J38" i="1"/>
  <c r="J37" i="1"/>
  <c r="J36" i="1"/>
  <c r="H41" i="1"/>
  <c r="T33" i="1"/>
  <c r="Q33" i="1"/>
  <c r="P33" i="1" s="1"/>
  <c r="O45" i="1"/>
  <c r="J33" i="1"/>
  <c r="H28" i="1"/>
  <c r="J28" i="1" s="1"/>
  <c r="Q24" i="1"/>
  <c r="J23" i="1"/>
  <c r="Q22" i="1"/>
  <c r="J22" i="1"/>
  <c r="J18" i="1"/>
  <c r="M18" i="1" s="1"/>
  <c r="J15" i="1"/>
  <c r="J14" i="1"/>
  <c r="J13" i="1"/>
  <c r="J12" i="1"/>
  <c r="H16" i="1"/>
  <c r="B12" i="1"/>
  <c r="O20" i="1"/>
  <c r="J10" i="1"/>
  <c r="M338" i="1" l="1"/>
  <c r="H509" i="1"/>
  <c r="P705" i="1"/>
  <c r="P688" i="1" s="1"/>
  <c r="R688" i="1" s="1"/>
  <c r="Q688" i="1" s="1"/>
  <c r="Q516" i="1"/>
  <c r="H705" i="1"/>
  <c r="J268" i="1"/>
  <c r="J272" i="1" s="1"/>
  <c r="R325" i="1"/>
  <c r="M432" i="1"/>
  <c r="M77" i="1"/>
  <c r="P257" i="1"/>
  <c r="M50" i="1"/>
  <c r="M389" i="1"/>
  <c r="P537" i="1"/>
  <c r="J600" i="1"/>
  <c r="J601" i="1" s="1"/>
  <c r="K601" i="1" s="1"/>
  <c r="P338" i="1"/>
  <c r="O50" i="1"/>
  <c r="P50" i="1" s="1"/>
  <c r="P77" i="1"/>
  <c r="Q300" i="1"/>
  <c r="H520" i="1"/>
  <c r="P41" i="1"/>
  <c r="P45" i="1" s="1"/>
  <c r="O24" i="1"/>
  <c r="P24" i="1" s="1"/>
  <c r="H20" i="1"/>
  <c r="H25" i="1"/>
  <c r="H30" i="1"/>
  <c r="P66" i="1"/>
  <c r="S66" i="1"/>
  <c r="H51" i="1"/>
  <c r="H56" i="1"/>
  <c r="H45" i="1"/>
  <c r="H101" i="1"/>
  <c r="H106" i="1"/>
  <c r="P22" i="1"/>
  <c r="O49" i="1"/>
  <c r="P49" i="1" s="1"/>
  <c r="M86" i="1"/>
  <c r="M10" i="1"/>
  <c r="M33" i="1"/>
  <c r="O76" i="1"/>
  <c r="P76" i="1" s="1"/>
  <c r="R189" i="1"/>
  <c r="J24" i="1"/>
  <c r="H52" i="1"/>
  <c r="J66" i="1"/>
  <c r="H136" i="1"/>
  <c r="H131" i="1"/>
  <c r="J166" i="1"/>
  <c r="S33" i="1"/>
  <c r="H54" i="1"/>
  <c r="H81" i="1"/>
  <c r="O95" i="1"/>
  <c r="J91" i="1"/>
  <c r="H104" i="1"/>
  <c r="J98" i="1"/>
  <c r="Q100" i="1"/>
  <c r="M129" i="1"/>
  <c r="P177" i="1"/>
  <c r="O177" i="1"/>
  <c r="H192" i="1"/>
  <c r="H198" i="1" s="1"/>
  <c r="J190" i="1"/>
  <c r="J223" i="1"/>
  <c r="O326" i="1"/>
  <c r="P326" i="1" s="1"/>
  <c r="J355" i="1"/>
  <c r="K355" i="1" s="1"/>
  <c r="Q23" i="1"/>
  <c r="Q68" i="1"/>
  <c r="H72" i="1"/>
  <c r="J100" i="1"/>
  <c r="O125" i="1"/>
  <c r="Q139" i="1"/>
  <c r="J139" i="1"/>
  <c r="J161" i="1"/>
  <c r="O158" i="1" s="1"/>
  <c r="M158" i="1" s="1"/>
  <c r="M186" i="1"/>
  <c r="O202" i="1"/>
  <c r="P202" i="1"/>
  <c r="M246" i="1"/>
  <c r="J16" i="1"/>
  <c r="O15" i="1" s="1"/>
  <c r="M15" i="1" s="1"/>
  <c r="Q10" i="1"/>
  <c r="B13" i="1"/>
  <c r="Q28" i="1"/>
  <c r="Q48" i="1"/>
  <c r="Q75" i="1"/>
  <c r="Q86" i="1"/>
  <c r="J117" i="1"/>
  <c r="M117" i="1" s="1"/>
  <c r="J120" i="1"/>
  <c r="Q128" i="1"/>
  <c r="H134" i="1"/>
  <c r="P244" i="1"/>
  <c r="S244" i="1"/>
  <c r="J116" i="1"/>
  <c r="Q116" i="1"/>
  <c r="R246" i="1"/>
  <c r="Q246" i="1" s="1"/>
  <c r="O252" i="1"/>
  <c r="P266" i="1"/>
  <c r="J288" i="1"/>
  <c r="J35" i="1"/>
  <c r="O159" i="1"/>
  <c r="M159" i="1" s="1"/>
  <c r="P187" i="1"/>
  <c r="R187" i="1" s="1"/>
  <c r="H26" i="1"/>
  <c r="O22" i="1"/>
  <c r="M22" i="1" s="1"/>
  <c r="O98" i="1"/>
  <c r="T10" i="1"/>
  <c r="T28" i="1"/>
  <c r="T86" i="1"/>
  <c r="J121" i="1"/>
  <c r="M155" i="1"/>
  <c r="O181" i="1"/>
  <c r="P181" i="1" s="1"/>
  <c r="J192" i="1"/>
  <c r="O191" i="1" s="1"/>
  <c r="M191" i="1" s="1"/>
  <c r="O256" i="1"/>
  <c r="P256" i="1" s="1"/>
  <c r="J201" i="1"/>
  <c r="Q201" i="1"/>
  <c r="M202" i="1"/>
  <c r="O233" i="1"/>
  <c r="P233" i="1" s="1"/>
  <c r="P234" i="1"/>
  <c r="O300" i="1"/>
  <c r="P300" i="1" s="1"/>
  <c r="J327" i="1"/>
  <c r="K327" i="1" s="1"/>
  <c r="K339" i="1"/>
  <c r="J177" i="1"/>
  <c r="M177" i="1" s="1"/>
  <c r="J285" i="1"/>
  <c r="Q302" i="1"/>
  <c r="J302" i="1"/>
  <c r="S155" i="1"/>
  <c r="H161" i="1"/>
  <c r="H172" i="1" s="1"/>
  <c r="S186" i="1"/>
  <c r="R191" i="1"/>
  <c r="P203" i="1"/>
  <c r="P219" i="1"/>
  <c r="Q99" i="1"/>
  <c r="Q130" i="1"/>
  <c r="T155" i="1"/>
  <c r="J175" i="1"/>
  <c r="Q176" i="1"/>
  <c r="T186" i="1"/>
  <c r="J220" i="1"/>
  <c r="Q261" i="1"/>
  <c r="J261" i="1"/>
  <c r="J287" i="1"/>
  <c r="Q299" i="1"/>
  <c r="H303" i="1"/>
  <c r="J299" i="1"/>
  <c r="S219" i="1"/>
  <c r="M244" i="1"/>
  <c r="P255" i="1"/>
  <c r="H258" i="1"/>
  <c r="Q282" i="1"/>
  <c r="H239" i="1"/>
  <c r="J235" i="1"/>
  <c r="Q235" i="1"/>
  <c r="M268" i="1"/>
  <c r="M272" i="1" s="1"/>
  <c r="M282" i="1"/>
  <c r="J295" i="1"/>
  <c r="J296" i="1" s="1"/>
  <c r="O198" i="1"/>
  <c r="H207" i="1"/>
  <c r="J219" i="1"/>
  <c r="J233" i="1"/>
  <c r="J248" i="1"/>
  <c r="M248" i="1" s="1"/>
  <c r="T261" i="1"/>
  <c r="O301" i="1"/>
  <c r="M301" i="1" s="1"/>
  <c r="Q331" i="1"/>
  <c r="J331" i="1"/>
  <c r="H224" i="1"/>
  <c r="H230" i="1" s="1"/>
  <c r="H289" i="1"/>
  <c r="J351" i="1"/>
  <c r="O383" i="1"/>
  <c r="P383" i="1" s="1"/>
  <c r="H392" i="1"/>
  <c r="T266" i="1"/>
  <c r="Q267" i="1"/>
  <c r="P267" i="1" s="1"/>
  <c r="J319" i="1"/>
  <c r="P332" i="1"/>
  <c r="Q337" i="1"/>
  <c r="O399" i="1"/>
  <c r="O365" i="1"/>
  <c r="J360" i="1"/>
  <c r="K360" i="1" s="1"/>
  <c r="K390" i="1"/>
  <c r="Q395" i="1"/>
  <c r="T401" i="1"/>
  <c r="Q413" i="1"/>
  <c r="J416" i="1"/>
  <c r="J449" i="1"/>
  <c r="T239" i="1"/>
  <c r="T267" i="1"/>
  <c r="H296" i="1"/>
  <c r="R295" i="1" s="1"/>
  <c r="Q295" i="1" s="1"/>
  <c r="J313" i="1"/>
  <c r="M326" i="1"/>
  <c r="H334" i="1"/>
  <c r="Q425" i="1"/>
  <c r="R427" i="1"/>
  <c r="T395" i="1"/>
  <c r="T413" i="1"/>
  <c r="Q428" i="1"/>
  <c r="O307" i="1"/>
  <c r="P307" i="1" s="1"/>
  <c r="P330" i="1"/>
  <c r="Q377" i="1"/>
  <c r="O552" i="1"/>
  <c r="M552" i="1" s="1"/>
  <c r="Q306" i="1"/>
  <c r="H308" i="1"/>
  <c r="Q313" i="1"/>
  <c r="Q351" i="1"/>
  <c r="H376" i="1"/>
  <c r="J371" i="1"/>
  <c r="P432" i="1"/>
  <c r="H320" i="1"/>
  <c r="J385" i="1"/>
  <c r="K385" i="1" s="1"/>
  <c r="J422" i="1"/>
  <c r="Q438" i="1"/>
  <c r="M473" i="1"/>
  <c r="T614" i="1"/>
  <c r="R617" i="1"/>
  <c r="Q614" i="1"/>
  <c r="P614" i="1" s="1"/>
  <c r="Q390" i="1"/>
  <c r="O388" i="1"/>
  <c r="O390" i="1" s="1"/>
  <c r="P389" i="1"/>
  <c r="M395" i="1"/>
  <c r="M396" i="1"/>
  <c r="Q397" i="1"/>
  <c r="P397" i="1" s="1"/>
  <c r="M414" i="1"/>
  <c r="J497" i="1"/>
  <c r="M512" i="1"/>
  <c r="T513" i="1"/>
  <c r="J513" i="1"/>
  <c r="M513" i="1" s="1"/>
  <c r="J306" i="1"/>
  <c r="T313" i="1"/>
  <c r="Q325" i="1"/>
  <c r="T351" i="1"/>
  <c r="J369" i="1"/>
  <c r="Q371" i="1"/>
  <c r="Q401" i="1"/>
  <c r="Q431" i="1"/>
  <c r="Q437" i="1"/>
  <c r="J445" i="1"/>
  <c r="Q445" i="1"/>
  <c r="J545" i="1"/>
  <c r="Q433" i="1"/>
  <c r="T438" i="1"/>
  <c r="T437" i="1"/>
  <c r="S396" i="1"/>
  <c r="R416" i="1"/>
  <c r="T416" i="1" s="1"/>
  <c r="T415" i="1"/>
  <c r="Q430" i="1"/>
  <c r="H450" i="1"/>
  <c r="J447" i="1"/>
  <c r="Q457" i="1"/>
  <c r="J457" i="1"/>
  <c r="H461" i="1"/>
  <c r="Q372" i="1"/>
  <c r="Q384" i="1"/>
  <c r="Q385" i="1" s="1"/>
  <c r="R426" i="1"/>
  <c r="T461" i="1"/>
  <c r="P473" i="1"/>
  <c r="S516" i="1"/>
  <c r="R516" i="1"/>
  <c r="O519" i="1"/>
  <c r="Q523" i="1"/>
  <c r="J523" i="1"/>
  <c r="O542" i="1"/>
  <c r="O603" i="1"/>
  <c r="P608" i="1"/>
  <c r="S608" i="1"/>
  <c r="J650" i="1"/>
  <c r="M650" i="1" s="1"/>
  <c r="T688" i="1"/>
  <c r="J397" i="1"/>
  <c r="M397" i="1" s="1"/>
  <c r="J401" i="1"/>
  <c r="J438" i="1"/>
  <c r="J478" i="1"/>
  <c r="M486" i="1"/>
  <c r="Q553" i="1"/>
  <c r="Q554" i="1" s="1"/>
  <c r="J553" i="1"/>
  <c r="J556" i="1"/>
  <c r="Q556" i="1"/>
  <c r="Q577" i="1"/>
  <c r="O600" i="1"/>
  <c r="P600" i="1" s="1"/>
  <c r="M647" i="1"/>
  <c r="P486" i="1"/>
  <c r="O486" i="1"/>
  <c r="T490" i="1"/>
  <c r="J490" i="1"/>
  <c r="S513" i="1"/>
  <c r="P513" i="1"/>
  <c r="P516" i="1" s="1"/>
  <c r="P538" i="1"/>
  <c r="M573" i="1"/>
  <c r="J372" i="1"/>
  <c r="H419" i="1"/>
  <c r="H441" i="1" s="1"/>
  <c r="J475" i="1"/>
  <c r="T512" i="1"/>
  <c r="J538" i="1"/>
  <c r="M538" i="1" s="1"/>
  <c r="T546" i="1"/>
  <c r="Q546" i="1"/>
  <c r="P546" i="1" s="1"/>
  <c r="O596" i="1"/>
  <c r="R593" i="1"/>
  <c r="O621" i="1"/>
  <c r="O490" i="1"/>
  <c r="J502" i="1"/>
  <c r="Q524" i="1"/>
  <c r="P570" i="1"/>
  <c r="Q520" i="1"/>
  <c r="J520" i="1"/>
  <c r="J521" i="1" s="1"/>
  <c r="T524" i="1"/>
  <c r="P536" i="1"/>
  <c r="T540" i="1"/>
  <c r="Q540" i="1"/>
  <c r="P540" i="1" s="1"/>
  <c r="K573" i="1"/>
  <c r="J536" i="1"/>
  <c r="Q547" i="1"/>
  <c r="P547" i="1" s="1"/>
  <c r="J547" i="1"/>
  <c r="M547" i="1" s="1"/>
  <c r="J554" i="1"/>
  <c r="J630" i="1"/>
  <c r="M630" i="1" s="1"/>
  <c r="Q630" i="1"/>
  <c r="P630" i="1" s="1"/>
  <c r="J669" i="1"/>
  <c r="M669" i="1" s="1"/>
  <c r="T669" i="1"/>
  <c r="H479" i="1"/>
  <c r="H521" i="1"/>
  <c r="Q576" i="1"/>
  <c r="H578" i="1"/>
  <c r="H580" i="1"/>
  <c r="J576" i="1"/>
  <c r="J625" i="1"/>
  <c r="Q625" i="1"/>
  <c r="M632" i="1"/>
  <c r="O660" i="1"/>
  <c r="H660" i="1"/>
  <c r="J653" i="1"/>
  <c r="M653" i="1" s="1"/>
  <c r="R653" i="1"/>
  <c r="Q653" i="1" s="1"/>
  <c r="P653" i="1" s="1"/>
  <c r="M686" i="1"/>
  <c r="M691" i="1" s="1"/>
  <c r="J496" i="1"/>
  <c r="P499" i="1"/>
  <c r="T503" i="1"/>
  <c r="H557" i="1"/>
  <c r="H554" i="1"/>
  <c r="J667" i="1"/>
  <c r="M667" i="1" s="1"/>
  <c r="T667" i="1"/>
  <c r="Q502" i="1"/>
  <c r="O509" i="1"/>
  <c r="T557" i="1"/>
  <c r="J615" i="1"/>
  <c r="M615" i="1" s="1"/>
  <c r="M621" i="1" s="1"/>
  <c r="T615" i="1"/>
  <c r="J621" i="1"/>
  <c r="M629" i="1"/>
  <c r="J664" i="1"/>
  <c r="T664" i="1"/>
  <c r="Q691" i="1"/>
  <c r="S686" i="1"/>
  <c r="P686" i="1"/>
  <c r="P691" i="1" s="1"/>
  <c r="J567" i="1"/>
  <c r="R565" i="1"/>
  <c r="T564" i="1"/>
  <c r="T571" i="1"/>
  <c r="Q571" i="1"/>
  <c r="P571" i="1" s="1"/>
  <c r="J593" i="1"/>
  <c r="Q593" i="1"/>
  <c r="M651" i="1"/>
  <c r="J656" i="1"/>
  <c r="M656" i="1" s="1"/>
  <c r="T695" i="1"/>
  <c r="J695" i="1"/>
  <c r="M567" i="1"/>
  <c r="T570" i="1"/>
  <c r="M618" i="1"/>
  <c r="J628" i="1"/>
  <c r="M628" i="1" s="1"/>
  <c r="Q628" i="1"/>
  <c r="P628" i="1" s="1"/>
  <c r="S647" i="1"/>
  <c r="P647" i="1"/>
  <c r="M654" i="1"/>
  <c r="Q674" i="1"/>
  <c r="Q599" i="1"/>
  <c r="T647" i="1"/>
  <c r="Q689" i="1"/>
  <c r="S695" i="1"/>
  <c r="Q705" i="1"/>
  <c r="H635" i="1"/>
  <c r="Q618" i="1"/>
  <c r="P618" i="1" s="1"/>
  <c r="Q627" i="1"/>
  <c r="P627" i="1" s="1"/>
  <c r="Q629" i="1"/>
  <c r="P629" i="1" s="1"/>
  <c r="Q632" i="1"/>
  <c r="P632" i="1" s="1"/>
  <c r="Q654" i="1"/>
  <c r="P654" i="1" s="1"/>
  <c r="J689" i="1"/>
  <c r="M689" i="1" s="1"/>
  <c r="P664" i="1"/>
  <c r="P674" i="1" s="1"/>
  <c r="T686" i="1"/>
  <c r="T697" i="1"/>
  <c r="T699" i="1"/>
  <c r="T702" i="1"/>
  <c r="R358" i="1" l="1"/>
  <c r="O189" i="1"/>
  <c r="M189" i="1" s="1"/>
  <c r="J198" i="1"/>
  <c r="M76" i="1"/>
  <c r="Q573" i="1"/>
  <c r="Q416" i="1"/>
  <c r="P416" i="1" s="1"/>
  <c r="M252" i="1"/>
  <c r="Q268" i="1"/>
  <c r="Q272" i="1" s="1"/>
  <c r="J399" i="1"/>
  <c r="P542" i="1"/>
  <c r="M49" i="1"/>
  <c r="M600" i="1"/>
  <c r="M300" i="1"/>
  <c r="R294" i="1"/>
  <c r="P198" i="1"/>
  <c r="O358" i="1"/>
  <c r="M358" i="1" s="1"/>
  <c r="M545" i="1"/>
  <c r="M549" i="1" s="1"/>
  <c r="J549" i="1"/>
  <c r="O430" i="1"/>
  <c r="M430" i="1" s="1"/>
  <c r="P430" i="1"/>
  <c r="S691" i="1"/>
  <c r="R691" i="1"/>
  <c r="Q707" i="1"/>
  <c r="O325" i="1"/>
  <c r="M325" i="1" s="1"/>
  <c r="M327" i="1" s="1"/>
  <c r="Q327" i="1"/>
  <c r="O556" i="1"/>
  <c r="T187" i="1"/>
  <c r="Q187" i="1"/>
  <c r="J479" i="1"/>
  <c r="O478" i="1" s="1"/>
  <c r="M478" i="1" s="1"/>
  <c r="R554" i="1"/>
  <c r="S603" i="1"/>
  <c r="P603" i="1"/>
  <c r="M603" i="1"/>
  <c r="R369" i="1"/>
  <c r="R368" i="1"/>
  <c r="S490" i="1"/>
  <c r="P490" i="1"/>
  <c r="O431" i="1"/>
  <c r="M431" i="1" s="1"/>
  <c r="J434" i="1"/>
  <c r="M422" i="1"/>
  <c r="P650" i="1"/>
  <c r="R650" i="1" s="1"/>
  <c r="P651" i="1"/>
  <c r="R651" i="1" s="1"/>
  <c r="K399" i="1"/>
  <c r="J403" i="1"/>
  <c r="M625" i="1"/>
  <c r="M635" i="1" s="1"/>
  <c r="J635" i="1"/>
  <c r="O520" i="1"/>
  <c r="P520" i="1" s="1"/>
  <c r="Q521" i="1"/>
  <c r="R385" i="1"/>
  <c r="T385" i="1" s="1"/>
  <c r="T565" i="1"/>
  <c r="Q565" i="1"/>
  <c r="P565" i="1" s="1"/>
  <c r="P563" i="1" s="1"/>
  <c r="J557" i="1"/>
  <c r="Q557" i="1"/>
  <c r="O425" i="1"/>
  <c r="P425" i="1"/>
  <c r="P220" i="1"/>
  <c r="R220" i="1" s="1"/>
  <c r="P139" i="1"/>
  <c r="S139" i="1"/>
  <c r="Q596" i="1"/>
  <c r="S593" i="1"/>
  <c r="K567" i="1"/>
  <c r="H674" i="1"/>
  <c r="R674" i="1" s="1"/>
  <c r="H676" i="1"/>
  <c r="J580" i="1"/>
  <c r="Q580" i="1"/>
  <c r="M660" i="1"/>
  <c r="P479" i="1"/>
  <c r="O372" i="1"/>
  <c r="P372" i="1"/>
  <c r="P445" i="1"/>
  <c r="S445" i="1"/>
  <c r="O371" i="1"/>
  <c r="M371" i="1" s="1"/>
  <c r="P371" i="1"/>
  <c r="R390" i="1"/>
  <c r="T390" i="1" s="1"/>
  <c r="S390" i="1"/>
  <c r="Q308" i="1"/>
  <c r="P306" i="1"/>
  <c r="P308" i="1" s="1"/>
  <c r="O306" i="1"/>
  <c r="O308" i="1" s="1"/>
  <c r="O428" i="1"/>
  <c r="M428" i="1" s="1"/>
  <c r="S413" i="1"/>
  <c r="P413" i="1"/>
  <c r="H310" i="1"/>
  <c r="H291" i="1"/>
  <c r="O331" i="1"/>
  <c r="Q189" i="1"/>
  <c r="J239" i="1"/>
  <c r="Q239" i="1"/>
  <c r="J252" i="1"/>
  <c r="M307" i="1"/>
  <c r="R190" i="1"/>
  <c r="K192" i="1"/>
  <c r="R120" i="1"/>
  <c r="O128" i="1"/>
  <c r="P128" i="1" s="1"/>
  <c r="O75" i="1"/>
  <c r="R90" i="1"/>
  <c r="K91" i="1"/>
  <c r="O89" i="1"/>
  <c r="M89" i="1" s="1"/>
  <c r="B14" i="1"/>
  <c r="P67" i="1"/>
  <c r="R67" i="1" s="1"/>
  <c r="O13" i="1"/>
  <c r="M13" i="1" s="1"/>
  <c r="Q504" i="1"/>
  <c r="O99" i="1"/>
  <c r="M99" i="1" s="1"/>
  <c r="H78" i="1"/>
  <c r="H83" i="1"/>
  <c r="K621" i="1"/>
  <c r="O523" i="1"/>
  <c r="S523" i="1" s="1"/>
  <c r="J373" i="1"/>
  <c r="Q373" i="1"/>
  <c r="O433" i="1"/>
  <c r="M433" i="1" s="1"/>
  <c r="M445" i="1"/>
  <c r="J454" i="1"/>
  <c r="M369" i="1"/>
  <c r="P388" i="1"/>
  <c r="P390" i="1" s="1"/>
  <c r="O438" i="1"/>
  <c r="M438" i="1" s="1"/>
  <c r="P438" i="1"/>
  <c r="H322" i="1"/>
  <c r="H341" i="1"/>
  <c r="J333" i="1"/>
  <c r="Q333" i="1"/>
  <c r="S282" i="1"/>
  <c r="P282" i="1"/>
  <c r="O119" i="1"/>
  <c r="M119" i="1" s="1"/>
  <c r="J224" i="1"/>
  <c r="J230" i="1" s="1"/>
  <c r="M256" i="1"/>
  <c r="M181" i="1"/>
  <c r="S116" i="1"/>
  <c r="P116" i="1"/>
  <c r="O160" i="1"/>
  <c r="M160" i="1" s="1"/>
  <c r="M161" i="1" s="1"/>
  <c r="O353" i="1"/>
  <c r="M353" i="1" s="1"/>
  <c r="O190" i="1"/>
  <c r="M190" i="1" s="1"/>
  <c r="M192" i="1" s="1"/>
  <c r="M198" i="1" s="1"/>
  <c r="R89" i="1"/>
  <c r="J95" i="1"/>
  <c r="R705" i="1"/>
  <c r="S705" i="1"/>
  <c r="J578" i="1"/>
  <c r="J582" i="1" s="1"/>
  <c r="R573" i="1"/>
  <c r="T573" i="1" s="1"/>
  <c r="S573" i="1"/>
  <c r="M372" i="1"/>
  <c r="O553" i="1"/>
  <c r="O554" i="1" s="1"/>
  <c r="Q374" i="1"/>
  <c r="J374" i="1"/>
  <c r="Q379" i="1"/>
  <c r="J379" i="1"/>
  <c r="O299" i="1"/>
  <c r="P299" i="1" s="1"/>
  <c r="Q303" i="1"/>
  <c r="K121" i="1"/>
  <c r="R119" i="1"/>
  <c r="J134" i="1"/>
  <c r="Q134" i="1"/>
  <c r="J499" i="1"/>
  <c r="O576" i="1"/>
  <c r="M576" i="1" s="1"/>
  <c r="Q578" i="1"/>
  <c r="O524" i="1"/>
  <c r="M519" i="1"/>
  <c r="J461" i="1"/>
  <c r="Q461" i="1"/>
  <c r="O447" i="1"/>
  <c r="M447" i="1" s="1"/>
  <c r="J450" i="1"/>
  <c r="Q439" i="1"/>
  <c r="O437" i="1"/>
  <c r="M516" i="1"/>
  <c r="Q376" i="1"/>
  <c r="J376" i="1"/>
  <c r="H241" i="1"/>
  <c r="H236" i="1"/>
  <c r="O176" i="1"/>
  <c r="P176" i="1" s="1"/>
  <c r="Q191" i="1"/>
  <c r="P191" i="1" s="1"/>
  <c r="P302" i="1"/>
  <c r="O302" i="1"/>
  <c r="M302" i="1" s="1"/>
  <c r="J41" i="1"/>
  <c r="R35" i="1" s="1"/>
  <c r="O35" i="1"/>
  <c r="M35" i="1" s="1"/>
  <c r="J125" i="1"/>
  <c r="M116" i="1"/>
  <c r="O120" i="1"/>
  <c r="M120" i="1" s="1"/>
  <c r="P48" i="1"/>
  <c r="O48" i="1"/>
  <c r="H204" i="1"/>
  <c r="H209" i="1"/>
  <c r="Q131" i="1"/>
  <c r="Q132" i="1" s="1"/>
  <c r="J131" i="1"/>
  <c r="M24" i="1"/>
  <c r="Q101" i="1"/>
  <c r="J101" i="1"/>
  <c r="J102" i="1" s="1"/>
  <c r="O90" i="1"/>
  <c r="M90" i="1" s="1"/>
  <c r="M490" i="1"/>
  <c r="T617" i="1"/>
  <c r="Q617" i="1"/>
  <c r="P617" i="1" s="1"/>
  <c r="M388" i="1"/>
  <c r="M390" i="1" s="1"/>
  <c r="Q207" i="1"/>
  <c r="J207" i="1"/>
  <c r="P98" i="1"/>
  <c r="O28" i="1"/>
  <c r="S28" i="1" s="1"/>
  <c r="Q104" i="1"/>
  <c r="J104" i="1"/>
  <c r="J705" i="1"/>
  <c r="M695" i="1"/>
  <c r="M705" i="1" s="1"/>
  <c r="M707" i="1" s="1"/>
  <c r="M593" i="1"/>
  <c r="M596" i="1" s="1"/>
  <c r="J596" i="1"/>
  <c r="O676" i="1"/>
  <c r="M536" i="1"/>
  <c r="M542" i="1" s="1"/>
  <c r="J542" i="1"/>
  <c r="P599" i="1"/>
  <c r="P601" i="1" s="1"/>
  <c r="O599" i="1"/>
  <c r="Q601" i="1"/>
  <c r="J691" i="1"/>
  <c r="P625" i="1"/>
  <c r="P635" i="1" s="1"/>
  <c r="Q635" i="1"/>
  <c r="K521" i="1"/>
  <c r="O502" i="1"/>
  <c r="P502" i="1" s="1"/>
  <c r="J504" i="1"/>
  <c r="O577" i="1"/>
  <c r="M577" i="1" s="1"/>
  <c r="P519" i="1"/>
  <c r="H454" i="1"/>
  <c r="H463" i="1"/>
  <c r="H458" i="1"/>
  <c r="J516" i="1"/>
  <c r="P552" i="1"/>
  <c r="J365" i="1"/>
  <c r="M351" i="1"/>
  <c r="J320" i="1"/>
  <c r="O319" i="1" s="1"/>
  <c r="M319" i="1" s="1"/>
  <c r="M175" i="1"/>
  <c r="K296" i="1"/>
  <c r="S181" i="1"/>
  <c r="J81" i="1"/>
  <c r="Q81" i="1"/>
  <c r="Q358" i="1"/>
  <c r="M313" i="1"/>
  <c r="O449" i="1"/>
  <c r="M449" i="1" s="1"/>
  <c r="S395" i="1"/>
  <c r="P395" i="1"/>
  <c r="P399" i="1" s="1"/>
  <c r="Q399" i="1"/>
  <c r="M233" i="1"/>
  <c r="J258" i="1"/>
  <c r="Q258" i="1"/>
  <c r="H259" i="1"/>
  <c r="O261" i="1"/>
  <c r="P261" i="1"/>
  <c r="H178" i="1"/>
  <c r="H183" i="1"/>
  <c r="J289" i="1"/>
  <c r="O285" i="1" s="1"/>
  <c r="M285" i="1" s="1"/>
  <c r="O288" i="1"/>
  <c r="M288" i="1" s="1"/>
  <c r="T246" i="1"/>
  <c r="S10" i="1"/>
  <c r="P10" i="1"/>
  <c r="K161" i="1"/>
  <c r="O100" i="1"/>
  <c r="J168" i="1"/>
  <c r="R40" i="1"/>
  <c r="R36" i="1"/>
  <c r="R38" i="1"/>
  <c r="M637" i="1"/>
  <c r="J439" i="1"/>
  <c r="Q426" i="1"/>
  <c r="O457" i="1"/>
  <c r="P457" i="1" s="1"/>
  <c r="M399" i="1"/>
  <c r="S351" i="1"/>
  <c r="P351" i="1"/>
  <c r="Q427" i="1"/>
  <c r="Q294" i="1"/>
  <c r="P301" i="1"/>
  <c r="P295" i="1"/>
  <c r="O295" i="1"/>
  <c r="M98" i="1"/>
  <c r="J72" i="1"/>
  <c r="M66" i="1"/>
  <c r="M72" i="1" s="1"/>
  <c r="Q51" i="1"/>
  <c r="Q52" i="1" s="1"/>
  <c r="J51" i="1"/>
  <c r="O637" i="1"/>
  <c r="M556" i="1"/>
  <c r="J660" i="1"/>
  <c r="O401" i="1"/>
  <c r="O403" i="1" s="1"/>
  <c r="R359" i="1"/>
  <c r="M219" i="1"/>
  <c r="O235" i="1"/>
  <c r="M235" i="1" s="1"/>
  <c r="J303" i="1"/>
  <c r="M299" i="1"/>
  <c r="M220" i="1"/>
  <c r="O130" i="1"/>
  <c r="M130" i="1" s="1"/>
  <c r="K198" i="1"/>
  <c r="S674" i="1"/>
  <c r="M664" i="1"/>
  <c r="M674" i="1" s="1"/>
  <c r="J674" i="1"/>
  <c r="R656" i="1"/>
  <c r="T653" i="1"/>
  <c r="H487" i="1"/>
  <c r="H483" i="1"/>
  <c r="H492" i="1"/>
  <c r="K554" i="1"/>
  <c r="Q542" i="1"/>
  <c r="P573" i="1"/>
  <c r="T593" i="1"/>
  <c r="M553" i="1"/>
  <c r="M554" i="1" s="1"/>
  <c r="O384" i="1"/>
  <c r="M384" i="1" s="1"/>
  <c r="M306" i="1"/>
  <c r="J308" i="1"/>
  <c r="M383" i="1"/>
  <c r="S313" i="1"/>
  <c r="P313" i="1"/>
  <c r="O377" i="1"/>
  <c r="M377" i="1" s="1"/>
  <c r="M416" i="1"/>
  <c r="M419" i="1" s="1"/>
  <c r="J419" i="1"/>
  <c r="O354" i="1"/>
  <c r="M354" i="1" s="1"/>
  <c r="O337" i="1"/>
  <c r="Q339" i="1"/>
  <c r="M295" i="1"/>
  <c r="O359" i="1"/>
  <c r="M359" i="1" s="1"/>
  <c r="M360" i="1" s="1"/>
  <c r="O201" i="1"/>
  <c r="M201" i="1" s="1"/>
  <c r="Q102" i="1"/>
  <c r="P268" i="1"/>
  <c r="P272" i="1" s="1"/>
  <c r="H132" i="1"/>
  <c r="S86" i="1"/>
  <c r="P86" i="1"/>
  <c r="O14" i="1"/>
  <c r="M14" i="1" s="1"/>
  <c r="O12" i="1"/>
  <c r="M12" i="1" s="1"/>
  <c r="K16" i="1"/>
  <c r="J141" i="1"/>
  <c r="M139" i="1"/>
  <c r="M141" i="1" s="1"/>
  <c r="M145" i="1" s="1"/>
  <c r="O23" i="1"/>
  <c r="M23" i="1" s="1"/>
  <c r="H102" i="1"/>
  <c r="Q54" i="1"/>
  <c r="J54" i="1"/>
  <c r="J20" i="1"/>
  <c r="J25" i="1"/>
  <c r="Q25" i="1"/>
  <c r="M401" i="1" l="1"/>
  <c r="P130" i="1"/>
  <c r="P401" i="1"/>
  <c r="M520" i="1"/>
  <c r="P576" i="1"/>
  <c r="P553" i="1"/>
  <c r="O385" i="1"/>
  <c r="M523" i="1"/>
  <c r="P28" i="1"/>
  <c r="O223" i="1"/>
  <c r="M223" i="1" s="1"/>
  <c r="M403" i="1"/>
  <c r="P428" i="1"/>
  <c r="S401" i="1"/>
  <c r="P554" i="1"/>
  <c r="O521" i="1"/>
  <c r="O526" i="1"/>
  <c r="P384" i="1"/>
  <c r="P385" i="1" s="1"/>
  <c r="M502" i="1"/>
  <c r="S524" i="1"/>
  <c r="M91" i="1"/>
  <c r="M95" i="1" s="1"/>
  <c r="P230" i="1"/>
  <c r="R52" i="1"/>
  <c r="T35" i="1"/>
  <c r="Q35" i="1"/>
  <c r="S635" i="1"/>
  <c r="R635" i="1"/>
  <c r="J509" i="1"/>
  <c r="K499" i="1"/>
  <c r="O498" i="1"/>
  <c r="M498" i="1" s="1"/>
  <c r="R497" i="1"/>
  <c r="K635" i="1"/>
  <c r="J441" i="1"/>
  <c r="K419" i="1"/>
  <c r="H488" i="1"/>
  <c r="J487" i="1"/>
  <c r="Q487" i="1"/>
  <c r="O294" i="1"/>
  <c r="M294" i="1" s="1"/>
  <c r="M296" i="1" s="1"/>
  <c r="Q296" i="1"/>
  <c r="P294" i="1"/>
  <c r="R102" i="1"/>
  <c r="K303" i="1"/>
  <c r="S601" i="1"/>
  <c r="R601" i="1"/>
  <c r="J378" i="1"/>
  <c r="Q378" i="1"/>
  <c r="Q119" i="1"/>
  <c r="R422" i="1"/>
  <c r="Q368" i="1"/>
  <c r="P377" i="1"/>
  <c r="M308" i="1"/>
  <c r="S542" i="1"/>
  <c r="R542" i="1"/>
  <c r="O426" i="1"/>
  <c r="M426" i="1" s="1"/>
  <c r="T36" i="1"/>
  <c r="Q36" i="1"/>
  <c r="P100" i="1"/>
  <c r="J259" i="1"/>
  <c r="P521" i="1"/>
  <c r="M599" i="1"/>
  <c r="M601" i="1" s="1"/>
  <c r="O601" i="1"/>
  <c r="K596" i="1"/>
  <c r="J605" i="1"/>
  <c r="P131" i="1"/>
  <c r="P132" i="1" s="1"/>
  <c r="O131" i="1"/>
  <c r="O461" i="1"/>
  <c r="R578" i="1"/>
  <c r="Q78" i="1"/>
  <c r="J78" i="1"/>
  <c r="H79" i="1"/>
  <c r="Q120" i="1"/>
  <c r="P120" i="1" s="1"/>
  <c r="S308" i="1"/>
  <c r="R308" i="1"/>
  <c r="T308" i="1" s="1"/>
  <c r="M676" i="1"/>
  <c r="T220" i="1"/>
  <c r="Q220" i="1"/>
  <c r="P567" i="1"/>
  <c r="R563" i="1"/>
  <c r="K403" i="1"/>
  <c r="P431" i="1"/>
  <c r="S554" i="1"/>
  <c r="S556" i="1"/>
  <c r="R477" i="1"/>
  <c r="R475" i="1"/>
  <c r="R478" i="1"/>
  <c r="R476" i="1"/>
  <c r="K308" i="1"/>
  <c r="O497" i="1"/>
  <c r="M497" i="1" s="1"/>
  <c r="O427" i="1"/>
  <c r="M427" i="1" s="1"/>
  <c r="O258" i="1"/>
  <c r="O259" i="1" s="1"/>
  <c r="Q259" i="1"/>
  <c r="O207" i="1"/>
  <c r="M578" i="1"/>
  <c r="R504" i="1"/>
  <c r="O239" i="1"/>
  <c r="M239" i="1" s="1"/>
  <c r="P140" i="1"/>
  <c r="R140" i="1" s="1"/>
  <c r="P23" i="1"/>
  <c r="K20" i="1"/>
  <c r="P87" i="1"/>
  <c r="R87" i="1" s="1"/>
  <c r="R339" i="1"/>
  <c r="T339" i="1" s="1"/>
  <c r="P320" i="1"/>
  <c r="K102" i="1"/>
  <c r="T40" i="1"/>
  <c r="Q40" i="1"/>
  <c r="M100" i="1"/>
  <c r="J178" i="1"/>
  <c r="Q178" i="1"/>
  <c r="H179" i="1"/>
  <c r="H380" i="1"/>
  <c r="M605" i="1"/>
  <c r="K41" i="1"/>
  <c r="O36" i="1"/>
  <c r="M36" i="1" s="1"/>
  <c r="O40" i="1"/>
  <c r="M40" i="1" s="1"/>
  <c r="O38" i="1"/>
  <c r="M38" i="1" s="1"/>
  <c r="O39" i="1"/>
  <c r="M39" i="1" s="1"/>
  <c r="O37" i="1"/>
  <c r="M37" i="1" s="1"/>
  <c r="M41" i="1" s="1"/>
  <c r="M45" i="1" s="1"/>
  <c r="J45" i="1"/>
  <c r="R39" i="1"/>
  <c r="O578" i="1"/>
  <c r="P303" i="1"/>
  <c r="M355" i="1"/>
  <c r="M365" i="1" s="1"/>
  <c r="T67" i="1"/>
  <c r="Q67" i="1"/>
  <c r="Q90" i="1"/>
  <c r="P90" i="1" s="1"/>
  <c r="Q192" i="1"/>
  <c r="Q198" i="1" s="1"/>
  <c r="P189" i="1"/>
  <c r="O580" i="1"/>
  <c r="P580" i="1"/>
  <c r="Q605" i="1"/>
  <c r="R596" i="1"/>
  <c r="T596" i="1" s="1"/>
  <c r="S596" i="1"/>
  <c r="S521" i="1"/>
  <c r="R521" i="1"/>
  <c r="R423" i="1"/>
  <c r="Q369" i="1"/>
  <c r="P369" i="1" s="1"/>
  <c r="K479" i="1"/>
  <c r="J483" i="1"/>
  <c r="O477" i="1"/>
  <c r="M477" i="1" s="1"/>
  <c r="O476" i="1"/>
  <c r="M476" i="1" s="1"/>
  <c r="K320" i="1"/>
  <c r="O317" i="1"/>
  <c r="M317" i="1" s="1"/>
  <c r="O316" i="1"/>
  <c r="M316" i="1" s="1"/>
  <c r="O315" i="1"/>
  <c r="M315" i="1" s="1"/>
  <c r="O318" i="1"/>
  <c r="M318" i="1" s="1"/>
  <c r="Q89" i="1"/>
  <c r="O25" i="1"/>
  <c r="O26" i="1" s="1"/>
  <c r="Q26" i="1"/>
  <c r="T656" i="1"/>
  <c r="Q656" i="1"/>
  <c r="P656" i="1" s="1"/>
  <c r="K72" i="1"/>
  <c r="O374" i="1"/>
  <c r="P374" i="1"/>
  <c r="S385" i="1"/>
  <c r="P201" i="1"/>
  <c r="O339" i="1"/>
  <c r="S339" i="1" s="1"/>
  <c r="M337" i="1"/>
  <c r="M339" i="1" s="1"/>
  <c r="P235" i="1"/>
  <c r="S261" i="1"/>
  <c r="J322" i="1"/>
  <c r="O81" i="1"/>
  <c r="M261" i="1"/>
  <c r="K516" i="1"/>
  <c r="T516" i="1" s="1"/>
  <c r="J559" i="1"/>
  <c r="K542" i="1"/>
  <c r="J236" i="1"/>
  <c r="Q236" i="1"/>
  <c r="H237" i="1"/>
  <c r="O439" i="1"/>
  <c r="M437" i="1"/>
  <c r="M439" i="1" s="1"/>
  <c r="M521" i="1"/>
  <c r="R303" i="1"/>
  <c r="K224" i="1"/>
  <c r="R223" i="1"/>
  <c r="R222" i="1"/>
  <c r="O222" i="1"/>
  <c r="M222" i="1" s="1"/>
  <c r="M224" i="1" s="1"/>
  <c r="M230" i="1" s="1"/>
  <c r="P289" i="1"/>
  <c r="K454" i="1"/>
  <c r="P72" i="1"/>
  <c r="M75" i="1"/>
  <c r="M580" i="1"/>
  <c r="P660" i="1"/>
  <c r="M331" i="1"/>
  <c r="R496" i="1"/>
  <c r="P556" i="1"/>
  <c r="K230" i="1"/>
  <c r="O51" i="1"/>
  <c r="P51" i="1" s="1"/>
  <c r="P52" i="1" s="1"/>
  <c r="K168" i="1"/>
  <c r="O165" i="1"/>
  <c r="M165" i="1" s="1"/>
  <c r="O167" i="1"/>
  <c r="M167" i="1" s="1"/>
  <c r="J172" i="1"/>
  <c r="P161" i="1"/>
  <c r="T650" i="1"/>
  <c r="Q650" i="1"/>
  <c r="T38" i="1"/>
  <c r="Q38" i="1"/>
  <c r="P38" i="1" s="1"/>
  <c r="M131" i="1"/>
  <c r="J132" i="1"/>
  <c r="M176" i="1"/>
  <c r="J145" i="1"/>
  <c r="K141" i="1"/>
  <c r="P337" i="1"/>
  <c r="P339" i="1" s="1"/>
  <c r="K674" i="1"/>
  <c r="T674" i="1" s="1"/>
  <c r="M51" i="1"/>
  <c r="J52" i="1"/>
  <c r="Q458" i="1"/>
  <c r="J458" i="1"/>
  <c r="H459" i="1"/>
  <c r="P577" i="1"/>
  <c r="P578" i="1" s="1"/>
  <c r="K705" i="1"/>
  <c r="T705" i="1" s="1"/>
  <c r="O101" i="1"/>
  <c r="O102" i="1" s="1"/>
  <c r="P101" i="1"/>
  <c r="P102" i="1" s="1"/>
  <c r="P437" i="1"/>
  <c r="P439" i="1" s="1"/>
  <c r="O496" i="1"/>
  <c r="M496" i="1" s="1"/>
  <c r="M499" i="1" s="1"/>
  <c r="O303" i="1"/>
  <c r="S303" i="1" s="1"/>
  <c r="J106" i="1"/>
  <c r="K95" i="1"/>
  <c r="M121" i="1"/>
  <c r="M125" i="1" s="1"/>
  <c r="P523" i="1"/>
  <c r="P99" i="1"/>
  <c r="P75" i="1"/>
  <c r="Q190" i="1"/>
  <c r="P190" i="1" s="1"/>
  <c r="P331" i="1"/>
  <c r="P483" i="1"/>
  <c r="T651" i="1"/>
  <c r="Q651" i="1"/>
  <c r="O475" i="1"/>
  <c r="M475" i="1" s="1"/>
  <c r="M479" i="1" s="1"/>
  <c r="M483" i="1" s="1"/>
  <c r="S327" i="1"/>
  <c r="R327" i="1"/>
  <c r="T327" i="1" s="1"/>
  <c r="J676" i="1"/>
  <c r="K660" i="1"/>
  <c r="S187" i="1"/>
  <c r="K549" i="1"/>
  <c r="P16" i="1"/>
  <c r="P20" i="1"/>
  <c r="P358" i="1"/>
  <c r="B15" i="1"/>
  <c r="O54" i="1"/>
  <c r="P54" i="1" s="1"/>
  <c r="S54" i="1"/>
  <c r="R362" i="1"/>
  <c r="Q359" i="1"/>
  <c r="P359" i="1" s="1"/>
  <c r="R399" i="1"/>
  <c r="T399" i="1" s="1"/>
  <c r="Q403" i="1"/>
  <c r="S399" i="1"/>
  <c r="P611" i="1"/>
  <c r="P612" i="1"/>
  <c r="R612" i="1" s="1"/>
  <c r="O104" i="1"/>
  <c r="Q204" i="1"/>
  <c r="J204" i="1"/>
  <c r="H205" i="1"/>
  <c r="K125" i="1"/>
  <c r="J136" i="1"/>
  <c r="M524" i="1"/>
  <c r="O134" i="1"/>
  <c r="M134" i="1" s="1"/>
  <c r="O379" i="1"/>
  <c r="P379" i="1" s="1"/>
  <c r="P117" i="1"/>
  <c r="R117" i="1" s="1"/>
  <c r="O333" i="1"/>
  <c r="M333" i="1" s="1"/>
  <c r="Q334" i="1"/>
  <c r="P433" i="1"/>
  <c r="R132" i="1"/>
  <c r="K582" i="1"/>
  <c r="M425" i="1"/>
  <c r="M434" i="1" s="1"/>
  <c r="M441" i="1" s="1"/>
  <c r="P325" i="1"/>
  <c r="J26" i="1"/>
  <c r="M16" i="1"/>
  <c r="M20" i="1" s="1"/>
  <c r="M385" i="1"/>
  <c r="M303" i="1"/>
  <c r="R37" i="1"/>
  <c r="O166" i="1"/>
  <c r="M166" i="1" s="1"/>
  <c r="K289" i="1"/>
  <c r="O284" i="1"/>
  <c r="M284" i="1" s="1"/>
  <c r="J291" i="1"/>
  <c r="O286" i="1"/>
  <c r="M286" i="1" s="1"/>
  <c r="P403" i="1"/>
  <c r="K365" i="1"/>
  <c r="M457" i="1"/>
  <c r="K504" i="1"/>
  <c r="O503" i="1"/>
  <c r="J707" i="1"/>
  <c r="K691" i="1"/>
  <c r="T691" i="1" s="1"/>
  <c r="R498" i="1"/>
  <c r="M28" i="1"/>
  <c r="O52" i="1"/>
  <c r="M48" i="1"/>
  <c r="M52" i="1" s="1"/>
  <c r="O376" i="1"/>
  <c r="P376" i="1" s="1"/>
  <c r="K450" i="1"/>
  <c r="O448" i="1"/>
  <c r="M448" i="1" s="1"/>
  <c r="M450" i="1" s="1"/>
  <c r="M454" i="1" s="1"/>
  <c r="P524" i="1"/>
  <c r="M374" i="1"/>
  <c r="K578" i="1"/>
  <c r="O287" i="1"/>
  <c r="M287" i="1" s="1"/>
  <c r="J334" i="1"/>
  <c r="P373" i="1"/>
  <c r="O373" i="1"/>
  <c r="M373" i="1" s="1"/>
  <c r="J637" i="1"/>
  <c r="O132" i="1"/>
  <c r="M128" i="1"/>
  <c r="J263" i="1"/>
  <c r="K252" i="1"/>
  <c r="O557" i="1"/>
  <c r="M557" i="1" s="1"/>
  <c r="M559" i="1" s="1"/>
  <c r="S707" i="1"/>
  <c r="R707" i="1"/>
  <c r="M54" i="1" l="1"/>
  <c r="M56" i="1"/>
  <c r="P239" i="1"/>
  <c r="S134" i="1"/>
  <c r="S239" i="1"/>
  <c r="Q660" i="1"/>
  <c r="M132" i="1"/>
  <c r="M376" i="1"/>
  <c r="P40" i="1"/>
  <c r="P125" i="1"/>
  <c r="M379" i="1"/>
  <c r="M25" i="1"/>
  <c r="M26" i="1" s="1"/>
  <c r="P426" i="1"/>
  <c r="Q360" i="1"/>
  <c r="O30" i="1"/>
  <c r="O106" i="1"/>
  <c r="S102" i="1"/>
  <c r="K334" i="1"/>
  <c r="T37" i="1"/>
  <c r="Q37" i="1"/>
  <c r="P37" i="1" s="1"/>
  <c r="P207" i="1"/>
  <c r="J526" i="1"/>
  <c r="K509" i="1"/>
  <c r="O136" i="1"/>
  <c r="M207" i="1"/>
  <c r="P503" i="1"/>
  <c r="P504" i="1" s="1"/>
  <c r="P509" i="1" s="1"/>
  <c r="P526" i="1" s="1"/>
  <c r="M503" i="1"/>
  <c r="M504" i="1" s="1"/>
  <c r="J310" i="1"/>
  <c r="K291" i="1"/>
  <c r="K136" i="1"/>
  <c r="P104" i="1"/>
  <c r="R14" i="1"/>
  <c r="R13" i="1"/>
  <c r="R15" i="1"/>
  <c r="O458" i="1"/>
  <c r="O459" i="1" s="1"/>
  <c r="P458" i="1"/>
  <c r="P459" i="1" s="1"/>
  <c r="Q459" i="1"/>
  <c r="K132" i="1"/>
  <c r="R284" i="1"/>
  <c r="R288" i="1"/>
  <c r="R285" i="1"/>
  <c r="R286" i="1"/>
  <c r="R287" i="1"/>
  <c r="T303" i="1"/>
  <c r="M320" i="1"/>
  <c r="M322" i="1" s="1"/>
  <c r="O582" i="1"/>
  <c r="T140" i="1"/>
  <c r="Q140" i="1"/>
  <c r="T504" i="1"/>
  <c r="K605" i="1"/>
  <c r="K259" i="1"/>
  <c r="K441" i="1"/>
  <c r="T635" i="1"/>
  <c r="T132" i="1"/>
  <c r="J237" i="1"/>
  <c r="O434" i="1"/>
  <c r="R334" i="1"/>
  <c r="T334" i="1" s="1"/>
  <c r="S104" i="1"/>
  <c r="S403" i="1"/>
  <c r="R403" i="1"/>
  <c r="T403" i="1" s="1"/>
  <c r="K676" i="1"/>
  <c r="M81" i="1"/>
  <c r="M104" i="1"/>
  <c r="P291" i="1"/>
  <c r="M101" i="1"/>
  <c r="M102" i="1" s="1"/>
  <c r="S81" i="1"/>
  <c r="S26" i="1"/>
  <c r="R26" i="1"/>
  <c r="S580" i="1"/>
  <c r="S67" i="1"/>
  <c r="Q72" i="1"/>
  <c r="P95" i="1"/>
  <c r="P141" i="1"/>
  <c r="R259" i="1"/>
  <c r="S259" i="1"/>
  <c r="T476" i="1"/>
  <c r="Q476" i="1"/>
  <c r="P476" i="1" s="1"/>
  <c r="S578" i="1"/>
  <c r="M258" i="1"/>
  <c r="M259" i="1" s="1"/>
  <c r="M263" i="1" s="1"/>
  <c r="P368" i="1"/>
  <c r="Q380" i="1"/>
  <c r="R296" i="1"/>
  <c r="T296" i="1" s="1"/>
  <c r="S296" i="1"/>
  <c r="J380" i="1"/>
  <c r="M30" i="1"/>
  <c r="O56" i="1"/>
  <c r="K26" i="1"/>
  <c r="K637" i="1"/>
  <c r="M289" i="1"/>
  <c r="M291" i="1" s="1"/>
  <c r="M310" i="1" s="1"/>
  <c r="O334" i="1"/>
  <c r="S334" i="1" s="1"/>
  <c r="K483" i="1"/>
  <c r="M461" i="1"/>
  <c r="O178" i="1"/>
  <c r="O179" i="1" s="1"/>
  <c r="Q179" i="1"/>
  <c r="R318" i="1"/>
  <c r="R316" i="1"/>
  <c r="R315" i="1"/>
  <c r="R317" i="1"/>
  <c r="R319" i="1"/>
  <c r="T87" i="1"/>
  <c r="Q87" i="1"/>
  <c r="M582" i="1"/>
  <c r="O263" i="1"/>
  <c r="T478" i="1"/>
  <c r="Q478" i="1"/>
  <c r="P478" i="1" s="1"/>
  <c r="O559" i="1"/>
  <c r="O204" i="1"/>
  <c r="O205" i="1" s="1"/>
  <c r="Q205" i="1"/>
  <c r="Q209" i="1"/>
  <c r="R198" i="1"/>
  <c r="T198" i="1" s="1"/>
  <c r="S198" i="1"/>
  <c r="J459" i="1"/>
  <c r="P557" i="1"/>
  <c r="S557" i="1"/>
  <c r="T498" i="1"/>
  <c r="Q498" i="1"/>
  <c r="P498" i="1" s="1"/>
  <c r="P333" i="1"/>
  <c r="P334" i="1" s="1"/>
  <c r="P134" i="1"/>
  <c r="M204" i="1"/>
  <c r="M205" i="1" s="1"/>
  <c r="M209" i="1" s="1"/>
  <c r="J205" i="1"/>
  <c r="B16" i="1"/>
  <c r="K106" i="1"/>
  <c r="R159" i="1"/>
  <c r="P168" i="1"/>
  <c r="R158" i="1"/>
  <c r="R160" i="1"/>
  <c r="P81" i="1"/>
  <c r="P25" i="1"/>
  <c r="P26" i="1" s="1"/>
  <c r="T39" i="1"/>
  <c r="Q39" i="1"/>
  <c r="P39" i="1" s="1"/>
  <c r="J179" i="1"/>
  <c r="J183" i="1" s="1"/>
  <c r="P322" i="1"/>
  <c r="P258" i="1"/>
  <c r="P259" i="1" s="1"/>
  <c r="P263" i="1" s="1"/>
  <c r="P245" i="1" s="1"/>
  <c r="R245" i="1" s="1"/>
  <c r="T475" i="1"/>
  <c r="Q475" i="1"/>
  <c r="S461" i="1"/>
  <c r="O605" i="1"/>
  <c r="P36" i="1"/>
  <c r="T542" i="1"/>
  <c r="Q422" i="1"/>
  <c r="O487" i="1"/>
  <c r="O488" i="1" s="1"/>
  <c r="Q488" i="1"/>
  <c r="Q612" i="1"/>
  <c r="T612" i="1"/>
  <c r="O310" i="1"/>
  <c r="K52" i="1"/>
  <c r="T52" i="1" s="1"/>
  <c r="K145" i="1"/>
  <c r="K172" i="1"/>
  <c r="Q222" i="1"/>
  <c r="K559" i="1"/>
  <c r="J341" i="1"/>
  <c r="K322" i="1"/>
  <c r="J56" i="1"/>
  <c r="K45" i="1"/>
  <c r="J30" i="1"/>
  <c r="T477" i="1"/>
  <c r="Q477" i="1"/>
  <c r="P477" i="1" s="1"/>
  <c r="Q563" i="1"/>
  <c r="T563" i="1"/>
  <c r="J79" i="1"/>
  <c r="Q121" i="1"/>
  <c r="P119" i="1"/>
  <c r="J488" i="1"/>
  <c r="J492" i="1" s="1"/>
  <c r="T497" i="1"/>
  <c r="Q497" i="1"/>
  <c r="P497" i="1" s="1"/>
  <c r="Q41" i="1"/>
  <c r="P35" i="1"/>
  <c r="S52" i="1"/>
  <c r="R611" i="1"/>
  <c r="P621" i="1"/>
  <c r="M509" i="1"/>
  <c r="M526" i="1" s="1"/>
  <c r="T117" i="1"/>
  <c r="Q117" i="1"/>
  <c r="T362" i="1"/>
  <c r="Q362" i="1"/>
  <c r="P362" i="1" s="1"/>
  <c r="P355" i="1" s="1"/>
  <c r="R360" i="1"/>
  <c r="T360" i="1" s="1"/>
  <c r="S660" i="1"/>
  <c r="R660" i="1"/>
  <c r="T660" i="1" s="1"/>
  <c r="Q676" i="1"/>
  <c r="R545" i="1"/>
  <c r="T496" i="1"/>
  <c r="Q496" i="1"/>
  <c r="Q223" i="1"/>
  <c r="P223" i="1" s="1"/>
  <c r="Q91" i="1"/>
  <c r="P89" i="1"/>
  <c r="R605" i="1"/>
  <c r="T605" i="1" s="1"/>
  <c r="S605" i="1"/>
  <c r="R192" i="1"/>
  <c r="T192" i="1" s="1"/>
  <c r="P427" i="1"/>
  <c r="M136" i="1"/>
  <c r="P78" i="1"/>
  <c r="P79" i="1" s="1"/>
  <c r="O78" i="1"/>
  <c r="O79" i="1" s="1"/>
  <c r="Q79" i="1"/>
  <c r="P461" i="1"/>
  <c r="P450" i="1" s="1"/>
  <c r="K263" i="1"/>
  <c r="K707" i="1"/>
  <c r="T707" i="1" s="1"/>
  <c r="S132" i="1"/>
  <c r="M168" i="1"/>
  <c r="M172" i="1" s="1"/>
  <c r="M334" i="1"/>
  <c r="O236" i="1"/>
  <c r="O237" i="1" s="1"/>
  <c r="Q237" i="1"/>
  <c r="Q423" i="1"/>
  <c r="P423" i="1" s="1"/>
  <c r="S207" i="1"/>
  <c r="S220" i="1"/>
  <c r="P378" i="1"/>
  <c r="O378" i="1"/>
  <c r="M378" i="1" s="1"/>
  <c r="T102" i="1"/>
  <c r="T26" i="1" l="1"/>
  <c r="M380" i="1"/>
  <c r="M392" i="1" s="1"/>
  <c r="P236" i="1"/>
  <c r="P237" i="1" s="1"/>
  <c r="P204" i="1"/>
  <c r="P205" i="1" s="1"/>
  <c r="T259" i="1"/>
  <c r="M78" i="1"/>
  <c r="M79" i="1" s="1"/>
  <c r="M83" i="1" s="1"/>
  <c r="M106" i="1"/>
  <c r="K183" i="1"/>
  <c r="K492" i="1"/>
  <c r="R167" i="1"/>
  <c r="R165" i="1"/>
  <c r="R166" i="1"/>
  <c r="T13" i="1"/>
  <c r="Q13" i="1"/>
  <c r="P13" i="1" s="1"/>
  <c r="R91" i="1"/>
  <c r="T91" i="1" s="1"/>
  <c r="R121" i="1"/>
  <c r="T121" i="1" s="1"/>
  <c r="Q224" i="1"/>
  <c r="P222" i="1"/>
  <c r="P422" i="1"/>
  <c r="P434" i="1" s="1"/>
  <c r="P414" i="1" s="1"/>
  <c r="Q434" i="1"/>
  <c r="Q479" i="1"/>
  <c r="P475" i="1"/>
  <c r="P172" i="1"/>
  <c r="B18" i="1"/>
  <c r="T319" i="1"/>
  <c r="Q319" i="1"/>
  <c r="P319" i="1" s="1"/>
  <c r="R380" i="1"/>
  <c r="M236" i="1"/>
  <c r="M237" i="1" s="1"/>
  <c r="M241" i="1" s="1"/>
  <c r="T284" i="1"/>
  <c r="Q284" i="1"/>
  <c r="Q14" i="1"/>
  <c r="P14" i="1" s="1"/>
  <c r="T14" i="1"/>
  <c r="K310" i="1"/>
  <c r="S117" i="1"/>
  <c r="Q125" i="1"/>
  <c r="S41" i="1"/>
  <c r="R41" i="1"/>
  <c r="T41" i="1" s="1"/>
  <c r="Q45" i="1"/>
  <c r="K79" i="1"/>
  <c r="J83" i="1"/>
  <c r="K30" i="1"/>
  <c r="T159" i="1"/>
  <c r="Q159" i="1"/>
  <c r="P159" i="1" s="1"/>
  <c r="R209" i="1"/>
  <c r="T317" i="1"/>
  <c r="Q317" i="1"/>
  <c r="P317" i="1" s="1"/>
  <c r="P380" i="1"/>
  <c r="O380" i="1"/>
  <c r="M341" i="1"/>
  <c r="Q12" i="1"/>
  <c r="T12" i="1"/>
  <c r="R353" i="1"/>
  <c r="R354" i="1"/>
  <c r="P365" i="1"/>
  <c r="T245" i="1"/>
  <c r="Q245" i="1"/>
  <c r="S205" i="1"/>
  <c r="R205" i="1"/>
  <c r="T315" i="1"/>
  <c r="Q315" i="1"/>
  <c r="K526" i="1"/>
  <c r="T288" i="1"/>
  <c r="Q288" i="1"/>
  <c r="P288" i="1" s="1"/>
  <c r="O241" i="1"/>
  <c r="K56" i="1"/>
  <c r="O209" i="1"/>
  <c r="T316" i="1"/>
  <c r="Q316" i="1"/>
  <c r="P316" i="1" s="1"/>
  <c r="O341" i="1"/>
  <c r="S140" i="1"/>
  <c r="Q141" i="1"/>
  <c r="S459" i="1"/>
  <c r="R459" i="1"/>
  <c r="O183" i="1"/>
  <c r="R449" i="1"/>
  <c r="R447" i="1"/>
  <c r="R448" i="1"/>
  <c r="P454" i="1"/>
  <c r="P496" i="1"/>
  <c r="Q499" i="1"/>
  <c r="K179" i="1"/>
  <c r="T318" i="1"/>
  <c r="Q318" i="1"/>
  <c r="P318" i="1" s="1"/>
  <c r="K380" i="1"/>
  <c r="J392" i="1"/>
  <c r="Q83" i="1"/>
  <c r="S72" i="1"/>
  <c r="R72" i="1"/>
  <c r="T72" i="1" s="1"/>
  <c r="O441" i="1"/>
  <c r="T287" i="1"/>
  <c r="Q287" i="1"/>
  <c r="P287" i="1" s="1"/>
  <c r="O492" i="1"/>
  <c r="K205" i="1"/>
  <c r="J209" i="1"/>
  <c r="K237" i="1"/>
  <c r="J241" i="1"/>
  <c r="S79" i="1"/>
  <c r="R79" i="1"/>
  <c r="K488" i="1"/>
  <c r="K341" i="1"/>
  <c r="S488" i="1"/>
  <c r="R488" i="1"/>
  <c r="M178" i="1"/>
  <c r="M179" i="1" s="1"/>
  <c r="M183" i="1" s="1"/>
  <c r="S87" i="1"/>
  <c r="Q95" i="1"/>
  <c r="S179" i="1"/>
  <c r="R179" i="1"/>
  <c r="T286" i="1"/>
  <c r="Q286" i="1"/>
  <c r="P286" i="1" s="1"/>
  <c r="O463" i="1"/>
  <c r="R676" i="1"/>
  <c r="T676" i="1" s="1"/>
  <c r="S676" i="1"/>
  <c r="S237" i="1"/>
  <c r="R237" i="1"/>
  <c r="S563" i="1"/>
  <c r="Q567" i="1"/>
  <c r="T160" i="1"/>
  <c r="Q160" i="1"/>
  <c r="P160" i="1" s="1"/>
  <c r="K459" i="1"/>
  <c r="J463" i="1"/>
  <c r="O83" i="1"/>
  <c r="T545" i="1"/>
  <c r="Q545" i="1"/>
  <c r="T611" i="1"/>
  <c r="Q611" i="1"/>
  <c r="Q621" i="1" s="1"/>
  <c r="M487" i="1"/>
  <c r="M488" i="1" s="1"/>
  <c r="M492" i="1" s="1"/>
  <c r="P487" i="1"/>
  <c r="P488" i="1" s="1"/>
  <c r="T158" i="1"/>
  <c r="Q158" i="1"/>
  <c r="M458" i="1"/>
  <c r="M459" i="1" s="1"/>
  <c r="M463" i="1" s="1"/>
  <c r="P178" i="1"/>
  <c r="P179" i="1" s="1"/>
  <c r="T285" i="1"/>
  <c r="Q285" i="1"/>
  <c r="P285" i="1" s="1"/>
  <c r="T15" i="1"/>
  <c r="Q15" i="1"/>
  <c r="P15" i="1" s="1"/>
  <c r="M709" i="1" l="1"/>
  <c r="T237" i="1"/>
  <c r="T79" i="1"/>
  <c r="K463" i="1"/>
  <c r="T179" i="1"/>
  <c r="O392" i="1"/>
  <c r="P284" i="1"/>
  <c r="Q289" i="1"/>
  <c r="B20" i="1"/>
  <c r="T167" i="1"/>
  <c r="Q167" i="1"/>
  <c r="P167" i="1" s="1"/>
  <c r="T165" i="1"/>
  <c r="Q165" i="1"/>
  <c r="K241" i="1"/>
  <c r="S245" i="1"/>
  <c r="Q252" i="1"/>
  <c r="Q509" i="1"/>
  <c r="S499" i="1"/>
  <c r="R499" i="1"/>
  <c r="T499" i="1" s="1"/>
  <c r="T380" i="1"/>
  <c r="S479" i="1"/>
  <c r="R479" i="1"/>
  <c r="T479" i="1" s="1"/>
  <c r="Q483" i="1"/>
  <c r="J709" i="1"/>
  <c r="Q56" i="1"/>
  <c r="S45" i="1"/>
  <c r="R45" i="1"/>
  <c r="T45" i="1" s="1"/>
  <c r="R95" i="1"/>
  <c r="T95" i="1" s="1"/>
  <c r="S95" i="1"/>
  <c r="Q106" i="1"/>
  <c r="Q145" i="1"/>
  <c r="S141" i="1"/>
  <c r="R141" i="1"/>
  <c r="T141" i="1" s="1"/>
  <c r="P315" i="1"/>
  <c r="Q320" i="1"/>
  <c r="Q136" i="1"/>
  <c r="S125" i="1"/>
  <c r="R125" i="1"/>
  <c r="T125" i="1" s="1"/>
  <c r="S380" i="1"/>
  <c r="K209" i="1"/>
  <c r="T209" i="1" s="1"/>
  <c r="S83" i="1"/>
  <c r="R83" i="1"/>
  <c r="K83" i="1"/>
  <c r="R414" i="1"/>
  <c r="P419" i="1"/>
  <c r="T449" i="1"/>
  <c r="Q449" i="1"/>
  <c r="P449" i="1" s="1"/>
  <c r="P545" i="1"/>
  <c r="P549" i="1" s="1"/>
  <c r="P559" i="1" s="1"/>
  <c r="S545" i="1"/>
  <c r="Q549" i="1"/>
  <c r="K392" i="1"/>
  <c r="T448" i="1"/>
  <c r="Q448" i="1"/>
  <c r="P448" i="1" s="1"/>
  <c r="T354" i="1"/>
  <c r="Q354" i="1"/>
  <c r="P354" i="1" s="1"/>
  <c r="S621" i="1"/>
  <c r="R621" i="1"/>
  <c r="T621" i="1" s="1"/>
  <c r="Q637" i="1"/>
  <c r="P158" i="1"/>
  <c r="Q161" i="1"/>
  <c r="Q582" i="1"/>
  <c r="R567" i="1"/>
  <c r="T567" i="1" s="1"/>
  <c r="S567" i="1"/>
  <c r="T447" i="1"/>
  <c r="Q447" i="1"/>
  <c r="T205" i="1"/>
  <c r="T353" i="1"/>
  <c r="Q353" i="1"/>
  <c r="Q16" i="1"/>
  <c r="P12" i="1"/>
  <c r="S209" i="1"/>
  <c r="R224" i="1"/>
  <c r="T224" i="1" s="1"/>
  <c r="Q230" i="1"/>
  <c r="T166" i="1"/>
  <c r="Q166" i="1"/>
  <c r="P166" i="1" s="1"/>
  <c r="T83" i="1" l="1"/>
  <c r="S320" i="1"/>
  <c r="R320" i="1"/>
  <c r="T320" i="1" s="1"/>
  <c r="Q322" i="1"/>
  <c r="S136" i="1"/>
  <c r="R136" i="1"/>
  <c r="T136" i="1" s="1"/>
  <c r="S161" i="1"/>
  <c r="R161" i="1"/>
  <c r="T161" i="1" s="1"/>
  <c r="S582" i="1"/>
  <c r="R582" i="1"/>
  <c r="T582" i="1" s="1"/>
  <c r="S56" i="1"/>
  <c r="R56" i="1"/>
  <c r="T56" i="1" s="1"/>
  <c r="Q263" i="1"/>
  <c r="S252" i="1"/>
  <c r="R252" i="1"/>
  <c r="T252" i="1" s="1"/>
  <c r="O709" i="1"/>
  <c r="B22" i="1"/>
  <c r="Q450" i="1"/>
  <c r="P447" i="1"/>
  <c r="Q241" i="1"/>
  <c r="S230" i="1"/>
  <c r="R230" i="1"/>
  <c r="T230" i="1" s="1"/>
  <c r="R145" i="1"/>
  <c r="T145" i="1" s="1"/>
  <c r="S145" i="1"/>
  <c r="Q492" i="1"/>
  <c r="R483" i="1"/>
  <c r="T483" i="1" s="1"/>
  <c r="S483" i="1"/>
  <c r="S637" i="1"/>
  <c r="R637" i="1"/>
  <c r="T637" i="1" s="1"/>
  <c r="S16" i="1"/>
  <c r="R16" i="1"/>
  <c r="T16" i="1" s="1"/>
  <c r="Q414" i="1"/>
  <c r="T414" i="1"/>
  <c r="S106" i="1"/>
  <c r="R106" i="1"/>
  <c r="T106" i="1" s="1"/>
  <c r="Q526" i="1"/>
  <c r="S509" i="1"/>
  <c r="R509" i="1"/>
  <c r="T509" i="1" s="1"/>
  <c r="Q355" i="1"/>
  <c r="P353" i="1"/>
  <c r="S549" i="1"/>
  <c r="R549" i="1"/>
  <c r="T549" i="1" s="1"/>
  <c r="Q559" i="1"/>
  <c r="Q168" i="1"/>
  <c r="Q172" i="1" s="1"/>
  <c r="P165" i="1"/>
  <c r="S289" i="1"/>
  <c r="R289" i="1"/>
  <c r="T289" i="1" s="1"/>
  <c r="Q291" i="1"/>
  <c r="R172" i="1" l="1"/>
  <c r="T172" i="1" s="1"/>
  <c r="Q183" i="1"/>
  <c r="S172" i="1"/>
  <c r="S414" i="1"/>
  <c r="Q419" i="1"/>
  <c r="S263" i="1"/>
  <c r="R263" i="1"/>
  <c r="T263" i="1" s="1"/>
  <c r="S526" i="1"/>
  <c r="R526" i="1"/>
  <c r="T526" i="1" s="1"/>
  <c r="S492" i="1"/>
  <c r="R492" i="1"/>
  <c r="T492" i="1" s="1"/>
  <c r="S241" i="1"/>
  <c r="R241" i="1"/>
  <c r="T241" i="1" s="1"/>
  <c r="R168" i="1"/>
  <c r="T168" i="1" s="1"/>
  <c r="S168" i="1"/>
  <c r="Q30" i="1"/>
  <c r="S20" i="1"/>
  <c r="T20" i="1"/>
  <c r="R291" i="1"/>
  <c r="T291" i="1" s="1"/>
  <c r="Q310" i="1"/>
  <c r="S291" i="1"/>
  <c r="S450" i="1"/>
  <c r="R450" i="1"/>
  <c r="T450" i="1" s="1"/>
  <c r="Q454" i="1"/>
  <c r="R559" i="1"/>
  <c r="T559" i="1" s="1"/>
  <c r="S559" i="1"/>
  <c r="S355" i="1"/>
  <c r="R355" i="1"/>
  <c r="T355" i="1" s="1"/>
  <c r="Q365" i="1"/>
  <c r="B23" i="1"/>
  <c r="Q341" i="1"/>
  <c r="S322" i="1"/>
  <c r="R322" i="1"/>
  <c r="T322" i="1" s="1"/>
  <c r="S30" i="1" l="1"/>
  <c r="R30" i="1"/>
  <c r="T30" i="1" s="1"/>
  <c r="Q441" i="1"/>
  <c r="S419" i="1"/>
  <c r="R419" i="1"/>
  <c r="T419" i="1" s="1"/>
  <c r="S310" i="1"/>
  <c r="R310" i="1"/>
  <c r="T310" i="1" s="1"/>
  <c r="B24" i="1"/>
  <c r="B25" i="1" s="1"/>
  <c r="B26" i="1" s="1"/>
  <c r="B28" i="1" s="1"/>
  <c r="B30" i="1" s="1"/>
  <c r="B33" i="1" s="1"/>
  <c r="B35" i="1" s="1"/>
  <c r="B36" i="1" s="1"/>
  <c r="B37" i="1" s="1"/>
  <c r="B38" i="1" s="1"/>
  <c r="B39" i="1" s="1"/>
  <c r="B40" i="1" s="1"/>
  <c r="B41" i="1" s="1"/>
  <c r="B43" i="1" s="1"/>
  <c r="B45" i="1" s="1"/>
  <c r="B48" i="1" s="1"/>
  <c r="B49" i="1" s="1"/>
  <c r="B50" i="1" s="1"/>
  <c r="B51" i="1" s="1"/>
  <c r="B52" i="1" s="1"/>
  <c r="B54" i="1" s="1"/>
  <c r="B56" i="1" s="1"/>
  <c r="B66" i="1" s="1"/>
  <c r="B67" i="1" s="1"/>
  <c r="B68" i="1" s="1"/>
  <c r="B70" i="1" s="1"/>
  <c r="B72" i="1" s="1"/>
  <c r="B75" i="1" s="1"/>
  <c r="B76" i="1" s="1"/>
  <c r="B77" i="1" s="1"/>
  <c r="B78" i="1" s="1"/>
  <c r="B79" i="1" s="1"/>
  <c r="B81" i="1" s="1"/>
  <c r="B83" i="1" s="1"/>
  <c r="B86" i="1" s="1"/>
  <c r="B87" i="1" s="1"/>
  <c r="B89" i="1" s="1"/>
  <c r="B90" i="1" s="1"/>
  <c r="B91" i="1" s="1"/>
  <c r="B93" i="1" s="1"/>
  <c r="B95" i="1" s="1"/>
  <c r="B98" i="1" s="1"/>
  <c r="B99" i="1" s="1"/>
  <c r="B100" i="1" s="1"/>
  <c r="B101" i="1" s="1"/>
  <c r="B102" i="1" s="1"/>
  <c r="B104" i="1" s="1"/>
  <c r="B106" i="1" s="1"/>
  <c r="B116" i="1" s="1"/>
  <c r="B117" i="1" s="1"/>
  <c r="B119" i="1" s="1"/>
  <c r="B120" i="1" s="1"/>
  <c r="B121" i="1" s="1"/>
  <c r="B123" i="1" s="1"/>
  <c r="B125" i="1" s="1"/>
  <c r="B128" i="1" s="1"/>
  <c r="B129" i="1" s="1"/>
  <c r="B130" i="1" s="1"/>
  <c r="B131" i="1" s="1"/>
  <c r="B132" i="1" s="1"/>
  <c r="B134" i="1" s="1"/>
  <c r="B136" i="1" s="1"/>
  <c r="B139" i="1" s="1"/>
  <c r="B140" i="1" s="1"/>
  <c r="B141" i="1" s="1"/>
  <c r="B143" i="1" s="1"/>
  <c r="B145" i="1" s="1"/>
  <c r="B155" i="1" s="1"/>
  <c r="B158" i="1" s="1"/>
  <c r="B159" i="1" s="1"/>
  <c r="B160" i="1" s="1"/>
  <c r="B161" i="1" s="1"/>
  <c r="B165" i="1" s="1"/>
  <c r="B166" i="1" s="1"/>
  <c r="B167" i="1" s="1"/>
  <c r="B168" i="1" s="1"/>
  <c r="B170" i="1" s="1"/>
  <c r="B172" i="1" s="1"/>
  <c r="B175" i="1" s="1"/>
  <c r="B176" i="1" s="1"/>
  <c r="B177" i="1" s="1"/>
  <c r="B178" i="1" s="1"/>
  <c r="B179" i="1" s="1"/>
  <c r="B181" i="1" s="1"/>
  <c r="B183" i="1" s="1"/>
  <c r="B186" i="1" s="1"/>
  <c r="B187" i="1" s="1"/>
  <c r="B189" i="1" s="1"/>
  <c r="B190" i="1" s="1"/>
  <c r="B191" i="1" s="1"/>
  <c r="B192" i="1" s="1"/>
  <c r="B194" i="1" s="1"/>
  <c r="B196" i="1" s="1"/>
  <c r="B198" i="1" s="1"/>
  <c r="B201" i="1" s="1"/>
  <c r="B202" i="1" s="1"/>
  <c r="B203" i="1" s="1"/>
  <c r="B204" i="1" s="1"/>
  <c r="B205" i="1" s="1"/>
  <c r="B207" i="1" s="1"/>
  <c r="B209" i="1" s="1"/>
  <c r="B219" i="1" s="1"/>
  <c r="B220" i="1" s="1"/>
  <c r="B222" i="1" s="1"/>
  <c r="B223" i="1" s="1"/>
  <c r="B224" i="1" s="1"/>
  <c r="B226" i="1" s="1"/>
  <c r="B228" i="1" s="1"/>
  <c r="B230" i="1" s="1"/>
  <c r="B233" i="1" s="1"/>
  <c r="B234" i="1" s="1"/>
  <c r="B235" i="1" s="1"/>
  <c r="B236" i="1" s="1"/>
  <c r="B237" i="1" s="1"/>
  <c r="B239" i="1" s="1"/>
  <c r="B241" i="1" s="1"/>
  <c r="B244" i="1" s="1"/>
  <c r="B245" i="1" s="1"/>
  <c r="B246" i="1" s="1"/>
  <c r="B248" i="1" s="1"/>
  <c r="B250" i="1" s="1"/>
  <c r="B252" i="1" s="1"/>
  <c r="B255" i="1" s="1"/>
  <c r="B256" i="1" s="1"/>
  <c r="B257" i="1" s="1"/>
  <c r="B258" i="1" s="1"/>
  <c r="B259" i="1" s="1"/>
  <c r="B261" i="1" s="1"/>
  <c r="B263" i="1" s="1"/>
  <c r="B266" i="1" s="1"/>
  <c r="B267" i="1" s="1"/>
  <c r="B268" i="1" s="1"/>
  <c r="B270" i="1" s="1"/>
  <c r="B272" i="1" s="1"/>
  <c r="B282" i="1" s="1"/>
  <c r="B284" i="1" s="1"/>
  <c r="B285" i="1" s="1"/>
  <c r="B286" i="1" s="1"/>
  <c r="B287" i="1" s="1"/>
  <c r="B288" i="1" s="1"/>
  <c r="B289" i="1" s="1"/>
  <c r="B291" i="1" s="1"/>
  <c r="B294" i="1" s="1"/>
  <c r="B295" i="1" s="1"/>
  <c r="B296" i="1" s="1"/>
  <c r="B299" i="1" s="1"/>
  <c r="B300" i="1" s="1"/>
  <c r="B301" i="1" s="1"/>
  <c r="B302" i="1" s="1"/>
  <c r="B303" i="1" s="1"/>
  <c r="B306" i="1" s="1"/>
  <c r="B307" i="1" s="1"/>
  <c r="B308" i="1" s="1"/>
  <c r="B310" i="1" s="1"/>
  <c r="B313" i="1" s="1"/>
  <c r="B315" i="1" s="1"/>
  <c r="B316" i="1" s="1"/>
  <c r="B317" i="1" s="1"/>
  <c r="B318" i="1" s="1"/>
  <c r="B319" i="1" s="1"/>
  <c r="B320" i="1" s="1"/>
  <c r="B322" i="1" s="1"/>
  <c r="B325" i="1" s="1"/>
  <c r="B326" i="1" s="1"/>
  <c r="B327" i="1" s="1"/>
  <c r="B330" i="1" s="1"/>
  <c r="B331" i="1" s="1"/>
  <c r="B332" i="1" s="1"/>
  <c r="B333" i="1" s="1"/>
  <c r="B334" i="1" s="1"/>
  <c r="B337" i="1" s="1"/>
  <c r="B338" i="1" s="1"/>
  <c r="B339" i="1" s="1"/>
  <c r="B341" i="1" s="1"/>
  <c r="B351" i="1" s="1"/>
  <c r="B353" i="1" s="1"/>
  <c r="B354" i="1" s="1"/>
  <c r="B355" i="1" s="1"/>
  <c r="B358" i="1" s="1"/>
  <c r="B359" i="1" s="1"/>
  <c r="B360" i="1" s="1"/>
  <c r="B362" i="1" s="1"/>
  <c r="B363" i="1" s="1"/>
  <c r="B365" i="1" s="1"/>
  <c r="B368" i="1" s="1"/>
  <c r="B369" i="1" s="1"/>
  <c r="B371" i="1" s="1"/>
  <c r="B372" i="1" s="1"/>
  <c r="B373" i="1" s="1"/>
  <c r="B374" i="1" s="1"/>
  <c r="B376" i="1" s="1"/>
  <c r="B377" i="1" s="1"/>
  <c r="B378" i="1" s="1"/>
  <c r="B379" i="1" s="1"/>
  <c r="B383" i="1" s="1"/>
  <c r="B384" i="1" s="1"/>
  <c r="B385" i="1" s="1"/>
  <c r="B388" i="1" s="1"/>
  <c r="B389" i="1" s="1"/>
  <c r="B390" i="1" s="1"/>
  <c r="B392" i="1" s="1"/>
  <c r="B395" i="1" s="1"/>
  <c r="B396" i="1" s="1"/>
  <c r="B397" i="1" s="1"/>
  <c r="B398" i="1" s="1"/>
  <c r="B399" i="1" s="1"/>
  <c r="B401" i="1" s="1"/>
  <c r="B403" i="1" s="1"/>
  <c r="B413" i="1" s="1"/>
  <c r="B414" i="1" s="1"/>
  <c r="B415" i="1" s="1"/>
  <c r="B416" i="1" s="1"/>
  <c r="B417" i="1" s="1"/>
  <c r="B419" i="1" s="1"/>
  <c r="B422" i="1" s="1"/>
  <c r="B423" i="1" s="1"/>
  <c r="B425" i="1" s="1"/>
  <c r="B426" i="1" s="1"/>
  <c r="B427" i="1" s="1"/>
  <c r="B428" i="1" s="1"/>
  <c r="B430" i="1" s="1"/>
  <c r="B431" i="1" s="1"/>
  <c r="B432" i="1" s="1"/>
  <c r="B433" i="1" s="1"/>
  <c r="B437" i="1" s="1"/>
  <c r="B438" i="1" s="1"/>
  <c r="B439" i="1" s="1"/>
  <c r="B441" i="1" s="1"/>
  <c r="B445" i="1" s="1"/>
  <c r="B447" i="1" s="1"/>
  <c r="B448" i="1" s="1"/>
  <c r="B449" i="1" s="1"/>
  <c r="B450" i="1" s="1"/>
  <c r="B452" i="1" s="1"/>
  <c r="B454" i="1" s="1"/>
  <c r="B457" i="1" s="1"/>
  <c r="B458" i="1" s="1"/>
  <c r="B459" i="1" s="1"/>
  <c r="B461" i="1" s="1"/>
  <c r="B463" i="1" s="1"/>
  <c r="B473" i="1" s="1"/>
  <c r="B475" i="1" s="1"/>
  <c r="B476" i="1" s="1"/>
  <c r="B477" i="1" s="1"/>
  <c r="B478" i="1" s="1"/>
  <c r="B479" i="1" s="1"/>
  <c r="B481" i="1" s="1"/>
  <c r="B483" i="1" s="1"/>
  <c r="B486" i="1" s="1"/>
  <c r="B487" i="1" s="1"/>
  <c r="B488" i="1" s="1"/>
  <c r="B490" i="1" s="1"/>
  <c r="B492" i="1" s="1"/>
  <c r="B496" i="1" s="1"/>
  <c r="B497" i="1" s="1"/>
  <c r="B498" i="1" s="1"/>
  <c r="B499" i="1" s="1"/>
  <c r="B502" i="1" s="1"/>
  <c r="B503" i="1" s="1"/>
  <c r="B504" i="1" s="1"/>
  <c r="B506" i="1" s="1"/>
  <c r="B507" i="1" s="1"/>
  <c r="B509" i="1" s="1"/>
  <c r="B512" i="1" s="1"/>
  <c r="B513" i="1" s="1"/>
  <c r="B514" i="1" s="1"/>
  <c r="B516" i="1" s="1"/>
  <c r="B519" i="1" s="1"/>
  <c r="B520" i="1" s="1"/>
  <c r="B523" i="1" s="1"/>
  <c r="B524" i="1" s="1"/>
  <c r="B526" i="1" s="1"/>
  <c r="B536" i="1" s="1"/>
  <c r="B537" i="1" s="1"/>
  <c r="B538" i="1" s="1"/>
  <c r="B539" i="1" s="1"/>
  <c r="B540" i="1" s="1"/>
  <c r="B542" i="1" s="1"/>
  <c r="B545" i="1" s="1"/>
  <c r="B546" i="1" s="1"/>
  <c r="B547" i="1" s="1"/>
  <c r="B549" i="1" s="1"/>
  <c r="B552" i="1" s="1"/>
  <c r="B553" i="1" s="1"/>
  <c r="B556" i="1" s="1"/>
  <c r="B557" i="1" s="1"/>
  <c r="B559" i="1" s="1"/>
  <c r="B563" i="1" s="1"/>
  <c r="B564" i="1" s="1"/>
  <c r="B565" i="1" s="1"/>
  <c r="B567" i="1" s="1"/>
  <c r="B570" i="1" s="1"/>
  <c r="B571" i="1" s="1"/>
  <c r="B573" i="1" s="1"/>
  <c r="B576" i="1" s="1"/>
  <c r="B577" i="1" s="1"/>
  <c r="B580" i="1" s="1"/>
  <c r="B582" i="1" s="1"/>
  <c r="B593" i="1" s="1"/>
  <c r="B594" i="1" s="1"/>
  <c r="B596" i="1" s="1"/>
  <c r="B599" i="1" s="1"/>
  <c r="B600" i="1" s="1"/>
  <c r="B603" i="1" s="1"/>
  <c r="B605" i="1" s="1"/>
  <c r="B608" i="1" s="1"/>
  <c r="B611" i="1" s="1"/>
  <c r="B612" i="1" s="1"/>
  <c r="B614" i="1" s="1"/>
  <c r="B615" i="1" s="1"/>
  <c r="B617" i="1" s="1"/>
  <c r="B618" i="1" s="1"/>
  <c r="B620" i="1" s="1"/>
  <c r="B621" i="1" s="1"/>
  <c r="B625" i="1" s="1"/>
  <c r="B627" i="1" s="1"/>
  <c r="B628" i="1" s="1"/>
  <c r="B629" i="1" s="1"/>
  <c r="B630" i="1" s="1"/>
  <c r="B632" i="1" s="1"/>
  <c r="B634" i="1" s="1"/>
  <c r="B635" i="1" s="1"/>
  <c r="B637" i="1" s="1"/>
  <c r="B647" i="1" s="1"/>
  <c r="B650" i="1" s="1"/>
  <c r="B651" i="1" s="1"/>
  <c r="B653" i="1" s="1"/>
  <c r="B654" i="1" s="1"/>
  <c r="B656" i="1" s="1"/>
  <c r="B657" i="1" s="1"/>
  <c r="B659" i="1" s="1"/>
  <c r="B660" i="1" s="1"/>
  <c r="B664" i="1" s="1"/>
  <c r="B666" i="1" s="1"/>
  <c r="B667" i="1" s="1"/>
  <c r="B668" i="1" s="1"/>
  <c r="B669" i="1" s="1"/>
  <c r="B671" i="1" s="1"/>
  <c r="B673" i="1" s="1"/>
  <c r="B674" i="1" s="1"/>
  <c r="B676" i="1" s="1"/>
  <c r="B686" i="1" s="1"/>
  <c r="B688" i="1" s="1"/>
  <c r="B689" i="1" s="1"/>
  <c r="B690" i="1" s="1"/>
  <c r="B691" i="1" s="1"/>
  <c r="B695" i="1" s="1"/>
  <c r="B697" i="1" s="1"/>
  <c r="B698" i="1" s="1"/>
  <c r="B699" i="1" s="1"/>
  <c r="B700" i="1" s="1"/>
  <c r="B702" i="1" s="1"/>
  <c r="B704" i="1" s="1"/>
  <c r="B705" i="1" s="1"/>
  <c r="B707" i="1" s="1"/>
  <c r="B709" i="1" s="1"/>
  <c r="S341" i="1"/>
  <c r="R341" i="1"/>
  <c r="T341" i="1" s="1"/>
  <c r="S183" i="1"/>
  <c r="R183" i="1"/>
  <c r="T183" i="1" s="1"/>
  <c r="Q392" i="1"/>
  <c r="S365" i="1"/>
  <c r="R365" i="1"/>
  <c r="T365" i="1" s="1"/>
  <c r="S454" i="1"/>
  <c r="Q463" i="1"/>
  <c r="R454" i="1"/>
  <c r="T454" i="1" s="1"/>
  <c r="R463" i="1" l="1"/>
  <c r="T463" i="1" s="1"/>
  <c r="S463" i="1"/>
  <c r="Q709" i="1"/>
  <c r="S441" i="1"/>
  <c r="R441" i="1"/>
  <c r="T441" i="1" s="1"/>
  <c r="S392" i="1"/>
  <c r="R392" i="1"/>
  <c r="T392" i="1" s="1"/>
  <c r="P709" i="1" l="1"/>
</calcChain>
</file>

<file path=xl/sharedStrings.xml><?xml version="1.0" encoding="utf-8"?>
<sst xmlns="http://schemas.openxmlformats.org/spreadsheetml/2006/main" count="1219" uniqueCount="213">
  <si>
    <t>Derivation of Proposed Rates and Revenue by Rate Class - Delivery</t>
  </si>
  <si>
    <t>Current Approved</t>
  </si>
  <si>
    <t>Proposed 2024</t>
  </si>
  <si>
    <t>Line</t>
  </si>
  <si>
    <t>Billing</t>
  </si>
  <si>
    <t xml:space="preserve">2024 
Forecast </t>
  </si>
  <si>
    <t>Revenue</t>
  </si>
  <si>
    <t>Rates</t>
  </si>
  <si>
    <t>Revenue (Deficiency) / Sufficiency</t>
  </si>
  <si>
    <t>Revenue Requirement (1)</t>
  </si>
  <si>
    <t>Revenue-
to-Cost</t>
  </si>
  <si>
    <t>Rate 
Change</t>
  </si>
  <si>
    <t>No.</t>
  </si>
  <si>
    <t>Particulars</t>
  </si>
  <si>
    <t>Units</t>
  </si>
  <si>
    <t>Usage</t>
  </si>
  <si>
    <t>($000s)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</si>
  <si>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</si>
  <si>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Ratios</t>
  </si>
  <si>
    <t>(%)</t>
  </si>
  <si>
    <t>(a)</t>
  </si>
  <si>
    <t>(b)</t>
  </si>
  <si>
    <t xml:space="preserve">(c) </t>
  </si>
  <si>
    <t>(d) = (b - e)</t>
  </si>
  <si>
    <t>(e)</t>
  </si>
  <si>
    <t>(f) = (g - e)</t>
  </si>
  <si>
    <t>(g)</t>
  </si>
  <si>
    <t>(h)</t>
  </si>
  <si>
    <t>(i) = (g / e)</t>
  </si>
  <si>
    <t>(j) = (h - c) / (c)</t>
  </si>
  <si>
    <t>EGD Rate Zone</t>
  </si>
  <si>
    <t>Rate 1</t>
  </si>
  <si>
    <t>Monthly Customer Charge</t>
  </si>
  <si>
    <t>bills</t>
  </si>
  <si>
    <t>Delivery Commodity Charge</t>
  </si>
  <si>
    <t>First     30 m³</t>
  </si>
  <si>
    <t>10³m³</t>
  </si>
  <si>
    <t>Next     55 m³</t>
  </si>
  <si>
    <t>Next     85 m³</t>
  </si>
  <si>
    <t>Over  170 m³</t>
  </si>
  <si>
    <t>Load Balancing</t>
  </si>
  <si>
    <t>Total Delivery</t>
  </si>
  <si>
    <t>Transportation - System</t>
  </si>
  <si>
    <t>Transportation - Dawn</t>
  </si>
  <si>
    <t>Transportation - Western</t>
  </si>
  <si>
    <t>Transportation - Ontario</t>
  </si>
  <si>
    <t>Gas Supply Transportation Charge</t>
  </si>
  <si>
    <t>Gas Supply Commodity</t>
  </si>
  <si>
    <t>Total Rate 1</t>
  </si>
  <si>
    <t>Rate 6</t>
  </si>
  <si>
    <t>First      500 m³</t>
  </si>
  <si>
    <t>Next      1,050 m³</t>
  </si>
  <si>
    <t>Next    4,500 m³</t>
  </si>
  <si>
    <t>Next    7,000 m³</t>
  </si>
  <si>
    <t>Next    15,250 m³</t>
  </si>
  <si>
    <t>Over  28,300 m³</t>
  </si>
  <si>
    <t>Total Rate 6</t>
  </si>
  <si>
    <t>Rate 100</t>
  </si>
  <si>
    <t>Delivery Contract Demand Charge</t>
  </si>
  <si>
    <t>10³m³/d</t>
  </si>
  <si>
    <t>Total Rate 100</t>
  </si>
  <si>
    <t>Rate 110</t>
  </si>
  <si>
    <t>First 1,000,000 m³</t>
  </si>
  <si>
    <t>For all over 1,000,000 m³</t>
  </si>
  <si>
    <t>Total Rate 110</t>
  </si>
  <si>
    <t>Rate 115</t>
  </si>
  <si>
    <t>Total Rate 115</t>
  </si>
  <si>
    <t>Rate 125</t>
  </si>
  <si>
    <t>Customer Supplied Fuel (UFG)</t>
  </si>
  <si>
    <t>Total Rate 125</t>
  </si>
  <si>
    <t>Rate 135</t>
  </si>
  <si>
    <t>Winter</t>
  </si>
  <si>
    <t xml:space="preserve">   First             14,000 m³</t>
  </si>
  <si>
    <t xml:space="preserve">   Next             28,000 m³</t>
  </si>
  <si>
    <t xml:space="preserve">   For all over    42,000 m³</t>
  </si>
  <si>
    <t>Summer</t>
  </si>
  <si>
    <t>Seasonal Credits</t>
  </si>
  <si>
    <t>Total Rate 135</t>
  </si>
  <si>
    <t>Rate 145</t>
  </si>
  <si>
    <t>Curtailment Credits</t>
  </si>
  <si>
    <t>Total Rate 145</t>
  </si>
  <si>
    <t>Rate 170</t>
  </si>
  <si>
    <t>Total Rate 170</t>
  </si>
  <si>
    <t>Rate 200</t>
  </si>
  <si>
    <t>Total Rate 200</t>
  </si>
  <si>
    <t>Rate 300</t>
  </si>
  <si>
    <t>Total Rate 300</t>
  </si>
  <si>
    <t>Union North Rate Zone</t>
  </si>
  <si>
    <t>Rate 01</t>
  </si>
  <si>
    <t>First     100 m³</t>
  </si>
  <si>
    <t>Next     200 m³</t>
  </si>
  <si>
    <t>Next     500 m³</t>
  </si>
  <si>
    <t>Over  1,000 m³</t>
  </si>
  <si>
    <t>Storage Commodity Charge</t>
  </si>
  <si>
    <t>Storage Commodity - North West</t>
  </si>
  <si>
    <t>Storage Commodity - North East</t>
  </si>
  <si>
    <t>Transportation - System - North West</t>
  </si>
  <si>
    <t>Transportation - System - North East</t>
  </si>
  <si>
    <t>Transportation - Bundled - North West</t>
  </si>
  <si>
    <t>Transportation - Bundled - North East</t>
  </si>
  <si>
    <t>Gas Supply Commodity Charge</t>
  </si>
  <si>
    <t>Gas Supply Commodity - North West</t>
  </si>
  <si>
    <t>Gas Supply Commodity - North East</t>
  </si>
  <si>
    <t>Total Rate 01</t>
  </si>
  <si>
    <t>Rate 10</t>
  </si>
  <si>
    <t>First      1,000 m³</t>
  </si>
  <si>
    <t>Next      9,000 m³</t>
  </si>
  <si>
    <t>Next    20,000 m³</t>
  </si>
  <si>
    <t>Next    70,000 m³</t>
  </si>
  <si>
    <t>Over  100,000 m³</t>
  </si>
  <si>
    <t>Total Rate 10</t>
  </si>
  <si>
    <t>Rate 20</t>
  </si>
  <si>
    <t>First        70,000 m³</t>
  </si>
  <si>
    <t>All over   70,000 m³</t>
  </si>
  <si>
    <t>First      852,000 m³</t>
  </si>
  <si>
    <t>All over 852,000 m³</t>
  </si>
  <si>
    <t>MAV Charge</t>
  </si>
  <si>
    <t>Transportation Account Charge</t>
  </si>
  <si>
    <t>Gas Supply Demand Charge</t>
  </si>
  <si>
    <t>North West</t>
  </si>
  <si>
    <t>North East</t>
  </si>
  <si>
    <t>Commodity Transportation 1</t>
  </si>
  <si>
    <t>System - North West</t>
  </si>
  <si>
    <t>System - North East</t>
  </si>
  <si>
    <t>Bundled - North West</t>
  </si>
  <si>
    <t>Bundled - North East</t>
  </si>
  <si>
    <t>Commodity Transportation 2</t>
  </si>
  <si>
    <t>Gas Supply Transportation Charges</t>
  </si>
  <si>
    <t>Unbundled Storage</t>
  </si>
  <si>
    <t>Storage Demand ($/GJ)</t>
  </si>
  <si>
    <t>GJ/d</t>
  </si>
  <si>
    <t>Storage Commodity ($/GJ)</t>
  </si>
  <si>
    <t>GJ</t>
  </si>
  <si>
    <t>Total Rate 20</t>
  </si>
  <si>
    <t>Rate 25</t>
  </si>
  <si>
    <t>Delivery Commodity Charge (average)</t>
  </si>
  <si>
    <t>MAV (average)</t>
  </si>
  <si>
    <t>Gas Supply Charge</t>
  </si>
  <si>
    <t>Total Rate 25</t>
  </si>
  <si>
    <t>Union South Rate Zone</t>
  </si>
  <si>
    <t>Rate M1</t>
  </si>
  <si>
    <t>First              100 m³</t>
  </si>
  <si>
    <t>Next              150 m³</t>
  </si>
  <si>
    <t>All over         250 m³</t>
  </si>
  <si>
    <t>Storage</t>
  </si>
  <si>
    <t>Total Rate M1</t>
  </si>
  <si>
    <t>Rate M2</t>
  </si>
  <si>
    <t>First              1,000 m³</t>
  </si>
  <si>
    <t>Next              6,000 m³</t>
  </si>
  <si>
    <t>Next            13,000 m³</t>
  </si>
  <si>
    <t>All over       20,000 m³</t>
  </si>
  <si>
    <t>Total Rate M2</t>
  </si>
  <si>
    <t>Rate M4</t>
  </si>
  <si>
    <t>First           8,450 m³</t>
  </si>
  <si>
    <t>Next         19,700 m³</t>
  </si>
  <si>
    <t>All over    28,150 m³</t>
  </si>
  <si>
    <t>First Block</t>
  </si>
  <si>
    <t>All remaining use</t>
  </si>
  <si>
    <t>Firm MAV</t>
  </si>
  <si>
    <t>Unauthorized Overrun</t>
  </si>
  <si>
    <t>Total Delivery - Firm</t>
  </si>
  <si>
    <t>Interruptible Contracts</t>
  </si>
  <si>
    <t>Interruptible MAV (average)</t>
  </si>
  <si>
    <t>Total Delivery - Interruptible</t>
  </si>
  <si>
    <t>Gas Supply MAV</t>
  </si>
  <si>
    <t>Total Rate M4</t>
  </si>
  <si>
    <t>Rate M5</t>
  </si>
  <si>
    <t>Days Use Discount - 75 days</t>
  </si>
  <si>
    <t>Days Use Discount - up to 275 days</t>
  </si>
  <si>
    <t>Firm Contracts</t>
  </si>
  <si>
    <t>Firm MAV (average)</t>
  </si>
  <si>
    <t>Total Rate M5</t>
  </si>
  <si>
    <t>Rate M7</t>
  </si>
  <si>
    <t>Total Rate M7</t>
  </si>
  <si>
    <t>Rate M9</t>
  </si>
  <si>
    <t>Total Rate M9</t>
  </si>
  <si>
    <t>Rate T1</t>
  </si>
  <si>
    <r>
      <t>Transportation 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</si>
  <si>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Demand</t>
  </si>
  <si>
    <t>First            28,150 m³</t>
  </si>
  <si>
    <t>Next         112,720 m³</t>
  </si>
  <si>
    <t>Commodity</t>
  </si>
  <si>
    <t>Firm Volumes - Customer Provides Fuel</t>
  </si>
  <si>
    <t>Interruptible Volumes - Customer Provides Fuel (average)</t>
  </si>
  <si>
    <t>MAV - Firm</t>
  </si>
  <si>
    <t>MAV - Interruptible (average)</t>
  </si>
  <si>
    <t>Customer Supplied Fuel - Transportation</t>
  </si>
  <si>
    <t>Total Transportation</t>
  </si>
  <si>
    <t>Storage ($/GJ's)</t>
  </si>
  <si>
    <t>Monthly Demand Charges:</t>
  </si>
  <si>
    <t>Firm Space</t>
  </si>
  <si>
    <t>GJ/d/mo.</t>
  </si>
  <si>
    <t>Firm Injection/Withdrawal Right</t>
  </si>
  <si>
    <t>Union provides deliverability inventory</t>
  </si>
  <si>
    <t>Customer provides deliverability inventory</t>
  </si>
  <si>
    <t>Firm incremental injection</t>
  </si>
  <si>
    <t xml:space="preserve">Interruptible withdrawal </t>
  </si>
  <si>
    <t>Commodity:</t>
  </si>
  <si>
    <t>Commodity (Customer Provides)</t>
  </si>
  <si>
    <t>Customer Supplied Fuel - Storage</t>
  </si>
  <si>
    <t>Total Storage</t>
  </si>
  <si>
    <t>Total Rate T1</t>
  </si>
  <si>
    <t>Rate T2</t>
  </si>
  <si>
    <t>First            140,870 m³</t>
  </si>
  <si>
    <t>All Over      140,870 m³</t>
  </si>
  <si>
    <t>Total Rate T2</t>
  </si>
  <si>
    <t>Rate T3</t>
  </si>
  <si>
    <t>Commodity - Customer Provides Fuel</t>
  </si>
  <si>
    <t>Total Rate T3</t>
  </si>
  <si>
    <t>Total In-franchise</t>
  </si>
  <si>
    <t>Notes:</t>
  </si>
  <si>
    <t>(1)</t>
  </si>
  <si>
    <t>Attachment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</si>
</sst>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&quot;$&quot;#,##0.00"/>
    <numFmt numFmtId="167" formatCode="#,##0.000_);\(#,##0.000\)"/>
    <numFmt numFmtId="168" formatCode="###0%;\(###0%\)\ "/>
    <numFmt numFmtId="169" formatCode="#,##0.0000_);\(#,##0.0000\);\-"/>
    <numFmt numFmtId="170" formatCode="0.0%"/>
    <numFmt numFmtId="171" formatCode="###0.0%;\(###0.0%\)\ "/>
    <numFmt numFmtId="172" formatCode="0.000%"/>
    <numFmt numFmtId="173" formatCode="#,##0.000_);\(#,##0.000\);\-"/>
    <numFmt numFmtId="174" formatCode="_(* #,##0.00000_);_(* \(#,##0.0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164" fontId="6" fillId="0" borderId="0" xfId="5" applyNumberFormat="1" applyFont="1" applyFill="1" applyBorder="1"/>
    <xf numFmtId="164" fontId="4" fillId="0" borderId="0" xfId="5" applyNumberFormat="1" applyFont="1" applyFill="1" applyBorder="1"/>
    <xf numFmtId="165" fontId="4" fillId="0" borderId="0" xfId="5" applyNumberFormat="1" applyFont="1" applyFill="1" applyBorder="1" applyAlignment="1">
      <alignment horizontal="center"/>
    </xf>
    <xf numFmtId="165" fontId="4" fillId="0" borderId="0" xfId="5" applyNumberFormat="1" applyFont="1" applyFill="1" applyBorder="1" applyAlignment="1">
      <alignment horizontal="right"/>
    </xf>
    <xf numFmtId="167" fontId="4" fillId="0" borderId="0" xfId="5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169" fontId="4" fillId="0" borderId="2" xfId="5" applyNumberFormat="1" applyFont="1" applyFill="1" applyBorder="1" applyAlignment="1">
      <alignment horizontal="right"/>
    </xf>
    <xf numFmtId="168" fontId="4" fillId="0" borderId="2" xfId="2" applyNumberFormat="1" applyFont="1" applyFill="1" applyBorder="1" applyAlignment="1">
      <alignment horizontal="right"/>
    </xf>
    <xf numFmtId="169" fontId="4" fillId="0" borderId="0" xfId="5" applyNumberFormat="1" applyFont="1" applyFill="1" applyBorder="1" applyAlignment="1">
      <alignment horizontal="right"/>
    </xf>
    <xf numFmtId="170" fontId="4" fillId="0" borderId="0" xfId="2" applyNumberFormat="1" applyFont="1" applyFill="1" applyBorder="1" applyAlignment="1">
      <alignment horizontal="right"/>
    </xf>
    <xf numFmtId="169" fontId="4" fillId="0" borderId="3" xfId="5" applyNumberFormat="1" applyFont="1" applyFill="1" applyBorder="1" applyAlignment="1">
      <alignment horizontal="right"/>
    </xf>
    <xf numFmtId="168" fontId="4" fillId="0" borderId="3" xfId="2" applyNumberFormat="1" applyFont="1" applyFill="1" applyBorder="1" applyAlignment="1">
      <alignment horizontal="right"/>
    </xf>
    <xf numFmtId="164" fontId="6" fillId="0" borderId="0" xfId="5" applyNumberFormat="1" applyFont="1" applyFill="1" applyBorder="1" applyAlignment="1">
      <alignment horizontal="right"/>
    </xf>
    <xf numFmtId="164" fontId="4" fillId="0" borderId="0" xfId="5" applyNumberFormat="1" applyFont="1" applyFill="1" applyBorder="1" applyAlignment="1">
      <alignment horizontal="right"/>
    </xf>
    <xf numFmtId="171" fontId="4" fillId="0" borderId="0" xfId="2" applyNumberFormat="1" applyFont="1" applyFill="1" applyBorder="1" applyAlignment="1">
      <alignment horizontal="right"/>
    </xf>
    <xf numFmtId="171" fontId="4" fillId="0" borderId="3" xfId="2" applyNumberFormat="1" applyFont="1" applyFill="1" applyBorder="1" applyAlignment="1">
      <alignment horizontal="right"/>
    </xf>
    <xf numFmtId="173" fontId="4" fillId="0" borderId="2" xfId="5" applyNumberFormat="1" applyFont="1" applyFill="1" applyBorder="1" applyAlignment="1">
      <alignment horizontal="right"/>
    </xf>
    <xf numFmtId="173" fontId="4" fillId="0" borderId="0" xfId="5" applyNumberFormat="1" applyFont="1" applyFill="1" applyBorder="1" applyAlignment="1">
      <alignment horizontal="right"/>
    </xf>
    <xf numFmtId="0" fontId="3" fillId="0" borderId="0" xfId="3" applyFont="1" applyAlignment="1">
      <alignment horizontal="centerContinuous"/>
    </xf>
    <xf numFmtId="0" fontId="3" fillId="0" borderId="0" xfId="3" applyFont="1"/>
    <xf numFmtId="0" fontId="4" fillId="0" borderId="0" xfId="3" applyFont="1"/>
    <xf numFmtId="0" fontId="4" fillId="0" borderId="0" xfId="3" applyFont="1" applyAlignment="1">
      <alignment horizontal="centerContinuous"/>
    </xf>
    <xf numFmtId="0" fontId="4" fillId="0" borderId="1" xfId="3" applyFont="1" applyBorder="1" applyAlignment="1">
      <alignment horizontal="centerContinuous"/>
    </xf>
    <xf numFmtId="0" fontId="4" fillId="0" borderId="0" xfId="3" applyFont="1" applyAlignment="1">
      <alignment horizontal="center" wrapText="1"/>
    </xf>
    <xf numFmtId="0" fontId="6" fillId="0" borderId="0" xfId="4" applyFont="1" applyAlignment="1">
      <alignment horizontal="center"/>
    </xf>
    <xf numFmtId="0" fontId="4" fillId="0" borderId="0" xfId="3" applyFont="1" applyAlignment="1">
      <alignment horizontal="left" indent="1"/>
    </xf>
    <xf numFmtId="165" fontId="4" fillId="0" borderId="0" xfId="3" applyNumberFormat="1" applyFont="1" applyAlignment="1">
      <alignment horizontal="right"/>
    </xf>
    <xf numFmtId="0" fontId="4" fillId="0" borderId="0" xfId="3" applyFont="1" applyAlignment="1">
      <alignment horizontal="right"/>
    </xf>
    <xf numFmtId="0" fontId="4" fillId="0" borderId="0" xfId="3" applyFont="1" applyAlignment="1">
      <alignment horizontal="left" indent="2"/>
    </xf>
    <xf numFmtId="0" fontId="4" fillId="0" borderId="0" xfId="3" applyFont="1" applyAlignment="1">
      <alignment horizontal="center"/>
    </xf>
    <xf numFmtId="168" fontId="4" fillId="0" borderId="0" xfId="3" applyNumberFormat="1" applyFont="1" applyAlignment="1">
      <alignment horizontal="right"/>
    </xf>
    <xf numFmtId="165" fontId="6" fillId="0" borderId="0" xfId="4" applyNumberFormat="1" applyFont="1" applyAlignment="1">
      <alignment horizontal="right"/>
    </xf>
    <xf numFmtId="168" fontId="6" fillId="0" borderId="0" xfId="4" applyNumberFormat="1" applyFont="1" applyAlignment="1">
      <alignment horizontal="right"/>
    </xf>
    <xf numFmtId="0" fontId="6" fillId="0" borderId="0" xfId="4" applyFont="1" applyAlignment="1">
      <alignment horizontal="right"/>
    </xf>
    <xf numFmtId="171" fontId="6" fillId="0" borderId="0" xfId="4" applyNumberFormat="1" applyFont="1" applyAlignment="1">
      <alignment horizontal="right"/>
    </xf>
    <xf numFmtId="165" fontId="6" fillId="0" borderId="0" xfId="4" applyNumberFormat="1" applyFont="1" applyAlignment="1">
      <alignment horizontal="center"/>
    </xf>
    <xf numFmtId="171" fontId="4" fillId="0" borderId="0" xfId="3" applyNumberFormat="1" applyFont="1" applyAlignment="1">
      <alignment horizontal="right"/>
    </xf>
    <xf numFmtId="168" fontId="3" fillId="0" borderId="0" xfId="3" applyNumberFormat="1" applyFont="1" applyAlignment="1">
      <alignment horizontal="centerContinuous"/>
    </xf>
    <xf numFmtId="168" fontId="4" fillId="0" borderId="0" xfId="3" applyNumberFormat="1" applyFont="1" applyAlignment="1">
      <alignment horizontal="centerContinuous"/>
    </xf>
    <xf numFmtId="168" fontId="4" fillId="0" borderId="1" xfId="3" applyNumberFormat="1" applyFont="1" applyBorder="1" applyAlignment="1">
      <alignment horizontal="centerContinuous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4" applyAlignment="1">
      <alignment horizontal="centerContinuous"/>
    </xf>
    <xf numFmtId="0" fontId="4" fillId="0" borderId="0" xfId="4" applyAlignment="1">
      <alignment horizontal="left"/>
    </xf>
    <xf numFmtId="0" fontId="4" fillId="0" borderId="1" xfId="4" applyBorder="1" applyAlignment="1">
      <alignment horizontal="centerContinuous"/>
    </xf>
    <xf numFmtId="0" fontId="4" fillId="0" borderId="0" xfId="4" applyAlignment="1">
      <alignment horizontal="center" wrapText="1"/>
    </xf>
    <xf numFmtId="0" fontId="4" fillId="0" borderId="0" xfId="4" applyAlignment="1">
      <alignment horizontal="center"/>
    </xf>
    <xf numFmtId="0" fontId="4" fillId="0" borderId="1" xfId="4" applyBorder="1" applyAlignment="1">
      <alignment horizontal="center"/>
    </xf>
    <xf numFmtId="0" fontId="4" fillId="0" borderId="0" xfId="4"/>
    <xf numFmtId="0" fontId="4" fillId="0" borderId="1" xfId="4" applyBorder="1"/>
    <xf numFmtId="0" fontId="4" fillId="0" borderId="0" xfId="4" quotePrefix="1" applyAlignment="1">
      <alignment horizontal="center"/>
    </xf>
    <xf numFmtId="0" fontId="4" fillId="0" borderId="0" xfId="4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5" fontId="4" fillId="0" borderId="0" xfId="4" applyNumberFormat="1" applyAlignment="1">
      <alignment horizontal="right"/>
    </xf>
    <xf numFmtId="165" fontId="4" fillId="0" borderId="2" xfId="4" applyNumberFormat="1" applyBorder="1" applyAlignment="1">
      <alignment horizontal="right"/>
    </xf>
    <xf numFmtId="167" fontId="4" fillId="0" borderId="2" xfId="4" applyNumberFormat="1" applyBorder="1" applyAlignment="1">
      <alignment horizontal="right"/>
    </xf>
    <xf numFmtId="167" fontId="4" fillId="0" borderId="0" xfId="4" applyNumberFormat="1" applyAlignment="1">
      <alignment horizontal="right"/>
    </xf>
    <xf numFmtId="165" fontId="4" fillId="0" borderId="0" xfId="4" applyNumberFormat="1" applyAlignment="1">
      <alignment horizontal="center"/>
    </xf>
    <xf numFmtId="165" fontId="4" fillId="0" borderId="3" xfId="4" applyNumberFormat="1" applyBorder="1" applyAlignment="1">
      <alignment horizontal="right"/>
    </xf>
    <xf numFmtId="167" fontId="4" fillId="0" borderId="3" xfId="4" applyNumberFormat="1" applyBorder="1" applyAlignment="1">
      <alignment horizontal="right"/>
    </xf>
    <xf numFmtId="168" fontId="4" fillId="0" borderId="0" xfId="4" applyNumberFormat="1" applyAlignment="1">
      <alignment horizontal="right"/>
    </xf>
    <xf numFmtId="167" fontId="4" fillId="0" borderId="0" xfId="4" applyNumberFormat="1" applyAlignment="1">
      <alignment horizontal="center"/>
    </xf>
    <xf numFmtId="164" fontId="4" fillId="0" borderId="0" xfId="4" applyNumberFormat="1" applyAlignment="1">
      <alignment horizontal="center"/>
    </xf>
    <xf numFmtId="164" fontId="4" fillId="0" borderId="0" xfId="4" applyNumberFormat="1" applyAlignment="1">
      <alignment horizontal="right"/>
    </xf>
    <xf numFmtId="172" fontId="4" fillId="0" borderId="0" xfId="2" applyNumberFormat="1" applyFont="1" applyFill="1" applyBorder="1" applyAlignment="1">
      <alignment horizontal="right"/>
    </xf>
    <xf numFmtId="0" fontId="4" fillId="0" borderId="0" xfId="0" applyFont="1" applyAlignment="1">
      <alignment horizontal="left" indent="1"/>
    </xf>
    <xf numFmtId="171" fontId="4" fillId="0" borderId="0" xfId="4" applyNumberFormat="1" applyAlignment="1">
      <alignment horizontal="right"/>
    </xf>
    <xf numFmtId="171" fontId="4" fillId="0" borderId="0" xfId="5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168" fontId="4" fillId="0" borderId="1" xfId="4" applyNumberFormat="1" applyBorder="1" applyAlignment="1">
      <alignment horizontal="center"/>
    </xf>
    <xf numFmtId="168" fontId="4" fillId="0" borderId="0" xfId="4" quotePrefix="1" applyNumberFormat="1" applyAlignment="1">
      <alignment horizontal="center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wrapText="1" indent="3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74" fontId="4" fillId="0" borderId="0" xfId="3" applyNumberFormat="1" applyFont="1"/>
  </cellXfs>
  <cellStyles count="6">
    <cellStyle name="Comma 10" xfId="5" xr:uid="{5D764FF5-E9E1-4DDC-BFFC-8DC7A573C436}"/>
    <cellStyle name="Currency" xfId="1" builtinId="4"/>
    <cellStyle name="Normal" xfId="0" builtinId="0"/>
    <cellStyle name="Normal 4 3" xfId="3" xr:uid="{5B395D2B-C248-48FB-AF35-845E3E9FE232}"/>
    <cellStyle name="Normal 60" xfId="4" xr:uid="{D78F2102-BB6F-4836-9F2F-7A1F97245E8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3/Union%20RZ/2023%20Rates%20DM%20(Apr%2022%20QRAM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3.%20Updated%20Evidence%20-%20Mar%202023/3.%20Rate%20Design/Ex-franchise/2023-03-08%202024%20Exfran%20Model%20-%20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3.%20Updated%20Evidence%20-%20Mar%202023/3.%20Rate%20Design/In-Franchise/2023-03-08%20Detail%20Model%20-%20Current%20Cla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  <sheetName val="2023 Rates DM (Apr 22 QRA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 - 2024"/>
      <sheetName val="Source Files"/>
      <sheetName val="Index"/>
      <sheetName val="Inputs"/>
      <sheetName val="Cost Input"/>
      <sheetName val="Revenue"/>
      <sheetName val="Forecast"/>
      <sheetName val="Harmonized DM"/>
      <sheetName val="Detail Model"/>
      <sheetName val="S&amp;T Margin p.1"/>
      <sheetName val="Harm. Appendix A"/>
      <sheetName val="OR Rates"/>
      <sheetName val="Appendix A"/>
      <sheetName val="Summary Rates"/>
      <sheetName val="S&amp;T Margin p.2"/>
      <sheetName val="M17 Demand"/>
      <sheetName val="M12 - BA"/>
      <sheetName val="M12 - Proposed"/>
      <sheetName val="M12 p.2"/>
      <sheetName val="F24-T"/>
      <sheetName val="M13"/>
      <sheetName val="M16 Cust"/>
      <sheetName val="M16 Comm"/>
      <sheetName val="M16 East Dem"/>
      <sheetName val="M17 Cust"/>
      <sheetName val="C1 Ojib Demand BA"/>
      <sheetName val="D-D Vector"/>
      <sheetName val="Heritage - HTLP"/>
      <sheetName val="PDCI"/>
      <sheetName val="2023-03-08 2024 Exfran Model -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 - 2023"/>
      <sheetName val="Rate Schedule - 2024"/>
      <sheetName val="Total"/>
      <sheetName val="Distribution"/>
      <sheetName val="Gas Cost"/>
      <sheetName val="Total Adj"/>
      <sheetName val="Distribution Adj"/>
      <sheetName val="Gas Cost Adj"/>
      <sheetName val="Infran Output"/>
      <sheetName val="customer charge"/>
      <sheetName val="Transportation"/>
      <sheetName val="Fuel Ratios"/>
      <sheetName val="Supplementals"/>
      <sheetName val="calculations"/>
      <sheetName val="ExFran Margin"/>
      <sheetName val="PanH Gas Supp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5FC9-B77D-40C4-8BA5-7E9D6F67253B}">
  <dimension ref="B2:W712"/>
  <sheetViews>
    <sheetView tabSelected="1" view="pageLayout" topLeftCell="P1" zoomScaleNormal="85" zoomScaleSheetLayoutView="80" workbookViewId="0">
      <selection activeCell="W21" sqref="W21"/>
    </sheetView>
  </sheetViews>
  <sheetFormatPr defaultRowHeight="12.5" x14ac:dyDescent="0.25"/>
  <cols>
    <col min="1" max="1" width="1.7265625" style="21" customWidth="1"/>
    <col min="2" max="2" width="4.7265625" style="30" customWidth="1"/>
    <col min="3" max="3" width="1.7265625" style="21" customWidth="1"/>
    <col min="4" max="4" width="41.54296875" style="21" customWidth="1"/>
    <col min="5" max="5" width="1.7265625" style="21" customWidth="1"/>
    <col min="6" max="6" width="14.453125" style="21" customWidth="1"/>
    <col min="7" max="7" width="1.7265625" style="21" customWidth="1"/>
    <col min="8" max="8" width="14.453125" style="21" customWidth="1"/>
    <col min="9" max="9" width="1.7265625" style="21" customWidth="1"/>
    <col min="10" max="11" width="14.453125" style="21" customWidth="1"/>
    <col min="12" max="12" width="1.7265625" style="21" customWidth="1"/>
    <col min="13" max="13" width="14.453125" style="21" customWidth="1"/>
    <col min="14" max="14" width="1.7265625" style="21" customWidth="1"/>
    <col min="15" max="20" width="14.453125" style="21" customWidth="1"/>
    <col min="21" max="21" width="1.7265625" style="21" customWidth="1"/>
    <col min="22" max="22" width="8.81640625" style="21"/>
    <col min="23" max="23" width="11.54296875" style="21" bestFit="1" customWidth="1"/>
    <col min="24" max="191" width="8.81640625" style="21"/>
    <col min="192" max="192" width="4.54296875" style="21" customWidth="1"/>
    <col min="193" max="193" width="1" style="21" customWidth="1"/>
    <col min="194" max="194" width="18" style="21" customWidth="1"/>
    <col min="195" max="195" width="1.7265625" style="21" customWidth="1"/>
    <col min="196" max="196" width="12.54296875" style="21" customWidth="1"/>
    <col min="197" max="197" width="1.54296875" style="21" customWidth="1"/>
    <col min="198" max="198" width="9.54296875" style="21" customWidth="1"/>
    <col min="199" max="199" width="1.7265625" style="21" customWidth="1"/>
    <col min="200" max="200" width="11.7265625" style="21" customWidth="1"/>
    <col min="201" max="201" width="1.54296875" style="21" customWidth="1"/>
    <col min="202" max="202" width="10.26953125" style="21" customWidth="1"/>
    <col min="203" max="203" width="2" style="21" customWidth="1"/>
    <col min="204" max="204" width="9.54296875" style="21" customWidth="1"/>
    <col min="205" max="447" width="8.81640625" style="21"/>
    <col min="448" max="448" width="4.54296875" style="21" customWidth="1"/>
    <col min="449" max="449" width="1" style="21" customWidth="1"/>
    <col min="450" max="450" width="18" style="21" customWidth="1"/>
    <col min="451" max="451" width="1.7265625" style="21" customWidth="1"/>
    <col min="452" max="452" width="12.54296875" style="21" customWidth="1"/>
    <col min="453" max="453" width="1.54296875" style="21" customWidth="1"/>
    <col min="454" max="454" width="9.54296875" style="21" customWidth="1"/>
    <col min="455" max="455" width="1.7265625" style="21" customWidth="1"/>
    <col min="456" max="456" width="11.7265625" style="21" customWidth="1"/>
    <col min="457" max="457" width="1.54296875" style="21" customWidth="1"/>
    <col min="458" max="458" width="10.26953125" style="21" customWidth="1"/>
    <col min="459" max="459" width="2" style="21" customWidth="1"/>
    <col min="460" max="460" width="9.54296875" style="21" customWidth="1"/>
    <col min="461" max="703" width="8.81640625" style="21"/>
    <col min="704" max="704" width="4.54296875" style="21" customWidth="1"/>
    <col min="705" max="705" width="1" style="21" customWidth="1"/>
    <col min="706" max="706" width="18" style="21" customWidth="1"/>
    <col min="707" max="707" width="1.7265625" style="21" customWidth="1"/>
    <col min="708" max="708" width="12.54296875" style="21" customWidth="1"/>
    <col min="709" max="709" width="1.54296875" style="21" customWidth="1"/>
    <col min="710" max="710" width="9.54296875" style="21" customWidth="1"/>
    <col min="711" max="711" width="1.7265625" style="21" customWidth="1"/>
    <col min="712" max="712" width="11.7265625" style="21" customWidth="1"/>
    <col min="713" max="713" width="1.54296875" style="21" customWidth="1"/>
    <col min="714" max="714" width="10.26953125" style="21" customWidth="1"/>
    <col min="715" max="715" width="2" style="21" customWidth="1"/>
    <col min="716" max="716" width="9.54296875" style="21" customWidth="1"/>
    <col min="717" max="959" width="8.81640625" style="21"/>
    <col min="960" max="960" width="4.54296875" style="21" customWidth="1"/>
    <col min="961" max="961" width="1" style="21" customWidth="1"/>
    <col min="962" max="962" width="18" style="21" customWidth="1"/>
    <col min="963" max="963" width="1.7265625" style="21" customWidth="1"/>
    <col min="964" max="964" width="12.54296875" style="21" customWidth="1"/>
    <col min="965" max="965" width="1.54296875" style="21" customWidth="1"/>
    <col min="966" max="966" width="9.54296875" style="21" customWidth="1"/>
    <col min="967" max="967" width="1.7265625" style="21" customWidth="1"/>
    <col min="968" max="968" width="11.7265625" style="21" customWidth="1"/>
    <col min="969" max="969" width="1.54296875" style="21" customWidth="1"/>
    <col min="970" max="970" width="10.26953125" style="21" customWidth="1"/>
    <col min="971" max="971" width="2" style="21" customWidth="1"/>
    <col min="972" max="972" width="9.54296875" style="21" customWidth="1"/>
    <col min="973" max="1215" width="8.81640625" style="21"/>
    <col min="1216" max="1216" width="4.54296875" style="21" customWidth="1"/>
    <col min="1217" max="1217" width="1" style="21" customWidth="1"/>
    <col min="1218" max="1218" width="18" style="21" customWidth="1"/>
    <col min="1219" max="1219" width="1.7265625" style="21" customWidth="1"/>
    <col min="1220" max="1220" width="12.54296875" style="21" customWidth="1"/>
    <col min="1221" max="1221" width="1.54296875" style="21" customWidth="1"/>
    <col min="1222" max="1222" width="9.54296875" style="21" customWidth="1"/>
    <col min="1223" max="1223" width="1.7265625" style="21" customWidth="1"/>
    <col min="1224" max="1224" width="11.7265625" style="21" customWidth="1"/>
    <col min="1225" max="1225" width="1.54296875" style="21" customWidth="1"/>
    <col min="1226" max="1226" width="10.26953125" style="21" customWidth="1"/>
    <col min="1227" max="1227" width="2" style="21" customWidth="1"/>
    <col min="1228" max="1228" width="9.54296875" style="21" customWidth="1"/>
    <col min="1229" max="1471" width="8.81640625" style="21"/>
    <col min="1472" max="1472" width="4.54296875" style="21" customWidth="1"/>
    <col min="1473" max="1473" width="1" style="21" customWidth="1"/>
    <col min="1474" max="1474" width="18" style="21" customWidth="1"/>
    <col min="1475" max="1475" width="1.7265625" style="21" customWidth="1"/>
    <col min="1476" max="1476" width="12.54296875" style="21" customWidth="1"/>
    <col min="1477" max="1477" width="1.54296875" style="21" customWidth="1"/>
    <col min="1478" max="1478" width="9.54296875" style="21" customWidth="1"/>
    <col min="1479" max="1479" width="1.7265625" style="21" customWidth="1"/>
    <col min="1480" max="1480" width="11.7265625" style="21" customWidth="1"/>
    <col min="1481" max="1481" width="1.54296875" style="21" customWidth="1"/>
    <col min="1482" max="1482" width="10.26953125" style="21" customWidth="1"/>
    <col min="1483" max="1483" width="2" style="21" customWidth="1"/>
    <col min="1484" max="1484" width="9.54296875" style="21" customWidth="1"/>
    <col min="1485" max="1727" width="8.81640625" style="21"/>
    <col min="1728" max="1728" width="4.54296875" style="21" customWidth="1"/>
    <col min="1729" max="1729" width="1" style="21" customWidth="1"/>
    <col min="1730" max="1730" width="18" style="21" customWidth="1"/>
    <col min="1731" max="1731" width="1.7265625" style="21" customWidth="1"/>
    <col min="1732" max="1732" width="12.54296875" style="21" customWidth="1"/>
    <col min="1733" max="1733" width="1.54296875" style="21" customWidth="1"/>
    <col min="1734" max="1734" width="9.54296875" style="21" customWidth="1"/>
    <col min="1735" max="1735" width="1.7265625" style="21" customWidth="1"/>
    <col min="1736" max="1736" width="11.7265625" style="21" customWidth="1"/>
    <col min="1737" max="1737" width="1.54296875" style="21" customWidth="1"/>
    <col min="1738" max="1738" width="10.26953125" style="21" customWidth="1"/>
    <col min="1739" max="1739" width="2" style="21" customWidth="1"/>
    <col min="1740" max="1740" width="9.54296875" style="21" customWidth="1"/>
    <col min="1741" max="1983" width="8.81640625" style="21"/>
    <col min="1984" max="1984" width="4.54296875" style="21" customWidth="1"/>
    <col min="1985" max="1985" width="1" style="21" customWidth="1"/>
    <col min="1986" max="1986" width="18" style="21" customWidth="1"/>
    <col min="1987" max="1987" width="1.7265625" style="21" customWidth="1"/>
    <col min="1988" max="1988" width="12.54296875" style="21" customWidth="1"/>
    <col min="1989" max="1989" width="1.54296875" style="21" customWidth="1"/>
    <col min="1990" max="1990" width="9.54296875" style="21" customWidth="1"/>
    <col min="1991" max="1991" width="1.7265625" style="21" customWidth="1"/>
    <col min="1992" max="1992" width="11.7265625" style="21" customWidth="1"/>
    <col min="1993" max="1993" width="1.54296875" style="21" customWidth="1"/>
    <col min="1994" max="1994" width="10.26953125" style="21" customWidth="1"/>
    <col min="1995" max="1995" width="2" style="21" customWidth="1"/>
    <col min="1996" max="1996" width="9.54296875" style="21" customWidth="1"/>
    <col min="1997" max="2239" width="8.81640625" style="21"/>
    <col min="2240" max="2240" width="4.54296875" style="21" customWidth="1"/>
    <col min="2241" max="2241" width="1" style="21" customWidth="1"/>
    <col min="2242" max="2242" width="18" style="21" customWidth="1"/>
    <col min="2243" max="2243" width="1.7265625" style="21" customWidth="1"/>
    <col min="2244" max="2244" width="12.54296875" style="21" customWidth="1"/>
    <col min="2245" max="2245" width="1.54296875" style="21" customWidth="1"/>
    <col min="2246" max="2246" width="9.54296875" style="21" customWidth="1"/>
    <col min="2247" max="2247" width="1.7265625" style="21" customWidth="1"/>
    <col min="2248" max="2248" width="11.7265625" style="21" customWidth="1"/>
    <col min="2249" max="2249" width="1.54296875" style="21" customWidth="1"/>
    <col min="2250" max="2250" width="10.26953125" style="21" customWidth="1"/>
    <col min="2251" max="2251" width="2" style="21" customWidth="1"/>
    <col min="2252" max="2252" width="9.54296875" style="21" customWidth="1"/>
    <col min="2253" max="2495" width="8.81640625" style="21"/>
    <col min="2496" max="2496" width="4.54296875" style="21" customWidth="1"/>
    <col min="2497" max="2497" width="1" style="21" customWidth="1"/>
    <col min="2498" max="2498" width="18" style="21" customWidth="1"/>
    <col min="2499" max="2499" width="1.7265625" style="21" customWidth="1"/>
    <col min="2500" max="2500" width="12.54296875" style="21" customWidth="1"/>
    <col min="2501" max="2501" width="1.54296875" style="21" customWidth="1"/>
    <col min="2502" max="2502" width="9.54296875" style="21" customWidth="1"/>
    <col min="2503" max="2503" width="1.7265625" style="21" customWidth="1"/>
    <col min="2504" max="2504" width="11.7265625" style="21" customWidth="1"/>
    <col min="2505" max="2505" width="1.54296875" style="21" customWidth="1"/>
    <col min="2506" max="2506" width="10.26953125" style="21" customWidth="1"/>
    <col min="2507" max="2507" width="2" style="21" customWidth="1"/>
    <col min="2508" max="2508" width="9.54296875" style="21" customWidth="1"/>
    <col min="2509" max="2751" width="8.81640625" style="21"/>
    <col min="2752" max="2752" width="4.54296875" style="21" customWidth="1"/>
    <col min="2753" max="2753" width="1" style="21" customWidth="1"/>
    <col min="2754" max="2754" width="18" style="21" customWidth="1"/>
    <col min="2755" max="2755" width="1.7265625" style="21" customWidth="1"/>
    <col min="2756" max="2756" width="12.54296875" style="21" customWidth="1"/>
    <col min="2757" max="2757" width="1.54296875" style="21" customWidth="1"/>
    <col min="2758" max="2758" width="9.54296875" style="21" customWidth="1"/>
    <col min="2759" max="2759" width="1.7265625" style="21" customWidth="1"/>
    <col min="2760" max="2760" width="11.7265625" style="21" customWidth="1"/>
    <col min="2761" max="2761" width="1.54296875" style="21" customWidth="1"/>
    <col min="2762" max="2762" width="10.26953125" style="21" customWidth="1"/>
    <col min="2763" max="2763" width="2" style="21" customWidth="1"/>
    <col min="2764" max="2764" width="9.54296875" style="21" customWidth="1"/>
    <col min="2765" max="3007" width="8.81640625" style="21"/>
    <col min="3008" max="3008" width="4.54296875" style="21" customWidth="1"/>
    <col min="3009" max="3009" width="1" style="21" customWidth="1"/>
    <col min="3010" max="3010" width="18" style="21" customWidth="1"/>
    <col min="3011" max="3011" width="1.7265625" style="21" customWidth="1"/>
    <col min="3012" max="3012" width="12.54296875" style="21" customWidth="1"/>
    <col min="3013" max="3013" width="1.54296875" style="21" customWidth="1"/>
    <col min="3014" max="3014" width="9.54296875" style="21" customWidth="1"/>
    <col min="3015" max="3015" width="1.7265625" style="21" customWidth="1"/>
    <col min="3016" max="3016" width="11.7265625" style="21" customWidth="1"/>
    <col min="3017" max="3017" width="1.54296875" style="21" customWidth="1"/>
    <col min="3018" max="3018" width="10.26953125" style="21" customWidth="1"/>
    <col min="3019" max="3019" width="2" style="21" customWidth="1"/>
    <col min="3020" max="3020" width="9.54296875" style="21" customWidth="1"/>
    <col min="3021" max="3263" width="8.81640625" style="21"/>
    <col min="3264" max="3264" width="4.54296875" style="21" customWidth="1"/>
    <col min="3265" max="3265" width="1" style="21" customWidth="1"/>
    <col min="3266" max="3266" width="18" style="21" customWidth="1"/>
    <col min="3267" max="3267" width="1.7265625" style="21" customWidth="1"/>
    <col min="3268" max="3268" width="12.54296875" style="21" customWidth="1"/>
    <col min="3269" max="3269" width="1.54296875" style="21" customWidth="1"/>
    <col min="3270" max="3270" width="9.54296875" style="21" customWidth="1"/>
    <col min="3271" max="3271" width="1.7265625" style="21" customWidth="1"/>
    <col min="3272" max="3272" width="11.7265625" style="21" customWidth="1"/>
    <col min="3273" max="3273" width="1.54296875" style="21" customWidth="1"/>
    <col min="3274" max="3274" width="10.26953125" style="21" customWidth="1"/>
    <col min="3275" max="3275" width="2" style="21" customWidth="1"/>
    <col min="3276" max="3276" width="9.54296875" style="21" customWidth="1"/>
    <col min="3277" max="3519" width="8.81640625" style="21"/>
    <col min="3520" max="3520" width="4.54296875" style="21" customWidth="1"/>
    <col min="3521" max="3521" width="1" style="21" customWidth="1"/>
    <col min="3522" max="3522" width="18" style="21" customWidth="1"/>
    <col min="3523" max="3523" width="1.7265625" style="21" customWidth="1"/>
    <col min="3524" max="3524" width="12.54296875" style="21" customWidth="1"/>
    <col min="3525" max="3525" width="1.54296875" style="21" customWidth="1"/>
    <col min="3526" max="3526" width="9.54296875" style="21" customWidth="1"/>
    <col min="3527" max="3527" width="1.7265625" style="21" customWidth="1"/>
    <col min="3528" max="3528" width="11.7265625" style="21" customWidth="1"/>
    <col min="3529" max="3529" width="1.54296875" style="21" customWidth="1"/>
    <col min="3530" max="3530" width="10.26953125" style="21" customWidth="1"/>
    <col min="3531" max="3531" width="2" style="21" customWidth="1"/>
    <col min="3532" max="3532" width="9.54296875" style="21" customWidth="1"/>
    <col min="3533" max="3775" width="8.81640625" style="21"/>
    <col min="3776" max="3776" width="4.54296875" style="21" customWidth="1"/>
    <col min="3777" max="3777" width="1" style="21" customWidth="1"/>
    <col min="3778" max="3778" width="18" style="21" customWidth="1"/>
    <col min="3779" max="3779" width="1.7265625" style="21" customWidth="1"/>
    <col min="3780" max="3780" width="12.54296875" style="21" customWidth="1"/>
    <col min="3781" max="3781" width="1.54296875" style="21" customWidth="1"/>
    <col min="3782" max="3782" width="9.54296875" style="21" customWidth="1"/>
    <col min="3783" max="3783" width="1.7265625" style="21" customWidth="1"/>
    <col min="3784" max="3784" width="11.7265625" style="21" customWidth="1"/>
    <col min="3785" max="3785" width="1.54296875" style="21" customWidth="1"/>
    <col min="3786" max="3786" width="10.26953125" style="21" customWidth="1"/>
    <col min="3787" max="3787" width="2" style="21" customWidth="1"/>
    <col min="3788" max="3788" width="9.54296875" style="21" customWidth="1"/>
    <col min="3789" max="4031" width="8.81640625" style="21"/>
    <col min="4032" max="4032" width="4.54296875" style="21" customWidth="1"/>
    <col min="4033" max="4033" width="1" style="21" customWidth="1"/>
    <col min="4034" max="4034" width="18" style="21" customWidth="1"/>
    <col min="4035" max="4035" width="1.7265625" style="21" customWidth="1"/>
    <col min="4036" max="4036" width="12.54296875" style="21" customWidth="1"/>
    <col min="4037" max="4037" width="1.54296875" style="21" customWidth="1"/>
    <col min="4038" max="4038" width="9.54296875" style="21" customWidth="1"/>
    <col min="4039" max="4039" width="1.7265625" style="21" customWidth="1"/>
    <col min="4040" max="4040" width="11.7265625" style="21" customWidth="1"/>
    <col min="4041" max="4041" width="1.54296875" style="21" customWidth="1"/>
    <col min="4042" max="4042" width="10.26953125" style="21" customWidth="1"/>
    <col min="4043" max="4043" width="2" style="21" customWidth="1"/>
    <col min="4044" max="4044" width="9.54296875" style="21" customWidth="1"/>
    <col min="4045" max="4287" width="8.81640625" style="21"/>
    <col min="4288" max="4288" width="4.54296875" style="21" customWidth="1"/>
    <col min="4289" max="4289" width="1" style="21" customWidth="1"/>
    <col min="4290" max="4290" width="18" style="21" customWidth="1"/>
    <col min="4291" max="4291" width="1.7265625" style="21" customWidth="1"/>
    <col min="4292" max="4292" width="12.54296875" style="21" customWidth="1"/>
    <col min="4293" max="4293" width="1.54296875" style="21" customWidth="1"/>
    <col min="4294" max="4294" width="9.54296875" style="21" customWidth="1"/>
    <col min="4295" max="4295" width="1.7265625" style="21" customWidth="1"/>
    <col min="4296" max="4296" width="11.7265625" style="21" customWidth="1"/>
    <col min="4297" max="4297" width="1.54296875" style="21" customWidth="1"/>
    <col min="4298" max="4298" width="10.26953125" style="21" customWidth="1"/>
    <col min="4299" max="4299" width="2" style="21" customWidth="1"/>
    <col min="4300" max="4300" width="9.54296875" style="21" customWidth="1"/>
    <col min="4301" max="4543" width="8.81640625" style="21"/>
    <col min="4544" max="4544" width="4.54296875" style="21" customWidth="1"/>
    <col min="4545" max="4545" width="1" style="21" customWidth="1"/>
    <col min="4546" max="4546" width="18" style="21" customWidth="1"/>
    <col min="4547" max="4547" width="1.7265625" style="21" customWidth="1"/>
    <col min="4548" max="4548" width="12.54296875" style="21" customWidth="1"/>
    <col min="4549" max="4549" width="1.54296875" style="21" customWidth="1"/>
    <col min="4550" max="4550" width="9.54296875" style="21" customWidth="1"/>
    <col min="4551" max="4551" width="1.7265625" style="21" customWidth="1"/>
    <col min="4552" max="4552" width="11.7265625" style="21" customWidth="1"/>
    <col min="4553" max="4553" width="1.54296875" style="21" customWidth="1"/>
    <col min="4554" max="4554" width="10.26953125" style="21" customWidth="1"/>
    <col min="4555" max="4555" width="2" style="21" customWidth="1"/>
    <col min="4556" max="4556" width="9.54296875" style="21" customWidth="1"/>
    <col min="4557" max="4799" width="8.81640625" style="21"/>
    <col min="4800" max="4800" width="4.54296875" style="21" customWidth="1"/>
    <col min="4801" max="4801" width="1" style="21" customWidth="1"/>
    <col min="4802" max="4802" width="18" style="21" customWidth="1"/>
    <col min="4803" max="4803" width="1.7265625" style="21" customWidth="1"/>
    <col min="4804" max="4804" width="12.54296875" style="21" customWidth="1"/>
    <col min="4805" max="4805" width="1.54296875" style="21" customWidth="1"/>
    <col min="4806" max="4806" width="9.54296875" style="21" customWidth="1"/>
    <col min="4807" max="4807" width="1.7265625" style="21" customWidth="1"/>
    <col min="4808" max="4808" width="11.7265625" style="21" customWidth="1"/>
    <col min="4809" max="4809" width="1.54296875" style="21" customWidth="1"/>
    <col min="4810" max="4810" width="10.26953125" style="21" customWidth="1"/>
    <col min="4811" max="4811" width="2" style="21" customWidth="1"/>
    <col min="4812" max="4812" width="9.54296875" style="21" customWidth="1"/>
    <col min="4813" max="5055" width="8.81640625" style="21"/>
    <col min="5056" max="5056" width="4.54296875" style="21" customWidth="1"/>
    <col min="5057" max="5057" width="1" style="21" customWidth="1"/>
    <col min="5058" max="5058" width="18" style="21" customWidth="1"/>
    <col min="5059" max="5059" width="1.7265625" style="21" customWidth="1"/>
    <col min="5060" max="5060" width="12.54296875" style="21" customWidth="1"/>
    <col min="5061" max="5061" width="1.54296875" style="21" customWidth="1"/>
    <col min="5062" max="5062" width="9.54296875" style="21" customWidth="1"/>
    <col min="5063" max="5063" width="1.7265625" style="21" customWidth="1"/>
    <col min="5064" max="5064" width="11.7265625" style="21" customWidth="1"/>
    <col min="5065" max="5065" width="1.54296875" style="21" customWidth="1"/>
    <col min="5066" max="5066" width="10.26953125" style="21" customWidth="1"/>
    <col min="5067" max="5067" width="2" style="21" customWidth="1"/>
    <col min="5068" max="5068" width="9.54296875" style="21" customWidth="1"/>
    <col min="5069" max="5311" width="8.81640625" style="21"/>
    <col min="5312" max="5312" width="4.54296875" style="21" customWidth="1"/>
    <col min="5313" max="5313" width="1" style="21" customWidth="1"/>
    <col min="5314" max="5314" width="18" style="21" customWidth="1"/>
    <col min="5315" max="5315" width="1.7265625" style="21" customWidth="1"/>
    <col min="5316" max="5316" width="12.54296875" style="21" customWidth="1"/>
    <col min="5317" max="5317" width="1.54296875" style="21" customWidth="1"/>
    <col min="5318" max="5318" width="9.54296875" style="21" customWidth="1"/>
    <col min="5319" max="5319" width="1.7265625" style="21" customWidth="1"/>
    <col min="5320" max="5320" width="11.7265625" style="21" customWidth="1"/>
    <col min="5321" max="5321" width="1.54296875" style="21" customWidth="1"/>
    <col min="5322" max="5322" width="10.26953125" style="21" customWidth="1"/>
    <col min="5323" max="5323" width="2" style="21" customWidth="1"/>
    <col min="5324" max="5324" width="9.54296875" style="21" customWidth="1"/>
    <col min="5325" max="5567" width="8.81640625" style="21"/>
    <col min="5568" max="5568" width="4.54296875" style="21" customWidth="1"/>
    <col min="5569" max="5569" width="1" style="21" customWidth="1"/>
    <col min="5570" max="5570" width="18" style="21" customWidth="1"/>
    <col min="5571" max="5571" width="1.7265625" style="21" customWidth="1"/>
    <col min="5572" max="5572" width="12.54296875" style="21" customWidth="1"/>
    <col min="5573" max="5573" width="1.54296875" style="21" customWidth="1"/>
    <col min="5574" max="5574" width="9.54296875" style="21" customWidth="1"/>
    <col min="5575" max="5575" width="1.7265625" style="21" customWidth="1"/>
    <col min="5576" max="5576" width="11.7265625" style="21" customWidth="1"/>
    <col min="5577" max="5577" width="1.54296875" style="21" customWidth="1"/>
    <col min="5578" max="5578" width="10.26953125" style="21" customWidth="1"/>
    <col min="5579" max="5579" width="2" style="21" customWidth="1"/>
    <col min="5580" max="5580" width="9.54296875" style="21" customWidth="1"/>
    <col min="5581" max="5823" width="8.81640625" style="21"/>
    <col min="5824" max="5824" width="4.54296875" style="21" customWidth="1"/>
    <col min="5825" max="5825" width="1" style="21" customWidth="1"/>
    <col min="5826" max="5826" width="18" style="21" customWidth="1"/>
    <col min="5827" max="5827" width="1.7265625" style="21" customWidth="1"/>
    <col min="5828" max="5828" width="12.54296875" style="21" customWidth="1"/>
    <col min="5829" max="5829" width="1.54296875" style="21" customWidth="1"/>
    <col min="5830" max="5830" width="9.54296875" style="21" customWidth="1"/>
    <col min="5831" max="5831" width="1.7265625" style="21" customWidth="1"/>
    <col min="5832" max="5832" width="11.7265625" style="21" customWidth="1"/>
    <col min="5833" max="5833" width="1.54296875" style="21" customWidth="1"/>
    <col min="5834" max="5834" width="10.26953125" style="21" customWidth="1"/>
    <col min="5835" max="5835" width="2" style="21" customWidth="1"/>
    <col min="5836" max="5836" width="9.54296875" style="21" customWidth="1"/>
    <col min="5837" max="6079" width="8.81640625" style="21"/>
    <col min="6080" max="6080" width="4.54296875" style="21" customWidth="1"/>
    <col min="6081" max="6081" width="1" style="21" customWidth="1"/>
    <col min="6082" max="6082" width="18" style="21" customWidth="1"/>
    <col min="6083" max="6083" width="1.7265625" style="21" customWidth="1"/>
    <col min="6084" max="6084" width="12.54296875" style="21" customWidth="1"/>
    <col min="6085" max="6085" width="1.54296875" style="21" customWidth="1"/>
    <col min="6086" max="6086" width="9.54296875" style="21" customWidth="1"/>
    <col min="6087" max="6087" width="1.7265625" style="21" customWidth="1"/>
    <col min="6088" max="6088" width="11.7265625" style="21" customWidth="1"/>
    <col min="6089" max="6089" width="1.54296875" style="21" customWidth="1"/>
    <col min="6090" max="6090" width="10.26953125" style="21" customWidth="1"/>
    <col min="6091" max="6091" width="2" style="21" customWidth="1"/>
    <col min="6092" max="6092" width="9.54296875" style="21" customWidth="1"/>
    <col min="6093" max="6335" width="8.81640625" style="21"/>
    <col min="6336" max="6336" width="4.54296875" style="21" customWidth="1"/>
    <col min="6337" max="6337" width="1" style="21" customWidth="1"/>
    <col min="6338" max="6338" width="18" style="21" customWidth="1"/>
    <col min="6339" max="6339" width="1.7265625" style="21" customWidth="1"/>
    <col min="6340" max="6340" width="12.54296875" style="21" customWidth="1"/>
    <col min="6341" max="6341" width="1.54296875" style="21" customWidth="1"/>
    <col min="6342" max="6342" width="9.54296875" style="21" customWidth="1"/>
    <col min="6343" max="6343" width="1.7265625" style="21" customWidth="1"/>
    <col min="6344" max="6344" width="11.7265625" style="21" customWidth="1"/>
    <col min="6345" max="6345" width="1.54296875" style="21" customWidth="1"/>
    <col min="6346" max="6346" width="10.26953125" style="21" customWidth="1"/>
    <col min="6347" max="6347" width="2" style="21" customWidth="1"/>
    <col min="6348" max="6348" width="9.54296875" style="21" customWidth="1"/>
    <col min="6349" max="6591" width="8.81640625" style="21"/>
    <col min="6592" max="6592" width="4.54296875" style="21" customWidth="1"/>
    <col min="6593" max="6593" width="1" style="21" customWidth="1"/>
    <col min="6594" max="6594" width="18" style="21" customWidth="1"/>
    <col min="6595" max="6595" width="1.7265625" style="21" customWidth="1"/>
    <col min="6596" max="6596" width="12.54296875" style="21" customWidth="1"/>
    <col min="6597" max="6597" width="1.54296875" style="21" customWidth="1"/>
    <col min="6598" max="6598" width="9.54296875" style="21" customWidth="1"/>
    <col min="6599" max="6599" width="1.7265625" style="21" customWidth="1"/>
    <col min="6600" max="6600" width="11.7265625" style="21" customWidth="1"/>
    <col min="6601" max="6601" width="1.54296875" style="21" customWidth="1"/>
    <col min="6602" max="6602" width="10.26953125" style="21" customWidth="1"/>
    <col min="6603" max="6603" width="2" style="21" customWidth="1"/>
    <col min="6604" max="6604" width="9.54296875" style="21" customWidth="1"/>
    <col min="6605" max="6847" width="8.81640625" style="21"/>
    <col min="6848" max="6848" width="4.54296875" style="21" customWidth="1"/>
    <col min="6849" max="6849" width="1" style="21" customWidth="1"/>
    <col min="6850" max="6850" width="18" style="21" customWidth="1"/>
    <col min="6851" max="6851" width="1.7265625" style="21" customWidth="1"/>
    <col min="6852" max="6852" width="12.54296875" style="21" customWidth="1"/>
    <col min="6853" max="6853" width="1.54296875" style="21" customWidth="1"/>
    <col min="6854" max="6854" width="9.54296875" style="21" customWidth="1"/>
    <col min="6855" max="6855" width="1.7265625" style="21" customWidth="1"/>
    <col min="6856" max="6856" width="11.7265625" style="21" customWidth="1"/>
    <col min="6857" max="6857" width="1.54296875" style="21" customWidth="1"/>
    <col min="6858" max="6858" width="10.26953125" style="21" customWidth="1"/>
    <col min="6859" max="6859" width="2" style="21" customWidth="1"/>
    <col min="6860" max="6860" width="9.54296875" style="21" customWidth="1"/>
    <col min="6861" max="7103" width="8.81640625" style="21"/>
    <col min="7104" max="7104" width="4.54296875" style="21" customWidth="1"/>
    <col min="7105" max="7105" width="1" style="21" customWidth="1"/>
    <col min="7106" max="7106" width="18" style="21" customWidth="1"/>
    <col min="7107" max="7107" width="1.7265625" style="21" customWidth="1"/>
    <col min="7108" max="7108" width="12.54296875" style="21" customWidth="1"/>
    <col min="7109" max="7109" width="1.54296875" style="21" customWidth="1"/>
    <col min="7110" max="7110" width="9.54296875" style="21" customWidth="1"/>
    <col min="7111" max="7111" width="1.7265625" style="21" customWidth="1"/>
    <col min="7112" max="7112" width="11.7265625" style="21" customWidth="1"/>
    <col min="7113" max="7113" width="1.54296875" style="21" customWidth="1"/>
    <col min="7114" max="7114" width="10.26953125" style="21" customWidth="1"/>
    <col min="7115" max="7115" width="2" style="21" customWidth="1"/>
    <col min="7116" max="7116" width="9.54296875" style="21" customWidth="1"/>
    <col min="7117" max="7359" width="8.81640625" style="21"/>
    <col min="7360" max="7360" width="4.54296875" style="21" customWidth="1"/>
    <col min="7361" max="7361" width="1" style="21" customWidth="1"/>
    <col min="7362" max="7362" width="18" style="21" customWidth="1"/>
    <col min="7363" max="7363" width="1.7265625" style="21" customWidth="1"/>
    <col min="7364" max="7364" width="12.54296875" style="21" customWidth="1"/>
    <col min="7365" max="7365" width="1.54296875" style="21" customWidth="1"/>
    <col min="7366" max="7366" width="9.54296875" style="21" customWidth="1"/>
    <col min="7367" max="7367" width="1.7265625" style="21" customWidth="1"/>
    <col min="7368" max="7368" width="11.7265625" style="21" customWidth="1"/>
    <col min="7369" max="7369" width="1.54296875" style="21" customWidth="1"/>
    <col min="7370" max="7370" width="10.26953125" style="21" customWidth="1"/>
    <col min="7371" max="7371" width="2" style="21" customWidth="1"/>
    <col min="7372" max="7372" width="9.54296875" style="21" customWidth="1"/>
    <col min="7373" max="7615" width="8.81640625" style="21"/>
    <col min="7616" max="7616" width="4.54296875" style="21" customWidth="1"/>
    <col min="7617" max="7617" width="1" style="21" customWidth="1"/>
    <col min="7618" max="7618" width="18" style="21" customWidth="1"/>
    <col min="7619" max="7619" width="1.7265625" style="21" customWidth="1"/>
    <col min="7620" max="7620" width="12.54296875" style="21" customWidth="1"/>
    <col min="7621" max="7621" width="1.54296875" style="21" customWidth="1"/>
    <col min="7622" max="7622" width="9.54296875" style="21" customWidth="1"/>
    <col min="7623" max="7623" width="1.7265625" style="21" customWidth="1"/>
    <col min="7624" max="7624" width="11.7265625" style="21" customWidth="1"/>
    <col min="7625" max="7625" width="1.54296875" style="21" customWidth="1"/>
    <col min="7626" max="7626" width="10.26953125" style="21" customWidth="1"/>
    <col min="7627" max="7627" width="2" style="21" customWidth="1"/>
    <col min="7628" max="7628" width="9.54296875" style="21" customWidth="1"/>
    <col min="7629" max="7871" width="8.81640625" style="21"/>
    <col min="7872" max="7872" width="4.54296875" style="21" customWidth="1"/>
    <col min="7873" max="7873" width="1" style="21" customWidth="1"/>
    <col min="7874" max="7874" width="18" style="21" customWidth="1"/>
    <col min="7875" max="7875" width="1.7265625" style="21" customWidth="1"/>
    <col min="7876" max="7876" width="12.54296875" style="21" customWidth="1"/>
    <col min="7877" max="7877" width="1.54296875" style="21" customWidth="1"/>
    <col min="7878" max="7878" width="9.54296875" style="21" customWidth="1"/>
    <col min="7879" max="7879" width="1.7265625" style="21" customWidth="1"/>
    <col min="7880" max="7880" width="11.7265625" style="21" customWidth="1"/>
    <col min="7881" max="7881" width="1.54296875" style="21" customWidth="1"/>
    <col min="7882" max="7882" width="10.26953125" style="21" customWidth="1"/>
    <col min="7883" max="7883" width="2" style="21" customWidth="1"/>
    <col min="7884" max="7884" width="9.54296875" style="21" customWidth="1"/>
    <col min="7885" max="8127" width="8.81640625" style="21"/>
    <col min="8128" max="8128" width="4.54296875" style="21" customWidth="1"/>
    <col min="8129" max="8129" width="1" style="21" customWidth="1"/>
    <col min="8130" max="8130" width="18" style="21" customWidth="1"/>
    <col min="8131" max="8131" width="1.7265625" style="21" customWidth="1"/>
    <col min="8132" max="8132" width="12.54296875" style="21" customWidth="1"/>
    <col min="8133" max="8133" width="1.54296875" style="21" customWidth="1"/>
    <col min="8134" max="8134" width="9.54296875" style="21" customWidth="1"/>
    <col min="8135" max="8135" width="1.7265625" style="21" customWidth="1"/>
    <col min="8136" max="8136" width="11.7265625" style="21" customWidth="1"/>
    <col min="8137" max="8137" width="1.54296875" style="21" customWidth="1"/>
    <col min="8138" max="8138" width="10.26953125" style="21" customWidth="1"/>
    <col min="8139" max="8139" width="2" style="21" customWidth="1"/>
    <col min="8140" max="8140" width="9.54296875" style="21" customWidth="1"/>
    <col min="8141" max="8383" width="8.81640625" style="21"/>
    <col min="8384" max="8384" width="4.54296875" style="21" customWidth="1"/>
    <col min="8385" max="8385" width="1" style="21" customWidth="1"/>
    <col min="8386" max="8386" width="18" style="21" customWidth="1"/>
    <col min="8387" max="8387" width="1.7265625" style="21" customWidth="1"/>
    <col min="8388" max="8388" width="12.54296875" style="21" customWidth="1"/>
    <col min="8389" max="8389" width="1.54296875" style="21" customWidth="1"/>
    <col min="8390" max="8390" width="9.54296875" style="21" customWidth="1"/>
    <col min="8391" max="8391" width="1.7265625" style="21" customWidth="1"/>
    <col min="8392" max="8392" width="11.7265625" style="21" customWidth="1"/>
    <col min="8393" max="8393" width="1.54296875" style="21" customWidth="1"/>
    <col min="8394" max="8394" width="10.26953125" style="21" customWidth="1"/>
    <col min="8395" max="8395" width="2" style="21" customWidth="1"/>
    <col min="8396" max="8396" width="9.54296875" style="21" customWidth="1"/>
    <col min="8397" max="8639" width="8.81640625" style="21"/>
    <col min="8640" max="8640" width="4.54296875" style="21" customWidth="1"/>
    <col min="8641" max="8641" width="1" style="21" customWidth="1"/>
    <col min="8642" max="8642" width="18" style="21" customWidth="1"/>
    <col min="8643" max="8643" width="1.7265625" style="21" customWidth="1"/>
    <col min="8644" max="8644" width="12.54296875" style="21" customWidth="1"/>
    <col min="8645" max="8645" width="1.54296875" style="21" customWidth="1"/>
    <col min="8646" max="8646" width="9.54296875" style="21" customWidth="1"/>
    <col min="8647" max="8647" width="1.7265625" style="21" customWidth="1"/>
    <col min="8648" max="8648" width="11.7265625" style="21" customWidth="1"/>
    <col min="8649" max="8649" width="1.54296875" style="21" customWidth="1"/>
    <col min="8650" max="8650" width="10.26953125" style="21" customWidth="1"/>
    <col min="8651" max="8651" width="2" style="21" customWidth="1"/>
    <col min="8652" max="8652" width="9.54296875" style="21" customWidth="1"/>
    <col min="8653" max="8895" width="8.81640625" style="21"/>
    <col min="8896" max="8896" width="4.54296875" style="21" customWidth="1"/>
    <col min="8897" max="8897" width="1" style="21" customWidth="1"/>
    <col min="8898" max="8898" width="18" style="21" customWidth="1"/>
    <col min="8899" max="8899" width="1.7265625" style="21" customWidth="1"/>
    <col min="8900" max="8900" width="12.54296875" style="21" customWidth="1"/>
    <col min="8901" max="8901" width="1.54296875" style="21" customWidth="1"/>
    <col min="8902" max="8902" width="9.54296875" style="21" customWidth="1"/>
    <col min="8903" max="8903" width="1.7265625" style="21" customWidth="1"/>
    <col min="8904" max="8904" width="11.7265625" style="21" customWidth="1"/>
    <col min="8905" max="8905" width="1.54296875" style="21" customWidth="1"/>
    <col min="8906" max="8906" width="10.26953125" style="21" customWidth="1"/>
    <col min="8907" max="8907" width="2" style="21" customWidth="1"/>
    <col min="8908" max="8908" width="9.54296875" style="21" customWidth="1"/>
    <col min="8909" max="9151" width="8.81640625" style="21"/>
    <col min="9152" max="9152" width="4.54296875" style="21" customWidth="1"/>
    <col min="9153" max="9153" width="1" style="21" customWidth="1"/>
    <col min="9154" max="9154" width="18" style="21" customWidth="1"/>
    <col min="9155" max="9155" width="1.7265625" style="21" customWidth="1"/>
    <col min="9156" max="9156" width="12.54296875" style="21" customWidth="1"/>
    <col min="9157" max="9157" width="1.54296875" style="21" customWidth="1"/>
    <col min="9158" max="9158" width="9.54296875" style="21" customWidth="1"/>
    <col min="9159" max="9159" width="1.7265625" style="21" customWidth="1"/>
    <col min="9160" max="9160" width="11.7265625" style="21" customWidth="1"/>
    <col min="9161" max="9161" width="1.54296875" style="21" customWidth="1"/>
    <col min="9162" max="9162" width="10.26953125" style="21" customWidth="1"/>
    <col min="9163" max="9163" width="2" style="21" customWidth="1"/>
    <col min="9164" max="9164" width="9.54296875" style="21" customWidth="1"/>
    <col min="9165" max="9407" width="8.81640625" style="21"/>
    <col min="9408" max="9408" width="4.54296875" style="21" customWidth="1"/>
    <col min="9409" max="9409" width="1" style="21" customWidth="1"/>
    <col min="9410" max="9410" width="18" style="21" customWidth="1"/>
    <col min="9411" max="9411" width="1.7265625" style="21" customWidth="1"/>
    <col min="9412" max="9412" width="12.54296875" style="21" customWidth="1"/>
    <col min="9413" max="9413" width="1.54296875" style="21" customWidth="1"/>
    <col min="9414" max="9414" width="9.54296875" style="21" customWidth="1"/>
    <col min="9415" max="9415" width="1.7265625" style="21" customWidth="1"/>
    <col min="9416" max="9416" width="11.7265625" style="21" customWidth="1"/>
    <col min="9417" max="9417" width="1.54296875" style="21" customWidth="1"/>
    <col min="9418" max="9418" width="10.26953125" style="21" customWidth="1"/>
    <col min="9419" max="9419" width="2" style="21" customWidth="1"/>
    <col min="9420" max="9420" width="9.54296875" style="21" customWidth="1"/>
    <col min="9421" max="9663" width="8.81640625" style="21"/>
    <col min="9664" max="9664" width="4.54296875" style="21" customWidth="1"/>
    <col min="9665" max="9665" width="1" style="21" customWidth="1"/>
    <col min="9666" max="9666" width="18" style="21" customWidth="1"/>
    <col min="9667" max="9667" width="1.7265625" style="21" customWidth="1"/>
    <col min="9668" max="9668" width="12.54296875" style="21" customWidth="1"/>
    <col min="9669" max="9669" width="1.54296875" style="21" customWidth="1"/>
    <col min="9670" max="9670" width="9.54296875" style="21" customWidth="1"/>
    <col min="9671" max="9671" width="1.7265625" style="21" customWidth="1"/>
    <col min="9672" max="9672" width="11.7265625" style="21" customWidth="1"/>
    <col min="9673" max="9673" width="1.54296875" style="21" customWidth="1"/>
    <col min="9674" max="9674" width="10.26953125" style="21" customWidth="1"/>
    <col min="9675" max="9675" width="2" style="21" customWidth="1"/>
    <col min="9676" max="9676" width="9.54296875" style="21" customWidth="1"/>
    <col min="9677" max="9919" width="8.81640625" style="21"/>
    <col min="9920" max="9920" width="4.54296875" style="21" customWidth="1"/>
    <col min="9921" max="9921" width="1" style="21" customWidth="1"/>
    <col min="9922" max="9922" width="18" style="21" customWidth="1"/>
    <col min="9923" max="9923" width="1.7265625" style="21" customWidth="1"/>
    <col min="9924" max="9924" width="12.54296875" style="21" customWidth="1"/>
    <col min="9925" max="9925" width="1.54296875" style="21" customWidth="1"/>
    <col min="9926" max="9926" width="9.54296875" style="21" customWidth="1"/>
    <col min="9927" max="9927" width="1.7265625" style="21" customWidth="1"/>
    <col min="9928" max="9928" width="11.7265625" style="21" customWidth="1"/>
    <col min="9929" max="9929" width="1.54296875" style="21" customWidth="1"/>
    <col min="9930" max="9930" width="10.26953125" style="21" customWidth="1"/>
    <col min="9931" max="9931" width="2" style="21" customWidth="1"/>
    <col min="9932" max="9932" width="9.54296875" style="21" customWidth="1"/>
    <col min="9933" max="10175" width="8.81640625" style="21"/>
    <col min="10176" max="10176" width="4.54296875" style="21" customWidth="1"/>
    <col min="10177" max="10177" width="1" style="21" customWidth="1"/>
    <col min="10178" max="10178" width="18" style="21" customWidth="1"/>
    <col min="10179" max="10179" width="1.7265625" style="21" customWidth="1"/>
    <col min="10180" max="10180" width="12.54296875" style="21" customWidth="1"/>
    <col min="10181" max="10181" width="1.54296875" style="21" customWidth="1"/>
    <col min="10182" max="10182" width="9.54296875" style="21" customWidth="1"/>
    <col min="10183" max="10183" width="1.7265625" style="21" customWidth="1"/>
    <col min="10184" max="10184" width="11.7265625" style="21" customWidth="1"/>
    <col min="10185" max="10185" width="1.54296875" style="21" customWidth="1"/>
    <col min="10186" max="10186" width="10.26953125" style="21" customWidth="1"/>
    <col min="10187" max="10187" width="2" style="21" customWidth="1"/>
    <col min="10188" max="10188" width="9.54296875" style="21" customWidth="1"/>
    <col min="10189" max="10431" width="8.81640625" style="21"/>
    <col min="10432" max="10432" width="4.54296875" style="21" customWidth="1"/>
    <col min="10433" max="10433" width="1" style="21" customWidth="1"/>
    <col min="10434" max="10434" width="18" style="21" customWidth="1"/>
    <col min="10435" max="10435" width="1.7265625" style="21" customWidth="1"/>
    <col min="10436" max="10436" width="12.54296875" style="21" customWidth="1"/>
    <col min="10437" max="10437" width="1.54296875" style="21" customWidth="1"/>
    <col min="10438" max="10438" width="9.54296875" style="21" customWidth="1"/>
    <col min="10439" max="10439" width="1.7265625" style="21" customWidth="1"/>
    <col min="10440" max="10440" width="11.7265625" style="21" customWidth="1"/>
    <col min="10441" max="10441" width="1.54296875" style="21" customWidth="1"/>
    <col min="10442" max="10442" width="10.26953125" style="21" customWidth="1"/>
    <col min="10443" max="10443" width="2" style="21" customWidth="1"/>
    <col min="10444" max="10444" width="9.54296875" style="21" customWidth="1"/>
    <col min="10445" max="10687" width="8.81640625" style="21"/>
    <col min="10688" max="10688" width="4.54296875" style="21" customWidth="1"/>
    <col min="10689" max="10689" width="1" style="21" customWidth="1"/>
    <col min="10690" max="10690" width="18" style="21" customWidth="1"/>
    <col min="10691" max="10691" width="1.7265625" style="21" customWidth="1"/>
    <col min="10692" max="10692" width="12.54296875" style="21" customWidth="1"/>
    <col min="10693" max="10693" width="1.54296875" style="21" customWidth="1"/>
    <col min="10694" max="10694" width="9.54296875" style="21" customWidth="1"/>
    <col min="10695" max="10695" width="1.7265625" style="21" customWidth="1"/>
    <col min="10696" max="10696" width="11.7265625" style="21" customWidth="1"/>
    <col min="10697" max="10697" width="1.54296875" style="21" customWidth="1"/>
    <col min="10698" max="10698" width="10.26953125" style="21" customWidth="1"/>
    <col min="10699" max="10699" width="2" style="21" customWidth="1"/>
    <col min="10700" max="10700" width="9.54296875" style="21" customWidth="1"/>
    <col min="10701" max="10943" width="8.81640625" style="21"/>
    <col min="10944" max="10944" width="4.54296875" style="21" customWidth="1"/>
    <col min="10945" max="10945" width="1" style="21" customWidth="1"/>
    <col min="10946" max="10946" width="18" style="21" customWidth="1"/>
    <col min="10947" max="10947" width="1.7265625" style="21" customWidth="1"/>
    <col min="10948" max="10948" width="12.54296875" style="21" customWidth="1"/>
    <col min="10949" max="10949" width="1.54296875" style="21" customWidth="1"/>
    <col min="10950" max="10950" width="9.54296875" style="21" customWidth="1"/>
    <col min="10951" max="10951" width="1.7265625" style="21" customWidth="1"/>
    <col min="10952" max="10952" width="11.7265625" style="21" customWidth="1"/>
    <col min="10953" max="10953" width="1.54296875" style="21" customWidth="1"/>
    <col min="10954" max="10954" width="10.26953125" style="21" customWidth="1"/>
    <col min="10955" max="10955" width="2" style="21" customWidth="1"/>
    <col min="10956" max="10956" width="9.54296875" style="21" customWidth="1"/>
    <col min="10957" max="11199" width="8.81640625" style="21"/>
    <col min="11200" max="11200" width="4.54296875" style="21" customWidth="1"/>
    <col min="11201" max="11201" width="1" style="21" customWidth="1"/>
    <col min="11202" max="11202" width="18" style="21" customWidth="1"/>
    <col min="11203" max="11203" width="1.7265625" style="21" customWidth="1"/>
    <col min="11204" max="11204" width="12.54296875" style="21" customWidth="1"/>
    <col min="11205" max="11205" width="1.54296875" style="21" customWidth="1"/>
    <col min="11206" max="11206" width="9.54296875" style="21" customWidth="1"/>
    <col min="11207" max="11207" width="1.7265625" style="21" customWidth="1"/>
    <col min="11208" max="11208" width="11.7265625" style="21" customWidth="1"/>
    <col min="11209" max="11209" width="1.54296875" style="21" customWidth="1"/>
    <col min="11210" max="11210" width="10.26953125" style="21" customWidth="1"/>
    <col min="11211" max="11211" width="2" style="21" customWidth="1"/>
    <col min="11212" max="11212" width="9.54296875" style="21" customWidth="1"/>
    <col min="11213" max="11455" width="8.81640625" style="21"/>
    <col min="11456" max="11456" width="4.54296875" style="21" customWidth="1"/>
    <col min="11457" max="11457" width="1" style="21" customWidth="1"/>
    <col min="11458" max="11458" width="18" style="21" customWidth="1"/>
    <col min="11459" max="11459" width="1.7265625" style="21" customWidth="1"/>
    <col min="11460" max="11460" width="12.54296875" style="21" customWidth="1"/>
    <col min="11461" max="11461" width="1.54296875" style="21" customWidth="1"/>
    <col min="11462" max="11462" width="9.54296875" style="21" customWidth="1"/>
    <col min="11463" max="11463" width="1.7265625" style="21" customWidth="1"/>
    <col min="11464" max="11464" width="11.7265625" style="21" customWidth="1"/>
    <col min="11465" max="11465" width="1.54296875" style="21" customWidth="1"/>
    <col min="11466" max="11466" width="10.26953125" style="21" customWidth="1"/>
    <col min="11467" max="11467" width="2" style="21" customWidth="1"/>
    <col min="11468" max="11468" width="9.54296875" style="21" customWidth="1"/>
    <col min="11469" max="11711" width="8.81640625" style="21"/>
    <col min="11712" max="11712" width="4.54296875" style="21" customWidth="1"/>
    <col min="11713" max="11713" width="1" style="21" customWidth="1"/>
    <col min="11714" max="11714" width="18" style="21" customWidth="1"/>
    <col min="11715" max="11715" width="1.7265625" style="21" customWidth="1"/>
    <col min="11716" max="11716" width="12.54296875" style="21" customWidth="1"/>
    <col min="11717" max="11717" width="1.54296875" style="21" customWidth="1"/>
    <col min="11718" max="11718" width="9.54296875" style="21" customWidth="1"/>
    <col min="11719" max="11719" width="1.7265625" style="21" customWidth="1"/>
    <col min="11720" max="11720" width="11.7265625" style="21" customWidth="1"/>
    <col min="11721" max="11721" width="1.54296875" style="21" customWidth="1"/>
    <col min="11722" max="11722" width="10.26953125" style="21" customWidth="1"/>
    <col min="11723" max="11723" width="2" style="21" customWidth="1"/>
    <col min="11724" max="11724" width="9.54296875" style="21" customWidth="1"/>
    <col min="11725" max="11967" width="8.81640625" style="21"/>
    <col min="11968" max="11968" width="4.54296875" style="21" customWidth="1"/>
    <col min="11969" max="11969" width="1" style="21" customWidth="1"/>
    <col min="11970" max="11970" width="18" style="21" customWidth="1"/>
    <col min="11971" max="11971" width="1.7265625" style="21" customWidth="1"/>
    <col min="11972" max="11972" width="12.54296875" style="21" customWidth="1"/>
    <col min="11973" max="11973" width="1.54296875" style="21" customWidth="1"/>
    <col min="11974" max="11974" width="9.54296875" style="21" customWidth="1"/>
    <col min="11975" max="11975" width="1.7265625" style="21" customWidth="1"/>
    <col min="11976" max="11976" width="11.7265625" style="21" customWidth="1"/>
    <col min="11977" max="11977" width="1.54296875" style="21" customWidth="1"/>
    <col min="11978" max="11978" width="10.26953125" style="21" customWidth="1"/>
    <col min="11979" max="11979" width="2" style="21" customWidth="1"/>
    <col min="11980" max="11980" width="9.54296875" style="21" customWidth="1"/>
    <col min="11981" max="12223" width="8.81640625" style="21"/>
    <col min="12224" max="12224" width="4.54296875" style="21" customWidth="1"/>
    <col min="12225" max="12225" width="1" style="21" customWidth="1"/>
    <col min="12226" max="12226" width="18" style="21" customWidth="1"/>
    <col min="12227" max="12227" width="1.7265625" style="21" customWidth="1"/>
    <col min="12228" max="12228" width="12.54296875" style="21" customWidth="1"/>
    <col min="12229" max="12229" width="1.54296875" style="21" customWidth="1"/>
    <col min="12230" max="12230" width="9.54296875" style="21" customWidth="1"/>
    <col min="12231" max="12231" width="1.7265625" style="21" customWidth="1"/>
    <col min="12232" max="12232" width="11.7265625" style="21" customWidth="1"/>
    <col min="12233" max="12233" width="1.54296875" style="21" customWidth="1"/>
    <col min="12234" max="12234" width="10.26953125" style="21" customWidth="1"/>
    <col min="12235" max="12235" width="2" style="21" customWidth="1"/>
    <col min="12236" max="12236" width="9.54296875" style="21" customWidth="1"/>
    <col min="12237" max="12479" width="8.81640625" style="21"/>
    <col min="12480" max="12480" width="4.54296875" style="21" customWidth="1"/>
    <col min="12481" max="12481" width="1" style="21" customWidth="1"/>
    <col min="12482" max="12482" width="18" style="21" customWidth="1"/>
    <col min="12483" max="12483" width="1.7265625" style="21" customWidth="1"/>
    <col min="12484" max="12484" width="12.54296875" style="21" customWidth="1"/>
    <col min="12485" max="12485" width="1.54296875" style="21" customWidth="1"/>
    <col min="12486" max="12486" width="9.54296875" style="21" customWidth="1"/>
    <col min="12487" max="12487" width="1.7265625" style="21" customWidth="1"/>
    <col min="12488" max="12488" width="11.7265625" style="21" customWidth="1"/>
    <col min="12489" max="12489" width="1.54296875" style="21" customWidth="1"/>
    <col min="12490" max="12490" width="10.26953125" style="21" customWidth="1"/>
    <col min="12491" max="12491" width="2" style="21" customWidth="1"/>
    <col min="12492" max="12492" width="9.54296875" style="21" customWidth="1"/>
    <col min="12493" max="12735" width="8.81640625" style="21"/>
    <col min="12736" max="12736" width="4.54296875" style="21" customWidth="1"/>
    <col min="12737" max="12737" width="1" style="21" customWidth="1"/>
    <col min="12738" max="12738" width="18" style="21" customWidth="1"/>
    <col min="12739" max="12739" width="1.7265625" style="21" customWidth="1"/>
    <col min="12740" max="12740" width="12.54296875" style="21" customWidth="1"/>
    <col min="12741" max="12741" width="1.54296875" style="21" customWidth="1"/>
    <col min="12742" max="12742" width="9.54296875" style="21" customWidth="1"/>
    <col min="12743" max="12743" width="1.7265625" style="21" customWidth="1"/>
    <col min="12744" max="12744" width="11.7265625" style="21" customWidth="1"/>
    <col min="12745" max="12745" width="1.54296875" style="21" customWidth="1"/>
    <col min="12746" max="12746" width="10.26953125" style="21" customWidth="1"/>
    <col min="12747" max="12747" width="2" style="21" customWidth="1"/>
    <col min="12748" max="12748" width="9.54296875" style="21" customWidth="1"/>
    <col min="12749" max="12991" width="8.81640625" style="21"/>
    <col min="12992" max="12992" width="4.54296875" style="21" customWidth="1"/>
    <col min="12993" max="12993" width="1" style="21" customWidth="1"/>
    <col min="12994" max="12994" width="18" style="21" customWidth="1"/>
    <col min="12995" max="12995" width="1.7265625" style="21" customWidth="1"/>
    <col min="12996" max="12996" width="12.54296875" style="21" customWidth="1"/>
    <col min="12997" max="12997" width="1.54296875" style="21" customWidth="1"/>
    <col min="12998" max="12998" width="9.54296875" style="21" customWidth="1"/>
    <col min="12999" max="12999" width="1.7265625" style="21" customWidth="1"/>
    <col min="13000" max="13000" width="11.7265625" style="21" customWidth="1"/>
    <col min="13001" max="13001" width="1.54296875" style="21" customWidth="1"/>
    <col min="13002" max="13002" width="10.26953125" style="21" customWidth="1"/>
    <col min="13003" max="13003" width="2" style="21" customWidth="1"/>
    <col min="13004" max="13004" width="9.54296875" style="21" customWidth="1"/>
    <col min="13005" max="13247" width="8.81640625" style="21"/>
    <col min="13248" max="13248" width="4.54296875" style="21" customWidth="1"/>
    <col min="13249" max="13249" width="1" style="21" customWidth="1"/>
    <col min="13250" max="13250" width="18" style="21" customWidth="1"/>
    <col min="13251" max="13251" width="1.7265625" style="21" customWidth="1"/>
    <col min="13252" max="13252" width="12.54296875" style="21" customWidth="1"/>
    <col min="13253" max="13253" width="1.54296875" style="21" customWidth="1"/>
    <col min="13254" max="13254" width="9.54296875" style="21" customWidth="1"/>
    <col min="13255" max="13255" width="1.7265625" style="21" customWidth="1"/>
    <col min="13256" max="13256" width="11.7265625" style="21" customWidth="1"/>
    <col min="13257" max="13257" width="1.54296875" style="21" customWidth="1"/>
    <col min="13258" max="13258" width="10.26953125" style="21" customWidth="1"/>
    <col min="13259" max="13259" width="2" style="21" customWidth="1"/>
    <col min="13260" max="13260" width="9.54296875" style="21" customWidth="1"/>
    <col min="13261" max="13503" width="8.81640625" style="21"/>
    <col min="13504" max="13504" width="4.54296875" style="21" customWidth="1"/>
    <col min="13505" max="13505" width="1" style="21" customWidth="1"/>
    <col min="13506" max="13506" width="18" style="21" customWidth="1"/>
    <col min="13507" max="13507" width="1.7265625" style="21" customWidth="1"/>
    <col min="13508" max="13508" width="12.54296875" style="21" customWidth="1"/>
    <col min="13509" max="13509" width="1.54296875" style="21" customWidth="1"/>
    <col min="13510" max="13510" width="9.54296875" style="21" customWidth="1"/>
    <col min="13511" max="13511" width="1.7265625" style="21" customWidth="1"/>
    <col min="13512" max="13512" width="11.7265625" style="21" customWidth="1"/>
    <col min="13513" max="13513" width="1.54296875" style="21" customWidth="1"/>
    <col min="13514" max="13514" width="10.26953125" style="21" customWidth="1"/>
    <col min="13515" max="13515" width="2" style="21" customWidth="1"/>
    <col min="13516" max="13516" width="9.54296875" style="21" customWidth="1"/>
    <col min="13517" max="13759" width="8.81640625" style="21"/>
    <col min="13760" max="13760" width="4.54296875" style="21" customWidth="1"/>
    <col min="13761" max="13761" width="1" style="21" customWidth="1"/>
    <col min="13762" max="13762" width="18" style="21" customWidth="1"/>
    <col min="13763" max="13763" width="1.7265625" style="21" customWidth="1"/>
    <col min="13764" max="13764" width="12.54296875" style="21" customWidth="1"/>
    <col min="13765" max="13765" width="1.54296875" style="21" customWidth="1"/>
    <col min="13766" max="13766" width="9.54296875" style="21" customWidth="1"/>
    <col min="13767" max="13767" width="1.7265625" style="21" customWidth="1"/>
    <col min="13768" max="13768" width="11.7265625" style="21" customWidth="1"/>
    <col min="13769" max="13769" width="1.54296875" style="21" customWidth="1"/>
    <col min="13770" max="13770" width="10.26953125" style="21" customWidth="1"/>
    <col min="13771" max="13771" width="2" style="21" customWidth="1"/>
    <col min="13772" max="13772" width="9.54296875" style="21" customWidth="1"/>
    <col min="13773" max="14015" width="8.81640625" style="21"/>
    <col min="14016" max="14016" width="4.54296875" style="21" customWidth="1"/>
    <col min="14017" max="14017" width="1" style="21" customWidth="1"/>
    <col min="14018" max="14018" width="18" style="21" customWidth="1"/>
    <col min="14019" max="14019" width="1.7265625" style="21" customWidth="1"/>
    <col min="14020" max="14020" width="12.54296875" style="21" customWidth="1"/>
    <col min="14021" max="14021" width="1.54296875" style="21" customWidth="1"/>
    <col min="14022" max="14022" width="9.54296875" style="21" customWidth="1"/>
    <col min="14023" max="14023" width="1.7265625" style="21" customWidth="1"/>
    <col min="14024" max="14024" width="11.7265625" style="21" customWidth="1"/>
    <col min="14025" max="14025" width="1.54296875" style="21" customWidth="1"/>
    <col min="14026" max="14026" width="10.26953125" style="21" customWidth="1"/>
    <col min="14027" max="14027" width="2" style="21" customWidth="1"/>
    <col min="14028" max="14028" width="9.54296875" style="21" customWidth="1"/>
    <col min="14029" max="14271" width="8.81640625" style="21"/>
    <col min="14272" max="14272" width="4.54296875" style="21" customWidth="1"/>
    <col min="14273" max="14273" width="1" style="21" customWidth="1"/>
    <col min="14274" max="14274" width="18" style="21" customWidth="1"/>
    <col min="14275" max="14275" width="1.7265625" style="21" customWidth="1"/>
    <col min="14276" max="14276" width="12.54296875" style="21" customWidth="1"/>
    <col min="14277" max="14277" width="1.54296875" style="21" customWidth="1"/>
    <col min="14278" max="14278" width="9.54296875" style="21" customWidth="1"/>
    <col min="14279" max="14279" width="1.7265625" style="21" customWidth="1"/>
    <col min="14280" max="14280" width="11.7265625" style="21" customWidth="1"/>
    <col min="14281" max="14281" width="1.54296875" style="21" customWidth="1"/>
    <col min="14282" max="14282" width="10.26953125" style="21" customWidth="1"/>
    <col min="14283" max="14283" width="2" style="21" customWidth="1"/>
    <col min="14284" max="14284" width="9.54296875" style="21" customWidth="1"/>
    <col min="14285" max="14527" width="8.81640625" style="21"/>
    <col min="14528" max="14528" width="4.54296875" style="21" customWidth="1"/>
    <col min="14529" max="14529" width="1" style="21" customWidth="1"/>
    <col min="14530" max="14530" width="18" style="21" customWidth="1"/>
    <col min="14531" max="14531" width="1.7265625" style="21" customWidth="1"/>
    <col min="14532" max="14532" width="12.54296875" style="21" customWidth="1"/>
    <col min="14533" max="14533" width="1.54296875" style="21" customWidth="1"/>
    <col min="14534" max="14534" width="9.54296875" style="21" customWidth="1"/>
    <col min="14535" max="14535" width="1.7265625" style="21" customWidth="1"/>
    <col min="14536" max="14536" width="11.7265625" style="21" customWidth="1"/>
    <col min="14537" max="14537" width="1.54296875" style="21" customWidth="1"/>
    <col min="14538" max="14538" width="10.26953125" style="21" customWidth="1"/>
    <col min="14539" max="14539" width="2" style="21" customWidth="1"/>
    <col min="14540" max="14540" width="9.54296875" style="21" customWidth="1"/>
    <col min="14541" max="14783" width="8.81640625" style="21"/>
    <col min="14784" max="14784" width="4.54296875" style="21" customWidth="1"/>
    <col min="14785" max="14785" width="1" style="21" customWidth="1"/>
    <col min="14786" max="14786" width="18" style="21" customWidth="1"/>
    <col min="14787" max="14787" width="1.7265625" style="21" customWidth="1"/>
    <col min="14788" max="14788" width="12.54296875" style="21" customWidth="1"/>
    <col min="14789" max="14789" width="1.54296875" style="21" customWidth="1"/>
    <col min="14790" max="14790" width="9.54296875" style="21" customWidth="1"/>
    <col min="14791" max="14791" width="1.7265625" style="21" customWidth="1"/>
    <col min="14792" max="14792" width="11.7265625" style="21" customWidth="1"/>
    <col min="14793" max="14793" width="1.54296875" style="21" customWidth="1"/>
    <col min="14794" max="14794" width="10.26953125" style="21" customWidth="1"/>
    <col min="14795" max="14795" width="2" style="21" customWidth="1"/>
    <col min="14796" max="14796" width="9.54296875" style="21" customWidth="1"/>
    <col min="14797" max="15039" width="8.81640625" style="21"/>
    <col min="15040" max="15040" width="4.54296875" style="21" customWidth="1"/>
    <col min="15041" max="15041" width="1" style="21" customWidth="1"/>
    <col min="15042" max="15042" width="18" style="21" customWidth="1"/>
    <col min="15043" max="15043" width="1.7265625" style="21" customWidth="1"/>
    <col min="15044" max="15044" width="12.54296875" style="21" customWidth="1"/>
    <col min="15045" max="15045" width="1.54296875" style="21" customWidth="1"/>
    <col min="15046" max="15046" width="9.54296875" style="21" customWidth="1"/>
    <col min="15047" max="15047" width="1.7265625" style="21" customWidth="1"/>
    <col min="15048" max="15048" width="11.7265625" style="21" customWidth="1"/>
    <col min="15049" max="15049" width="1.54296875" style="21" customWidth="1"/>
    <col min="15050" max="15050" width="10.26953125" style="21" customWidth="1"/>
    <col min="15051" max="15051" width="2" style="21" customWidth="1"/>
    <col min="15052" max="15052" width="9.54296875" style="21" customWidth="1"/>
    <col min="15053" max="15295" width="8.81640625" style="21"/>
    <col min="15296" max="15296" width="4.54296875" style="21" customWidth="1"/>
    <col min="15297" max="15297" width="1" style="21" customWidth="1"/>
    <col min="15298" max="15298" width="18" style="21" customWidth="1"/>
    <col min="15299" max="15299" width="1.7265625" style="21" customWidth="1"/>
    <col min="15300" max="15300" width="12.54296875" style="21" customWidth="1"/>
    <col min="15301" max="15301" width="1.54296875" style="21" customWidth="1"/>
    <col min="15302" max="15302" width="9.54296875" style="21" customWidth="1"/>
    <col min="15303" max="15303" width="1.7265625" style="21" customWidth="1"/>
    <col min="15304" max="15304" width="11.7265625" style="21" customWidth="1"/>
    <col min="15305" max="15305" width="1.54296875" style="21" customWidth="1"/>
    <col min="15306" max="15306" width="10.26953125" style="21" customWidth="1"/>
    <col min="15307" max="15307" width="2" style="21" customWidth="1"/>
    <col min="15308" max="15308" width="9.54296875" style="21" customWidth="1"/>
    <col min="15309" max="15551" width="8.81640625" style="21"/>
    <col min="15552" max="15552" width="4.54296875" style="21" customWidth="1"/>
    <col min="15553" max="15553" width="1" style="21" customWidth="1"/>
    <col min="15554" max="15554" width="18" style="21" customWidth="1"/>
    <col min="15555" max="15555" width="1.7265625" style="21" customWidth="1"/>
    <col min="15556" max="15556" width="12.54296875" style="21" customWidth="1"/>
    <col min="15557" max="15557" width="1.54296875" style="21" customWidth="1"/>
    <col min="15558" max="15558" width="9.54296875" style="21" customWidth="1"/>
    <col min="15559" max="15559" width="1.7265625" style="21" customWidth="1"/>
    <col min="15560" max="15560" width="11.7265625" style="21" customWidth="1"/>
    <col min="15561" max="15561" width="1.54296875" style="21" customWidth="1"/>
    <col min="15562" max="15562" width="10.26953125" style="21" customWidth="1"/>
    <col min="15563" max="15563" width="2" style="21" customWidth="1"/>
    <col min="15564" max="15564" width="9.54296875" style="21" customWidth="1"/>
    <col min="15565" max="15807" width="8.81640625" style="21"/>
    <col min="15808" max="15808" width="4.54296875" style="21" customWidth="1"/>
    <col min="15809" max="15809" width="1" style="21" customWidth="1"/>
    <col min="15810" max="15810" width="18" style="21" customWidth="1"/>
    <col min="15811" max="15811" width="1.7265625" style="21" customWidth="1"/>
    <col min="15812" max="15812" width="12.54296875" style="21" customWidth="1"/>
    <col min="15813" max="15813" width="1.54296875" style="21" customWidth="1"/>
    <col min="15814" max="15814" width="9.54296875" style="21" customWidth="1"/>
    <col min="15815" max="15815" width="1.7265625" style="21" customWidth="1"/>
    <col min="15816" max="15816" width="11.7265625" style="21" customWidth="1"/>
    <col min="15817" max="15817" width="1.54296875" style="21" customWidth="1"/>
    <col min="15818" max="15818" width="10.26953125" style="21" customWidth="1"/>
    <col min="15819" max="15819" width="2" style="21" customWidth="1"/>
    <col min="15820" max="15820" width="9.54296875" style="21" customWidth="1"/>
    <col min="15821" max="16063" width="8.81640625" style="21"/>
    <col min="16064" max="16064" width="4.54296875" style="21" customWidth="1"/>
    <col min="16065" max="16065" width="1" style="21" customWidth="1"/>
    <col min="16066" max="16066" width="18" style="21" customWidth="1"/>
    <col min="16067" max="16067" width="1.7265625" style="21" customWidth="1"/>
    <col min="16068" max="16068" width="12.54296875" style="21" customWidth="1"/>
    <col min="16069" max="16069" width="1.54296875" style="21" customWidth="1"/>
    <col min="16070" max="16070" width="9.54296875" style="21" customWidth="1"/>
    <col min="16071" max="16071" width="1.7265625" style="21" customWidth="1"/>
    <col min="16072" max="16072" width="11.7265625" style="21" customWidth="1"/>
    <col min="16073" max="16073" width="1.54296875" style="21" customWidth="1"/>
    <col min="16074" max="16074" width="10.26953125" style="21" customWidth="1"/>
    <col min="16075" max="16075" width="2" style="21" customWidth="1"/>
    <col min="16076" max="16076" width="9.54296875" style="21" customWidth="1"/>
    <col min="16077" max="16334" width="8.81640625" style="21"/>
    <col min="16335" max="16384" width="8.7265625" style="21" customWidth="1"/>
  </cols>
  <sheetData>
    <row r="2" spans="2:21" x14ac:dyDescent="0.25">
      <c r="B2" s="42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0"/>
    </row>
    <row r="3" spans="2:21" x14ac:dyDescent="0.25">
      <c r="B3" s="43"/>
      <c r="C3" s="43"/>
      <c r="D3" s="43"/>
      <c r="E3" s="43"/>
      <c r="F3" s="44"/>
      <c r="G3" s="43"/>
      <c r="H3" s="44"/>
      <c r="I3" s="43"/>
      <c r="J3" s="44"/>
      <c r="K3" s="44"/>
      <c r="L3" s="44"/>
      <c r="M3" s="44"/>
      <c r="N3" s="43"/>
      <c r="O3" s="43"/>
      <c r="P3" s="43"/>
      <c r="Q3" s="43"/>
      <c r="R3" s="43"/>
      <c r="S3" s="22"/>
      <c r="T3" s="22"/>
    </row>
    <row r="4" spans="2:21" x14ac:dyDescent="0.25">
      <c r="B4" s="44"/>
      <c r="C4" s="44"/>
      <c r="D4" s="44"/>
      <c r="E4" s="44"/>
      <c r="F4" s="43"/>
      <c r="G4" s="44"/>
      <c r="H4" s="43"/>
      <c r="I4" s="44"/>
      <c r="J4" s="45" t="s">
        <v>1</v>
      </c>
      <c r="K4" s="45"/>
      <c r="L4" s="44"/>
      <c r="M4" s="44"/>
      <c r="N4" s="44"/>
      <c r="O4" s="45" t="s">
        <v>2</v>
      </c>
      <c r="P4" s="45"/>
      <c r="Q4" s="45"/>
      <c r="R4" s="45"/>
      <c r="S4" s="23"/>
      <c r="T4" s="23"/>
    </row>
    <row r="5" spans="2:21" s="24" customFormat="1" ht="39" customHeight="1" x14ac:dyDescent="0.25">
      <c r="B5" s="46" t="s">
        <v>3</v>
      </c>
      <c r="C5" s="46"/>
      <c r="D5" s="46"/>
      <c r="E5" s="46"/>
      <c r="F5" s="47" t="s">
        <v>4</v>
      </c>
      <c r="G5" s="46"/>
      <c r="H5" s="24" t="s">
        <v>5</v>
      </c>
      <c r="I5" s="46"/>
      <c r="J5" s="24" t="s">
        <v>6</v>
      </c>
      <c r="K5" s="24" t="s">
        <v>7</v>
      </c>
      <c r="L5" s="46"/>
      <c r="M5" s="24" t="s">
        <v>8</v>
      </c>
      <c r="N5" s="46"/>
      <c r="O5" s="46" t="s">
        <v>9</v>
      </c>
      <c r="P5" s="24" t="s">
        <v>8</v>
      </c>
      <c r="Q5" s="24" t="s">
        <v>6</v>
      </c>
      <c r="R5" s="24" t="s">
        <v>7</v>
      </c>
      <c r="S5" s="46" t="s">
        <v>10</v>
      </c>
      <c r="T5" s="46" t="s">
        <v>11</v>
      </c>
      <c r="U5" s="46"/>
    </row>
    <row r="6" spans="2:21" ht="14.5" x14ac:dyDescent="0.25">
      <c r="B6" s="48" t="s">
        <v>12</v>
      </c>
      <c r="C6" s="49"/>
      <c r="D6" s="50" t="s">
        <v>13</v>
      </c>
      <c r="E6" s="47"/>
      <c r="F6" s="48" t="s">
        <v>14</v>
      </c>
      <c r="G6" s="47"/>
      <c r="H6" s="48" t="s">
        <v>15</v>
      </c>
      <c r="I6" s="47"/>
      <c r="J6" s="48" t="s">
        <v>16</v>
      </c>
      <c r="K6" s="48" t="s">
        <v>17</v>
      </c>
      <c r="L6" s="47"/>
      <c r="M6" s="48" t="s">
        <v>16</v>
      </c>
      <c r="N6" s="47"/>
      <c r="O6" s="48" t="s">
        <v>16</v>
      </c>
      <c r="P6" s="48" t="s">
        <v>16</v>
      </c>
      <c r="Q6" s="48" t="s">
        <v>16</v>
      </c>
      <c r="R6" s="48" t="s">
        <v>17</v>
      </c>
      <c r="S6" s="48" t="s">
        <v>18</v>
      </c>
      <c r="T6" s="48" t="s">
        <v>19</v>
      </c>
      <c r="U6" s="47"/>
    </row>
    <row r="7" spans="2:21" x14ac:dyDescent="0.25">
      <c r="B7" s="47"/>
      <c r="C7" s="49"/>
      <c r="D7" s="49"/>
      <c r="E7" s="47"/>
      <c r="F7" s="47"/>
      <c r="G7" s="47"/>
      <c r="H7" s="47" t="s">
        <v>20</v>
      </c>
      <c r="I7" s="47"/>
      <c r="J7" s="47" t="s">
        <v>21</v>
      </c>
      <c r="K7" s="47" t="s">
        <v>22</v>
      </c>
      <c r="L7" s="47"/>
      <c r="M7" s="47" t="s">
        <v>23</v>
      </c>
      <c r="N7" s="47"/>
      <c r="O7" s="47" t="s">
        <v>24</v>
      </c>
      <c r="P7" s="47" t="s">
        <v>25</v>
      </c>
      <c r="Q7" s="51" t="s">
        <v>26</v>
      </c>
      <c r="R7" s="51" t="s">
        <v>27</v>
      </c>
      <c r="S7" s="51" t="s">
        <v>28</v>
      </c>
      <c r="T7" s="51" t="s">
        <v>29</v>
      </c>
      <c r="U7" s="47"/>
    </row>
    <row r="8" spans="2:21" ht="13" x14ac:dyDescent="0.3">
      <c r="B8" s="47"/>
      <c r="C8" s="49"/>
      <c r="D8" s="20" t="s">
        <v>30</v>
      </c>
      <c r="E8" s="47"/>
      <c r="F8" s="25"/>
      <c r="G8" s="47"/>
      <c r="H8" s="25"/>
      <c r="I8" s="47"/>
      <c r="J8" s="25"/>
      <c r="K8" s="47"/>
      <c r="L8" s="47"/>
      <c r="M8" s="25"/>
      <c r="N8" s="47"/>
      <c r="O8" s="47"/>
      <c r="P8" s="47"/>
      <c r="Q8" s="47"/>
      <c r="R8" s="47"/>
      <c r="S8" s="47"/>
      <c r="T8" s="47"/>
      <c r="U8" s="47"/>
    </row>
    <row r="9" spans="2:21" ht="13" x14ac:dyDescent="0.3">
      <c r="B9" s="47"/>
      <c r="C9" s="49"/>
      <c r="D9" s="20" t="s">
        <v>31</v>
      </c>
      <c r="E9" s="47"/>
      <c r="F9" s="25"/>
      <c r="G9" s="47"/>
      <c r="H9" s="25"/>
      <c r="I9" s="47"/>
      <c r="J9" s="25"/>
      <c r="K9" s="47"/>
      <c r="L9" s="47"/>
      <c r="M9" s="1"/>
      <c r="N9" s="47"/>
      <c r="O9" s="2"/>
      <c r="P9" s="47"/>
      <c r="Q9" s="47"/>
      <c r="R9" s="47"/>
      <c r="S9" s="47"/>
      <c r="T9" s="47"/>
      <c r="U9" s="47"/>
    </row>
    <row r="10" spans="2:21" x14ac:dyDescent="0.25">
      <c r="B10" s="47">
        <v>1</v>
      </c>
      <c r="C10" s="49"/>
      <c r="D10" s="26" t="s">
        <v>32</v>
      </c>
      <c r="E10" s="47"/>
      <c r="F10" s="3" t="s">
        <v>33</v>
      </c>
      <c r="G10" s="47"/>
      <c r="H10" s="4">
        <v>25902149</v>
      </c>
      <c r="I10" s="52"/>
      <c r="J10" s="4">
        <f>$H10*K10/1000</f>
        <v>566707.60055401165</v>
      </c>
      <c r="K10" s="53">
        <v>21.878786989991127</v>
      </c>
      <c r="L10" s="54"/>
      <c r="M10" s="4">
        <f>J10-O10</f>
        <v>-156614.18455484009</v>
      </c>
      <c r="N10" s="27"/>
      <c r="O10" s="4">
        <v>723321.78510885173</v>
      </c>
      <c r="P10" s="4">
        <f>Q10-O10</f>
        <v>-127572.35810885171</v>
      </c>
      <c r="Q10" s="4">
        <f>$H10*R10/1000</f>
        <v>595749.42700000003</v>
      </c>
      <c r="R10" s="53">
        <v>23</v>
      </c>
      <c r="S10" s="5">
        <f>Q10/O10</f>
        <v>0.82362986884232514</v>
      </c>
      <c r="T10" s="6">
        <f t="shared" ref="T10:T15" si="0">R10/K10-1</f>
        <v>5.124658010162042E-2</v>
      </c>
    </row>
    <row r="11" spans="2:21" x14ac:dyDescent="0.25">
      <c r="B11" s="47"/>
      <c r="C11" s="49"/>
      <c r="D11" s="26" t="s">
        <v>34</v>
      </c>
      <c r="E11" s="47"/>
      <c r="F11" s="3"/>
      <c r="G11" s="47"/>
      <c r="H11" s="4"/>
      <c r="I11" s="52"/>
      <c r="J11" s="4"/>
      <c r="K11" s="9"/>
      <c r="L11" s="54"/>
      <c r="M11" s="4"/>
      <c r="N11" s="27"/>
      <c r="O11" s="4"/>
      <c r="P11" s="4"/>
      <c r="Q11" s="4"/>
      <c r="R11" s="9"/>
      <c r="S11" s="5"/>
      <c r="T11" s="6"/>
    </row>
    <row r="12" spans="2:21" x14ac:dyDescent="0.25">
      <c r="B12" s="47">
        <f>MAX(B$10:B11)+1</f>
        <v>2</v>
      </c>
      <c r="C12" s="49"/>
      <c r="D12" s="29" t="s">
        <v>35</v>
      </c>
      <c r="E12" s="47"/>
      <c r="F12" s="3" t="s">
        <v>36</v>
      </c>
      <c r="G12" s="47"/>
      <c r="H12" s="4">
        <v>710956.70434703375</v>
      </c>
      <c r="I12" s="52"/>
      <c r="J12" s="4">
        <f>$H12*K12/100</f>
        <v>67979.328648552517</v>
      </c>
      <c r="K12" s="9">
        <v>9.5616692595911292</v>
      </c>
      <c r="L12" s="54"/>
      <c r="M12" s="4">
        <f t="shared" ref="M12:M15" si="1">J12-O12</f>
        <v>-3950.2386827683804</v>
      </c>
      <c r="N12" s="27"/>
      <c r="O12" s="4">
        <f>J12/J$16*O$16</f>
        <v>71929.567331320897</v>
      </c>
      <c r="P12" s="4">
        <f t="shared" ref="P12:P15" si="2">Q12-O12</f>
        <v>19621.825074032036</v>
      </c>
      <c r="Q12" s="4">
        <f>$H12*R12/100</f>
        <v>91551.392405352934</v>
      </c>
      <c r="R12" s="9">
        <f>K12*(O$16+P$16)/J$16</f>
        <v>12.877210643851621</v>
      </c>
      <c r="S12" s="5"/>
      <c r="T12" s="6">
        <f t="shared" si="0"/>
        <v>0.34675340615183226</v>
      </c>
    </row>
    <row r="13" spans="2:21" x14ac:dyDescent="0.25">
      <c r="B13" s="47">
        <f>MAX(B$10:B12)+1</f>
        <v>3</v>
      </c>
      <c r="C13" s="49"/>
      <c r="D13" s="29" t="s">
        <v>37</v>
      </c>
      <c r="E13" s="47"/>
      <c r="F13" s="3" t="s">
        <v>36</v>
      </c>
      <c r="G13" s="47"/>
      <c r="H13" s="4">
        <v>1020712.5428390639</v>
      </c>
      <c r="I13" s="52"/>
      <c r="J13" s="4">
        <f>$H13*K13/100</f>
        <v>90700.802272193279</v>
      </c>
      <c r="K13" s="9">
        <v>8.8860279917706571</v>
      </c>
      <c r="L13" s="54"/>
      <c r="M13" s="4">
        <f t="shared" si="1"/>
        <v>-5270.570110306202</v>
      </c>
      <c r="N13" s="27"/>
      <c r="O13" s="4">
        <f t="shared" ref="O13:O15" si="3">J13/J$16*O$16</f>
        <v>95971.372382499481</v>
      </c>
      <c r="P13" s="4">
        <f t="shared" si="2"/>
        <v>26180.242018280667</v>
      </c>
      <c r="Q13" s="4">
        <f>$H13*R13/100</f>
        <v>122151.61440078015</v>
      </c>
      <c r="R13" s="9">
        <f t="shared" ref="R13:R15" si="4">K13*(O$16+P$16)/J$16</f>
        <v>11.967288465077658</v>
      </c>
      <c r="S13" s="5"/>
      <c r="T13" s="6">
        <f t="shared" si="0"/>
        <v>0.34675340615183226</v>
      </c>
    </row>
    <row r="14" spans="2:21" x14ac:dyDescent="0.25">
      <c r="B14" s="47">
        <f>MAX(B$10:B13)+1</f>
        <v>4</v>
      </c>
      <c r="C14" s="49"/>
      <c r="D14" s="29" t="s">
        <v>38</v>
      </c>
      <c r="E14" s="47"/>
      <c r="F14" s="3" t="s">
        <v>36</v>
      </c>
      <c r="G14" s="47"/>
      <c r="H14" s="4">
        <v>1107394.6437671527</v>
      </c>
      <c r="I14" s="52"/>
      <c r="J14" s="4">
        <f>$H14*K14/100</f>
        <v>92544.631865509058</v>
      </c>
      <c r="K14" s="9">
        <v>8.3569694314837264</v>
      </c>
      <c r="L14" s="54"/>
      <c r="M14" s="4">
        <f t="shared" si="1"/>
        <v>-5377.7139601904055</v>
      </c>
      <c r="N14" s="27"/>
      <c r="O14" s="4">
        <f t="shared" si="3"/>
        <v>97922.345825699464</v>
      </c>
      <c r="P14" s="4">
        <f t="shared" si="2"/>
        <v>26712.452360242241</v>
      </c>
      <c r="Q14" s="4">
        <f>$H14*R14/100</f>
        <v>124634.79818594171</v>
      </c>
      <c r="R14" s="9">
        <f t="shared" si="4"/>
        <v>11.254777046957448</v>
      </c>
      <c r="S14" s="5"/>
      <c r="T14" s="6">
        <f t="shared" si="0"/>
        <v>0.34675340615183203</v>
      </c>
    </row>
    <row r="15" spans="2:21" x14ac:dyDescent="0.25">
      <c r="B15" s="47">
        <f>MAX(B$10:B14)+1</f>
        <v>5</v>
      </c>
      <c r="C15" s="49"/>
      <c r="D15" s="29" t="s">
        <v>39</v>
      </c>
      <c r="E15" s="47"/>
      <c r="F15" s="3" t="s">
        <v>36</v>
      </c>
      <c r="G15" s="47"/>
      <c r="H15" s="4">
        <v>2161962.8495790139</v>
      </c>
      <c r="I15" s="52"/>
      <c r="J15" s="4">
        <f>$H15*K15/100</f>
        <v>172148.03766135164</v>
      </c>
      <c r="K15" s="9">
        <v>7.9625807490111589</v>
      </c>
      <c r="L15" s="54"/>
      <c r="M15" s="4">
        <f t="shared" si="1"/>
        <v>-10003.420908261905</v>
      </c>
      <c r="N15" s="27"/>
      <c r="O15" s="4">
        <f t="shared" si="3"/>
        <v>182151.45856961355</v>
      </c>
      <c r="P15" s="4">
        <f t="shared" si="2"/>
        <v>49689.49751316561</v>
      </c>
      <c r="Q15" s="4">
        <f>$H15*R15/100</f>
        <v>231840.95608277916</v>
      </c>
      <c r="R15" s="9">
        <f t="shared" si="4"/>
        <v>10.723632745489784</v>
      </c>
      <c r="S15" s="5"/>
      <c r="T15" s="6">
        <f t="shared" si="0"/>
        <v>0.34675340615183203</v>
      </c>
    </row>
    <row r="16" spans="2:21" x14ac:dyDescent="0.25">
      <c r="B16" s="47">
        <f>MAX(B$10:B15)+1</f>
        <v>6</v>
      </c>
      <c r="C16" s="49"/>
      <c r="D16" s="26" t="s">
        <v>34</v>
      </c>
      <c r="E16" s="47"/>
      <c r="F16" s="3"/>
      <c r="G16" s="47"/>
      <c r="H16" s="55">
        <f>SUM(H12:H15)</f>
        <v>5001026.7405322641</v>
      </c>
      <c r="I16" s="52"/>
      <c r="J16" s="55">
        <f>SUM(J12:J15)</f>
        <v>423372.80044760648</v>
      </c>
      <c r="K16" s="7">
        <f>J16/$H16*100</f>
        <v>8.4657175898752843</v>
      </c>
      <c r="L16" s="54"/>
      <c r="M16" s="55">
        <f>SUM(M12:M15)</f>
        <v>-24601.943661526893</v>
      </c>
      <c r="N16" s="27"/>
      <c r="O16" s="55">
        <v>447974.74410913337</v>
      </c>
      <c r="P16" s="55">
        <f>P30-P10</f>
        <v>122204.01696572054</v>
      </c>
      <c r="Q16" s="55">
        <f>SUM(Q12:Q15)</f>
        <v>570178.76107485394</v>
      </c>
      <c r="R16" s="7">
        <f>Q16/$H16*100</f>
        <v>11.401233999684019</v>
      </c>
      <c r="S16" s="56">
        <f>Q16/O16</f>
        <v>1.272792202178143</v>
      </c>
      <c r="T16" s="8">
        <f>R16/K16-1</f>
        <v>0.34675340615183226</v>
      </c>
    </row>
    <row r="17" spans="2:23" x14ac:dyDescent="0.25">
      <c r="B17" s="47"/>
      <c r="C17" s="49"/>
      <c r="D17" s="26"/>
      <c r="E17" s="47"/>
      <c r="F17" s="3"/>
      <c r="G17" s="47"/>
      <c r="H17" s="54"/>
      <c r="I17" s="52"/>
      <c r="J17" s="54"/>
      <c r="K17" s="9"/>
      <c r="L17" s="54"/>
      <c r="M17" s="54"/>
      <c r="N17" s="27"/>
      <c r="O17" s="54"/>
      <c r="P17" s="54"/>
      <c r="Q17" s="54"/>
      <c r="R17" s="9"/>
      <c r="S17" s="57"/>
      <c r="T17" s="6"/>
    </row>
    <row r="18" spans="2:23" x14ac:dyDescent="0.25">
      <c r="B18" s="47">
        <f>MAX(B$10:B17)+1</f>
        <v>7</v>
      </c>
      <c r="C18" s="49"/>
      <c r="D18" s="26" t="s">
        <v>40</v>
      </c>
      <c r="E18" s="47"/>
      <c r="F18" s="3" t="s">
        <v>36</v>
      </c>
      <c r="G18" s="47"/>
      <c r="H18" s="54">
        <v>5001026.7405322641</v>
      </c>
      <c r="I18" s="52"/>
      <c r="J18" s="4">
        <f>$H18*K18/100</f>
        <v>34718.688874834472</v>
      </c>
      <c r="K18" s="9">
        <v>0.69423121843054436</v>
      </c>
      <c r="L18" s="54"/>
      <c r="M18" s="4">
        <f t="shared" ref="M18" si="5">J18-O18</f>
        <v>34718.688874834472</v>
      </c>
      <c r="N18" s="27"/>
      <c r="O18" s="54"/>
      <c r="P18" s="54"/>
      <c r="Q18" s="54"/>
      <c r="R18" s="9"/>
      <c r="S18" s="57"/>
      <c r="T18" s="6"/>
    </row>
    <row r="19" spans="2:23" x14ac:dyDescent="0.25">
      <c r="B19" s="47"/>
      <c r="C19" s="49"/>
      <c r="D19" s="26"/>
      <c r="E19" s="47"/>
      <c r="F19" s="3"/>
      <c r="G19" s="47"/>
      <c r="H19" s="4"/>
      <c r="I19" s="52"/>
      <c r="J19" s="4"/>
      <c r="K19" s="9"/>
      <c r="L19" s="54"/>
      <c r="M19" s="4"/>
      <c r="N19" s="27"/>
      <c r="O19" s="4"/>
      <c r="P19" s="4"/>
      <c r="Q19" s="4"/>
      <c r="R19" s="9"/>
      <c r="S19" s="5"/>
      <c r="T19" s="10"/>
    </row>
    <row r="20" spans="2:23" x14ac:dyDescent="0.25">
      <c r="B20" s="47">
        <f>MAX(B$10:B19)+1</f>
        <v>8</v>
      </c>
      <c r="C20" s="49"/>
      <c r="D20" s="26" t="s">
        <v>41</v>
      </c>
      <c r="E20" s="47"/>
      <c r="F20" s="3"/>
      <c r="G20" s="47"/>
      <c r="H20" s="55">
        <f>H16</f>
        <v>5001026.7405322641</v>
      </c>
      <c r="I20" s="52"/>
      <c r="J20" s="55">
        <f>J10+J16+J18</f>
        <v>1024799.0898764526</v>
      </c>
      <c r="K20" s="7">
        <f>J20/$H20*100</f>
        <v>20.491773850570976</v>
      </c>
      <c r="L20" s="54"/>
      <c r="M20" s="55">
        <f>M10+M16+M18</f>
        <v>-146497.4393415325</v>
      </c>
      <c r="N20" s="27"/>
      <c r="O20" s="55">
        <f>O10+O16</f>
        <v>1171296.529217985</v>
      </c>
      <c r="P20" s="55">
        <f t="shared" ref="P20" si="6">P10+P16</f>
        <v>-5368.3411431311688</v>
      </c>
      <c r="Q20" s="55">
        <f>Q10+Q16</f>
        <v>1165928.188074854</v>
      </c>
      <c r="R20" s="7">
        <f>Q20/$H20*100</f>
        <v>23.31377632167516</v>
      </c>
      <c r="S20" s="56">
        <f>Q20/O20</f>
        <v>0.99541675313704281</v>
      </c>
      <c r="T20" s="8">
        <f>R20/K20-1</f>
        <v>0.13771391835975932</v>
      </c>
      <c r="W20" s="78"/>
    </row>
    <row r="21" spans="2:23" x14ac:dyDescent="0.25">
      <c r="B21" s="47"/>
      <c r="C21" s="49"/>
      <c r="D21" s="26"/>
      <c r="E21" s="47"/>
      <c r="F21" s="3"/>
      <c r="G21" s="47"/>
      <c r="H21" s="54"/>
      <c r="I21" s="52"/>
      <c r="J21" s="4"/>
      <c r="K21" s="9"/>
      <c r="L21" s="54"/>
      <c r="M21" s="54"/>
      <c r="N21" s="27"/>
      <c r="O21" s="54"/>
      <c r="P21" s="54"/>
      <c r="Q21" s="54"/>
      <c r="R21" s="9"/>
      <c r="S21" s="57"/>
      <c r="T21" s="6"/>
    </row>
    <row r="22" spans="2:23" x14ac:dyDescent="0.25">
      <c r="B22" s="47">
        <f>MAX(B$10:B21)+1</f>
        <v>9</v>
      </c>
      <c r="C22" s="49"/>
      <c r="D22" s="29" t="s">
        <v>42</v>
      </c>
      <c r="E22" s="47"/>
      <c r="F22" s="58" t="s">
        <v>36</v>
      </c>
      <c r="G22" s="47"/>
      <c r="H22" s="4">
        <v>4915774.1892947741</v>
      </c>
      <c r="I22" s="52"/>
      <c r="J22" s="4">
        <f>$H22*K22/100</f>
        <v>3699.0169630379992</v>
      </c>
      <c r="K22" s="9">
        <v>7.5247902377075362E-2</v>
      </c>
      <c r="L22" s="54"/>
      <c r="M22" s="4">
        <f t="shared" ref="M22:M25" si="7">J22-O22</f>
        <v>8023.443890278133</v>
      </c>
      <c r="N22" s="27"/>
      <c r="O22" s="4">
        <f>Q22</f>
        <v>-4324.4269272401343</v>
      </c>
      <c r="P22" s="4">
        <f t="shared" ref="P22:P25" si="8">Q22-O22</f>
        <v>0</v>
      </c>
      <c r="Q22" s="4">
        <f>$H22*R22/100</f>
        <v>-4324.4269272401343</v>
      </c>
      <c r="R22" s="9">
        <v>-8.7970414439653602E-2</v>
      </c>
      <c r="S22" s="5"/>
      <c r="T22" s="6"/>
    </row>
    <row r="23" spans="2:23" x14ac:dyDescent="0.25">
      <c r="B23" s="47">
        <f>MAX(B$10:B22)+1</f>
        <v>10</v>
      </c>
      <c r="C23" s="49"/>
      <c r="D23" s="29" t="s">
        <v>43</v>
      </c>
      <c r="E23" s="47"/>
      <c r="F23" s="58" t="s">
        <v>36</v>
      </c>
      <c r="G23" s="47"/>
      <c r="H23" s="4">
        <v>70111.872093691025</v>
      </c>
      <c r="I23" s="52"/>
      <c r="J23" s="4">
        <f>$H23*K23/100</f>
        <v>419.12410039858514</v>
      </c>
      <c r="K23" s="9">
        <v>0.59779333782231125</v>
      </c>
      <c r="L23" s="54"/>
      <c r="M23" s="4">
        <f t="shared" si="7"/>
        <v>480.80180485080496</v>
      </c>
      <c r="N23" s="54"/>
      <c r="O23" s="4">
        <f t="shared" ref="O23:O24" si="9">Q23</f>
        <v>-61.677704452219835</v>
      </c>
      <c r="P23" s="4">
        <f t="shared" si="8"/>
        <v>0</v>
      </c>
      <c r="Q23" s="4">
        <f>$H23*R23/100</f>
        <v>-61.677704452219835</v>
      </c>
      <c r="R23" s="9">
        <v>-8.7970414439653602E-2</v>
      </c>
      <c r="S23" s="5"/>
      <c r="T23" s="6"/>
      <c r="U23" s="47"/>
    </row>
    <row r="24" spans="2:23" x14ac:dyDescent="0.25">
      <c r="B24" s="47">
        <f>MAX(B$10:B23)+1</f>
        <v>11</v>
      </c>
      <c r="C24" s="49"/>
      <c r="D24" s="29" t="s">
        <v>44</v>
      </c>
      <c r="E24" s="47"/>
      <c r="F24" s="58" t="s">
        <v>36</v>
      </c>
      <c r="G24" s="47"/>
      <c r="H24" s="4">
        <v>15030.747007082216</v>
      </c>
      <c r="I24" s="52"/>
      <c r="J24" s="4">
        <f>$H24*K24/100</f>
        <v>11.310321834434403</v>
      </c>
      <c r="K24" s="9">
        <v>7.5247902377075362E-2</v>
      </c>
      <c r="L24" s="54"/>
      <c r="M24" s="4">
        <f t="shared" si="7"/>
        <v>24.53293226994046</v>
      </c>
      <c r="N24" s="54"/>
      <c r="O24" s="4">
        <f t="shared" si="9"/>
        <v>-13.222610435506056</v>
      </c>
      <c r="P24" s="4">
        <f t="shared" si="8"/>
        <v>0</v>
      </c>
      <c r="Q24" s="4">
        <f>$H24*R24/100</f>
        <v>-13.222610435506056</v>
      </c>
      <c r="R24" s="9">
        <v>-8.7970414439653602E-2</v>
      </c>
      <c r="S24" s="5"/>
      <c r="T24" s="6"/>
      <c r="U24" s="47"/>
    </row>
    <row r="25" spans="2:23" x14ac:dyDescent="0.25">
      <c r="B25" s="47">
        <f>MAX(B$10:B24)+1</f>
        <v>12</v>
      </c>
      <c r="C25" s="49"/>
      <c r="D25" s="29" t="s">
        <v>45</v>
      </c>
      <c r="E25" s="47"/>
      <c r="F25" s="58" t="s">
        <v>36</v>
      </c>
      <c r="G25" s="47"/>
      <c r="H25" s="4">
        <f>H16-SUM(H22:H24)</f>
        <v>109.93213671725243</v>
      </c>
      <c r="I25" s="52"/>
      <c r="J25" s="4">
        <f>$H25*K25/100</f>
        <v>0</v>
      </c>
      <c r="K25" s="9">
        <v>0</v>
      </c>
      <c r="L25" s="54"/>
      <c r="M25" s="4">
        <f t="shared" si="7"/>
        <v>9.6707756272533571E-2</v>
      </c>
      <c r="N25" s="54"/>
      <c r="O25" s="4">
        <f>Q25</f>
        <v>-9.6707756272533571E-2</v>
      </c>
      <c r="P25" s="4">
        <f t="shared" si="8"/>
        <v>0</v>
      </c>
      <c r="Q25" s="4">
        <f>$H25*R25/100</f>
        <v>-9.6707756272533571E-2</v>
      </c>
      <c r="R25" s="9">
        <v>-8.7970414439653602E-2</v>
      </c>
      <c r="S25" s="5"/>
      <c r="T25" s="6"/>
      <c r="U25" s="47"/>
    </row>
    <row r="26" spans="2:23" x14ac:dyDescent="0.25">
      <c r="B26" s="47">
        <f>MAX(B$10:B25)+1</f>
        <v>13</v>
      </c>
      <c r="C26" s="49"/>
      <c r="D26" s="26" t="s">
        <v>46</v>
      </c>
      <c r="E26" s="47"/>
      <c r="F26" s="3"/>
      <c r="G26" s="47"/>
      <c r="H26" s="55">
        <f>SUM(H22:H25)</f>
        <v>5001026.7405322641</v>
      </c>
      <c r="I26" s="52"/>
      <c r="J26" s="55">
        <f>SUM(J22:J25)</f>
        <v>4129.4513852710179</v>
      </c>
      <c r="K26" s="7">
        <f>J26/$H26*100</f>
        <v>8.2572071686853571E-2</v>
      </c>
      <c r="L26" s="54"/>
      <c r="M26" s="55">
        <f>SUM(M22:M25)</f>
        <v>8528.8753351551513</v>
      </c>
      <c r="N26" s="27"/>
      <c r="O26" s="55">
        <f>SUM(O22:O25)</f>
        <v>-4399.4239498841325</v>
      </c>
      <c r="P26" s="55">
        <f>SUM(P22:P25)</f>
        <v>0</v>
      </c>
      <c r="Q26" s="55">
        <f>SUM(Q22:Q25)</f>
        <v>-4399.4239498841325</v>
      </c>
      <c r="R26" s="7">
        <f>Q26/$H26*100</f>
        <v>-8.7970414439653602E-2</v>
      </c>
      <c r="S26" s="56">
        <f>Q26/O26</f>
        <v>1</v>
      </c>
      <c r="T26" s="8">
        <f>R26/K26-1</f>
        <v>-2.0653773442099492</v>
      </c>
    </row>
    <row r="27" spans="2:23" x14ac:dyDescent="0.25"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31"/>
    </row>
    <row r="28" spans="2:23" x14ac:dyDescent="0.25">
      <c r="B28" s="47">
        <f>MAX(B$10:B27)+1</f>
        <v>14</v>
      </c>
      <c r="C28" s="49"/>
      <c r="D28" s="26" t="s">
        <v>47</v>
      </c>
      <c r="E28" s="47"/>
      <c r="F28" s="3" t="s">
        <v>36</v>
      </c>
      <c r="G28" s="47"/>
      <c r="H28" s="4">
        <f>H22</f>
        <v>4915774.1892947741</v>
      </c>
      <c r="I28" s="52"/>
      <c r="J28" s="4">
        <f>$H28*K28/100</f>
        <v>4176.0683065775629</v>
      </c>
      <c r="K28" s="9">
        <v>8.4952403136659735E-2</v>
      </c>
      <c r="L28" s="54"/>
      <c r="M28" s="4">
        <f>J28-O28</f>
        <v>-3408.1861923885208</v>
      </c>
      <c r="N28" s="27"/>
      <c r="O28" s="4">
        <f>Q28</f>
        <v>7584.2544989660837</v>
      </c>
      <c r="P28" s="4">
        <f>Q28-O28</f>
        <v>0</v>
      </c>
      <c r="Q28" s="4">
        <f>$H28*R28/100</f>
        <v>7584.2544989660837</v>
      </c>
      <c r="R28" s="9">
        <v>0.15428402947154363</v>
      </c>
      <c r="S28" s="5">
        <f>Q28/O28</f>
        <v>1</v>
      </c>
      <c r="T28" s="6">
        <f>R28/K28-1</f>
        <v>0.81612319104561082</v>
      </c>
    </row>
    <row r="29" spans="2:23" x14ac:dyDescent="0.25">
      <c r="B29" s="47"/>
      <c r="C29" s="49"/>
      <c r="D29" s="26"/>
      <c r="E29" s="47"/>
      <c r="F29" s="3"/>
      <c r="G29" s="47"/>
      <c r="H29" s="4"/>
      <c r="I29" s="52"/>
      <c r="J29" s="4"/>
      <c r="K29" s="9"/>
      <c r="L29" s="54"/>
      <c r="M29" s="4"/>
      <c r="N29" s="27"/>
      <c r="O29" s="4"/>
      <c r="P29" s="4"/>
      <c r="Q29" s="4"/>
      <c r="R29" s="9"/>
      <c r="S29" s="5"/>
      <c r="T29" s="6"/>
    </row>
    <row r="30" spans="2:23" ht="13" thickBot="1" x14ac:dyDescent="0.3">
      <c r="B30" s="47">
        <f>MAX(B$10:B29)+1</f>
        <v>15</v>
      </c>
      <c r="C30" s="49"/>
      <c r="D30" s="26" t="s">
        <v>48</v>
      </c>
      <c r="E30" s="47"/>
      <c r="F30" s="3"/>
      <c r="G30" s="47"/>
      <c r="H30" s="59">
        <f>H16</f>
        <v>5001026.7405322641</v>
      </c>
      <c r="I30" s="52"/>
      <c r="J30" s="59">
        <f>J20+J26+J28</f>
        <v>1033104.6095683011</v>
      </c>
      <c r="K30" s="11">
        <f>J30/$H30*100</f>
        <v>20.657850140956192</v>
      </c>
      <c r="L30" s="54"/>
      <c r="M30" s="59">
        <f>M20+M26+M28</f>
        <v>-141376.75019876589</v>
      </c>
      <c r="N30" s="27"/>
      <c r="O30" s="59">
        <f>O20+O26+O28</f>
        <v>1174481.359767067</v>
      </c>
      <c r="P30" s="59">
        <v>-5368.341143131167</v>
      </c>
      <c r="Q30" s="59">
        <f>Q20+Q26+Q28</f>
        <v>1169113.018623936</v>
      </c>
      <c r="R30" s="11">
        <f>Q30/$H30*100</f>
        <v>23.377459855363742</v>
      </c>
      <c r="S30" s="60">
        <f>Q30/O30</f>
        <v>0.99542918148637483</v>
      </c>
      <c r="T30" s="12">
        <f>R30/K30-1</f>
        <v>0.13165018120717509</v>
      </c>
    </row>
    <row r="31" spans="2:23" ht="13.5" thickTop="1" x14ac:dyDescent="0.3">
      <c r="B31" s="47"/>
      <c r="C31" s="49"/>
      <c r="E31" s="47"/>
      <c r="F31" s="58"/>
      <c r="G31" s="47"/>
      <c r="H31" s="54"/>
      <c r="I31" s="52"/>
      <c r="J31" s="54"/>
      <c r="K31" s="32"/>
      <c r="L31" s="54"/>
      <c r="M31" s="54"/>
      <c r="N31" s="27"/>
      <c r="O31" s="54"/>
      <c r="P31" s="54"/>
      <c r="Q31" s="54"/>
      <c r="R31" s="32"/>
      <c r="S31" s="57"/>
      <c r="T31" s="33"/>
    </row>
    <row r="32" spans="2:23" ht="13" x14ac:dyDescent="0.3">
      <c r="B32" s="47"/>
      <c r="C32" s="49"/>
      <c r="D32" s="20" t="s">
        <v>49</v>
      </c>
      <c r="E32" s="47"/>
      <c r="F32" s="25"/>
      <c r="G32" s="47"/>
      <c r="H32" s="34"/>
      <c r="I32" s="52"/>
      <c r="J32" s="34"/>
      <c r="K32" s="52"/>
      <c r="L32" s="52"/>
      <c r="M32" s="13"/>
      <c r="N32" s="52"/>
      <c r="O32" s="14"/>
      <c r="P32" s="52"/>
      <c r="Q32" s="52"/>
      <c r="R32" s="52"/>
      <c r="S32" s="52"/>
      <c r="T32" s="61"/>
      <c r="U32" s="47"/>
    </row>
    <row r="33" spans="2:21" x14ac:dyDescent="0.25">
      <c r="B33" s="47">
        <f>MAX(B$10:B32)+1</f>
        <v>16</v>
      </c>
      <c r="C33" s="49"/>
      <c r="D33" s="26" t="s">
        <v>32</v>
      </c>
      <c r="E33" s="47"/>
      <c r="F33" s="3" t="s">
        <v>33</v>
      </c>
      <c r="G33" s="47"/>
      <c r="H33" s="4">
        <v>2074114</v>
      </c>
      <c r="I33" s="52"/>
      <c r="J33" s="4">
        <f>$H33*K33/1000</f>
        <v>158826.84439635469</v>
      </c>
      <c r="K33" s="53">
        <v>76.575754464968981</v>
      </c>
      <c r="L33" s="54"/>
      <c r="M33" s="4">
        <f>J33-O33</f>
        <v>50605.037543052415</v>
      </c>
      <c r="N33" s="27"/>
      <c r="O33" s="4">
        <v>108221.80685330227</v>
      </c>
      <c r="P33" s="4">
        <f>Q33-O33</f>
        <v>57707.313146697721</v>
      </c>
      <c r="Q33" s="4">
        <f>$H33*R33/1000</f>
        <v>165929.12</v>
      </c>
      <c r="R33" s="53">
        <v>80</v>
      </c>
      <c r="S33" s="5">
        <f>Q33/O33</f>
        <v>1.5332318395397115</v>
      </c>
      <c r="T33" s="6">
        <f t="shared" ref="T33:T40" si="10">R33/K33-1</f>
        <v>4.4717098237634811E-2</v>
      </c>
      <c r="U33" s="47"/>
    </row>
    <row r="34" spans="2:21" x14ac:dyDescent="0.25">
      <c r="B34" s="47"/>
      <c r="C34" s="49"/>
      <c r="D34" s="26" t="s">
        <v>34</v>
      </c>
      <c r="E34" s="47"/>
      <c r="F34" s="3"/>
      <c r="G34" s="47"/>
      <c r="H34" s="4"/>
      <c r="I34" s="52"/>
      <c r="J34" s="4"/>
      <c r="K34" s="9"/>
      <c r="L34" s="54"/>
      <c r="M34" s="4"/>
      <c r="N34" s="27"/>
      <c r="O34" s="4"/>
      <c r="P34" s="4"/>
      <c r="Q34" s="4"/>
      <c r="R34" s="9"/>
      <c r="S34" s="5"/>
      <c r="T34" s="6"/>
      <c r="U34" s="47"/>
    </row>
    <row r="35" spans="2:21" x14ac:dyDescent="0.25">
      <c r="B35" s="47">
        <f>MAX(B$10:B34)+1</f>
        <v>17</v>
      </c>
      <c r="C35" s="49"/>
      <c r="D35" s="29" t="s">
        <v>50</v>
      </c>
      <c r="E35" s="47"/>
      <c r="F35" s="3" t="s">
        <v>36</v>
      </c>
      <c r="G35" s="47"/>
      <c r="H35" s="4">
        <v>580941.09847216692</v>
      </c>
      <c r="I35" s="52"/>
      <c r="J35" s="4">
        <f t="shared" ref="J35:J40" si="11">$H35*K35/100</f>
        <v>52543.892974929062</v>
      </c>
      <c r="K35" s="9">
        <v>9.0446162464862105</v>
      </c>
      <c r="L35" s="54"/>
      <c r="M35" s="4">
        <f t="shared" ref="M35:M40" si="12">J35-O35</f>
        <v>-26582.117239412131</v>
      </c>
      <c r="N35" s="27"/>
      <c r="O35" s="4">
        <f>J35/J$41*O$41</f>
        <v>79126.010214341193</v>
      </c>
      <c r="P35" s="4">
        <f t="shared" ref="P35:P40" si="13">Q35-O35</f>
        <v>-13517.405237678118</v>
      </c>
      <c r="Q35" s="4">
        <f t="shared" ref="Q35:Q40" si="14">$H35*R35/100</f>
        <v>65608.604976663075</v>
      </c>
      <c r="R35" s="9">
        <f>K35*(O$41+P$41)/J$41</f>
        <v>11.293503790523507</v>
      </c>
      <c r="S35" s="5"/>
      <c r="T35" s="6">
        <f t="shared" si="10"/>
        <v>0.24864377688892869</v>
      </c>
      <c r="U35" s="47"/>
    </row>
    <row r="36" spans="2:21" x14ac:dyDescent="0.25">
      <c r="B36" s="47">
        <f>MAX(B$10:B35)+1</f>
        <v>18</v>
      </c>
      <c r="C36" s="49"/>
      <c r="D36" s="29" t="s">
        <v>51</v>
      </c>
      <c r="E36" s="47"/>
      <c r="F36" s="3" t="s">
        <v>36</v>
      </c>
      <c r="G36" s="47"/>
      <c r="H36" s="4">
        <v>654353.08186775737</v>
      </c>
      <c r="I36" s="52"/>
      <c r="J36" s="4">
        <f t="shared" si="11"/>
        <v>43896.599348310789</v>
      </c>
      <c r="K36" s="9">
        <v>6.7083965162988495</v>
      </c>
      <c r="L36" s="54"/>
      <c r="M36" s="4">
        <f t="shared" si="12"/>
        <v>-22207.424768565601</v>
      </c>
      <c r="N36" s="27"/>
      <c r="O36" s="4">
        <f t="shared" ref="O36:O40" si="15">J36/J$41*O$41</f>
        <v>66104.02411687639</v>
      </c>
      <c r="P36" s="4">
        <f t="shared" si="13"/>
        <v>-11292.808514021519</v>
      </c>
      <c r="Q36" s="4">
        <f t="shared" si="14"/>
        <v>54811.215602854871</v>
      </c>
      <c r="R36" s="9">
        <f t="shared" ref="R36:R40" si="16">K36*(O$41+P$41)/J$41</f>
        <v>8.3763975629799265</v>
      </c>
      <c r="S36" s="5"/>
      <c r="T36" s="6">
        <f t="shared" si="10"/>
        <v>0.24864377688892869</v>
      </c>
      <c r="U36" s="47"/>
    </row>
    <row r="37" spans="2:21" x14ac:dyDescent="0.25">
      <c r="B37" s="47">
        <f>MAX(B$10:B36)+1</f>
        <v>19</v>
      </c>
      <c r="D37" s="29" t="s">
        <v>52</v>
      </c>
      <c r="F37" s="3" t="s">
        <v>36</v>
      </c>
      <c r="H37" s="4">
        <v>1155776.7363080741</v>
      </c>
      <c r="I37" s="28"/>
      <c r="J37" s="4">
        <f t="shared" si="11"/>
        <v>58625.48212572949</v>
      </c>
      <c r="K37" s="9">
        <v>5.0723881424537325</v>
      </c>
      <c r="L37" s="28"/>
      <c r="M37" s="4">
        <f t="shared" si="12"/>
        <v>-29658.81191610176</v>
      </c>
      <c r="N37" s="28"/>
      <c r="O37" s="4">
        <f t="shared" si="15"/>
        <v>88284.29404183125</v>
      </c>
      <c r="P37" s="4">
        <f t="shared" si="13"/>
        <v>-15081.950618425995</v>
      </c>
      <c r="Q37" s="4">
        <f t="shared" si="14"/>
        <v>73202.343423405255</v>
      </c>
      <c r="R37" s="9">
        <f t="shared" si="16"/>
        <v>6.3336058880400454</v>
      </c>
      <c r="S37" s="5"/>
      <c r="T37" s="6">
        <f t="shared" si="10"/>
        <v>0.24864377688892869</v>
      </c>
      <c r="U37" s="47"/>
    </row>
    <row r="38" spans="2:21" x14ac:dyDescent="0.25">
      <c r="B38" s="47">
        <f>MAX(B$10:B37)+1</f>
        <v>20</v>
      </c>
      <c r="D38" s="29" t="s">
        <v>53</v>
      </c>
      <c r="F38" s="3" t="s">
        <v>36</v>
      </c>
      <c r="H38" s="4">
        <v>751113.55012704164</v>
      </c>
      <c r="I38" s="28"/>
      <c r="J38" s="4">
        <f t="shared" si="11"/>
        <v>30204.476988688566</v>
      </c>
      <c r="K38" s="9">
        <v>4.0212930499762454</v>
      </c>
      <c r="L38" s="28"/>
      <c r="M38" s="4">
        <f t="shared" si="12"/>
        <v>-15280.537908592774</v>
      </c>
      <c r="N38" s="28"/>
      <c r="O38" s="4">
        <f t="shared" si="15"/>
        <v>45485.01489728134</v>
      </c>
      <c r="P38" s="4">
        <f t="shared" si="13"/>
        <v>-7770.3826711705115</v>
      </c>
      <c r="Q38" s="4">
        <f t="shared" si="14"/>
        <v>37714.632226110829</v>
      </c>
      <c r="R38" s="9">
        <f t="shared" si="16"/>
        <v>5.021162541899538</v>
      </c>
      <c r="S38" s="5"/>
      <c r="T38" s="6">
        <f t="shared" si="10"/>
        <v>0.24864377688892847</v>
      </c>
      <c r="U38" s="47"/>
    </row>
    <row r="39" spans="2:21" x14ac:dyDescent="0.25">
      <c r="B39" s="47">
        <f>MAX(B$10:B38)+1</f>
        <v>21</v>
      </c>
      <c r="C39" s="49"/>
      <c r="D39" s="29" t="s">
        <v>54</v>
      </c>
      <c r="E39" s="47"/>
      <c r="F39" s="3" t="s">
        <v>36</v>
      </c>
      <c r="G39" s="47"/>
      <c r="H39" s="4">
        <v>713799.78020561649</v>
      </c>
      <c r="I39" s="52"/>
      <c r="J39" s="4">
        <f t="shared" si="11"/>
        <v>25370.053363222876</v>
      </c>
      <c r="K39" s="9">
        <v>3.5542254378272298</v>
      </c>
      <c r="L39" s="54"/>
      <c r="M39" s="4">
        <f t="shared" si="12"/>
        <v>-12834.788111210422</v>
      </c>
      <c r="N39" s="27"/>
      <c r="O39" s="4">
        <f t="shared" si="15"/>
        <v>38204.841474433299</v>
      </c>
      <c r="P39" s="4">
        <f t="shared" si="13"/>
        <v>-6526.6822231050173</v>
      </c>
      <c r="Q39" s="4">
        <f t="shared" si="14"/>
        <v>31678.159251328281</v>
      </c>
      <c r="R39" s="9">
        <f t="shared" si="16"/>
        <v>4.4379614746032985</v>
      </c>
      <c r="S39" s="5"/>
      <c r="T39" s="6">
        <f t="shared" si="10"/>
        <v>0.24864377688892869</v>
      </c>
      <c r="U39" s="47"/>
    </row>
    <row r="40" spans="2:21" x14ac:dyDescent="0.25">
      <c r="B40" s="47">
        <f>MAX(B$10:B39)+1</f>
        <v>22</v>
      </c>
      <c r="C40" s="49"/>
      <c r="D40" s="29" t="s">
        <v>55</v>
      </c>
      <c r="E40" s="47"/>
      <c r="F40" s="3" t="s">
        <v>36</v>
      </c>
      <c r="G40" s="47"/>
      <c r="H40" s="4">
        <v>939709.10720279766</v>
      </c>
      <c r="I40" s="52"/>
      <c r="J40" s="4">
        <f t="shared" si="11"/>
        <v>32297.187255326287</v>
      </c>
      <c r="K40" s="9">
        <v>3.4369345798365516</v>
      </c>
      <c r="L40" s="54"/>
      <c r="M40" s="4">
        <f t="shared" si="12"/>
        <v>-16339.246475969536</v>
      </c>
      <c r="N40" s="27"/>
      <c r="O40" s="4">
        <f t="shared" si="15"/>
        <v>48636.433731295823</v>
      </c>
      <c r="P40" s="4">
        <f t="shared" si="13"/>
        <v>-8308.7518539162411</v>
      </c>
      <c r="Q40" s="4">
        <f t="shared" si="14"/>
        <v>40327.681877379582</v>
      </c>
      <c r="R40" s="9">
        <f t="shared" si="16"/>
        <v>4.2915069746872749</v>
      </c>
      <c r="S40" s="5"/>
      <c r="T40" s="6">
        <f t="shared" si="10"/>
        <v>0.24864377688892869</v>
      </c>
      <c r="U40" s="47"/>
    </row>
    <row r="41" spans="2:21" x14ac:dyDescent="0.25">
      <c r="B41" s="47">
        <f>MAX(B$10:B40)+1</f>
        <v>23</v>
      </c>
      <c r="C41" s="49"/>
      <c r="D41" s="26" t="s">
        <v>34</v>
      </c>
      <c r="E41" s="47"/>
      <c r="F41" s="3"/>
      <c r="G41" s="47"/>
      <c r="H41" s="55">
        <f>SUM(H35:H40)</f>
        <v>4795693.3541834541</v>
      </c>
      <c r="I41" s="52"/>
      <c r="J41" s="55">
        <f>SUM(J35:J40)</f>
        <v>242937.69205620707</v>
      </c>
      <c r="K41" s="7">
        <f>J41/$H41*100</f>
        <v>5.0657469966106961</v>
      </c>
      <c r="L41" s="54"/>
      <c r="M41" s="55">
        <f>SUM(M35:M40)</f>
        <v>-122902.92641985221</v>
      </c>
      <c r="N41" s="27"/>
      <c r="O41" s="55">
        <v>365840.61847605929</v>
      </c>
      <c r="P41" s="55">
        <f>P56-P33</f>
        <v>-62497.981118317402</v>
      </c>
      <c r="Q41" s="55">
        <f>SUM(Q35:Q40)</f>
        <v>303342.63735774189</v>
      </c>
      <c r="R41" s="7">
        <f>Q41/$H41*100</f>
        <v>6.3253134626117262</v>
      </c>
      <c r="S41" s="56">
        <f>Q41/O41</f>
        <v>0.82916609593910551</v>
      </c>
      <c r="T41" s="8">
        <f>R41/K41-1</f>
        <v>0.24864377688892869</v>
      </c>
      <c r="U41" s="47"/>
    </row>
    <row r="42" spans="2:21" x14ac:dyDescent="0.25">
      <c r="B42" s="47"/>
      <c r="C42" s="49"/>
      <c r="D42" s="26"/>
      <c r="E42" s="47"/>
      <c r="F42" s="3"/>
      <c r="G42" s="47"/>
      <c r="H42" s="54"/>
      <c r="I42" s="52"/>
      <c r="J42" s="54"/>
      <c r="K42" s="9"/>
      <c r="L42" s="54"/>
      <c r="M42" s="54"/>
      <c r="N42" s="27"/>
      <c r="O42" s="54"/>
      <c r="P42" s="54"/>
      <c r="Q42" s="54"/>
      <c r="R42" s="9"/>
      <c r="S42" s="57"/>
      <c r="T42" s="6"/>
      <c r="U42" s="47"/>
    </row>
    <row r="43" spans="2:21" x14ac:dyDescent="0.25">
      <c r="B43" s="47">
        <f>MAX(B$10:B42)+1</f>
        <v>24</v>
      </c>
      <c r="C43" s="49"/>
      <c r="D43" s="26" t="s">
        <v>40</v>
      </c>
      <c r="E43" s="47"/>
      <c r="F43" s="3" t="s">
        <v>36</v>
      </c>
      <c r="G43" s="47"/>
      <c r="H43" s="54">
        <v>4795693.3541834541</v>
      </c>
      <c r="I43" s="52"/>
      <c r="J43" s="4">
        <f t="shared" ref="J43" si="17">$H43*K43/100</f>
        <v>30878.073694940311</v>
      </c>
      <c r="K43" s="9">
        <v>0.64387089445584067</v>
      </c>
      <c r="L43" s="54"/>
      <c r="M43" s="4">
        <f t="shared" ref="M43" si="18">J43-O43</f>
        <v>30878.073694940311</v>
      </c>
      <c r="N43" s="27"/>
      <c r="O43" s="54"/>
      <c r="P43" s="54"/>
      <c r="Q43" s="54"/>
      <c r="R43" s="9"/>
      <c r="S43" s="57"/>
      <c r="T43" s="6"/>
      <c r="U43" s="47"/>
    </row>
    <row r="44" spans="2:21" x14ac:dyDescent="0.25">
      <c r="B44" s="47"/>
      <c r="C44" s="49"/>
      <c r="D44" s="26"/>
      <c r="E44" s="47"/>
      <c r="F44" s="3"/>
      <c r="G44" s="47"/>
      <c r="H44" s="4"/>
      <c r="I44" s="52"/>
      <c r="J44" s="4"/>
      <c r="K44" s="9"/>
      <c r="L44" s="54"/>
      <c r="M44" s="4"/>
      <c r="N44" s="27"/>
      <c r="O44" s="4"/>
      <c r="P44" s="4"/>
      <c r="Q44" s="4"/>
      <c r="R44" s="9"/>
      <c r="S44" s="5"/>
      <c r="T44" s="6"/>
      <c r="U44" s="47"/>
    </row>
    <row r="45" spans="2:21" x14ac:dyDescent="0.25">
      <c r="B45" s="47">
        <f>MAX(B$10:B44)+1</f>
        <v>25</v>
      </c>
      <c r="C45" s="49"/>
      <c r="D45" s="26" t="s">
        <v>41</v>
      </c>
      <c r="E45" s="47"/>
      <c r="F45" s="3"/>
      <c r="G45" s="47"/>
      <c r="H45" s="55">
        <f>H41</f>
        <v>4795693.3541834541</v>
      </c>
      <c r="I45" s="52"/>
      <c r="J45" s="55">
        <f>J33+J41+J43</f>
        <v>432642.61014750204</v>
      </c>
      <c r="K45" s="7">
        <f>J45/$H45*100</f>
        <v>9.0214819462985982</v>
      </c>
      <c r="L45" s="54"/>
      <c r="M45" s="55">
        <f>M33+M41+M43</f>
        <v>-41419.815181859492</v>
      </c>
      <c r="N45" s="27"/>
      <c r="O45" s="55">
        <f>O33+O41</f>
        <v>474062.42532936158</v>
      </c>
      <c r="P45" s="55">
        <f>P33+P41</f>
        <v>-4790.6679716196813</v>
      </c>
      <c r="Q45" s="55">
        <f>Q33+Q41</f>
        <v>469271.75735774188</v>
      </c>
      <c r="R45" s="7">
        <f>Q45/$H45*100</f>
        <v>9.7852744681512931</v>
      </c>
      <c r="S45" s="56">
        <f>Q45/O45</f>
        <v>0.9898944364377934</v>
      </c>
      <c r="T45" s="8">
        <f>R45/K45-1</f>
        <v>8.4663753294553779E-2</v>
      </c>
      <c r="U45" s="47"/>
    </row>
    <row r="46" spans="2:21" x14ac:dyDescent="0.25">
      <c r="E46" s="47"/>
      <c r="F46" s="3"/>
      <c r="G46" s="47"/>
      <c r="H46" s="4"/>
      <c r="I46" s="52"/>
      <c r="J46" s="4"/>
      <c r="K46" s="9"/>
      <c r="L46" s="54"/>
      <c r="M46" s="4"/>
      <c r="N46" s="27"/>
      <c r="O46" s="4"/>
      <c r="P46" s="4"/>
      <c r="Q46" s="4"/>
      <c r="R46" s="9"/>
      <c r="S46" s="5"/>
      <c r="T46" s="6"/>
      <c r="U46" s="47"/>
    </row>
    <row r="47" spans="2:21" ht="13" x14ac:dyDescent="0.3">
      <c r="B47" s="47"/>
      <c r="C47" s="49"/>
      <c r="D47" s="26" t="s">
        <v>46</v>
      </c>
      <c r="E47" s="47"/>
      <c r="F47" s="58"/>
      <c r="G47" s="47"/>
      <c r="H47" s="4"/>
      <c r="I47" s="52"/>
      <c r="J47" s="4"/>
      <c r="K47" s="9"/>
      <c r="L47" s="54"/>
      <c r="M47" s="4"/>
      <c r="N47" s="27"/>
      <c r="O47" s="4"/>
      <c r="P47" s="4"/>
      <c r="Q47" s="4"/>
      <c r="R47" s="32"/>
      <c r="S47" s="5"/>
      <c r="T47" s="35"/>
      <c r="U47" s="47"/>
    </row>
    <row r="48" spans="2:21" x14ac:dyDescent="0.25">
      <c r="B48" s="47">
        <f>MAX(B$10:B47)+1</f>
        <v>26</v>
      </c>
      <c r="C48" s="49"/>
      <c r="D48" s="29" t="s">
        <v>42</v>
      </c>
      <c r="E48" s="47"/>
      <c r="F48" s="58" t="s">
        <v>36</v>
      </c>
      <c r="G48" s="47"/>
      <c r="H48" s="4">
        <v>2970863.8430425012</v>
      </c>
      <c r="I48" s="52"/>
      <c r="J48" s="4">
        <f>$H48*K48/100</f>
        <v>2235.5118882564893</v>
      </c>
      <c r="K48" s="9">
        <v>7.524787423334324E-2</v>
      </c>
      <c r="L48" s="54"/>
      <c r="M48" s="4">
        <f t="shared" ref="M48:M51" si="19">J48-O48</f>
        <v>4709.174972280377</v>
      </c>
      <c r="N48" s="27"/>
      <c r="O48" s="4">
        <f>Q48</f>
        <v>-2473.6630840238877</v>
      </c>
      <c r="P48" s="4">
        <f t="shared" ref="P48:P51" si="20">Q48-O48</f>
        <v>0</v>
      </c>
      <c r="Q48" s="4">
        <f>$H48*R48/100</f>
        <v>-2473.6630840238877</v>
      </c>
      <c r="R48" s="9">
        <v>-8.326410144365877E-2</v>
      </c>
      <c r="S48" s="5"/>
      <c r="T48" s="15"/>
      <c r="U48" s="47"/>
    </row>
    <row r="49" spans="2:21" x14ac:dyDescent="0.25">
      <c r="B49" s="47">
        <f>MAX(B$10:B48)+1</f>
        <v>27</v>
      </c>
      <c r="C49" s="49"/>
      <c r="D49" s="29" t="s">
        <v>43</v>
      </c>
      <c r="E49" s="47"/>
      <c r="F49" s="58" t="s">
        <v>36</v>
      </c>
      <c r="G49" s="47"/>
      <c r="H49" s="4">
        <v>1595783.9460776143</v>
      </c>
      <c r="I49" s="52"/>
      <c r="J49" s="4">
        <f>$H49*K49/100</f>
        <v>9539.541913461786</v>
      </c>
      <c r="K49" s="9">
        <v>0.59779658373614264</v>
      </c>
      <c r="L49" s="54"/>
      <c r="M49" s="4">
        <f t="shared" si="19"/>
        <v>10868.257077145472</v>
      </c>
      <c r="N49" s="54"/>
      <c r="O49" s="4">
        <f t="shared" ref="O49:O50" si="21">Q49</f>
        <v>-1328.7151636836859</v>
      </c>
      <c r="P49" s="4">
        <f t="shared" si="20"/>
        <v>0</v>
      </c>
      <c r="Q49" s="4">
        <f>$H49*R49/100</f>
        <v>-1328.7151636836859</v>
      </c>
      <c r="R49" s="9">
        <v>-8.326410144365877E-2</v>
      </c>
      <c r="S49" s="5"/>
      <c r="T49" s="15"/>
      <c r="U49" s="47"/>
    </row>
    <row r="50" spans="2:21" x14ac:dyDescent="0.25">
      <c r="B50" s="47">
        <f>MAX(B$10:B49)+1</f>
        <v>28</v>
      </c>
      <c r="C50" s="49"/>
      <c r="D50" s="29" t="s">
        <v>44</v>
      </c>
      <c r="E50" s="47"/>
      <c r="F50" s="58" t="s">
        <v>36</v>
      </c>
      <c r="G50" s="47"/>
      <c r="H50" s="4">
        <v>177307.5096291923</v>
      </c>
      <c r="I50" s="52"/>
      <c r="J50" s="4">
        <f>$H50*K50/100</f>
        <v>133.42013185204758</v>
      </c>
      <c r="K50" s="9">
        <v>7.524787423334324E-2</v>
      </c>
      <c r="L50" s="54"/>
      <c r="M50" s="4">
        <f t="shared" si="19"/>
        <v>281.05363653692325</v>
      </c>
      <c r="N50" s="54"/>
      <c r="O50" s="4">
        <f t="shared" si="21"/>
        <v>-147.6335046848757</v>
      </c>
      <c r="P50" s="4">
        <f t="shared" si="20"/>
        <v>0</v>
      </c>
      <c r="Q50" s="4">
        <f>$H50*R50/100</f>
        <v>-147.6335046848757</v>
      </c>
      <c r="R50" s="9">
        <v>-8.326410144365877E-2</v>
      </c>
      <c r="S50" s="5"/>
      <c r="T50" s="15"/>
      <c r="U50" s="47"/>
    </row>
    <row r="51" spans="2:21" x14ac:dyDescent="0.25">
      <c r="B51" s="47">
        <f>MAX(B$10:B50)+1</f>
        <v>29</v>
      </c>
      <c r="C51" s="49"/>
      <c r="D51" s="29" t="s">
        <v>45</v>
      </c>
      <c r="E51" s="47"/>
      <c r="F51" s="58" t="s">
        <v>36</v>
      </c>
      <c r="G51" s="47"/>
      <c r="H51" s="4">
        <f>H41-SUM(H48:H50)</f>
        <v>51738.055434146896</v>
      </c>
      <c r="I51" s="52"/>
      <c r="J51" s="4">
        <f>$H51*K51/100</f>
        <v>0</v>
      </c>
      <c r="K51" s="9">
        <v>0</v>
      </c>
      <c r="L51" s="54"/>
      <c r="M51" s="4">
        <f t="shared" si="19"/>
        <v>43.079226961664482</v>
      </c>
      <c r="N51" s="54"/>
      <c r="O51" s="4">
        <f>Q51</f>
        <v>-43.079226961664482</v>
      </c>
      <c r="P51" s="4">
        <f t="shared" si="20"/>
        <v>0</v>
      </c>
      <c r="Q51" s="4">
        <f>$H51*R51/100</f>
        <v>-43.079226961664482</v>
      </c>
      <c r="R51" s="9">
        <v>-8.326410144365877E-2</v>
      </c>
      <c r="S51" s="5"/>
      <c r="T51" s="15"/>
      <c r="U51" s="47"/>
    </row>
    <row r="52" spans="2:21" x14ac:dyDescent="0.25">
      <c r="B52" s="47">
        <f>MAX(B$10:B51)+1</f>
        <v>30</v>
      </c>
      <c r="C52" s="49"/>
      <c r="D52" s="26" t="s">
        <v>46</v>
      </c>
      <c r="E52" s="47"/>
      <c r="F52" s="3"/>
      <c r="G52" s="47"/>
      <c r="H52" s="55">
        <f>SUM(H48:H51)</f>
        <v>4795693.3541834541</v>
      </c>
      <c r="I52" s="52"/>
      <c r="J52" s="55">
        <f>SUM(J48:J51)</f>
        <v>11908.473933570323</v>
      </c>
      <c r="K52" s="7">
        <f>J52/$H52*100</f>
        <v>0.24831600050453889</v>
      </c>
      <c r="L52" s="54"/>
      <c r="M52" s="55">
        <f>SUM(M48:M51)</f>
        <v>15901.564912924438</v>
      </c>
      <c r="N52" s="27"/>
      <c r="O52" s="55">
        <f>SUM(O48:O51)</f>
        <v>-3993.0909793541141</v>
      </c>
      <c r="P52" s="55">
        <f>SUM(P48:P51)</f>
        <v>0</v>
      </c>
      <c r="Q52" s="55">
        <f>SUM(Q48:Q51)</f>
        <v>-3993.0909793541141</v>
      </c>
      <c r="R52" s="7">
        <f>Q52/$H52*100</f>
        <v>-8.3264101443658797E-2</v>
      </c>
      <c r="S52" s="56">
        <f>Q52/O52</f>
        <v>1</v>
      </c>
      <c r="T52" s="8">
        <f>R52/K52-1</f>
        <v>-1.3353150875275024</v>
      </c>
      <c r="U52" s="47"/>
    </row>
    <row r="53" spans="2:21" x14ac:dyDescent="0.25"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31"/>
      <c r="U53" s="47"/>
    </row>
    <row r="54" spans="2:21" x14ac:dyDescent="0.25">
      <c r="B54" s="47">
        <f>MAX(B$10:B53)+1</f>
        <v>31</v>
      </c>
      <c r="C54" s="49"/>
      <c r="D54" s="26" t="s">
        <v>47</v>
      </c>
      <c r="E54" s="47"/>
      <c r="F54" s="3" t="s">
        <v>36</v>
      </c>
      <c r="G54" s="47"/>
      <c r="H54" s="4">
        <f>H48</f>
        <v>2970863.8430425012</v>
      </c>
      <c r="I54" s="52"/>
      <c r="J54" s="4">
        <f>$H54*K54/100</f>
        <v>3216.4087502488842</v>
      </c>
      <c r="K54" s="9">
        <v>0.10826510133681916</v>
      </c>
      <c r="L54" s="54"/>
      <c r="M54" s="4">
        <f>J54-O54</f>
        <v>-1367.1596969102416</v>
      </c>
      <c r="N54" s="27"/>
      <c r="O54" s="4">
        <f>Q54</f>
        <v>4583.5684471591258</v>
      </c>
      <c r="P54" s="4">
        <f>Q54-O54</f>
        <v>0</v>
      </c>
      <c r="Q54" s="4">
        <f>$H54*R54/100</f>
        <v>4583.5684471591258</v>
      </c>
      <c r="R54" s="9">
        <v>0.15428402947154363</v>
      </c>
      <c r="S54" s="5">
        <f>Q54/O54</f>
        <v>1</v>
      </c>
      <c r="T54" s="6">
        <f>R54/K54-1</f>
        <v>0.42505782164796435</v>
      </c>
      <c r="U54" s="47"/>
    </row>
    <row r="55" spans="2:21" x14ac:dyDescent="0.25">
      <c r="B55" s="47"/>
      <c r="C55" s="49"/>
      <c r="D55" s="26"/>
      <c r="E55" s="47"/>
      <c r="F55" s="3"/>
      <c r="G55" s="47"/>
      <c r="H55" s="4"/>
      <c r="I55" s="52"/>
      <c r="J55" s="4"/>
      <c r="K55" s="9"/>
      <c r="L55" s="54"/>
      <c r="M55" s="4"/>
      <c r="N55" s="27"/>
      <c r="O55" s="4"/>
      <c r="P55" s="4"/>
      <c r="Q55" s="4"/>
      <c r="R55" s="9"/>
      <c r="S55" s="5"/>
      <c r="T55" s="6"/>
      <c r="U55" s="47"/>
    </row>
    <row r="56" spans="2:21" ht="13" thickBot="1" x14ac:dyDescent="0.3">
      <c r="B56" s="47">
        <f>MAX(B$10:B55)+1</f>
        <v>32</v>
      </c>
      <c r="C56" s="49"/>
      <c r="D56" s="26" t="s">
        <v>56</v>
      </c>
      <c r="E56" s="47"/>
      <c r="F56" s="3"/>
      <c r="G56" s="47"/>
      <c r="H56" s="59">
        <f>H41</f>
        <v>4795693.3541834541</v>
      </c>
      <c r="I56" s="52"/>
      <c r="J56" s="59">
        <f>J45+J52+J54</f>
        <v>447767.49283132126</v>
      </c>
      <c r="K56" s="11">
        <f>J56/$H56*100</f>
        <v>9.3368666376618457</v>
      </c>
      <c r="L56" s="54"/>
      <c r="M56" s="59">
        <f>M45+M52+M54</f>
        <v>-26885.409965845298</v>
      </c>
      <c r="N56" s="27"/>
      <c r="O56" s="59">
        <f>O45+O52+O54</f>
        <v>474652.90279716661</v>
      </c>
      <c r="P56" s="59">
        <v>-4790.667971619685</v>
      </c>
      <c r="Q56" s="59">
        <f>Q45+Q52+Q54</f>
        <v>469862.23482554691</v>
      </c>
      <c r="R56" s="11">
        <f>Q56/$H56*100</f>
        <v>9.7975871292035244</v>
      </c>
      <c r="S56" s="60">
        <f>Q56/O56</f>
        <v>0.98990700795594444</v>
      </c>
      <c r="T56" s="12">
        <f>R56/K56-1</f>
        <v>4.9344229645873261E-2</v>
      </c>
      <c r="U56" s="47"/>
    </row>
    <row r="57" spans="2:21" ht="13.5" thickTop="1" x14ac:dyDescent="0.3">
      <c r="B57" s="47"/>
      <c r="C57" s="49"/>
      <c r="D57" s="44"/>
      <c r="F57" s="58"/>
      <c r="H57" s="58"/>
      <c r="J57" s="58"/>
      <c r="K57" s="36"/>
      <c r="L57" s="58"/>
      <c r="M57" s="58"/>
      <c r="N57" s="58"/>
      <c r="O57" s="58"/>
      <c r="P57" s="58"/>
      <c r="Q57" s="58"/>
      <c r="R57" s="36"/>
      <c r="S57" s="62"/>
      <c r="T57" s="36"/>
      <c r="U57" s="47"/>
    </row>
    <row r="58" spans="2:21" x14ac:dyDescent="0.25">
      <c r="B58" s="19" t="str">
        <f>$B$2 &amp;" (continued)"</f>
        <v>Derivation of Proposed Rates and Revenue by Rate Class - Delivery (continued)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0"/>
    </row>
    <row r="59" spans="2:21" x14ac:dyDescent="0.25">
      <c r="B59" s="43"/>
      <c r="C59" s="43"/>
      <c r="D59" s="43"/>
      <c r="E59" s="43"/>
      <c r="F59" s="44"/>
      <c r="G59" s="43"/>
      <c r="H59" s="44"/>
      <c r="I59" s="43"/>
      <c r="J59" s="44"/>
      <c r="K59" s="44"/>
      <c r="L59" s="44"/>
      <c r="M59" s="44"/>
      <c r="N59" s="43"/>
      <c r="O59" s="43"/>
      <c r="P59" s="43"/>
      <c r="Q59" s="43"/>
      <c r="R59" s="43"/>
      <c r="S59" s="22"/>
      <c r="T59" s="22"/>
    </row>
    <row r="60" spans="2:21" x14ac:dyDescent="0.25">
      <c r="B60" s="44"/>
      <c r="C60" s="44"/>
      <c r="D60" s="44"/>
      <c r="E60" s="44"/>
      <c r="F60" s="43"/>
      <c r="G60" s="44"/>
      <c r="H60" s="43"/>
      <c r="I60" s="44"/>
      <c r="J60" s="45" t="s">
        <v>1</v>
      </c>
      <c r="K60" s="45"/>
      <c r="L60" s="44"/>
      <c r="M60" s="44"/>
      <c r="N60" s="44"/>
      <c r="O60" s="45" t="s">
        <v>2</v>
      </c>
      <c r="P60" s="45"/>
      <c r="Q60" s="45"/>
      <c r="R60" s="45"/>
      <c r="S60" s="23"/>
      <c r="T60" s="23"/>
    </row>
    <row r="61" spans="2:21" s="24" customFormat="1" ht="39" customHeight="1" x14ac:dyDescent="0.25">
      <c r="B61" s="46" t="s">
        <v>3</v>
      </c>
      <c r="C61" s="46"/>
      <c r="D61" s="46"/>
      <c r="E61" s="46"/>
      <c r="F61" s="47" t="s">
        <v>4</v>
      </c>
      <c r="G61" s="46"/>
      <c r="H61" s="24" t="s">
        <v>5</v>
      </c>
      <c r="I61" s="46"/>
      <c r="J61" s="24" t="s">
        <v>6</v>
      </c>
      <c r="K61" s="24" t="s">
        <v>7</v>
      </c>
      <c r="L61" s="46"/>
      <c r="M61" s="24" t="s">
        <v>8</v>
      </c>
      <c r="N61" s="46"/>
      <c r="O61" s="46" t="s">
        <v>9</v>
      </c>
      <c r="P61" s="24" t="s">
        <v>8</v>
      </c>
      <c r="Q61" s="24" t="s">
        <v>6</v>
      </c>
      <c r="R61" s="24" t="s">
        <v>7</v>
      </c>
      <c r="S61" s="46" t="s">
        <v>10</v>
      </c>
      <c r="T61" s="46" t="s">
        <v>11</v>
      </c>
      <c r="U61" s="46"/>
    </row>
    <row r="62" spans="2:21" ht="14.5" x14ac:dyDescent="0.25">
      <c r="B62" s="48" t="s">
        <v>12</v>
      </c>
      <c r="C62" s="49"/>
      <c r="D62" s="50" t="s">
        <v>13</v>
      </c>
      <c r="E62" s="47"/>
      <c r="F62" s="48" t="s">
        <v>14</v>
      </c>
      <c r="G62" s="47"/>
      <c r="H62" s="48" t="s">
        <v>15</v>
      </c>
      <c r="I62" s="47"/>
      <c r="J62" s="48" t="s">
        <v>16</v>
      </c>
      <c r="K62" s="48" t="s">
        <v>17</v>
      </c>
      <c r="L62" s="47"/>
      <c r="M62" s="48" t="s">
        <v>16</v>
      </c>
      <c r="N62" s="47"/>
      <c r="O62" s="48" t="s">
        <v>16</v>
      </c>
      <c r="P62" s="48" t="s">
        <v>16</v>
      </c>
      <c r="Q62" s="48" t="s">
        <v>16</v>
      </c>
      <c r="R62" s="48" t="s">
        <v>17</v>
      </c>
      <c r="S62" s="48" t="s">
        <v>18</v>
      </c>
      <c r="T62" s="48" t="s">
        <v>19</v>
      </c>
      <c r="U62" s="47"/>
    </row>
    <row r="63" spans="2:21" x14ac:dyDescent="0.25">
      <c r="B63" s="47"/>
      <c r="C63" s="49"/>
      <c r="D63" s="49"/>
      <c r="E63" s="47"/>
      <c r="F63" s="47"/>
      <c r="G63" s="47"/>
      <c r="H63" s="47" t="s">
        <v>20</v>
      </c>
      <c r="I63" s="47"/>
      <c r="J63" s="47" t="s">
        <v>21</v>
      </c>
      <c r="K63" s="47" t="s">
        <v>22</v>
      </c>
      <c r="L63" s="47"/>
      <c r="M63" s="47" t="s">
        <v>23</v>
      </c>
      <c r="N63" s="47"/>
      <c r="O63" s="47" t="s">
        <v>24</v>
      </c>
      <c r="P63" s="47" t="s">
        <v>25</v>
      </c>
      <c r="Q63" s="51" t="s">
        <v>26</v>
      </c>
      <c r="R63" s="51" t="s">
        <v>27</v>
      </c>
      <c r="S63" s="51" t="s">
        <v>28</v>
      </c>
      <c r="T63" s="51" t="s">
        <v>29</v>
      </c>
      <c r="U63" s="47"/>
    </row>
    <row r="64" spans="2:21" ht="13" x14ac:dyDescent="0.3">
      <c r="B64" s="47"/>
      <c r="C64" s="49"/>
      <c r="D64" s="49"/>
      <c r="E64" s="47"/>
      <c r="F64" s="63"/>
      <c r="G64" s="47"/>
      <c r="H64" s="63"/>
      <c r="I64" s="47"/>
      <c r="J64" s="63"/>
      <c r="K64" s="36"/>
      <c r="L64" s="47"/>
      <c r="M64" s="47"/>
      <c r="N64" s="47"/>
      <c r="O64" s="47"/>
      <c r="P64" s="47"/>
      <c r="Q64" s="47"/>
      <c r="R64" s="47"/>
      <c r="S64" s="47"/>
      <c r="T64" s="47"/>
      <c r="U64" s="47"/>
    </row>
    <row r="65" spans="2:21" ht="13" x14ac:dyDescent="0.3">
      <c r="B65" s="47"/>
      <c r="C65" s="49"/>
      <c r="D65" s="20" t="s">
        <v>57</v>
      </c>
      <c r="E65" s="47"/>
      <c r="F65" s="25"/>
      <c r="G65" s="47"/>
      <c r="H65" s="25"/>
      <c r="I65" s="47"/>
      <c r="J65" s="25"/>
      <c r="K65" s="47"/>
      <c r="L65" s="47"/>
      <c r="M65" s="1"/>
      <c r="N65" s="47"/>
      <c r="O65" s="2"/>
      <c r="P65" s="47"/>
      <c r="Q65" s="47"/>
      <c r="R65" s="47"/>
      <c r="S65" s="47"/>
      <c r="T65" s="47"/>
      <c r="U65" s="47"/>
    </row>
    <row r="66" spans="2:21" x14ac:dyDescent="0.25">
      <c r="B66" s="47">
        <f>MAX(B$10:B65)+1</f>
        <v>33</v>
      </c>
      <c r="C66" s="49"/>
      <c r="D66" s="26" t="s">
        <v>32</v>
      </c>
      <c r="E66" s="47"/>
      <c r="F66" s="3" t="s">
        <v>33</v>
      </c>
      <c r="G66" s="47"/>
      <c r="H66" s="4">
        <v>168</v>
      </c>
      <c r="I66" s="52"/>
      <c r="J66" s="4">
        <f>$H66*K66/1000</f>
        <v>22.423218725450067</v>
      </c>
      <c r="K66" s="53">
        <v>133.47154003244088</v>
      </c>
      <c r="L66" s="54"/>
      <c r="M66" s="4">
        <f t="shared" ref="M66:M70" si="22">J66-O66</f>
        <v>-320.32766525836462</v>
      </c>
      <c r="N66" s="27"/>
      <c r="O66" s="4">
        <v>342.75088398381467</v>
      </c>
      <c r="P66" s="4">
        <f t="shared" ref="P66" si="23">Q66-O66</f>
        <v>-258.75088398381467</v>
      </c>
      <c r="Q66" s="4">
        <f>$H66*R66/1000</f>
        <v>84</v>
      </c>
      <c r="R66" s="53">
        <v>500</v>
      </c>
      <c r="S66" s="5">
        <f>Q66/O66</f>
        <v>0.24507595435980448</v>
      </c>
      <c r="T66" s="6">
        <f t="shared" ref="T66:T67" si="24">R66/K66-1</f>
        <v>2.746116961552048</v>
      </c>
    </row>
    <row r="67" spans="2:21" x14ac:dyDescent="0.25">
      <c r="B67" s="47">
        <f>MAX(B$10:B66)+1</f>
        <v>34</v>
      </c>
      <c r="C67" s="49"/>
      <c r="D67" s="26" t="s">
        <v>58</v>
      </c>
      <c r="E67" s="47"/>
      <c r="F67" s="3" t="s">
        <v>59</v>
      </c>
      <c r="G67" s="47"/>
      <c r="H67" s="4">
        <v>4503.3599999999997</v>
      </c>
      <c r="I67" s="52"/>
      <c r="J67" s="4">
        <f>$H67*K67/100</f>
        <v>1783.9122401864358</v>
      </c>
      <c r="K67" s="9">
        <v>39.612916581984031</v>
      </c>
      <c r="L67" s="54"/>
      <c r="M67" s="4">
        <f t="shared" si="22"/>
        <v>472.96675068397417</v>
      </c>
      <c r="N67" s="27"/>
      <c r="O67" s="4">
        <v>1310.9454895024617</v>
      </c>
      <c r="P67" s="4">
        <f>P83-SUM(P66,P68)</f>
        <v>641.85349832996781</v>
      </c>
      <c r="Q67" s="4">
        <f>$H67*R67/100</f>
        <v>1952.7989878324297</v>
      </c>
      <c r="R67" s="9">
        <f>(O67+P67)/H67*100</f>
        <v>43.363155240363412</v>
      </c>
      <c r="S67" s="5">
        <f>Q67/O67</f>
        <v>1.4896111268314964</v>
      </c>
      <c r="T67" s="6">
        <f t="shared" si="24"/>
        <v>9.4672116621803859E-2</v>
      </c>
    </row>
    <row r="68" spans="2:21" x14ac:dyDescent="0.25">
      <c r="B68" s="47">
        <f>MAX(B$10:B67)+1</f>
        <v>35</v>
      </c>
      <c r="C68" s="49"/>
      <c r="D68" s="26" t="s">
        <v>34</v>
      </c>
      <c r="E68" s="47"/>
      <c r="F68" s="3" t="s">
        <v>36</v>
      </c>
      <c r="G68" s="47"/>
      <c r="H68" s="4">
        <v>27429.148000000001</v>
      </c>
      <c r="I68" s="52"/>
      <c r="J68" s="4">
        <f>$H68*K68/100</f>
        <v>0</v>
      </c>
      <c r="K68" s="9">
        <v>0</v>
      </c>
      <c r="L68" s="54"/>
      <c r="M68" s="4">
        <f t="shared" si="22"/>
        <v>0</v>
      </c>
      <c r="N68" s="27"/>
      <c r="O68" s="4">
        <v>0</v>
      </c>
      <c r="P68" s="4">
        <v>0</v>
      </c>
      <c r="Q68" s="4">
        <f>$H68*R68/100</f>
        <v>0</v>
      </c>
      <c r="R68" s="9">
        <f>(O68+P68)/H68*100</f>
        <v>0</v>
      </c>
      <c r="S68" s="5"/>
      <c r="T68" s="6"/>
    </row>
    <row r="69" spans="2:21" x14ac:dyDescent="0.25">
      <c r="B69" s="47"/>
      <c r="C69" s="49"/>
      <c r="D69" s="26"/>
      <c r="E69" s="47"/>
      <c r="F69" s="3"/>
      <c r="G69" s="47"/>
      <c r="H69" s="4"/>
      <c r="I69" s="52"/>
      <c r="J69" s="4"/>
      <c r="K69" s="9"/>
      <c r="L69" s="54"/>
      <c r="M69" s="4"/>
      <c r="N69" s="27"/>
      <c r="O69" s="4"/>
      <c r="P69" s="4"/>
      <c r="Q69" s="4"/>
      <c r="R69" s="9"/>
      <c r="S69" s="5"/>
      <c r="T69" s="6"/>
    </row>
    <row r="70" spans="2:21" x14ac:dyDescent="0.25">
      <c r="B70" s="47">
        <f>MAX(B$10:B69)+1</f>
        <v>36</v>
      </c>
      <c r="C70" s="49"/>
      <c r="D70" s="26" t="s">
        <v>40</v>
      </c>
      <c r="E70" s="47"/>
      <c r="F70" s="3" t="s">
        <v>36</v>
      </c>
      <c r="G70" s="47"/>
      <c r="H70" s="4">
        <v>27429.148000000001</v>
      </c>
      <c r="I70" s="52"/>
      <c r="J70" s="4">
        <f>$H70*K70/100</f>
        <v>162.33856965130596</v>
      </c>
      <c r="K70" s="9">
        <v>0.59184692740476641</v>
      </c>
      <c r="L70" s="54"/>
      <c r="M70" s="4">
        <f t="shared" si="22"/>
        <v>162.33856965130596</v>
      </c>
      <c r="N70" s="27"/>
      <c r="O70" s="4"/>
      <c r="P70" s="4"/>
      <c r="Q70" s="4"/>
      <c r="R70" s="9"/>
      <c r="S70" s="5"/>
      <c r="T70" s="6"/>
    </row>
    <row r="71" spans="2:21" x14ac:dyDescent="0.25">
      <c r="B71" s="47"/>
      <c r="C71" s="49"/>
      <c r="D71" s="26"/>
      <c r="E71" s="47"/>
      <c r="F71" s="3"/>
      <c r="G71" s="47"/>
      <c r="H71" s="4"/>
      <c r="I71" s="52"/>
      <c r="J71" s="4"/>
      <c r="K71" s="9"/>
      <c r="L71" s="54"/>
      <c r="M71" s="4"/>
      <c r="N71" s="27"/>
      <c r="O71" s="4"/>
      <c r="P71" s="4"/>
      <c r="Q71" s="4"/>
      <c r="R71" s="9"/>
      <c r="S71" s="5"/>
      <c r="T71" s="10"/>
    </row>
    <row r="72" spans="2:21" x14ac:dyDescent="0.25">
      <c r="B72" s="47">
        <f>MAX(B$10:B71)+1</f>
        <v>37</v>
      </c>
      <c r="C72" s="49"/>
      <c r="D72" s="26" t="s">
        <v>41</v>
      </c>
      <c r="E72" s="47"/>
      <c r="F72" s="3"/>
      <c r="G72" s="47"/>
      <c r="H72" s="55">
        <f>H68</f>
        <v>27429.148000000001</v>
      </c>
      <c r="I72" s="52"/>
      <c r="J72" s="55">
        <f>SUM(J66:J70)</f>
        <v>1968.674028563192</v>
      </c>
      <c r="K72" s="7">
        <f>J72/$H72*100</f>
        <v>7.1773065228391051</v>
      </c>
      <c r="L72" s="54"/>
      <c r="M72" s="55">
        <f>SUM(M66:M70)</f>
        <v>314.97765507691554</v>
      </c>
      <c r="N72" s="27"/>
      <c r="O72" s="55">
        <f>SUM(O66:O68)</f>
        <v>1653.6963734862763</v>
      </c>
      <c r="P72" s="55">
        <f>SUM(P66:P68)</f>
        <v>383.10261434615313</v>
      </c>
      <c r="Q72" s="55">
        <f>SUM(Q66:Q68)</f>
        <v>2036.7989878324297</v>
      </c>
      <c r="R72" s="7">
        <f>Q72/$H72*100</f>
        <v>7.4256735492929993</v>
      </c>
      <c r="S72" s="56">
        <f>Q72/O72</f>
        <v>1.2316644218905235</v>
      </c>
      <c r="T72" s="8">
        <f>R72/K72-1</f>
        <v>3.4604489255622317E-2</v>
      </c>
    </row>
    <row r="73" spans="2:21" x14ac:dyDescent="0.25">
      <c r="E73" s="47"/>
      <c r="F73" s="3"/>
      <c r="G73" s="47"/>
      <c r="H73" s="4"/>
      <c r="I73" s="52"/>
      <c r="J73" s="4"/>
      <c r="K73" s="9"/>
      <c r="L73" s="54"/>
      <c r="M73" s="4"/>
      <c r="N73" s="27"/>
      <c r="O73" s="4"/>
      <c r="P73" s="4"/>
      <c r="Q73" s="4"/>
      <c r="R73" s="9"/>
      <c r="S73" s="5"/>
      <c r="T73" s="6"/>
    </row>
    <row r="74" spans="2:21" ht="13" x14ac:dyDescent="0.3">
      <c r="B74" s="47"/>
      <c r="C74" s="49"/>
      <c r="D74" s="26" t="s">
        <v>46</v>
      </c>
      <c r="E74" s="47"/>
      <c r="F74" s="58"/>
      <c r="G74" s="47"/>
      <c r="H74" s="4"/>
      <c r="I74" s="52"/>
      <c r="J74" s="4"/>
      <c r="K74" s="9"/>
      <c r="L74" s="54"/>
      <c r="M74" s="4"/>
      <c r="N74" s="27"/>
      <c r="O74" s="4"/>
      <c r="P74" s="4"/>
      <c r="Q74" s="4"/>
      <c r="R74" s="32"/>
      <c r="S74" s="5"/>
      <c r="T74" s="33"/>
    </row>
    <row r="75" spans="2:21" x14ac:dyDescent="0.25">
      <c r="B75" s="47">
        <f>MAX(B$10:B74)+1</f>
        <v>38</v>
      </c>
      <c r="C75" s="49"/>
      <c r="D75" s="29" t="s">
        <v>42</v>
      </c>
      <c r="E75" s="47"/>
      <c r="F75" s="58" t="s">
        <v>36</v>
      </c>
      <c r="G75" s="47"/>
      <c r="H75" s="4">
        <v>14756.638999999999</v>
      </c>
      <c r="I75" s="52"/>
      <c r="J75" s="4">
        <f>$H75*K75/100</f>
        <v>11.110791857483322</v>
      </c>
      <c r="K75" s="9">
        <v>7.5293512685939687E-2</v>
      </c>
      <c r="L75" s="54"/>
      <c r="M75" s="4">
        <f t="shared" ref="M75:M78" si="25">J75-O75</f>
        <v>19.82801542932016</v>
      </c>
      <c r="N75" s="27"/>
      <c r="O75" s="4">
        <f>Q75</f>
        <v>-8.7172235718368398</v>
      </c>
      <c r="P75" s="4">
        <f t="shared" ref="P75:P78" si="26">Q75-O75</f>
        <v>0</v>
      </c>
      <c r="Q75" s="4">
        <f>$H75*R75/100</f>
        <v>-8.7172235718368398</v>
      </c>
      <c r="R75" s="9">
        <v>-5.9073231864226271E-2</v>
      </c>
      <c r="S75" s="5"/>
      <c r="T75" s="6"/>
    </row>
    <row r="76" spans="2:21" x14ac:dyDescent="0.25">
      <c r="B76" s="47">
        <f>MAX(B$10:B75)+1</f>
        <v>39</v>
      </c>
      <c r="C76" s="49"/>
      <c r="D76" s="29" t="s">
        <v>43</v>
      </c>
      <c r="E76" s="47"/>
      <c r="F76" s="58" t="s">
        <v>36</v>
      </c>
      <c r="G76" s="47"/>
      <c r="H76" s="4">
        <v>10804.124</v>
      </c>
      <c r="I76" s="52"/>
      <c r="J76" s="4">
        <f>$H76*K76/100</f>
        <v>64.585358448159454</v>
      </c>
      <c r="K76" s="9">
        <v>0.59778431317670411</v>
      </c>
      <c r="L76" s="54"/>
      <c r="M76" s="4">
        <f t="shared" si="25"/>
        <v>70.967703669577972</v>
      </c>
      <c r="N76" s="54"/>
      <c r="O76" s="4">
        <f t="shared" ref="O76:O77" si="27">Q76</f>
        <v>-6.3823452214185181</v>
      </c>
      <c r="P76" s="4">
        <f t="shared" si="26"/>
        <v>0</v>
      </c>
      <c r="Q76" s="4">
        <f>$H76*R76/100</f>
        <v>-6.3823452214185181</v>
      </c>
      <c r="R76" s="9">
        <v>-5.9073231864226271E-2</v>
      </c>
      <c r="S76" s="5"/>
      <c r="T76" s="6"/>
      <c r="U76" s="47"/>
    </row>
    <row r="77" spans="2:21" x14ac:dyDescent="0.25">
      <c r="B77" s="47">
        <f>MAX(B$10:B76)+1</f>
        <v>40</v>
      </c>
      <c r="C77" s="49"/>
      <c r="D77" s="29" t="s">
        <v>44</v>
      </c>
      <c r="E77" s="47"/>
      <c r="F77" s="58" t="s">
        <v>36</v>
      </c>
      <c r="G77" s="47"/>
      <c r="H77" s="4">
        <v>0</v>
      </c>
      <c r="I77" s="52"/>
      <c r="J77" s="4">
        <f>$H77*K77/100</f>
        <v>0</v>
      </c>
      <c r="K77" s="9">
        <v>7.5293512685939687E-2</v>
      </c>
      <c r="L77" s="54"/>
      <c r="M77" s="4">
        <f t="shared" si="25"/>
        <v>0</v>
      </c>
      <c r="N77" s="54"/>
      <c r="O77" s="4">
        <f t="shared" si="27"/>
        <v>0</v>
      </c>
      <c r="P77" s="4">
        <f t="shared" si="26"/>
        <v>0</v>
      </c>
      <c r="Q77" s="4">
        <f>$H77*R77/100</f>
        <v>0</v>
      </c>
      <c r="R77" s="9">
        <v>-5.9073231864226271E-2</v>
      </c>
      <c r="S77" s="5"/>
      <c r="T77" s="6"/>
      <c r="U77" s="47"/>
    </row>
    <row r="78" spans="2:21" x14ac:dyDescent="0.25">
      <c r="B78" s="47">
        <f>MAX(B$10:B77)+1</f>
        <v>41</v>
      </c>
      <c r="C78" s="49"/>
      <c r="D78" s="29" t="s">
        <v>45</v>
      </c>
      <c r="E78" s="47"/>
      <c r="F78" s="58" t="s">
        <v>36</v>
      </c>
      <c r="G78" s="47"/>
      <c r="H78" s="4">
        <f>H72-SUM(H75:H77)</f>
        <v>1868.385000000002</v>
      </c>
      <c r="I78" s="52"/>
      <c r="J78" s="4">
        <f>$H78*K78/100</f>
        <v>0</v>
      </c>
      <c r="K78" s="9">
        <v>0</v>
      </c>
      <c r="L78" s="54"/>
      <c r="M78" s="4">
        <f t="shared" si="25"/>
        <v>1.1037154031664251</v>
      </c>
      <c r="N78" s="54"/>
      <c r="O78" s="4">
        <f>Q78</f>
        <v>-1.1037154031664251</v>
      </c>
      <c r="P78" s="4">
        <f t="shared" si="26"/>
        <v>0</v>
      </c>
      <c r="Q78" s="4">
        <f>$H78*R78/100</f>
        <v>-1.1037154031664251</v>
      </c>
      <c r="R78" s="9">
        <v>-5.9073231864226271E-2</v>
      </c>
      <c r="S78" s="5"/>
      <c r="T78" s="6"/>
      <c r="U78" s="47"/>
    </row>
    <row r="79" spans="2:21" x14ac:dyDescent="0.25">
      <c r="B79" s="47">
        <f>MAX(B$10:B78)+1</f>
        <v>42</v>
      </c>
      <c r="C79" s="49"/>
      <c r="D79" s="26" t="s">
        <v>46</v>
      </c>
      <c r="E79" s="47"/>
      <c r="F79" s="3"/>
      <c r="G79" s="47"/>
      <c r="H79" s="55">
        <f>SUM(H75:H78)</f>
        <v>27429.148000000001</v>
      </c>
      <c r="I79" s="52"/>
      <c r="J79" s="55">
        <f>SUM(J75:J78)</f>
        <v>75.696150305642774</v>
      </c>
      <c r="K79" s="7">
        <f>J79/$H79*100</f>
        <v>0.27596974687526848</v>
      </c>
      <c r="L79" s="54"/>
      <c r="M79" s="55">
        <f>SUM(M75:M78)</f>
        <v>91.899434502064551</v>
      </c>
      <c r="N79" s="27"/>
      <c r="O79" s="55">
        <f>SUM(O75:O78)</f>
        <v>-16.203284196421784</v>
      </c>
      <c r="P79" s="55">
        <f>SUM(P75:P78)</f>
        <v>0</v>
      </c>
      <c r="Q79" s="55">
        <f>SUM(Q75:Q78)</f>
        <v>-16.203284196421784</v>
      </c>
      <c r="R79" s="7">
        <f>Q79/$H79*100</f>
        <v>-5.9073231864226271E-2</v>
      </c>
      <c r="S79" s="56">
        <f>Q79/O79</f>
        <v>1</v>
      </c>
      <c r="T79" s="8">
        <f>R79/K79-1</f>
        <v>-1.2140569121546716</v>
      </c>
    </row>
    <row r="80" spans="2:21" x14ac:dyDescent="0.25"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31"/>
    </row>
    <row r="81" spans="2:21" x14ac:dyDescent="0.25">
      <c r="B81" s="47">
        <f>MAX(B$10:B80)+1</f>
        <v>43</v>
      </c>
      <c r="C81" s="49"/>
      <c r="D81" s="26" t="s">
        <v>47</v>
      </c>
      <c r="E81" s="47"/>
      <c r="F81" s="3" t="s">
        <v>36</v>
      </c>
      <c r="G81" s="47"/>
      <c r="H81" s="4">
        <f>H75</f>
        <v>14756.638999999999</v>
      </c>
      <c r="I81" s="52"/>
      <c r="J81" s="4">
        <f>$H81*K81/100</f>
        <v>16.028501513432836</v>
      </c>
      <c r="K81" s="9">
        <v>0.10861891731194913</v>
      </c>
      <c r="L81" s="54"/>
      <c r="M81" s="4">
        <f>J81-O81</f>
        <v>-6.7386357503364636</v>
      </c>
      <c r="N81" s="27"/>
      <c r="O81" s="4">
        <f>Q81</f>
        <v>22.7671372637693</v>
      </c>
      <c r="P81" s="4">
        <f>Q81-O81</f>
        <v>0</v>
      </c>
      <c r="Q81" s="4">
        <f>$H81*R81/100</f>
        <v>22.7671372637693</v>
      </c>
      <c r="R81" s="9">
        <v>0.15428402947154363</v>
      </c>
      <c r="S81" s="5">
        <f>Q81/O81</f>
        <v>1</v>
      </c>
      <c r="T81" s="6">
        <f>R81/K81-1</f>
        <v>0.42041582893379559</v>
      </c>
    </row>
    <row r="82" spans="2:21" x14ac:dyDescent="0.25">
      <c r="B82" s="47"/>
      <c r="C82" s="49"/>
      <c r="D82" s="26"/>
      <c r="E82" s="47"/>
      <c r="F82" s="3"/>
      <c r="G82" s="47"/>
      <c r="H82" s="4"/>
      <c r="I82" s="52"/>
      <c r="J82" s="4"/>
      <c r="K82" s="9"/>
      <c r="L82" s="54"/>
      <c r="M82" s="4"/>
      <c r="N82" s="27"/>
      <c r="O82" s="4"/>
      <c r="P82" s="4"/>
      <c r="Q82" s="4"/>
      <c r="R82" s="9"/>
      <c r="S82" s="5"/>
      <c r="T82" s="6"/>
    </row>
    <row r="83" spans="2:21" ht="13" thickBot="1" x14ac:dyDescent="0.3">
      <c r="B83" s="47">
        <f>MAX(B$10:B82)+1</f>
        <v>44</v>
      </c>
      <c r="C83" s="49"/>
      <c r="D83" s="26" t="s">
        <v>60</v>
      </c>
      <c r="E83" s="47"/>
      <c r="F83" s="3"/>
      <c r="G83" s="47"/>
      <c r="H83" s="59">
        <f>H72</f>
        <v>27429.148000000001</v>
      </c>
      <c r="I83" s="52"/>
      <c r="J83" s="59">
        <f>J72+J79+J81</f>
        <v>2060.3986803822677</v>
      </c>
      <c r="K83" s="11">
        <f>J83/$H83*100</f>
        <v>7.5117122864416626</v>
      </c>
      <c r="L83" s="54"/>
      <c r="M83" s="59">
        <f>M72+M79+M81</f>
        <v>400.13845382864361</v>
      </c>
      <c r="N83" s="27"/>
      <c r="O83" s="59">
        <f>O72+O79+O81</f>
        <v>1660.2602265536239</v>
      </c>
      <c r="P83" s="59">
        <v>383.10261434615319</v>
      </c>
      <c r="Q83" s="59">
        <f>Q72+Q79+Q81</f>
        <v>2043.3628408997772</v>
      </c>
      <c r="R83" s="11">
        <f>Q83/$H83*100</f>
        <v>7.4496037605680536</v>
      </c>
      <c r="S83" s="60">
        <f>Q83/O83</f>
        <v>1.2307485346085774</v>
      </c>
      <c r="T83" s="12">
        <f>R83/K83-1</f>
        <v>-8.2682248075065523E-3</v>
      </c>
    </row>
    <row r="84" spans="2:21" ht="13" thickTop="1" x14ac:dyDescent="0.25"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31"/>
    </row>
    <row r="85" spans="2:21" ht="13" x14ac:dyDescent="0.3">
      <c r="B85" s="47"/>
      <c r="C85" s="49"/>
      <c r="D85" s="20" t="s">
        <v>61</v>
      </c>
      <c r="E85" s="47"/>
      <c r="F85" s="25"/>
      <c r="G85" s="47"/>
      <c r="H85" s="34"/>
      <c r="I85" s="52"/>
      <c r="J85" s="34"/>
      <c r="K85" s="52"/>
      <c r="L85" s="52"/>
      <c r="M85" s="13"/>
      <c r="N85" s="52"/>
      <c r="O85" s="14"/>
      <c r="P85" s="52"/>
      <c r="Q85" s="52"/>
      <c r="R85" s="52"/>
      <c r="S85" s="52"/>
      <c r="T85" s="61"/>
      <c r="U85" s="47"/>
    </row>
    <row r="86" spans="2:21" x14ac:dyDescent="0.25">
      <c r="B86" s="47">
        <f>MAX(B$10:B85)+1</f>
        <v>45</v>
      </c>
      <c r="C86" s="49"/>
      <c r="D86" s="26" t="s">
        <v>32</v>
      </c>
      <c r="E86" s="47"/>
      <c r="F86" s="3" t="s">
        <v>33</v>
      </c>
      <c r="G86" s="47"/>
      <c r="H86" s="4">
        <v>4992</v>
      </c>
      <c r="I86" s="52"/>
      <c r="J86" s="4">
        <f>$H86*K86/1000</f>
        <v>3207.5954013320479</v>
      </c>
      <c r="K86" s="53">
        <v>642.54715571555448</v>
      </c>
      <c r="L86" s="54"/>
      <c r="M86" s="4">
        <f t="shared" ref="M86:M87" si="28">J86-O86</f>
        <v>-5888.6966722486104</v>
      </c>
      <c r="N86" s="27"/>
      <c r="O86" s="4">
        <v>9096.2920735806583</v>
      </c>
      <c r="P86" s="4">
        <f t="shared" ref="P86" si="29">Q86-O86</f>
        <v>-6600.2920735806583</v>
      </c>
      <c r="Q86" s="4">
        <f>$H86*R86/1000</f>
        <v>2496</v>
      </c>
      <c r="R86" s="53">
        <v>500</v>
      </c>
      <c r="S86" s="5">
        <f>Q86/O86</f>
        <v>0.27439752151861985</v>
      </c>
      <c r="T86" s="6">
        <f t="shared" ref="T86:T87" si="30">R86/K86-1</f>
        <v>-0.22184699511557382</v>
      </c>
    </row>
    <row r="87" spans="2:21" x14ac:dyDescent="0.25">
      <c r="B87" s="47">
        <f>MAX(B$10:B86)+1</f>
        <v>46</v>
      </c>
      <c r="C87" s="49"/>
      <c r="D87" s="26" t="s">
        <v>58</v>
      </c>
      <c r="E87" s="47"/>
      <c r="F87" s="3" t="s">
        <v>59</v>
      </c>
      <c r="G87" s="47"/>
      <c r="H87" s="4">
        <v>75653.868000000002</v>
      </c>
      <c r="I87" s="52"/>
      <c r="J87" s="4">
        <f>$H87*K87/100</f>
        <v>19211.505789012077</v>
      </c>
      <c r="K87" s="9">
        <v>25.39395049703483</v>
      </c>
      <c r="L87" s="54"/>
      <c r="M87" s="4">
        <f t="shared" si="28"/>
        <v>-10703.790162911901</v>
      </c>
      <c r="N87" s="27"/>
      <c r="O87" s="4">
        <v>29915.295951923978</v>
      </c>
      <c r="P87" s="4">
        <f>P106-SUM(P86,P91)</f>
        <v>6050.5953771653312</v>
      </c>
      <c r="Q87" s="4">
        <f>$H87*R87/100</f>
        <v>35965.891329089311</v>
      </c>
      <c r="R87" s="9">
        <f>(O87+P87)/H87*100</f>
        <v>47.540056152964063</v>
      </c>
      <c r="S87" s="5">
        <f>Q87/O87</f>
        <v>1.2022575804327349</v>
      </c>
      <c r="T87" s="6">
        <f t="shared" si="30"/>
        <v>0.87210163139111274</v>
      </c>
    </row>
    <row r="88" spans="2:21" x14ac:dyDescent="0.25">
      <c r="B88" s="47"/>
      <c r="C88" s="49"/>
      <c r="D88" s="26" t="s">
        <v>34</v>
      </c>
      <c r="E88" s="47"/>
      <c r="F88" s="3"/>
      <c r="G88" s="47"/>
      <c r="H88" s="4"/>
      <c r="I88" s="52"/>
      <c r="J88" s="4"/>
      <c r="K88" s="9"/>
      <c r="L88" s="54"/>
      <c r="M88" s="4"/>
      <c r="N88" s="27"/>
      <c r="O88" s="4"/>
      <c r="P88" s="4"/>
      <c r="Q88" s="4"/>
      <c r="R88" s="9"/>
      <c r="S88" s="5"/>
      <c r="T88" s="6"/>
      <c r="U88" s="47"/>
    </row>
    <row r="89" spans="2:21" x14ac:dyDescent="0.25">
      <c r="B89" s="47">
        <f>MAX(B$10:B88)+1</f>
        <v>47</v>
      </c>
      <c r="C89" s="49"/>
      <c r="D89" s="29" t="s">
        <v>62</v>
      </c>
      <c r="E89" s="47"/>
      <c r="F89" s="3" t="s">
        <v>36</v>
      </c>
      <c r="G89" s="47"/>
      <c r="H89" s="4">
        <v>897522.08799999999</v>
      </c>
      <c r="I89" s="52"/>
      <c r="J89" s="4">
        <f>$H89*K89/100</f>
        <v>6220.2619437294161</v>
      </c>
      <c r="K89" s="9">
        <v>0.69304834130493465</v>
      </c>
      <c r="L89" s="54"/>
      <c r="M89" s="4">
        <f t="shared" ref="M89:M90" si="31">J89-O89</f>
        <v>6220.2619437294161</v>
      </c>
      <c r="N89" s="27"/>
      <c r="O89" s="4">
        <f>J89/J$91*O$91</f>
        <v>0</v>
      </c>
      <c r="P89" s="4">
        <f t="shared" ref="P89:P90" si="32">Q89-O89</f>
        <v>0</v>
      </c>
      <c r="Q89" s="4">
        <f>$H89*R89/100</f>
        <v>0</v>
      </c>
      <c r="R89" s="9">
        <f>K89*(O$91+P$91)/J$91</f>
        <v>0</v>
      </c>
      <c r="S89" s="5"/>
      <c r="T89" s="6"/>
      <c r="U89" s="47"/>
    </row>
    <row r="90" spans="2:21" x14ac:dyDescent="0.25">
      <c r="B90" s="47">
        <f>MAX(B$10:B89)+1</f>
        <v>48</v>
      </c>
      <c r="C90" s="49"/>
      <c r="D90" s="29" t="s">
        <v>63</v>
      </c>
      <c r="E90" s="47"/>
      <c r="F90" s="3" t="s">
        <v>36</v>
      </c>
      <c r="G90" s="47"/>
      <c r="H90" s="4">
        <v>170759.079</v>
      </c>
      <c r="I90" s="52"/>
      <c r="J90" s="4">
        <f>$H90*K90/100</f>
        <v>896.61002316568226</v>
      </c>
      <c r="K90" s="9">
        <v>0.52507311963522729</v>
      </c>
      <c r="L90" s="54"/>
      <c r="M90" s="4">
        <f t="shared" si="31"/>
        <v>896.61002316568226</v>
      </c>
      <c r="N90" s="27"/>
      <c r="O90" s="4">
        <f>J90/J$91*O$91</f>
        <v>0</v>
      </c>
      <c r="P90" s="4">
        <f t="shared" si="32"/>
        <v>0</v>
      </c>
      <c r="Q90" s="4">
        <f>$H90*R90/100</f>
        <v>0</v>
      </c>
      <c r="R90" s="9">
        <f>K90*(O$91+P$91)/J$91</f>
        <v>0</v>
      </c>
      <c r="S90" s="5"/>
      <c r="T90" s="6"/>
      <c r="U90" s="47"/>
    </row>
    <row r="91" spans="2:21" x14ac:dyDescent="0.25">
      <c r="B91" s="47">
        <f>MAX(B$10:B90)+1</f>
        <v>49</v>
      </c>
      <c r="C91" s="49"/>
      <c r="D91" s="26" t="s">
        <v>34</v>
      </c>
      <c r="E91" s="47"/>
      <c r="F91" s="3"/>
      <c r="G91" s="47"/>
      <c r="H91" s="55">
        <f>SUM(H89:H90)</f>
        <v>1068281.1669999999</v>
      </c>
      <c r="I91" s="52"/>
      <c r="J91" s="55">
        <f>SUM(J89:J90)</f>
        <v>7116.871966895098</v>
      </c>
      <c r="K91" s="7">
        <f>J91/$H91*100</f>
        <v>0.66619839296437755</v>
      </c>
      <c r="L91" s="54"/>
      <c r="M91" s="55">
        <f>SUM(M89:M90)</f>
        <v>7116.871966895098</v>
      </c>
      <c r="N91" s="27"/>
      <c r="O91" s="55">
        <v>0</v>
      </c>
      <c r="P91" s="55">
        <v>0</v>
      </c>
      <c r="Q91" s="55">
        <f>SUM(Q89:Q90)</f>
        <v>0</v>
      </c>
      <c r="R91" s="7">
        <f>Q91/$H91*100</f>
        <v>0</v>
      </c>
      <c r="S91" s="56"/>
      <c r="T91" s="8">
        <f>R91/K91-1</f>
        <v>-1</v>
      </c>
    </row>
    <row r="92" spans="2:21" x14ac:dyDescent="0.25">
      <c r="B92" s="47"/>
      <c r="C92" s="49"/>
      <c r="D92" s="26"/>
      <c r="E92" s="47"/>
      <c r="F92" s="3"/>
      <c r="G92" s="47"/>
      <c r="H92" s="54"/>
      <c r="I92" s="52"/>
      <c r="J92" s="54"/>
      <c r="K92" s="9"/>
      <c r="L92" s="54"/>
      <c r="M92" s="54"/>
      <c r="N92" s="27"/>
      <c r="O92" s="54"/>
      <c r="P92" s="54"/>
      <c r="Q92" s="54"/>
      <c r="R92" s="9"/>
      <c r="S92" s="57"/>
      <c r="T92" s="6"/>
    </row>
    <row r="93" spans="2:21" x14ac:dyDescent="0.25">
      <c r="B93" s="47">
        <f>MAX(B$10:B92)+1</f>
        <v>50</v>
      </c>
      <c r="C93" s="49"/>
      <c r="D93" s="26" t="s">
        <v>40</v>
      </c>
      <c r="E93" s="47"/>
      <c r="F93" s="3" t="s">
        <v>36</v>
      </c>
      <c r="G93" s="47"/>
      <c r="H93" s="54">
        <v>1068281.1669999999</v>
      </c>
      <c r="I93" s="52"/>
      <c r="J93" s="4">
        <f>$H93*K93/100</f>
        <v>1526.1669236815176</v>
      </c>
      <c r="K93" s="9">
        <v>0.14286191415012728</v>
      </c>
      <c r="L93" s="54"/>
      <c r="M93" s="4">
        <f t="shared" ref="M93" si="33">J93-O93</f>
        <v>1526.1669236815176</v>
      </c>
      <c r="N93" s="27"/>
      <c r="O93" s="54"/>
      <c r="P93" s="54"/>
      <c r="Q93" s="54"/>
      <c r="R93" s="9"/>
      <c r="S93" s="57"/>
      <c r="T93" s="6"/>
    </row>
    <row r="94" spans="2:21" x14ac:dyDescent="0.25">
      <c r="B94" s="47"/>
      <c r="C94" s="49"/>
      <c r="D94" s="26"/>
      <c r="E94" s="47"/>
      <c r="F94" s="3"/>
      <c r="G94" s="47"/>
      <c r="H94" s="4"/>
      <c r="I94" s="52"/>
      <c r="J94" s="4"/>
      <c r="K94" s="9"/>
      <c r="L94" s="54"/>
      <c r="M94" s="4"/>
      <c r="N94" s="27"/>
      <c r="O94" s="4"/>
      <c r="P94" s="4"/>
      <c r="Q94" s="4"/>
      <c r="R94" s="9"/>
      <c r="S94" s="5"/>
      <c r="T94" s="6"/>
    </row>
    <row r="95" spans="2:21" x14ac:dyDescent="0.25">
      <c r="B95" s="47">
        <f>MAX(B$10:B94)+1</f>
        <v>51</v>
      </c>
      <c r="C95" s="49"/>
      <c r="D95" s="26" t="s">
        <v>41</v>
      </c>
      <c r="E95" s="47"/>
      <c r="F95" s="3"/>
      <c r="G95" s="47"/>
      <c r="H95" s="55">
        <f>H91</f>
        <v>1068281.1669999999</v>
      </c>
      <c r="I95" s="52"/>
      <c r="J95" s="55">
        <f>SUM(J86:J87,J91,J93)</f>
        <v>31062.140080920741</v>
      </c>
      <c r="K95" s="7">
        <f>J95/$H95*100</f>
        <v>2.9076745935857859</v>
      </c>
      <c r="L95" s="54"/>
      <c r="M95" s="55">
        <f>SUM(M86:M87,M91,M93)</f>
        <v>-7949.4479445838952</v>
      </c>
      <c r="N95" s="27"/>
      <c r="O95" s="55">
        <f>SUM(O86:O87,O91)</f>
        <v>39011.588025504636</v>
      </c>
      <c r="P95" s="55">
        <f>SUM(P86:P87,P91)</f>
        <v>-549.6966964153271</v>
      </c>
      <c r="Q95" s="55">
        <f>SUM(Q86:Q87,Q91)</f>
        <v>38461.891329089311</v>
      </c>
      <c r="R95" s="7">
        <f>Q95/$H95*100</f>
        <v>3.6003528394214697</v>
      </c>
      <c r="S95" s="56">
        <f>Q95/O95</f>
        <v>0.98590939963643753</v>
      </c>
      <c r="T95" s="8">
        <f>R95/K95-1</f>
        <v>0.23822412843710383</v>
      </c>
    </row>
    <row r="96" spans="2:21" x14ac:dyDescent="0.25">
      <c r="E96" s="47"/>
      <c r="F96" s="3"/>
      <c r="G96" s="47"/>
      <c r="H96" s="4"/>
      <c r="I96" s="52"/>
      <c r="J96" s="4"/>
      <c r="K96" s="9"/>
      <c r="L96" s="54"/>
      <c r="M96" s="4"/>
      <c r="N96" s="27"/>
      <c r="O96" s="4"/>
      <c r="P96" s="4"/>
      <c r="Q96" s="4"/>
      <c r="R96" s="9"/>
      <c r="S96" s="5"/>
      <c r="T96" s="6"/>
    </row>
    <row r="97" spans="2:21" ht="13" x14ac:dyDescent="0.3">
      <c r="B97" s="47"/>
      <c r="C97" s="49"/>
      <c r="D97" s="26" t="s">
        <v>46</v>
      </c>
      <c r="E97" s="47"/>
      <c r="F97" s="58"/>
      <c r="G97" s="47"/>
      <c r="H97" s="4"/>
      <c r="I97" s="52"/>
      <c r="J97" s="4"/>
      <c r="K97" s="9"/>
      <c r="L97" s="54"/>
      <c r="M97" s="4"/>
      <c r="N97" s="27"/>
      <c r="O97" s="4"/>
      <c r="P97" s="4"/>
      <c r="Q97" s="4"/>
      <c r="R97" s="32"/>
      <c r="S97" s="5"/>
      <c r="T97" s="33"/>
    </row>
    <row r="98" spans="2:21" x14ac:dyDescent="0.25">
      <c r="B98" s="47">
        <f>MAX(B$10:B97)+1</f>
        <v>52</v>
      </c>
      <c r="C98" s="49"/>
      <c r="D98" s="29" t="s">
        <v>42</v>
      </c>
      <c r="E98" s="47"/>
      <c r="F98" s="58" t="s">
        <v>36</v>
      </c>
      <c r="G98" s="47"/>
      <c r="H98" s="4">
        <v>102196.917</v>
      </c>
      <c r="I98" s="52"/>
      <c r="J98" s="4">
        <f>$H98*K98/100</f>
        <v>76.901033281823629</v>
      </c>
      <c r="K98" s="9">
        <v>7.5247899388025202E-2</v>
      </c>
      <c r="L98" s="54"/>
      <c r="M98" s="4">
        <f t="shared" ref="M98:M101" si="34">J98-O98</f>
        <v>130.72041850689854</v>
      </c>
      <c r="N98" s="27"/>
      <c r="O98" s="4">
        <f>Q98</f>
        <v>-53.81938522507491</v>
      </c>
      <c r="P98" s="4">
        <f t="shared" ref="P98:P101" si="35">Q98-O98</f>
        <v>0</v>
      </c>
      <c r="Q98" s="4">
        <f>$H98*R98/100</f>
        <v>-53.81938522507491</v>
      </c>
      <c r="R98" s="9">
        <v>-5.2662435232830859E-2</v>
      </c>
      <c r="S98" s="5"/>
      <c r="T98" s="6"/>
    </row>
    <row r="99" spans="2:21" x14ac:dyDescent="0.25">
      <c r="B99" s="47">
        <f>MAX(B$10:B98)+1</f>
        <v>53</v>
      </c>
      <c r="C99" s="49"/>
      <c r="D99" s="29" t="s">
        <v>43</v>
      </c>
      <c r="E99" s="47"/>
      <c r="F99" s="58" t="s">
        <v>36</v>
      </c>
      <c r="G99" s="47"/>
      <c r="H99" s="4">
        <v>927920.70200000005</v>
      </c>
      <c r="I99" s="52"/>
      <c r="J99" s="4">
        <f>$H99*K99/100</f>
        <v>5547.077263283144</v>
      </c>
      <c r="K99" s="9">
        <v>0.59779647671694514</v>
      </c>
      <c r="L99" s="54"/>
      <c r="M99" s="4">
        <f t="shared" si="34"/>
        <v>6035.7429019859237</v>
      </c>
      <c r="N99" s="54"/>
      <c r="O99" s="4">
        <f t="shared" ref="O99:O100" si="36">Q99</f>
        <v>-488.66563870277946</v>
      </c>
      <c r="P99" s="4">
        <f t="shared" si="35"/>
        <v>0</v>
      </c>
      <c r="Q99" s="4">
        <f>$H99*R99/100</f>
        <v>-488.66563870277946</v>
      </c>
      <c r="R99" s="9">
        <v>-5.2662435232830859E-2</v>
      </c>
      <c r="S99" s="5"/>
      <c r="T99" s="6"/>
      <c r="U99" s="47"/>
    </row>
    <row r="100" spans="2:21" x14ac:dyDescent="0.25">
      <c r="B100" s="47">
        <f>MAX(B$10:B99)+1</f>
        <v>54</v>
      </c>
      <c r="C100" s="49"/>
      <c r="D100" s="29" t="s">
        <v>44</v>
      </c>
      <c r="E100" s="47"/>
      <c r="F100" s="58" t="s">
        <v>36</v>
      </c>
      <c r="G100" s="47"/>
      <c r="H100" s="4">
        <v>11179.351999999999</v>
      </c>
      <c r="I100" s="52"/>
      <c r="J100" s="4">
        <f>$H100*K100/100</f>
        <v>8.4122275451931827</v>
      </c>
      <c r="K100" s="9">
        <v>7.5247899388025202E-2</v>
      </c>
      <c r="L100" s="54"/>
      <c r="M100" s="4">
        <f t="shared" si="34"/>
        <v>14.299546551643363</v>
      </c>
      <c r="N100" s="54"/>
      <c r="O100" s="4">
        <f t="shared" si="36"/>
        <v>-5.8873190064501806</v>
      </c>
      <c r="P100" s="4">
        <f t="shared" si="35"/>
        <v>0</v>
      </c>
      <c r="Q100" s="4">
        <f>$H100*R100/100</f>
        <v>-5.8873190064501806</v>
      </c>
      <c r="R100" s="9">
        <v>-5.2662435232830859E-2</v>
      </c>
      <c r="S100" s="5"/>
      <c r="T100" s="6"/>
      <c r="U100" s="47"/>
    </row>
    <row r="101" spans="2:21" x14ac:dyDescent="0.25">
      <c r="B101" s="47">
        <f>MAX(B$10:B100)+1</f>
        <v>55</v>
      </c>
      <c r="C101" s="49"/>
      <c r="D101" s="29" t="s">
        <v>45</v>
      </c>
      <c r="E101" s="47"/>
      <c r="F101" s="58" t="s">
        <v>36</v>
      </c>
      <c r="G101" s="47"/>
      <c r="H101" s="4">
        <f>H95-SUM(H98:H100)</f>
        <v>26984.19599999988</v>
      </c>
      <c r="I101" s="52"/>
      <c r="J101" s="4">
        <f>$H101*K101/100</f>
        <v>0</v>
      </c>
      <c r="K101" s="9">
        <v>0</v>
      </c>
      <c r="L101" s="54"/>
      <c r="M101" s="4">
        <f t="shared" si="34"/>
        <v>14.210534741600073</v>
      </c>
      <c r="N101" s="54"/>
      <c r="O101" s="4">
        <f>Q101</f>
        <v>-14.210534741600073</v>
      </c>
      <c r="P101" s="4">
        <f t="shared" si="35"/>
        <v>0</v>
      </c>
      <c r="Q101" s="4">
        <f>$H101*R101/100</f>
        <v>-14.210534741600073</v>
      </c>
      <c r="R101" s="9">
        <v>-5.2662435232830859E-2</v>
      </c>
      <c r="S101" s="5"/>
      <c r="T101" s="6"/>
      <c r="U101" s="47"/>
    </row>
    <row r="102" spans="2:21" x14ac:dyDescent="0.25">
      <c r="B102" s="47">
        <f>MAX(B$10:B101)+1</f>
        <v>56</v>
      </c>
      <c r="C102" s="49"/>
      <c r="D102" s="26" t="s">
        <v>46</v>
      </c>
      <c r="E102" s="47"/>
      <c r="F102" s="3"/>
      <c r="G102" s="47"/>
      <c r="H102" s="55">
        <f>SUM(H98:H101)</f>
        <v>1068281.1669999999</v>
      </c>
      <c r="I102" s="52"/>
      <c r="J102" s="55">
        <f>SUM(J98:J101)</f>
        <v>5632.3905241101602</v>
      </c>
      <c r="K102" s="7">
        <f>J102/$H102*100</f>
        <v>0.52723858644136901</v>
      </c>
      <c r="L102" s="54"/>
      <c r="M102" s="55">
        <f>SUM(M98:M101)</f>
        <v>6194.9734017860656</v>
      </c>
      <c r="N102" s="27"/>
      <c r="O102" s="55">
        <f>SUM(O98:O101)</f>
        <v>-562.58287767590468</v>
      </c>
      <c r="P102" s="55">
        <f>SUM(P98:P101)</f>
        <v>0</v>
      </c>
      <c r="Q102" s="55">
        <f>SUM(Q98:Q101)</f>
        <v>-562.58287767590468</v>
      </c>
      <c r="R102" s="7">
        <f>Q102/$H102*100</f>
        <v>-5.2662435232830859E-2</v>
      </c>
      <c r="S102" s="56">
        <f>Q102/O102</f>
        <v>1</v>
      </c>
      <c r="T102" s="8">
        <f>R102/K102-1</f>
        <v>-1.0998834997800131</v>
      </c>
    </row>
    <row r="103" spans="2:21" x14ac:dyDescent="0.25"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31"/>
    </row>
    <row r="104" spans="2:21" x14ac:dyDescent="0.25">
      <c r="B104" s="47">
        <f>MAX(B$10:B103)+1</f>
        <v>57</v>
      </c>
      <c r="C104" s="49"/>
      <c r="D104" s="26" t="s">
        <v>47</v>
      </c>
      <c r="E104" s="47"/>
      <c r="F104" s="3" t="s">
        <v>36</v>
      </c>
      <c r="G104" s="47"/>
      <c r="H104" s="4">
        <f>H98</f>
        <v>102196.917</v>
      </c>
      <c r="I104" s="52"/>
      <c r="J104" s="4">
        <f>$H104*K104/100</f>
        <v>47.95517721242804</v>
      </c>
      <c r="K104" s="9">
        <v>4.6924289518859012E-2</v>
      </c>
      <c r="L104" s="54"/>
      <c r="M104" s="4">
        <f>J104-O104</f>
        <v>-109.71834433086094</v>
      </c>
      <c r="N104" s="27"/>
      <c r="O104" s="4">
        <f>Q104</f>
        <v>157.67352154328898</v>
      </c>
      <c r="P104" s="4">
        <f>Q104-O104</f>
        <v>0</v>
      </c>
      <c r="Q104" s="4">
        <f>$H104*R104/100</f>
        <v>157.67352154328898</v>
      </c>
      <c r="R104" s="9">
        <v>0.15428402947154363</v>
      </c>
      <c r="S104" s="5">
        <f>Q104/O104</f>
        <v>1</v>
      </c>
      <c r="T104" s="6">
        <f>R104/K104-1</f>
        <v>2.2879353327136984</v>
      </c>
    </row>
    <row r="105" spans="2:21" x14ac:dyDescent="0.25">
      <c r="B105" s="47"/>
      <c r="C105" s="49"/>
      <c r="D105" s="26"/>
      <c r="E105" s="47"/>
      <c r="F105" s="3"/>
      <c r="G105" s="47"/>
      <c r="H105" s="4"/>
      <c r="I105" s="52"/>
      <c r="J105" s="4"/>
      <c r="K105" s="9"/>
      <c r="L105" s="54"/>
      <c r="M105" s="4"/>
      <c r="N105" s="27"/>
      <c r="O105" s="4"/>
      <c r="P105" s="4"/>
      <c r="Q105" s="4"/>
      <c r="R105" s="9"/>
      <c r="S105" s="5"/>
      <c r="T105" s="6"/>
    </row>
    <row r="106" spans="2:21" ht="13" thickBot="1" x14ac:dyDescent="0.3">
      <c r="B106" s="47">
        <f>MAX(B$10:B105)+1</f>
        <v>58</v>
      </c>
      <c r="C106" s="49"/>
      <c r="D106" s="26" t="s">
        <v>64</v>
      </c>
      <c r="E106" s="47"/>
      <c r="F106" s="3"/>
      <c r="G106" s="47"/>
      <c r="H106" s="59">
        <f>H95</f>
        <v>1068281.1669999999</v>
      </c>
      <c r="I106" s="52"/>
      <c r="J106" s="59">
        <f>J95+J102+J104</f>
        <v>36742.485782243326</v>
      </c>
      <c r="K106" s="11">
        <f>J106/$H106*100</f>
        <v>3.4394021833620259</v>
      </c>
      <c r="L106" s="54"/>
      <c r="M106" s="59">
        <f>M95+M102+M104</f>
        <v>-1864.1928871286905</v>
      </c>
      <c r="N106" s="27"/>
      <c r="O106" s="59">
        <f>O95+O102+O104</f>
        <v>38606.678669372013</v>
      </c>
      <c r="P106" s="59">
        <v>-549.69669641532664</v>
      </c>
      <c r="Q106" s="59">
        <f>Q95+Q102+Q104</f>
        <v>38056.981972956688</v>
      </c>
      <c r="R106" s="11">
        <f>Q106/$H106*100</f>
        <v>3.56244995686203</v>
      </c>
      <c r="S106" s="60">
        <f>Q106/O106</f>
        <v>0.98576161650363836</v>
      </c>
      <c r="T106" s="12">
        <f>R106/K106-1</f>
        <v>3.5775918877775537E-2</v>
      </c>
    </row>
    <row r="107" spans="2:21" ht="13" thickTop="1" x14ac:dyDescent="0.25"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2:21" x14ac:dyDescent="0.25">
      <c r="B108" s="19" t="str">
        <f>$B$2 &amp;" (continued)"</f>
        <v>Derivation of Proposed Rates and Revenue by Rate Class - Delivery (continued)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20"/>
    </row>
    <row r="109" spans="2:21" x14ac:dyDescent="0.25">
      <c r="B109" s="43"/>
      <c r="C109" s="43"/>
      <c r="D109" s="43"/>
      <c r="E109" s="43"/>
      <c r="F109" s="44"/>
      <c r="G109" s="43"/>
      <c r="H109" s="44"/>
      <c r="I109" s="43"/>
      <c r="J109" s="44"/>
      <c r="K109" s="44"/>
      <c r="L109" s="44"/>
      <c r="M109" s="44"/>
      <c r="N109" s="43"/>
      <c r="O109" s="43"/>
      <c r="P109" s="43"/>
      <c r="Q109" s="43"/>
      <c r="R109" s="43"/>
      <c r="S109" s="22"/>
      <c r="T109" s="22"/>
    </row>
    <row r="110" spans="2:21" x14ac:dyDescent="0.25">
      <c r="B110" s="44"/>
      <c r="C110" s="44"/>
      <c r="D110" s="44"/>
      <c r="E110" s="44"/>
      <c r="F110" s="43"/>
      <c r="G110" s="44"/>
      <c r="H110" s="43"/>
      <c r="I110" s="44"/>
      <c r="J110" s="45" t="s">
        <v>1</v>
      </c>
      <c r="K110" s="45"/>
      <c r="L110" s="44"/>
      <c r="M110" s="44"/>
      <c r="N110" s="44"/>
      <c r="O110" s="45" t="s">
        <v>2</v>
      </c>
      <c r="P110" s="45"/>
      <c r="Q110" s="45"/>
      <c r="R110" s="45"/>
      <c r="S110" s="23"/>
      <c r="T110" s="23"/>
    </row>
    <row r="111" spans="2:21" s="24" customFormat="1" ht="39" customHeight="1" x14ac:dyDescent="0.25">
      <c r="B111" s="46" t="s">
        <v>3</v>
      </c>
      <c r="C111" s="46"/>
      <c r="D111" s="46"/>
      <c r="E111" s="46"/>
      <c r="F111" s="47" t="s">
        <v>4</v>
      </c>
      <c r="G111" s="46"/>
      <c r="H111" s="24" t="s">
        <v>5</v>
      </c>
      <c r="I111" s="46"/>
      <c r="J111" s="24" t="s">
        <v>6</v>
      </c>
      <c r="K111" s="24" t="s">
        <v>7</v>
      </c>
      <c r="L111" s="46"/>
      <c r="M111" s="24" t="s">
        <v>8</v>
      </c>
      <c r="N111" s="46"/>
      <c r="O111" s="46" t="s">
        <v>9</v>
      </c>
      <c r="P111" s="24" t="s">
        <v>8</v>
      </c>
      <c r="Q111" s="24" t="s">
        <v>6</v>
      </c>
      <c r="R111" s="24" t="s">
        <v>7</v>
      </c>
      <c r="S111" s="46" t="s">
        <v>10</v>
      </c>
      <c r="T111" s="46" t="s">
        <v>11</v>
      </c>
      <c r="U111" s="46"/>
    </row>
    <row r="112" spans="2:21" ht="14.5" x14ac:dyDescent="0.25">
      <c r="B112" s="48" t="s">
        <v>12</v>
      </c>
      <c r="C112" s="49"/>
      <c r="D112" s="50" t="s">
        <v>13</v>
      </c>
      <c r="E112" s="47"/>
      <c r="F112" s="48" t="s">
        <v>14</v>
      </c>
      <c r="G112" s="47"/>
      <c r="H112" s="48" t="s">
        <v>15</v>
      </c>
      <c r="I112" s="47"/>
      <c r="J112" s="48" t="s">
        <v>16</v>
      </c>
      <c r="K112" s="48" t="s">
        <v>17</v>
      </c>
      <c r="L112" s="47"/>
      <c r="M112" s="48" t="s">
        <v>16</v>
      </c>
      <c r="N112" s="47"/>
      <c r="O112" s="48" t="s">
        <v>16</v>
      </c>
      <c r="P112" s="48" t="s">
        <v>16</v>
      </c>
      <c r="Q112" s="48" t="s">
        <v>16</v>
      </c>
      <c r="R112" s="48" t="s">
        <v>17</v>
      </c>
      <c r="S112" s="48" t="s">
        <v>18</v>
      </c>
      <c r="T112" s="48" t="s">
        <v>19</v>
      </c>
      <c r="U112" s="47"/>
    </row>
    <row r="113" spans="2:21" x14ac:dyDescent="0.25">
      <c r="B113" s="47"/>
      <c r="C113" s="49"/>
      <c r="D113" s="49"/>
      <c r="E113" s="47"/>
      <c r="F113" s="47"/>
      <c r="G113" s="47"/>
      <c r="H113" s="47" t="s">
        <v>20</v>
      </c>
      <c r="I113" s="47"/>
      <c r="J113" s="47" t="s">
        <v>21</v>
      </c>
      <c r="K113" s="47" t="s">
        <v>22</v>
      </c>
      <c r="L113" s="47"/>
      <c r="M113" s="47" t="s">
        <v>23</v>
      </c>
      <c r="N113" s="47"/>
      <c r="O113" s="47" t="s">
        <v>24</v>
      </c>
      <c r="P113" s="47" t="s">
        <v>25</v>
      </c>
      <c r="Q113" s="51" t="s">
        <v>26</v>
      </c>
      <c r="R113" s="51" t="s">
        <v>27</v>
      </c>
      <c r="S113" s="51" t="s">
        <v>28</v>
      </c>
      <c r="T113" s="51" t="s">
        <v>29</v>
      </c>
      <c r="U113" s="47"/>
    </row>
    <row r="114" spans="2:21" ht="13" x14ac:dyDescent="0.3">
      <c r="B114" s="47"/>
      <c r="C114" s="49"/>
      <c r="D114" s="49"/>
      <c r="E114" s="47"/>
      <c r="F114" s="63"/>
      <c r="G114" s="47"/>
      <c r="H114" s="64"/>
      <c r="I114" s="52"/>
      <c r="J114" s="64"/>
      <c r="K114" s="32"/>
      <c r="L114" s="52"/>
      <c r="M114" s="52"/>
      <c r="N114" s="52"/>
      <c r="O114" s="52"/>
      <c r="P114" s="52"/>
      <c r="Q114" s="52"/>
      <c r="R114" s="52"/>
      <c r="S114" s="52"/>
      <c r="T114" s="52"/>
      <c r="U114" s="47"/>
    </row>
    <row r="115" spans="2:21" ht="13" x14ac:dyDescent="0.3">
      <c r="B115" s="47"/>
      <c r="C115" s="49"/>
      <c r="D115" s="20" t="s">
        <v>65</v>
      </c>
      <c r="E115" s="47"/>
      <c r="F115" s="25"/>
      <c r="G115" s="47"/>
      <c r="H115" s="34"/>
      <c r="I115" s="52"/>
      <c r="J115" s="34"/>
      <c r="K115" s="52"/>
      <c r="L115" s="52"/>
      <c r="M115" s="13"/>
      <c r="N115" s="52"/>
      <c r="O115" s="14"/>
      <c r="P115" s="52"/>
      <c r="Q115" s="52"/>
      <c r="R115" s="52"/>
      <c r="S115" s="52"/>
      <c r="T115" s="52"/>
      <c r="U115" s="47"/>
    </row>
    <row r="116" spans="2:21" x14ac:dyDescent="0.25">
      <c r="B116" s="47">
        <f>MAX(B$10:B115)+1</f>
        <v>59</v>
      </c>
      <c r="C116" s="49"/>
      <c r="D116" s="26" t="s">
        <v>32</v>
      </c>
      <c r="E116" s="47"/>
      <c r="F116" s="3" t="s">
        <v>33</v>
      </c>
      <c r="G116" s="47"/>
      <c r="H116" s="4">
        <v>264</v>
      </c>
      <c r="I116" s="52"/>
      <c r="J116" s="4">
        <f>$H116*K116/1000</f>
        <v>179.81264869534934</v>
      </c>
      <c r="K116" s="53">
        <v>681.10851778541416</v>
      </c>
      <c r="L116" s="54"/>
      <c r="M116" s="4">
        <f t="shared" ref="M116:M117" si="37">J116-O116</f>
        <v>-530.54087472363096</v>
      </c>
      <c r="N116" s="27"/>
      <c r="O116" s="4">
        <v>710.35352341898033</v>
      </c>
      <c r="P116" s="4">
        <f t="shared" ref="P116" si="38">Q116-O116</f>
        <v>-578.35352341898033</v>
      </c>
      <c r="Q116" s="4">
        <f>$H116*R116/1000</f>
        <v>132</v>
      </c>
      <c r="R116" s="53">
        <v>500</v>
      </c>
      <c r="S116" s="5">
        <f>Q116/O116</f>
        <v>0.18582296792824357</v>
      </c>
      <c r="T116" s="6">
        <f>R116/K116-1</f>
        <v>-0.26590258828986346</v>
      </c>
    </row>
    <row r="117" spans="2:21" x14ac:dyDescent="0.25">
      <c r="B117" s="47">
        <f>MAX(B$10:B116)+1</f>
        <v>60</v>
      </c>
      <c r="C117" s="49"/>
      <c r="D117" s="26" t="s">
        <v>58</v>
      </c>
      <c r="E117" s="47"/>
      <c r="F117" s="3" t="s">
        <v>59</v>
      </c>
      <c r="G117" s="47"/>
      <c r="H117" s="4">
        <v>14480.82</v>
      </c>
      <c r="I117" s="52"/>
      <c r="J117" s="4">
        <f>$H117*K117/100</f>
        <v>3927.8156367445113</v>
      </c>
      <c r="K117" s="9">
        <v>27.124262553809189</v>
      </c>
      <c r="L117" s="54"/>
      <c r="M117" s="4">
        <f t="shared" si="37"/>
        <v>-988.19550692306029</v>
      </c>
      <c r="N117" s="27"/>
      <c r="O117" s="4">
        <v>4916.0111436675716</v>
      </c>
      <c r="P117" s="4">
        <f>P136-SUM(P116,P121)</f>
        <v>462.8295292138082</v>
      </c>
      <c r="Q117" s="4">
        <f>$H117*R117/100</f>
        <v>5378.8406728813807</v>
      </c>
      <c r="R117" s="9">
        <f>(O117+P117)/H117*100</f>
        <v>37.144586238081686</v>
      </c>
      <c r="S117" s="5">
        <f>Q117/O117</f>
        <v>1.0941473718606172</v>
      </c>
      <c r="T117" s="6">
        <f>R117/K117-1</f>
        <v>0.36942289820392915</v>
      </c>
    </row>
    <row r="118" spans="2:21" x14ac:dyDescent="0.25">
      <c r="B118" s="47"/>
      <c r="C118" s="49"/>
      <c r="D118" s="26" t="s">
        <v>34</v>
      </c>
      <c r="E118" s="47"/>
      <c r="F118" s="3"/>
      <c r="G118" s="47"/>
      <c r="H118" s="4"/>
      <c r="I118" s="52"/>
      <c r="J118" s="4"/>
      <c r="K118" s="9"/>
      <c r="L118" s="54"/>
      <c r="M118" s="4"/>
      <c r="N118" s="27"/>
      <c r="O118" s="4"/>
      <c r="P118" s="4"/>
      <c r="Q118" s="4"/>
      <c r="R118" s="9"/>
      <c r="S118" s="5"/>
      <c r="T118" s="10"/>
      <c r="U118" s="47"/>
    </row>
    <row r="119" spans="2:21" x14ac:dyDescent="0.25">
      <c r="B119" s="47">
        <f>MAX(B$10:B118)+1</f>
        <v>61</v>
      </c>
      <c r="C119" s="49"/>
      <c r="D119" s="29" t="s">
        <v>62</v>
      </c>
      <c r="E119" s="47"/>
      <c r="F119" s="3" t="s">
        <v>36</v>
      </c>
      <c r="G119" s="47"/>
      <c r="H119" s="4">
        <v>144905.005</v>
      </c>
      <c r="I119" s="52"/>
      <c r="J119" s="4">
        <f>$H119*K119/100</f>
        <v>554.93669468959752</v>
      </c>
      <c r="K119" s="9">
        <v>0.38296585731431254</v>
      </c>
      <c r="L119" s="54"/>
      <c r="M119" s="4">
        <f t="shared" ref="M119:M120" si="39">J119-O119</f>
        <v>554.93669468959752</v>
      </c>
      <c r="N119" s="27"/>
      <c r="O119" s="4">
        <f>J119/J$121*O$121</f>
        <v>0</v>
      </c>
      <c r="P119" s="4">
        <f t="shared" ref="P119:P120" si="40">Q119-O119</f>
        <v>0</v>
      </c>
      <c r="Q119" s="4">
        <f>$H119*R119/100</f>
        <v>0</v>
      </c>
      <c r="R119" s="9">
        <f>K119*(O$121+P$121)/J$121</f>
        <v>0</v>
      </c>
      <c r="S119" s="5"/>
      <c r="T119" s="10"/>
      <c r="U119" s="47"/>
    </row>
    <row r="120" spans="2:21" x14ac:dyDescent="0.25">
      <c r="B120" s="47">
        <f>MAX(B$10:B119)+1</f>
        <v>62</v>
      </c>
      <c r="C120" s="49"/>
      <c r="D120" s="29" t="s">
        <v>63</v>
      </c>
      <c r="E120" s="47"/>
      <c r="F120" s="3" t="s">
        <v>36</v>
      </c>
      <c r="G120" s="47"/>
      <c r="H120" s="4">
        <v>236967.948</v>
      </c>
      <c r="I120" s="52"/>
      <c r="J120" s="4">
        <f>$H120*K120/100</f>
        <v>664.65221704857129</v>
      </c>
      <c r="K120" s="9">
        <v>0.280481905953193</v>
      </c>
      <c r="L120" s="54"/>
      <c r="M120" s="4">
        <f t="shared" si="39"/>
        <v>664.65221704857129</v>
      </c>
      <c r="N120" s="27"/>
      <c r="O120" s="4">
        <f>J120/J$121*O$121</f>
        <v>0</v>
      </c>
      <c r="P120" s="4">
        <f t="shared" si="40"/>
        <v>0</v>
      </c>
      <c r="Q120" s="4">
        <f>$H120*R120/100</f>
        <v>0</v>
      </c>
      <c r="R120" s="9">
        <f>K120*(O$121+P$121)/J$121</f>
        <v>0</v>
      </c>
      <c r="S120" s="5"/>
      <c r="T120" s="10"/>
      <c r="U120" s="47"/>
    </row>
    <row r="121" spans="2:21" x14ac:dyDescent="0.25">
      <c r="B121" s="47">
        <f>MAX(B$10:B120)+1</f>
        <v>63</v>
      </c>
      <c r="C121" s="49"/>
      <c r="D121" s="26" t="s">
        <v>34</v>
      </c>
      <c r="E121" s="47"/>
      <c r="F121" s="3"/>
      <c r="G121" s="47"/>
      <c r="H121" s="55">
        <f>SUM(H119:H120)</f>
        <v>381872.95299999998</v>
      </c>
      <c r="I121" s="52"/>
      <c r="J121" s="55">
        <f>SUM(J119:J120)</f>
        <v>1219.5889117381689</v>
      </c>
      <c r="K121" s="7">
        <f>J121/$H121*100</f>
        <v>0.31937033040885954</v>
      </c>
      <c r="L121" s="54"/>
      <c r="M121" s="55">
        <f>SUM(M119:M120)</f>
        <v>1219.5889117381689</v>
      </c>
      <c r="N121" s="27"/>
      <c r="O121" s="55">
        <v>0</v>
      </c>
      <c r="P121" s="55">
        <v>0</v>
      </c>
      <c r="Q121" s="55">
        <f>SUM(Q119:Q120)</f>
        <v>0</v>
      </c>
      <c r="R121" s="7">
        <f>Q121/$H121*100</f>
        <v>0</v>
      </c>
      <c r="S121" s="56"/>
      <c r="T121" s="8">
        <f>R121/K121-1</f>
        <v>-1</v>
      </c>
    </row>
    <row r="122" spans="2:21" x14ac:dyDescent="0.25">
      <c r="B122" s="47"/>
      <c r="C122" s="49"/>
      <c r="D122" s="26"/>
      <c r="E122" s="47"/>
      <c r="F122" s="3"/>
      <c r="G122" s="47"/>
      <c r="H122" s="54"/>
      <c r="I122" s="52"/>
      <c r="J122" s="54"/>
      <c r="K122" s="9"/>
      <c r="L122" s="54"/>
      <c r="M122" s="54"/>
      <c r="N122" s="27"/>
      <c r="O122" s="54"/>
      <c r="P122" s="54"/>
      <c r="Q122" s="54"/>
      <c r="R122" s="9"/>
      <c r="S122" s="57"/>
      <c r="T122" s="6"/>
    </row>
    <row r="123" spans="2:21" x14ac:dyDescent="0.25">
      <c r="B123" s="47">
        <f>MAX(B$10:B122)+1</f>
        <v>64</v>
      </c>
      <c r="C123" s="49"/>
      <c r="D123" s="26" t="s">
        <v>40</v>
      </c>
      <c r="E123" s="47"/>
      <c r="F123" s="3" t="s">
        <v>36</v>
      </c>
      <c r="G123" s="47"/>
      <c r="H123" s="54">
        <v>381872.95299999998</v>
      </c>
      <c r="I123" s="52"/>
      <c r="J123" s="4">
        <f>$H123*K123/100</f>
        <v>179.13586631818413</v>
      </c>
      <c r="K123" s="9">
        <v>4.6909807282995541E-2</v>
      </c>
      <c r="L123" s="54"/>
      <c r="M123" s="4">
        <f t="shared" ref="M123" si="41">J123-O123</f>
        <v>179.13586631818413</v>
      </c>
      <c r="N123" s="27"/>
      <c r="O123" s="54"/>
      <c r="P123" s="54"/>
      <c r="Q123" s="54"/>
      <c r="R123" s="9"/>
      <c r="S123" s="57"/>
      <c r="T123" s="6"/>
    </row>
    <row r="124" spans="2:21" x14ac:dyDescent="0.25">
      <c r="B124" s="47"/>
      <c r="C124" s="49"/>
      <c r="D124" s="26"/>
      <c r="E124" s="47"/>
      <c r="F124" s="3"/>
      <c r="G124" s="47"/>
      <c r="H124" s="4"/>
      <c r="I124" s="52"/>
      <c r="J124" s="4"/>
      <c r="K124" s="9"/>
      <c r="L124" s="54"/>
      <c r="M124" s="4"/>
      <c r="N124" s="27"/>
      <c r="O124" s="4"/>
      <c r="P124" s="4"/>
      <c r="Q124" s="4"/>
      <c r="R124" s="9"/>
      <c r="S124" s="5"/>
      <c r="T124" s="10"/>
    </row>
    <row r="125" spans="2:21" x14ac:dyDescent="0.25">
      <c r="B125" s="47">
        <f>MAX(B$10:B124)+1</f>
        <v>65</v>
      </c>
      <c r="C125" s="49"/>
      <c r="D125" s="26" t="s">
        <v>41</v>
      </c>
      <c r="E125" s="47"/>
      <c r="F125" s="3"/>
      <c r="G125" s="47"/>
      <c r="H125" s="55">
        <f>H121</f>
        <v>381872.95299999998</v>
      </c>
      <c r="I125" s="52"/>
      <c r="J125" s="55">
        <f>SUM(J116:J117,J121,J123)</f>
        <v>5506.3530634962144</v>
      </c>
      <c r="K125" s="7">
        <f>J125/$H125*100</f>
        <v>1.4419332451377396</v>
      </c>
      <c r="L125" s="54"/>
      <c r="M125" s="55">
        <f>SUM(M116:M117,M121,M123)</f>
        <v>-120.01160359033832</v>
      </c>
      <c r="N125" s="27"/>
      <c r="O125" s="55">
        <f>SUM(O116:O117,O121)</f>
        <v>5626.3646670865519</v>
      </c>
      <c r="P125" s="55">
        <f>SUM(P116:P117,P121)</f>
        <v>-115.52399420517213</v>
      </c>
      <c r="Q125" s="55">
        <f>SUM(Q116:Q117,Q121)</f>
        <v>5510.8406728813807</v>
      </c>
      <c r="R125" s="7">
        <f>Q125/$H125*100</f>
        <v>1.4431084028308707</v>
      </c>
      <c r="S125" s="56">
        <f>Q125/O125</f>
        <v>0.9794673823968485</v>
      </c>
      <c r="T125" s="8">
        <f>R125/K125-1</f>
        <v>8.1498758496190149E-4</v>
      </c>
    </row>
    <row r="126" spans="2:21" x14ac:dyDescent="0.25">
      <c r="E126" s="47"/>
      <c r="F126" s="3"/>
      <c r="G126" s="47"/>
      <c r="H126" s="4"/>
      <c r="I126" s="52"/>
      <c r="J126" s="4"/>
      <c r="K126" s="9"/>
      <c r="L126" s="54"/>
      <c r="M126" s="4"/>
      <c r="N126" s="27"/>
      <c r="O126" s="4"/>
      <c r="P126" s="4"/>
      <c r="Q126" s="4"/>
      <c r="R126" s="9"/>
      <c r="S126" s="5"/>
      <c r="T126" s="6"/>
    </row>
    <row r="127" spans="2:21" ht="13" x14ac:dyDescent="0.3">
      <c r="B127" s="47"/>
      <c r="C127" s="49"/>
      <c r="D127" s="26" t="s">
        <v>46</v>
      </c>
      <c r="E127" s="47"/>
      <c r="F127" s="58"/>
      <c r="G127" s="47"/>
      <c r="H127" s="4"/>
      <c r="I127" s="52"/>
      <c r="J127" s="4"/>
      <c r="K127" s="9"/>
      <c r="L127" s="54"/>
      <c r="M127" s="4"/>
      <c r="N127" s="27"/>
      <c r="O127" s="4"/>
      <c r="P127" s="4"/>
      <c r="Q127" s="4"/>
      <c r="R127" s="32"/>
      <c r="S127" s="5"/>
      <c r="T127" s="33"/>
    </row>
    <row r="128" spans="2:21" x14ac:dyDescent="0.25">
      <c r="B128" s="47">
        <f>MAX(B$10:B127)+1</f>
        <v>66</v>
      </c>
      <c r="C128" s="49"/>
      <c r="D128" s="29" t="s">
        <v>42</v>
      </c>
      <c r="E128" s="47"/>
      <c r="F128" s="58" t="s">
        <v>36</v>
      </c>
      <c r="G128" s="47"/>
      <c r="H128" s="4">
        <v>1651.1379999999999</v>
      </c>
      <c r="I128" s="52"/>
      <c r="J128" s="4">
        <f>$H128*K128/100</f>
        <v>1.2429178624869377</v>
      </c>
      <c r="K128" s="9">
        <v>7.5276437371493948E-2</v>
      </c>
      <c r="L128" s="54"/>
      <c r="M128" s="4">
        <f t="shared" ref="M128:M131" si="42">J128-O128</f>
        <v>1.8912623484858793</v>
      </c>
      <c r="N128" s="27"/>
      <c r="O128" s="4">
        <f>Q128</f>
        <v>-0.64834448599894157</v>
      </c>
      <c r="P128" s="4">
        <f t="shared" ref="P128:P131" si="43">Q128-O128</f>
        <v>0</v>
      </c>
      <c r="Q128" s="4">
        <f>$H128*R128/100</f>
        <v>-0.64834448599894157</v>
      </c>
      <c r="R128" s="9">
        <v>-3.9266523209988607E-2</v>
      </c>
      <c r="S128" s="5"/>
      <c r="T128" s="6"/>
    </row>
    <row r="129" spans="2:21" x14ac:dyDescent="0.25">
      <c r="B129" s="47">
        <f>MAX(B$10:B128)+1</f>
        <v>67</v>
      </c>
      <c r="C129" s="49"/>
      <c r="D129" s="29" t="s">
        <v>43</v>
      </c>
      <c r="E129" s="47"/>
      <c r="F129" s="58" t="s">
        <v>36</v>
      </c>
      <c r="G129" s="47"/>
      <c r="H129" s="4">
        <v>241077.16699999999</v>
      </c>
      <c r="I129" s="52"/>
      <c r="J129" s="4">
        <f>$H129*K129/100</f>
        <v>1441.1524104901223</v>
      </c>
      <c r="K129" s="9">
        <v>0.59779714040281651</v>
      </c>
      <c r="L129" s="54"/>
      <c r="M129" s="4">
        <f t="shared" si="42"/>
        <v>1535.8150322241602</v>
      </c>
      <c r="N129" s="54"/>
      <c r="O129" s="4">
        <f t="shared" ref="O129:O130" si="44">Q129</f>
        <v>-94.662621734037984</v>
      </c>
      <c r="P129" s="4">
        <f t="shared" si="43"/>
        <v>0</v>
      </c>
      <c r="Q129" s="4">
        <f>$H129*R129/100</f>
        <v>-94.662621734037984</v>
      </c>
      <c r="R129" s="9">
        <v>-3.9266523209988607E-2</v>
      </c>
      <c r="S129" s="5"/>
      <c r="T129" s="6"/>
      <c r="U129" s="47"/>
    </row>
    <row r="130" spans="2:21" x14ac:dyDescent="0.25">
      <c r="B130" s="47">
        <f>MAX(B$10:B129)+1</f>
        <v>68</v>
      </c>
      <c r="C130" s="49"/>
      <c r="D130" s="29" t="s">
        <v>44</v>
      </c>
      <c r="E130" s="47"/>
      <c r="F130" s="58" t="s">
        <v>36</v>
      </c>
      <c r="G130" s="47"/>
      <c r="H130" s="4">
        <v>0</v>
      </c>
      <c r="I130" s="52"/>
      <c r="J130" s="4">
        <f>$H130*K130/100</f>
        <v>0</v>
      </c>
      <c r="K130" s="9">
        <v>7.5276437371493948E-2</v>
      </c>
      <c r="L130" s="54"/>
      <c r="M130" s="4">
        <f t="shared" si="42"/>
        <v>0</v>
      </c>
      <c r="N130" s="54"/>
      <c r="O130" s="4">
        <f t="shared" si="44"/>
        <v>0</v>
      </c>
      <c r="P130" s="4">
        <f t="shared" si="43"/>
        <v>0</v>
      </c>
      <c r="Q130" s="4">
        <f>$H130*R130/100</f>
        <v>0</v>
      </c>
      <c r="R130" s="9">
        <v>-3.9266523209988607E-2</v>
      </c>
      <c r="S130" s="5"/>
      <c r="T130" s="6"/>
      <c r="U130" s="47"/>
    </row>
    <row r="131" spans="2:21" x14ac:dyDescent="0.25">
      <c r="B131" s="47">
        <f>MAX(B$10:B130)+1</f>
        <v>69</v>
      </c>
      <c r="C131" s="49"/>
      <c r="D131" s="29" t="s">
        <v>45</v>
      </c>
      <c r="E131" s="47"/>
      <c r="F131" s="58" t="s">
        <v>36</v>
      </c>
      <c r="G131" s="47"/>
      <c r="H131" s="4">
        <f>H125-SUM(H128:H130)</f>
        <v>139144.64799999999</v>
      </c>
      <c r="I131" s="52"/>
      <c r="J131" s="4">
        <f>$H131*K131/100</f>
        <v>0</v>
      </c>
      <c r="K131" s="9">
        <v>0</v>
      </c>
      <c r="L131" s="54"/>
      <c r="M131" s="4">
        <f t="shared" si="42"/>
        <v>54.637265502376941</v>
      </c>
      <c r="N131" s="54"/>
      <c r="O131" s="4">
        <f>Q131</f>
        <v>-54.637265502376941</v>
      </c>
      <c r="P131" s="4">
        <f t="shared" si="43"/>
        <v>0</v>
      </c>
      <c r="Q131" s="4">
        <f>$H131*R131/100</f>
        <v>-54.637265502376941</v>
      </c>
      <c r="R131" s="9">
        <v>-3.9266523209988607E-2</v>
      </c>
      <c r="S131" s="5"/>
      <c r="T131" s="6"/>
      <c r="U131" s="47"/>
    </row>
    <row r="132" spans="2:21" x14ac:dyDescent="0.25">
      <c r="B132" s="47">
        <f>MAX(B$10:B131)+1</f>
        <v>70</v>
      </c>
      <c r="C132" s="49"/>
      <c r="D132" s="26" t="s">
        <v>46</v>
      </c>
      <c r="E132" s="47"/>
      <c r="F132" s="3"/>
      <c r="G132" s="47"/>
      <c r="H132" s="55">
        <f>SUM(H128:H131)</f>
        <v>381872.95299999998</v>
      </c>
      <c r="I132" s="52"/>
      <c r="J132" s="55">
        <f>SUM(J128:J131)</f>
        <v>1442.3953283526093</v>
      </c>
      <c r="K132" s="7">
        <f>J132/$H132*100</f>
        <v>0.37771602231085721</v>
      </c>
      <c r="L132" s="54"/>
      <c r="M132" s="55">
        <f>SUM(M128:M131)</f>
        <v>1592.3435600750231</v>
      </c>
      <c r="N132" s="27"/>
      <c r="O132" s="55">
        <f>SUM(O128:O131)</f>
        <v>-149.94823172241388</v>
      </c>
      <c r="P132" s="55">
        <f>SUM(P128:P131)</f>
        <v>0</v>
      </c>
      <c r="Q132" s="55">
        <f>SUM(Q128:Q131)</f>
        <v>-149.94823172241388</v>
      </c>
      <c r="R132" s="7">
        <f>Q132/$H132*100</f>
        <v>-3.9266523209988607E-2</v>
      </c>
      <c r="S132" s="56">
        <f>Q132/O132</f>
        <v>1</v>
      </c>
      <c r="T132" s="8">
        <f>R132/K132-1</f>
        <v>-1.1039577907491374</v>
      </c>
    </row>
    <row r="133" spans="2:21" x14ac:dyDescent="0.25"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31"/>
    </row>
    <row r="134" spans="2:21" x14ac:dyDescent="0.25">
      <c r="B134" s="47">
        <f>MAX(B$10:B133)+1</f>
        <v>71</v>
      </c>
      <c r="C134" s="49"/>
      <c r="D134" s="26" t="s">
        <v>47</v>
      </c>
      <c r="E134" s="47"/>
      <c r="F134" s="3" t="s">
        <v>36</v>
      </c>
      <c r="G134" s="47"/>
      <c r="H134" s="4">
        <f>H128</f>
        <v>1651.1379999999999</v>
      </c>
      <c r="I134" s="52"/>
      <c r="J134" s="4">
        <f>$H134*K134/100</f>
        <v>0.7747847754758983</v>
      </c>
      <c r="K134" s="9">
        <v>4.6924289518859012E-2</v>
      </c>
      <c r="L134" s="54"/>
      <c r="M134" s="4">
        <f>J134-O134</f>
        <v>-1.7726574630599579</v>
      </c>
      <c r="N134" s="27"/>
      <c r="O134" s="4">
        <f>Q134</f>
        <v>2.5474422385358562</v>
      </c>
      <c r="P134" s="4">
        <f>Q134-O134</f>
        <v>0</v>
      </c>
      <c r="Q134" s="4">
        <f>$H134*R134/100</f>
        <v>2.5474422385358562</v>
      </c>
      <c r="R134" s="9">
        <v>0.15428402947154363</v>
      </c>
      <c r="S134" s="5">
        <f>Q134/O134</f>
        <v>1</v>
      </c>
      <c r="T134" s="6">
        <f>R134/K134-1</f>
        <v>2.2879353327136984</v>
      </c>
    </row>
    <row r="135" spans="2:21" x14ac:dyDescent="0.25">
      <c r="B135" s="47"/>
      <c r="C135" s="49"/>
      <c r="D135" s="26"/>
      <c r="E135" s="47"/>
      <c r="F135" s="3"/>
      <c r="G135" s="47"/>
      <c r="H135" s="4"/>
      <c r="I135" s="52"/>
      <c r="J135" s="4"/>
      <c r="K135" s="9"/>
      <c r="L135" s="54"/>
      <c r="M135" s="4"/>
      <c r="N135" s="27"/>
      <c r="O135" s="4"/>
      <c r="P135" s="4"/>
      <c r="Q135" s="4"/>
      <c r="R135" s="9"/>
      <c r="S135" s="5"/>
      <c r="T135" s="6"/>
    </row>
    <row r="136" spans="2:21" ht="13" thickBot="1" x14ac:dyDescent="0.3">
      <c r="B136" s="47">
        <f>MAX(B$10:B135)+1</f>
        <v>72</v>
      </c>
      <c r="C136" s="49"/>
      <c r="D136" s="26" t="s">
        <v>66</v>
      </c>
      <c r="E136" s="47"/>
      <c r="F136" s="3"/>
      <c r="G136" s="47"/>
      <c r="H136" s="59">
        <f>H125</f>
        <v>381872.95299999998</v>
      </c>
      <c r="I136" s="52"/>
      <c r="J136" s="59">
        <f>J125+J132+J134</f>
        <v>6949.5231766242996</v>
      </c>
      <c r="K136" s="11">
        <f>J136/$H136*100</f>
        <v>1.8198521581664098</v>
      </c>
      <c r="L136" s="54"/>
      <c r="M136" s="59">
        <f>M125+M132+M134</f>
        <v>1470.5592990216248</v>
      </c>
      <c r="N136" s="27"/>
      <c r="O136" s="59">
        <f>O125+O132+O134</f>
        <v>5478.9638776026741</v>
      </c>
      <c r="P136" s="59">
        <v>-115.52399420517212</v>
      </c>
      <c r="Q136" s="59">
        <f>Q125+Q132+Q134</f>
        <v>5363.4398833975029</v>
      </c>
      <c r="R136" s="11">
        <f>Q136/$H136*100</f>
        <v>1.4045089711806595</v>
      </c>
      <c r="S136" s="60">
        <f>Q136/O136</f>
        <v>0.97891499254495562</v>
      </c>
      <c r="T136" s="12">
        <f>R136/K136-1</f>
        <v>-0.22822908175366774</v>
      </c>
    </row>
    <row r="137" spans="2:21" ht="13" thickTop="1" x14ac:dyDescent="0.25"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31"/>
    </row>
    <row r="138" spans="2:21" ht="13" x14ac:dyDescent="0.3">
      <c r="B138" s="47"/>
      <c r="C138" s="49"/>
      <c r="D138" s="20" t="s">
        <v>67</v>
      </c>
      <c r="E138" s="47"/>
      <c r="F138" s="25"/>
      <c r="G138" s="47"/>
      <c r="H138" s="34"/>
      <c r="I138" s="52"/>
      <c r="J138" s="34"/>
      <c r="K138" s="52"/>
      <c r="L138" s="52"/>
      <c r="M138" s="13"/>
      <c r="N138" s="52"/>
      <c r="O138" s="14"/>
      <c r="P138" s="52"/>
      <c r="Q138" s="52"/>
      <c r="R138" s="52"/>
      <c r="S138" s="52"/>
      <c r="T138" s="61"/>
      <c r="U138" s="47"/>
    </row>
    <row r="139" spans="2:21" x14ac:dyDescent="0.25">
      <c r="B139" s="47">
        <f>MAX(B$10:B138)+1</f>
        <v>73</v>
      </c>
      <c r="C139" s="49"/>
      <c r="D139" s="26" t="s">
        <v>32</v>
      </c>
      <c r="E139" s="47"/>
      <c r="F139" s="3" t="s">
        <v>33</v>
      </c>
      <c r="G139" s="47"/>
      <c r="H139" s="4">
        <v>48</v>
      </c>
      <c r="I139" s="52"/>
      <c r="J139" s="4">
        <f>$H139*K139/1000</f>
        <v>26.254544387989348</v>
      </c>
      <c r="K139" s="53">
        <v>546.96967474977816</v>
      </c>
      <c r="L139" s="54"/>
      <c r="M139" s="4">
        <f t="shared" ref="M139:M140" si="45">J139-O139</f>
        <v>-576.72114615938585</v>
      </c>
      <c r="N139" s="27"/>
      <c r="O139" s="4">
        <v>602.97569054737517</v>
      </c>
      <c r="P139" s="4">
        <f t="shared" ref="P139" si="46">Q139-O139</f>
        <v>-458.97569054737517</v>
      </c>
      <c r="Q139" s="4">
        <f>$H139*R139/1000</f>
        <v>144</v>
      </c>
      <c r="R139" s="53">
        <v>3000</v>
      </c>
      <c r="S139" s="5">
        <f>Q139/O139</f>
        <v>0.23881559780507614</v>
      </c>
      <c r="T139" s="6">
        <f t="shared" ref="T139:T140" si="47">R139/K139-1</f>
        <v>4.4847647657475855</v>
      </c>
    </row>
    <row r="140" spans="2:21" x14ac:dyDescent="0.25">
      <c r="B140" s="47">
        <f>MAX(B$10:B139)+1</f>
        <v>74</v>
      </c>
      <c r="C140" s="49"/>
      <c r="D140" s="26" t="s">
        <v>58</v>
      </c>
      <c r="E140" s="47"/>
      <c r="F140" s="3" t="s">
        <v>59</v>
      </c>
      <c r="G140" s="47"/>
      <c r="H140" s="4">
        <v>111124.284</v>
      </c>
      <c r="I140" s="52"/>
      <c r="J140" s="4">
        <f>$H140*K140/100</f>
        <v>12460.002477029422</v>
      </c>
      <c r="K140" s="9">
        <v>11.212672899678186</v>
      </c>
      <c r="L140" s="54"/>
      <c r="M140" s="4">
        <f t="shared" si="45"/>
        <v>1563.3346892709033</v>
      </c>
      <c r="N140" s="27"/>
      <c r="O140" s="4">
        <v>10896.667787758519</v>
      </c>
      <c r="P140" s="4">
        <f>P145-P139</f>
        <v>458.97569054737517</v>
      </c>
      <c r="Q140" s="4">
        <f>$H140*R140/100</f>
        <v>11355.643478305894</v>
      </c>
      <c r="R140" s="9">
        <f>(O140+P140)/H140*100</f>
        <v>10.218867622405464</v>
      </c>
      <c r="S140" s="5">
        <f>Q140/O140</f>
        <v>1.0421207381455637</v>
      </c>
      <c r="T140" s="6">
        <f t="shared" si="47"/>
        <v>-8.8632325776777598E-2</v>
      </c>
    </row>
    <row r="141" spans="2:21" x14ac:dyDescent="0.25">
      <c r="B141" s="47">
        <f>MAX(B$10:B140)+1</f>
        <v>75</v>
      </c>
      <c r="C141" s="49"/>
      <c r="D141" s="26" t="s">
        <v>41</v>
      </c>
      <c r="E141" s="47"/>
      <c r="F141" s="3" t="s">
        <v>36</v>
      </c>
      <c r="G141" s="47"/>
      <c r="H141" s="55">
        <v>824970.7141199999</v>
      </c>
      <c r="I141" s="52"/>
      <c r="J141" s="55">
        <f>SUM(J139:J140)</f>
        <v>12486.257021417412</v>
      </c>
      <c r="K141" s="7">
        <f>J141/$H141*100</f>
        <v>1.5135394272433731</v>
      </c>
      <c r="L141" s="54"/>
      <c r="M141" s="55">
        <f>SUM(M139:M140)</f>
        <v>986.6135431115174</v>
      </c>
      <c r="N141" s="27"/>
      <c r="O141" s="55">
        <f>SUM(O139:O140)</f>
        <v>11499.643478305894</v>
      </c>
      <c r="P141" s="55">
        <f>SUM(P139:P140)</f>
        <v>0</v>
      </c>
      <c r="Q141" s="55">
        <f>SUM(Q139:Q140)</f>
        <v>11499.643478305894</v>
      </c>
      <c r="R141" s="7">
        <f>Q141/$H141*100</f>
        <v>1.3939456615223751</v>
      </c>
      <c r="S141" s="56">
        <f>Q141/O141</f>
        <v>1</v>
      </c>
      <c r="T141" s="8">
        <f>R141/K141-1</f>
        <v>-7.901595661687888E-2</v>
      </c>
    </row>
    <row r="142" spans="2:21" x14ac:dyDescent="0.25">
      <c r="E142" s="47"/>
      <c r="F142" s="3"/>
      <c r="G142" s="47"/>
      <c r="H142" s="4"/>
      <c r="I142" s="52"/>
      <c r="J142" s="4"/>
      <c r="K142" s="9"/>
      <c r="L142" s="54"/>
      <c r="M142" s="4"/>
      <c r="N142" s="27"/>
      <c r="O142" s="4"/>
      <c r="P142" s="4"/>
      <c r="Q142" s="4"/>
      <c r="R142" s="9"/>
      <c r="S142" s="5"/>
      <c r="T142" s="6"/>
    </row>
    <row r="143" spans="2:21" x14ac:dyDescent="0.25">
      <c r="B143" s="47">
        <f>MAX(B$10:B142)+1</f>
        <v>76</v>
      </c>
      <c r="C143" s="49"/>
      <c r="D143" s="26" t="s">
        <v>68</v>
      </c>
      <c r="E143" s="47"/>
      <c r="F143" s="3"/>
      <c r="G143" s="47"/>
      <c r="H143" s="4"/>
      <c r="I143" s="52"/>
      <c r="J143" s="4"/>
      <c r="K143" s="65"/>
      <c r="L143" s="54"/>
      <c r="M143" s="4"/>
      <c r="N143" s="27"/>
      <c r="O143" s="4"/>
      <c r="P143" s="4"/>
      <c r="Q143" s="4"/>
      <c r="R143" s="65"/>
      <c r="S143" s="5"/>
      <c r="T143" s="6"/>
    </row>
    <row r="144" spans="2:21" x14ac:dyDescent="0.25">
      <c r="B144" s="47"/>
      <c r="C144" s="49"/>
      <c r="D144" s="26"/>
      <c r="E144" s="47"/>
      <c r="F144" s="3"/>
      <c r="G144" s="47"/>
      <c r="H144" s="4"/>
      <c r="I144" s="52"/>
      <c r="J144" s="4"/>
      <c r="K144" s="9"/>
      <c r="L144" s="54"/>
      <c r="M144" s="4"/>
      <c r="N144" s="27"/>
      <c r="O144" s="4"/>
      <c r="P144" s="4"/>
      <c r="Q144" s="4"/>
      <c r="R144" s="9"/>
      <c r="S144" s="5"/>
      <c r="T144" s="6"/>
    </row>
    <row r="145" spans="2:21" ht="13" thickBot="1" x14ac:dyDescent="0.3">
      <c r="B145" s="47">
        <f>MAX(B$10:B144)+1</f>
        <v>77</v>
      </c>
      <c r="C145" s="49"/>
      <c r="D145" s="26" t="s">
        <v>69</v>
      </c>
      <c r="E145" s="47"/>
      <c r="F145" s="3"/>
      <c r="G145" s="47"/>
      <c r="H145" s="59">
        <f>H141</f>
        <v>824970.7141199999</v>
      </c>
      <c r="I145" s="52"/>
      <c r="J145" s="59">
        <f>J141+J143</f>
        <v>12486.257021417412</v>
      </c>
      <c r="K145" s="11">
        <f>J145/$H145*100</f>
        <v>1.5135394272433731</v>
      </c>
      <c r="L145" s="54"/>
      <c r="M145" s="59">
        <f>M141+M143</f>
        <v>986.6135431115174</v>
      </c>
      <c r="N145" s="27"/>
      <c r="O145" s="59">
        <f>O141+O143</f>
        <v>11499.643478305894</v>
      </c>
      <c r="P145" s="59">
        <v>0</v>
      </c>
      <c r="Q145" s="59">
        <f>Q141+Q143</f>
        <v>11499.643478305894</v>
      </c>
      <c r="R145" s="11">
        <f>Q145/$H145*100</f>
        <v>1.3939456615223751</v>
      </c>
      <c r="S145" s="60">
        <f>Q145/O145</f>
        <v>1</v>
      </c>
      <c r="T145" s="12">
        <f>R145/K145-1</f>
        <v>-7.901595661687888E-2</v>
      </c>
    </row>
    <row r="146" spans="2:21" ht="13" thickTop="1" x14ac:dyDescent="0.25">
      <c r="B146" s="47"/>
      <c r="C146" s="49"/>
      <c r="D146" s="26"/>
      <c r="E146" s="47"/>
      <c r="F146" s="3"/>
      <c r="G146" s="47"/>
      <c r="H146" s="54"/>
      <c r="I146" s="52"/>
      <c r="J146" s="54"/>
      <c r="K146" s="9"/>
      <c r="L146" s="54"/>
      <c r="M146" s="54"/>
      <c r="N146" s="27"/>
      <c r="O146" s="54"/>
      <c r="P146" s="54"/>
      <c r="Q146" s="54"/>
      <c r="R146" s="9"/>
      <c r="S146" s="57"/>
      <c r="T146" s="10"/>
    </row>
    <row r="147" spans="2:21" x14ac:dyDescent="0.25">
      <c r="B147" s="19" t="str">
        <f>$B$2 &amp;" (continued)"</f>
        <v>Derivation of Proposed Rates and Revenue by Rate Class - Delivery (continued)</v>
      </c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20"/>
    </row>
    <row r="148" spans="2:21" x14ac:dyDescent="0.25">
      <c r="B148" s="43"/>
      <c r="C148" s="43"/>
      <c r="D148" s="43"/>
      <c r="E148" s="43"/>
      <c r="F148" s="44"/>
      <c r="G148" s="43"/>
      <c r="H148" s="44"/>
      <c r="I148" s="43"/>
      <c r="J148" s="44"/>
      <c r="K148" s="44"/>
      <c r="L148" s="44"/>
      <c r="M148" s="44"/>
      <c r="N148" s="43"/>
      <c r="O148" s="43"/>
      <c r="P148" s="43"/>
      <c r="Q148" s="43"/>
      <c r="R148" s="43"/>
      <c r="S148" s="22"/>
      <c r="T148" s="22"/>
    </row>
    <row r="149" spans="2:21" x14ac:dyDescent="0.25">
      <c r="B149" s="44"/>
      <c r="C149" s="44"/>
      <c r="D149" s="44"/>
      <c r="E149" s="44"/>
      <c r="F149" s="43"/>
      <c r="G149" s="44"/>
      <c r="H149" s="43"/>
      <c r="I149" s="44"/>
      <c r="J149" s="45" t="s">
        <v>1</v>
      </c>
      <c r="K149" s="45"/>
      <c r="L149" s="44"/>
      <c r="M149" s="44"/>
      <c r="N149" s="44"/>
      <c r="O149" s="45" t="s">
        <v>2</v>
      </c>
      <c r="P149" s="45"/>
      <c r="Q149" s="45"/>
      <c r="R149" s="45"/>
      <c r="S149" s="23"/>
      <c r="T149" s="23"/>
    </row>
    <row r="150" spans="2:21" s="24" customFormat="1" ht="39" customHeight="1" x14ac:dyDescent="0.25">
      <c r="B150" s="46" t="s">
        <v>3</v>
      </c>
      <c r="C150" s="46"/>
      <c r="D150" s="46"/>
      <c r="E150" s="46"/>
      <c r="F150" s="47" t="s">
        <v>4</v>
      </c>
      <c r="G150" s="46"/>
      <c r="H150" s="24" t="s">
        <v>5</v>
      </c>
      <c r="I150" s="46"/>
      <c r="J150" s="24" t="s">
        <v>6</v>
      </c>
      <c r="K150" s="24" t="s">
        <v>7</v>
      </c>
      <c r="L150" s="46"/>
      <c r="M150" s="24" t="s">
        <v>8</v>
      </c>
      <c r="N150" s="46"/>
      <c r="O150" s="46" t="s">
        <v>9</v>
      </c>
      <c r="P150" s="24" t="s">
        <v>8</v>
      </c>
      <c r="Q150" s="24" t="s">
        <v>6</v>
      </c>
      <c r="R150" s="24" t="s">
        <v>7</v>
      </c>
      <c r="S150" s="46" t="s">
        <v>10</v>
      </c>
      <c r="T150" s="46" t="s">
        <v>11</v>
      </c>
      <c r="U150" s="46"/>
    </row>
    <row r="151" spans="2:21" ht="14.5" x14ac:dyDescent="0.25">
      <c r="B151" s="48" t="s">
        <v>12</v>
      </c>
      <c r="C151" s="49"/>
      <c r="D151" s="50" t="s">
        <v>13</v>
      </c>
      <c r="E151" s="47"/>
      <c r="F151" s="48" t="s">
        <v>14</v>
      </c>
      <c r="G151" s="47"/>
      <c r="H151" s="48" t="s">
        <v>15</v>
      </c>
      <c r="I151" s="47"/>
      <c r="J151" s="48" t="s">
        <v>16</v>
      </c>
      <c r="K151" s="48" t="s">
        <v>17</v>
      </c>
      <c r="L151" s="47"/>
      <c r="M151" s="48" t="s">
        <v>16</v>
      </c>
      <c r="N151" s="47"/>
      <c r="O151" s="48" t="s">
        <v>16</v>
      </c>
      <c r="P151" s="48" t="s">
        <v>16</v>
      </c>
      <c r="Q151" s="48" t="s">
        <v>16</v>
      </c>
      <c r="R151" s="48" t="s">
        <v>17</v>
      </c>
      <c r="S151" s="48" t="s">
        <v>18</v>
      </c>
      <c r="T151" s="48" t="s">
        <v>19</v>
      </c>
      <c r="U151" s="47"/>
    </row>
    <row r="152" spans="2:21" x14ac:dyDescent="0.25">
      <c r="B152" s="47"/>
      <c r="C152" s="49"/>
      <c r="D152" s="49"/>
      <c r="E152" s="47"/>
      <c r="F152" s="47"/>
      <c r="G152" s="47"/>
      <c r="H152" s="47" t="s">
        <v>20</v>
      </c>
      <c r="I152" s="47"/>
      <c r="J152" s="47" t="s">
        <v>21</v>
      </c>
      <c r="K152" s="47" t="s">
        <v>22</v>
      </c>
      <c r="L152" s="47"/>
      <c r="M152" s="47" t="s">
        <v>23</v>
      </c>
      <c r="N152" s="47"/>
      <c r="O152" s="47" t="s">
        <v>24</v>
      </c>
      <c r="P152" s="47" t="s">
        <v>25</v>
      </c>
      <c r="Q152" s="51" t="s">
        <v>26</v>
      </c>
      <c r="R152" s="51" t="s">
        <v>27</v>
      </c>
      <c r="S152" s="51" t="s">
        <v>28</v>
      </c>
      <c r="T152" s="51" t="s">
        <v>29</v>
      </c>
      <c r="U152" s="47"/>
    </row>
    <row r="153" spans="2:21" ht="13" x14ac:dyDescent="0.3">
      <c r="B153" s="47"/>
      <c r="C153" s="49"/>
      <c r="D153" s="49"/>
      <c r="E153" s="47"/>
      <c r="F153" s="63"/>
      <c r="G153" s="47"/>
      <c r="H153" s="63"/>
      <c r="I153" s="47"/>
      <c r="J153" s="63"/>
      <c r="K153" s="36"/>
      <c r="L153" s="47"/>
      <c r="M153" s="47"/>
      <c r="N153" s="47"/>
      <c r="O153" s="47"/>
      <c r="P153" s="47"/>
      <c r="Q153" s="47"/>
      <c r="R153" s="47"/>
      <c r="S153" s="47"/>
      <c r="T153" s="47"/>
      <c r="U153" s="47"/>
    </row>
    <row r="154" spans="2:21" ht="13" x14ac:dyDescent="0.3">
      <c r="B154" s="47"/>
      <c r="C154" s="49"/>
      <c r="D154" s="20" t="s">
        <v>70</v>
      </c>
      <c r="E154" s="47"/>
      <c r="F154" s="25"/>
      <c r="G154" s="47"/>
      <c r="H154" s="34"/>
      <c r="I154" s="52"/>
      <c r="J154" s="34"/>
      <c r="K154" s="52"/>
      <c r="L154" s="52"/>
      <c r="M154" s="13"/>
      <c r="N154" s="52"/>
      <c r="O154" s="14"/>
      <c r="P154" s="52"/>
      <c r="Q154" s="52"/>
      <c r="R154" s="52"/>
      <c r="S154" s="52"/>
      <c r="T154" s="52"/>
      <c r="U154" s="47"/>
    </row>
    <row r="155" spans="2:21" x14ac:dyDescent="0.25">
      <c r="B155" s="47">
        <f>MAX(B$10:B154)+1</f>
        <v>78</v>
      </c>
      <c r="C155" s="49"/>
      <c r="D155" s="26" t="s">
        <v>32</v>
      </c>
      <c r="E155" s="47"/>
      <c r="F155" s="3" t="s">
        <v>33</v>
      </c>
      <c r="G155" s="47"/>
      <c r="H155" s="4">
        <v>492</v>
      </c>
      <c r="I155" s="52"/>
      <c r="J155" s="4">
        <f>$H155*K155/1000</f>
        <v>61.938145847481231</v>
      </c>
      <c r="K155" s="53">
        <v>125.890540340409</v>
      </c>
      <c r="L155" s="54"/>
      <c r="M155" s="4">
        <f>J155-O155</f>
        <v>-1095.5685897834733</v>
      </c>
      <c r="N155" s="27"/>
      <c r="O155" s="4">
        <v>1157.5067356309546</v>
      </c>
      <c r="P155" s="4">
        <f>Q155-O155</f>
        <v>-911.50673563095461</v>
      </c>
      <c r="Q155" s="4">
        <f>$H155*R155/1000</f>
        <v>246</v>
      </c>
      <c r="R155" s="53">
        <v>500</v>
      </c>
      <c r="S155" s="5">
        <f>Q155/O155</f>
        <v>0.21252576112734747</v>
      </c>
      <c r="T155" s="6">
        <f t="shared" ref="T155:T160" si="48">R155/K155-1</f>
        <v>2.971704296827991</v>
      </c>
    </row>
    <row r="156" spans="2:21" x14ac:dyDescent="0.25">
      <c r="B156" s="47"/>
      <c r="C156" s="49"/>
      <c r="D156" s="26" t="s">
        <v>71</v>
      </c>
      <c r="E156" s="47"/>
      <c r="F156" s="3"/>
      <c r="G156" s="47"/>
      <c r="H156" s="4"/>
      <c r="I156" s="52"/>
      <c r="J156" s="4"/>
      <c r="K156" s="9"/>
      <c r="L156" s="54"/>
      <c r="M156" s="4"/>
      <c r="N156" s="27"/>
      <c r="O156" s="4"/>
      <c r="P156" s="4"/>
      <c r="Q156" s="4"/>
      <c r="R156" s="9"/>
      <c r="S156" s="5"/>
      <c r="T156" s="6"/>
    </row>
    <row r="157" spans="2:21" x14ac:dyDescent="0.25">
      <c r="B157" s="47"/>
      <c r="C157" s="49"/>
      <c r="D157" s="26" t="s">
        <v>34</v>
      </c>
      <c r="E157" s="47"/>
      <c r="F157" s="3"/>
      <c r="G157" s="47"/>
      <c r="H157" s="4"/>
      <c r="I157" s="52"/>
      <c r="J157" s="4"/>
      <c r="K157" s="9"/>
      <c r="L157" s="54"/>
      <c r="M157" s="4"/>
      <c r="N157" s="27"/>
      <c r="O157" s="4"/>
      <c r="P157" s="4"/>
      <c r="Q157" s="4"/>
      <c r="R157" s="9"/>
      <c r="S157" s="5"/>
      <c r="T157" s="6"/>
      <c r="U157" s="47"/>
    </row>
    <row r="158" spans="2:21" x14ac:dyDescent="0.25">
      <c r="B158" s="47">
        <f>MAX(B$10:B157)+1</f>
        <v>79</v>
      </c>
      <c r="C158" s="49"/>
      <c r="D158" s="66" t="s">
        <v>72</v>
      </c>
      <c r="E158" s="47"/>
      <c r="F158" s="3" t="s">
        <v>36</v>
      </c>
      <c r="G158" s="47"/>
      <c r="H158" s="4">
        <v>402.14400000000001</v>
      </c>
      <c r="I158" s="52"/>
      <c r="J158" s="4">
        <f>$H158*K158/100</f>
        <v>33.930880158871872</v>
      </c>
      <c r="K158" s="9">
        <v>8.4374950661633328</v>
      </c>
      <c r="L158" s="54"/>
      <c r="M158" s="4">
        <f t="shared" ref="M158:M160" si="49">J158-O158</f>
        <v>-6.739491687831638</v>
      </c>
      <c r="N158" s="27"/>
      <c r="O158" s="4">
        <f>J158/J$161*O$161</f>
        <v>40.67037184670351</v>
      </c>
      <c r="P158" s="4">
        <f t="shared" ref="P158:P160" si="50">Q158-O158</f>
        <v>0.29460619941767874</v>
      </c>
      <c r="Q158" s="4">
        <f>$H158*R158/100</f>
        <v>40.964978046121189</v>
      </c>
      <c r="R158" s="9">
        <f>K158*(O$161+P$161)/J$161</f>
        <v>10.186644099158805</v>
      </c>
      <c r="S158" s="5"/>
      <c r="T158" s="6">
        <f t="shared" si="48"/>
        <v>0.20730667328150965</v>
      </c>
      <c r="U158" s="47"/>
    </row>
    <row r="159" spans="2:21" x14ac:dyDescent="0.25">
      <c r="B159" s="47">
        <f>MAX(B$10:B158)+1</f>
        <v>80</v>
      </c>
      <c r="C159" s="49"/>
      <c r="D159" s="66" t="s">
        <v>73</v>
      </c>
      <c r="E159" s="47"/>
      <c r="F159" s="3" t="s">
        <v>36</v>
      </c>
      <c r="G159" s="47"/>
      <c r="H159" s="4">
        <v>846.84799999999996</v>
      </c>
      <c r="I159" s="52"/>
      <c r="J159" s="4">
        <f>$H159*K159/100</f>
        <v>58.947962424890022</v>
      </c>
      <c r="K159" s="9">
        <v>6.9608669353756545</v>
      </c>
      <c r="L159" s="54"/>
      <c r="M159" s="4">
        <f t="shared" si="49"/>
        <v>-11.708487988434385</v>
      </c>
      <c r="N159" s="27"/>
      <c r="O159" s="4">
        <f t="shared" ref="O159:O160" si="51">J159/J$161*O$161</f>
        <v>70.656450413324407</v>
      </c>
      <c r="P159" s="4">
        <f t="shared" si="50"/>
        <v>0.5118179985930027</v>
      </c>
      <c r="Q159" s="4">
        <f>$H159*R159/100</f>
        <v>71.16826841191741</v>
      </c>
      <c r="R159" s="9">
        <f t="shared" ref="R159:R160" si="52">K159*(O$161+P$161)/J$161</f>
        <v>8.4039011029036388</v>
      </c>
      <c r="S159" s="5"/>
      <c r="T159" s="6">
        <f t="shared" si="48"/>
        <v>0.20730667328150965</v>
      </c>
      <c r="U159" s="47"/>
    </row>
    <row r="160" spans="2:21" x14ac:dyDescent="0.25">
      <c r="B160" s="47">
        <f>MAX(B$10:B159)+1</f>
        <v>81</v>
      </c>
      <c r="C160" s="49"/>
      <c r="D160" s="66" t="s">
        <v>74</v>
      </c>
      <c r="E160" s="47"/>
      <c r="F160" s="3" t="s">
        <v>36</v>
      </c>
      <c r="G160" s="47"/>
      <c r="H160" s="4">
        <v>2136.3440000000001</v>
      </c>
      <c r="I160" s="52"/>
      <c r="J160" s="4">
        <f>$H160*K160/100</f>
        <v>136.20931084921219</v>
      </c>
      <c r="K160" s="9">
        <v>6.375813579143256</v>
      </c>
      <c r="L160" s="54"/>
      <c r="M160" s="4">
        <f t="shared" si="49"/>
        <v>-27.054456411839283</v>
      </c>
      <c r="N160" s="27"/>
      <c r="O160" s="4">
        <f t="shared" si="51"/>
        <v>163.26376726105147</v>
      </c>
      <c r="P160" s="4">
        <f t="shared" si="50"/>
        <v>1.1826426902779588</v>
      </c>
      <c r="Q160" s="4">
        <f>$H160*R160/100</f>
        <v>164.44640995132943</v>
      </c>
      <c r="R160" s="9">
        <f t="shared" si="52"/>
        <v>7.6975622816985201</v>
      </c>
      <c r="S160" s="5"/>
      <c r="T160" s="6">
        <f t="shared" si="48"/>
        <v>0.20730667328150965</v>
      </c>
      <c r="U160" s="47"/>
    </row>
    <row r="161" spans="2:21" x14ac:dyDescent="0.25">
      <c r="B161" s="47">
        <f>MAX(B$10:B160)+1</f>
        <v>82</v>
      </c>
      <c r="C161" s="49"/>
      <c r="D161" s="26" t="s">
        <v>34</v>
      </c>
      <c r="E161" s="47"/>
      <c r="F161" s="3"/>
      <c r="G161" s="47"/>
      <c r="H161" s="55">
        <f>SUM(H158:H160)</f>
        <v>3385.3360000000002</v>
      </c>
      <c r="I161" s="52"/>
      <c r="J161" s="55">
        <f>SUM(J158:J160)</f>
        <v>229.08815343297408</v>
      </c>
      <c r="K161" s="7">
        <f>J161/$H161*100</f>
        <v>6.7670728528268418</v>
      </c>
      <c r="L161" s="54"/>
      <c r="M161" s="55">
        <f>SUM(M158:M160)</f>
        <v>-45.502436088105306</v>
      </c>
      <c r="N161" s="27"/>
      <c r="O161" s="55">
        <v>274.59058952107938</v>
      </c>
      <c r="P161" s="55">
        <f>(P183-P155)*J161/(J161+J168)</f>
        <v>1.9890668882886411</v>
      </c>
      <c r="Q161" s="55">
        <f>SUM(Q158:Q160)</f>
        <v>276.579656409368</v>
      </c>
      <c r="R161" s="7">
        <f>Q161/$H161*100</f>
        <v>8.1699322137999886</v>
      </c>
      <c r="S161" s="56">
        <f>Q161/O161</f>
        <v>1.0072437547541517</v>
      </c>
      <c r="T161" s="8">
        <f>R161/K161-1</f>
        <v>0.20730667328150965</v>
      </c>
    </row>
    <row r="162" spans="2:21" x14ac:dyDescent="0.25">
      <c r="B162" s="47"/>
      <c r="C162" s="49"/>
      <c r="D162" s="26"/>
      <c r="E162" s="47"/>
      <c r="F162" s="3"/>
      <c r="G162" s="47"/>
      <c r="H162" s="4"/>
      <c r="I162" s="52"/>
      <c r="J162" s="4"/>
      <c r="K162" s="9"/>
      <c r="L162" s="54"/>
      <c r="M162" s="4"/>
      <c r="N162" s="27"/>
      <c r="O162" s="4"/>
      <c r="P162" s="4"/>
      <c r="Q162" s="4"/>
      <c r="R162" s="9"/>
      <c r="S162" s="5"/>
      <c r="T162" s="15"/>
    </row>
    <row r="163" spans="2:21" x14ac:dyDescent="0.25">
      <c r="B163" s="47"/>
      <c r="C163" s="49"/>
      <c r="D163" s="26" t="s">
        <v>75</v>
      </c>
      <c r="E163" s="47"/>
      <c r="F163" s="3"/>
      <c r="G163" s="47"/>
      <c r="H163" s="4"/>
      <c r="I163" s="52"/>
      <c r="J163" s="4"/>
      <c r="K163" s="9"/>
      <c r="L163" s="54"/>
      <c r="M163" s="4"/>
      <c r="N163" s="27"/>
      <c r="O163" s="4"/>
      <c r="P163" s="4"/>
      <c r="Q163" s="4"/>
      <c r="R163" s="9"/>
      <c r="S163" s="5"/>
      <c r="T163" s="15"/>
    </row>
    <row r="164" spans="2:21" x14ac:dyDescent="0.25">
      <c r="B164" s="47"/>
      <c r="C164" s="49"/>
      <c r="D164" s="26" t="s">
        <v>34</v>
      </c>
      <c r="E164" s="47"/>
      <c r="F164" s="3"/>
      <c r="G164" s="47"/>
      <c r="H164" s="4"/>
      <c r="I164" s="52"/>
      <c r="J164" s="4"/>
      <c r="K164" s="9"/>
      <c r="L164" s="54"/>
      <c r="M164" s="4"/>
      <c r="N164" s="27"/>
      <c r="O164" s="4"/>
      <c r="P164" s="4"/>
      <c r="Q164" s="4"/>
      <c r="R164" s="9"/>
      <c r="S164" s="5"/>
      <c r="T164" s="15"/>
      <c r="U164" s="47"/>
    </row>
    <row r="165" spans="2:21" x14ac:dyDescent="0.25">
      <c r="B165" s="47">
        <f>MAX(B$10:B164)+1</f>
        <v>83</v>
      </c>
      <c r="C165" s="49"/>
      <c r="D165" s="66" t="s">
        <v>72</v>
      </c>
      <c r="E165" s="47"/>
      <c r="F165" s="3" t="s">
        <v>36</v>
      </c>
      <c r="G165" s="47"/>
      <c r="H165" s="4">
        <v>3705.44</v>
      </c>
      <c r="I165" s="52"/>
      <c r="J165" s="4">
        <f>$H165*K165/100</f>
        <v>101.86316323327452</v>
      </c>
      <c r="K165" s="9">
        <v>2.7490166682843205</v>
      </c>
      <c r="L165" s="54"/>
      <c r="M165" s="4">
        <f t="shared" ref="M165:M167" si="53">J165-O165</f>
        <v>-20.232482584964458</v>
      </c>
      <c r="N165" s="27"/>
      <c r="O165" s="4">
        <f>J165/J$168*O$168</f>
        <v>122.09564581823898</v>
      </c>
      <c r="P165" s="4">
        <f t="shared" ref="P165:P167" si="54">Q165-O165</f>
        <v>0.88443091485709147</v>
      </c>
      <c r="Q165" s="4">
        <f>$H165*R165/100</f>
        <v>122.98007673309607</v>
      </c>
      <c r="R165" s="9">
        <f>K165*(O$168+P$168)/J$168</f>
        <v>3.3189061685817625</v>
      </c>
      <c r="S165" s="5"/>
      <c r="T165" s="6">
        <f t="shared" ref="T165:T167" si="55">R165/K165-1</f>
        <v>0.20730667328150965</v>
      </c>
      <c r="U165" s="47"/>
    </row>
    <row r="166" spans="2:21" x14ac:dyDescent="0.25">
      <c r="B166" s="47">
        <f>MAX(B$10:B165)+1</f>
        <v>84</v>
      </c>
      <c r="C166" s="49"/>
      <c r="D166" s="66" t="s">
        <v>73</v>
      </c>
      <c r="E166" s="47"/>
      <c r="F166" s="3" t="s">
        <v>36</v>
      </c>
      <c r="G166" s="47"/>
      <c r="H166" s="4">
        <v>7201.058</v>
      </c>
      <c r="I166" s="52"/>
      <c r="J166" s="4">
        <f>$H166*K166/100</f>
        <v>137.81040998303578</v>
      </c>
      <c r="K166" s="9">
        <v>1.9137522567244392</v>
      </c>
      <c r="L166" s="54"/>
      <c r="M166" s="4">
        <f t="shared" si="53"/>
        <v>-27.372473340762866</v>
      </c>
      <c r="N166" s="27"/>
      <c r="O166" s="4">
        <f t="shared" ref="O166:O167" si="56">J166/J$168*O$168</f>
        <v>165.18288332379865</v>
      </c>
      <c r="P166" s="4">
        <f t="shared" si="54"/>
        <v>1.196544296381262</v>
      </c>
      <c r="Q166" s="4">
        <f>$H166*R166/100</f>
        <v>166.37942762017991</v>
      </c>
      <c r="R166" s="9">
        <f t="shared" ref="R166:R167" si="57">K166*(O$168+P$168)/J$168</f>
        <v>2.310485870550965</v>
      </c>
      <c r="S166" s="5"/>
      <c r="T166" s="6">
        <f t="shared" si="55"/>
        <v>0.20730667328151009</v>
      </c>
      <c r="U166" s="47"/>
    </row>
    <row r="167" spans="2:21" x14ac:dyDescent="0.25">
      <c r="B167" s="47">
        <f>MAX(B$10:B166)+1</f>
        <v>85</v>
      </c>
      <c r="C167" s="49"/>
      <c r="D167" s="66" t="s">
        <v>74</v>
      </c>
      <c r="E167" s="47"/>
      <c r="F167" s="3" t="s">
        <v>36</v>
      </c>
      <c r="G167" s="47"/>
      <c r="H167" s="4">
        <v>38354.665000000001</v>
      </c>
      <c r="I167" s="52"/>
      <c r="J167" s="4">
        <f>$H167*K167/100</f>
        <v>635.90593947247396</v>
      </c>
      <c r="K167" s="9">
        <v>1.6579624394385244</v>
      </c>
      <c r="L167" s="54"/>
      <c r="M167" s="4">
        <f t="shared" si="53"/>
        <v>-126.30626654100922</v>
      </c>
      <c r="N167" s="27"/>
      <c r="O167" s="4">
        <f t="shared" si="56"/>
        <v>762.21220601348318</v>
      </c>
      <c r="P167" s="4">
        <f t="shared" si="54"/>
        <v>5.5212782909825364</v>
      </c>
      <c r="Q167" s="4">
        <f>$H167*R167/100</f>
        <v>767.73348430446572</v>
      </c>
      <c r="R167" s="9">
        <f t="shared" si="57"/>
        <v>2.0016691171842216</v>
      </c>
      <c r="S167" s="5"/>
      <c r="T167" s="6">
        <f t="shared" si="55"/>
        <v>0.20730667328150987</v>
      </c>
      <c r="U167" s="47"/>
    </row>
    <row r="168" spans="2:21" x14ac:dyDescent="0.25">
      <c r="B168" s="47">
        <f>MAX(B$10:B167)+1</f>
        <v>86</v>
      </c>
      <c r="C168" s="49"/>
      <c r="D168" s="26" t="s">
        <v>34</v>
      </c>
      <c r="E168" s="47"/>
      <c r="F168" s="3"/>
      <c r="G168" s="47"/>
      <c r="H168" s="55">
        <f>SUM(H165:H167)</f>
        <v>49261.163</v>
      </c>
      <c r="I168" s="52"/>
      <c r="J168" s="55">
        <f>SUM(J165:J167)</f>
        <v>875.57951268878423</v>
      </c>
      <c r="K168" s="7">
        <f>J168/$H168*100</f>
        <v>1.7774235510614806</v>
      </c>
      <c r="L168" s="54"/>
      <c r="M168" s="55">
        <f>SUM(M165:M167)</f>
        <v>-173.91122246673655</v>
      </c>
      <c r="N168" s="27"/>
      <c r="O168" s="55">
        <v>1049.4907351555207</v>
      </c>
      <c r="P168" s="55">
        <f>P183-SUM(P155,P161)</f>
        <v>7.6022535022209468</v>
      </c>
      <c r="Q168" s="55">
        <f>SUM(Q165:Q167)</f>
        <v>1057.0929886577417</v>
      </c>
      <c r="R168" s="7">
        <f>Q168/$H168*100</f>
        <v>2.1458953144442439</v>
      </c>
      <c r="S168" s="56">
        <f>Q168/O168</f>
        <v>1.0072437547541517</v>
      </c>
      <c r="T168" s="8">
        <f>R168/K168-1</f>
        <v>0.20730667328150965</v>
      </c>
    </row>
    <row r="169" spans="2:21" x14ac:dyDescent="0.25">
      <c r="B169" s="47"/>
      <c r="C169" s="49"/>
      <c r="D169" s="26"/>
      <c r="E169" s="47"/>
      <c r="F169" s="3"/>
      <c r="G169" s="47"/>
      <c r="H169" s="4"/>
      <c r="I169" s="52"/>
      <c r="J169" s="4"/>
      <c r="K169" s="9"/>
      <c r="L169" s="54"/>
      <c r="M169" s="4"/>
      <c r="N169" s="27"/>
      <c r="O169" s="4"/>
      <c r="P169" s="4"/>
      <c r="Q169" s="4"/>
      <c r="R169" s="9"/>
      <c r="S169" s="5"/>
      <c r="T169" s="15"/>
    </row>
    <row r="170" spans="2:21" x14ac:dyDescent="0.25">
      <c r="B170" s="47">
        <f>MAX(B$10:B169)+1</f>
        <v>87</v>
      </c>
      <c r="C170" s="49"/>
      <c r="D170" s="26" t="s">
        <v>76</v>
      </c>
      <c r="E170" s="47"/>
      <c r="F170" s="3"/>
      <c r="G170" s="47"/>
      <c r="H170" s="4"/>
      <c r="I170" s="52"/>
      <c r="J170" s="4"/>
      <c r="K170" s="9"/>
      <c r="L170" s="54"/>
      <c r="M170" s="4"/>
      <c r="N170" s="27"/>
      <c r="O170" s="4"/>
      <c r="P170" s="4"/>
      <c r="Q170" s="4"/>
      <c r="R170" s="4"/>
      <c r="S170" s="5"/>
      <c r="T170" s="6"/>
    </row>
    <row r="171" spans="2:21" x14ac:dyDescent="0.25">
      <c r="B171" s="47"/>
      <c r="C171" s="49"/>
      <c r="D171" s="26"/>
      <c r="E171" s="47"/>
      <c r="F171" s="3"/>
      <c r="G171" s="47"/>
      <c r="H171" s="4"/>
      <c r="I171" s="52"/>
      <c r="J171" s="4"/>
      <c r="K171" s="9"/>
      <c r="L171" s="54"/>
      <c r="M171" s="4"/>
      <c r="N171" s="27"/>
      <c r="O171" s="4"/>
      <c r="P171" s="4"/>
      <c r="Q171" s="4"/>
      <c r="R171" s="9"/>
      <c r="S171" s="5"/>
      <c r="T171" s="15"/>
    </row>
    <row r="172" spans="2:21" x14ac:dyDescent="0.25">
      <c r="B172" s="47">
        <f>MAX(B$10:B171)+1</f>
        <v>88</v>
      </c>
      <c r="C172" s="49"/>
      <c r="D172" s="26" t="s">
        <v>41</v>
      </c>
      <c r="E172" s="47"/>
      <c r="F172" s="3"/>
      <c r="G172" s="47"/>
      <c r="H172" s="55">
        <f>H161+H168</f>
        <v>52646.499000000003</v>
      </c>
      <c r="I172" s="52"/>
      <c r="J172" s="55">
        <f>SUM(J155,J161,J168,J170)</f>
        <v>1166.6058119692395</v>
      </c>
      <c r="K172" s="7">
        <f>J172/$H172*100</f>
        <v>2.215922870710243</v>
      </c>
      <c r="L172" s="54"/>
      <c r="M172" s="55">
        <f>SUM(M155,M161,M168,M170)</f>
        <v>-1314.982248338315</v>
      </c>
      <c r="N172" s="27"/>
      <c r="O172" s="55">
        <f>SUM(O155,O161,O168,O170)</f>
        <v>2481.5880603075548</v>
      </c>
      <c r="P172" s="55">
        <f>SUM(P155,P161,P168,P170)</f>
        <v>-901.91541524044499</v>
      </c>
      <c r="Q172" s="55">
        <f>SUM(Q155,Q161,Q168,Q170)</f>
        <v>1579.6726450671097</v>
      </c>
      <c r="R172" s="7">
        <f>Q172/$H172*100</f>
        <v>3.0005274331102427</v>
      </c>
      <c r="S172" s="56">
        <f>Q172/O172</f>
        <v>0.63655715883454622</v>
      </c>
      <c r="T172" s="8">
        <f>R172/K172-1</f>
        <v>0.35407575451780948</v>
      </c>
    </row>
    <row r="173" spans="2:21" x14ac:dyDescent="0.25">
      <c r="E173" s="47"/>
      <c r="F173" s="3"/>
      <c r="G173" s="47"/>
      <c r="H173" s="4"/>
      <c r="I173" s="52"/>
      <c r="J173" s="4"/>
      <c r="K173" s="9"/>
      <c r="L173" s="54"/>
      <c r="M173" s="4"/>
      <c r="N173" s="27"/>
      <c r="O173" s="4"/>
      <c r="P173" s="4"/>
      <c r="Q173" s="4"/>
      <c r="R173" s="9"/>
      <c r="S173" s="5"/>
      <c r="T173" s="6"/>
    </row>
    <row r="174" spans="2:21" ht="13" x14ac:dyDescent="0.3">
      <c r="B174" s="47"/>
      <c r="C174" s="49"/>
      <c r="D174" s="26" t="s">
        <v>46</v>
      </c>
      <c r="E174" s="47"/>
      <c r="F174" s="58"/>
      <c r="G174" s="47"/>
      <c r="H174" s="4"/>
      <c r="I174" s="52"/>
      <c r="J174" s="4"/>
      <c r="K174" s="9"/>
      <c r="L174" s="54"/>
      <c r="M174" s="4"/>
      <c r="N174" s="27"/>
      <c r="O174" s="4"/>
      <c r="P174" s="4"/>
      <c r="Q174" s="4"/>
      <c r="R174" s="32"/>
      <c r="S174" s="5"/>
      <c r="T174" s="33"/>
    </row>
    <row r="175" spans="2:21" x14ac:dyDescent="0.25">
      <c r="B175" s="47">
        <f>MAX(B$10:B174)+1</f>
        <v>89</v>
      </c>
      <c r="C175" s="49"/>
      <c r="D175" s="29" t="s">
        <v>42</v>
      </c>
      <c r="E175" s="47"/>
      <c r="F175" s="58" t="s">
        <v>36</v>
      </c>
      <c r="G175" s="47"/>
      <c r="H175" s="4">
        <v>4391.5119999999997</v>
      </c>
      <c r="I175" s="52"/>
      <c r="J175" s="4">
        <f>$H175*K175/100</f>
        <v>3.3049258623511508</v>
      </c>
      <c r="K175" s="9">
        <v>7.5257129260973235E-2</v>
      </c>
      <c r="L175" s="54"/>
      <c r="M175" s="4">
        <f t="shared" ref="M175:M178" si="58">J175-O175</f>
        <v>4.9616416295947969</v>
      </c>
      <c r="N175" s="27"/>
      <c r="O175" s="4">
        <f>Q175</f>
        <v>-1.6567157672436459</v>
      </c>
      <c r="P175" s="4">
        <f t="shared" ref="P175:P178" si="59">Q175-O175</f>
        <v>0</v>
      </c>
      <c r="Q175" s="4">
        <f>$H175*R175/100</f>
        <v>-1.6567157672436459</v>
      </c>
      <c r="R175" s="9">
        <v>-3.7725406813044031E-2</v>
      </c>
      <c r="S175" s="5"/>
      <c r="T175" s="6"/>
    </row>
    <row r="176" spans="2:21" x14ac:dyDescent="0.25">
      <c r="B176" s="47">
        <f>MAX(B$10:B175)+1</f>
        <v>90</v>
      </c>
      <c r="C176" s="49"/>
      <c r="D176" s="29" t="s">
        <v>43</v>
      </c>
      <c r="E176" s="47"/>
      <c r="F176" s="58" t="s">
        <v>36</v>
      </c>
      <c r="G176" s="47"/>
      <c r="H176" s="4">
        <v>48254.987000000001</v>
      </c>
      <c r="I176" s="52"/>
      <c r="J176" s="4">
        <f>$H176*K176/100</f>
        <v>288.47299805790624</v>
      </c>
      <c r="K176" s="9">
        <v>0.59780971044071829</v>
      </c>
      <c r="L176" s="54"/>
      <c r="M176" s="4">
        <f t="shared" si="58"/>
        <v>306.67738821123777</v>
      </c>
      <c r="N176" s="54"/>
      <c r="O176" s="4">
        <f t="shared" ref="O176:O177" si="60">Q176</f>
        <v>-18.204390153331513</v>
      </c>
      <c r="P176" s="4">
        <f t="shared" si="59"/>
        <v>0</v>
      </c>
      <c r="Q176" s="4">
        <f>$H176*R176/100</f>
        <v>-18.204390153331513</v>
      </c>
      <c r="R176" s="9">
        <v>-3.7725406813044031E-2</v>
      </c>
      <c r="S176" s="5"/>
      <c r="T176" s="6"/>
      <c r="U176" s="47"/>
    </row>
    <row r="177" spans="2:21" x14ac:dyDescent="0.25">
      <c r="B177" s="47">
        <f>MAX(B$10:B176)+1</f>
        <v>91</v>
      </c>
      <c r="C177" s="49"/>
      <c r="D177" s="29" t="s">
        <v>44</v>
      </c>
      <c r="E177" s="47"/>
      <c r="F177" s="58" t="s">
        <v>36</v>
      </c>
      <c r="G177" s="47"/>
      <c r="H177" s="4">
        <v>0</v>
      </c>
      <c r="I177" s="52"/>
      <c r="J177" s="4">
        <f>$H177*K177/100</f>
        <v>0</v>
      </c>
      <c r="K177" s="9">
        <v>7.5257129260973235E-2</v>
      </c>
      <c r="L177" s="54"/>
      <c r="M177" s="4">
        <f t="shared" si="58"/>
        <v>0</v>
      </c>
      <c r="N177" s="54"/>
      <c r="O177" s="4">
        <f t="shared" si="60"/>
        <v>0</v>
      </c>
      <c r="P177" s="4">
        <f t="shared" si="59"/>
        <v>0</v>
      </c>
      <c r="Q177" s="4">
        <f>$H177*R177/100</f>
        <v>0</v>
      </c>
      <c r="R177" s="9">
        <v>-3.7725406813044031E-2</v>
      </c>
      <c r="S177" s="5"/>
      <c r="T177" s="6"/>
      <c r="U177" s="47"/>
    </row>
    <row r="178" spans="2:21" x14ac:dyDescent="0.25">
      <c r="B178" s="47">
        <f>MAX(B$10:B177)+1</f>
        <v>92</v>
      </c>
      <c r="C178" s="49"/>
      <c r="D178" s="29" t="s">
        <v>45</v>
      </c>
      <c r="E178" s="47"/>
      <c r="F178" s="58" t="s">
        <v>36</v>
      </c>
      <c r="G178" s="47"/>
      <c r="H178" s="4">
        <f>H172-SUM(H175:H177)</f>
        <v>0</v>
      </c>
      <c r="I178" s="52"/>
      <c r="J178" s="4">
        <f>$H178*K178/100</f>
        <v>0</v>
      </c>
      <c r="K178" s="9">
        <v>0</v>
      </c>
      <c r="L178" s="54"/>
      <c r="M178" s="4">
        <f t="shared" si="58"/>
        <v>0</v>
      </c>
      <c r="N178" s="54"/>
      <c r="O178" s="4">
        <f>Q178</f>
        <v>0</v>
      </c>
      <c r="P178" s="4">
        <f t="shared" si="59"/>
        <v>0</v>
      </c>
      <c r="Q178" s="4">
        <f>$H178*R178/100</f>
        <v>0</v>
      </c>
      <c r="R178" s="9">
        <v>-3.7725406813044031E-2</v>
      </c>
      <c r="S178" s="5"/>
      <c r="T178" s="6"/>
      <c r="U178" s="47"/>
    </row>
    <row r="179" spans="2:21" x14ac:dyDescent="0.25">
      <c r="B179" s="47">
        <f>MAX(B$10:B178)+1</f>
        <v>93</v>
      </c>
      <c r="C179" s="49"/>
      <c r="D179" s="26" t="s">
        <v>46</v>
      </c>
      <c r="E179" s="47"/>
      <c r="F179" s="3"/>
      <c r="G179" s="47"/>
      <c r="H179" s="55">
        <f>SUM(H175:H178)</f>
        <v>52646.499000000003</v>
      </c>
      <c r="I179" s="52"/>
      <c r="J179" s="55">
        <f>SUM(J175:J178)</f>
        <v>291.77792392025736</v>
      </c>
      <c r="K179" s="7">
        <f>J179/$H179*100</f>
        <v>0.55422094434096625</v>
      </c>
      <c r="L179" s="54"/>
      <c r="M179" s="55">
        <f>SUM(M175:M178)</f>
        <v>311.63902984083256</v>
      </c>
      <c r="N179" s="27"/>
      <c r="O179" s="55">
        <f>SUM(O175:O178)</f>
        <v>-19.861105920575159</v>
      </c>
      <c r="P179" s="55">
        <f>SUM(P175:P178)</f>
        <v>0</v>
      </c>
      <c r="Q179" s="55">
        <f>SUM(Q175:Q178)</f>
        <v>-19.861105920575159</v>
      </c>
      <c r="R179" s="7">
        <f>Q179/$H179*100</f>
        <v>-3.7725406813044031E-2</v>
      </c>
      <c r="S179" s="56">
        <f>Q179/O179</f>
        <v>1</v>
      </c>
      <c r="T179" s="8">
        <f>R179/K179-1</f>
        <v>-1.0680692550475586</v>
      </c>
    </row>
    <row r="180" spans="2:21" x14ac:dyDescent="0.25"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31"/>
    </row>
    <row r="181" spans="2:21" x14ac:dyDescent="0.25">
      <c r="B181" s="47">
        <f>MAX(B$10:B180)+1</f>
        <v>94</v>
      </c>
      <c r="C181" s="49"/>
      <c r="D181" s="26" t="s">
        <v>47</v>
      </c>
      <c r="E181" s="47"/>
      <c r="F181" s="3" t="s">
        <v>36</v>
      </c>
      <c r="G181" s="47"/>
      <c r="H181" s="4">
        <f>H175</f>
        <v>4391.5119999999997</v>
      </c>
      <c r="I181" s="52"/>
      <c r="J181" s="4">
        <f>$H181*K181/100</f>
        <v>2.3991692008211705</v>
      </c>
      <c r="K181" s="9">
        <v>5.4631962768658511E-2</v>
      </c>
      <c r="L181" s="54"/>
      <c r="M181" s="4">
        <f>J181-O181</f>
        <v>-4.3762324675052042</v>
      </c>
      <c r="N181" s="27"/>
      <c r="O181" s="4">
        <f>Q181</f>
        <v>6.7754016683263742</v>
      </c>
      <c r="P181" s="4">
        <f>Q181-O181</f>
        <v>0</v>
      </c>
      <c r="Q181" s="4">
        <f>$H181*R181/100</f>
        <v>6.7754016683263742</v>
      </c>
      <c r="R181" s="9">
        <v>0.15428402947154363</v>
      </c>
      <c r="S181" s="5">
        <f>Q181/O181</f>
        <v>1</v>
      </c>
      <c r="T181" s="6">
        <f>R181/K181-1</f>
        <v>1.8240616235017266</v>
      </c>
    </row>
    <row r="182" spans="2:21" x14ac:dyDescent="0.25">
      <c r="B182" s="47"/>
      <c r="C182" s="49"/>
      <c r="D182" s="26"/>
      <c r="E182" s="47"/>
      <c r="F182" s="3"/>
      <c r="G182" s="47"/>
      <c r="H182" s="4"/>
      <c r="I182" s="52"/>
      <c r="J182" s="4"/>
      <c r="K182" s="9"/>
      <c r="L182" s="54"/>
      <c r="M182" s="4"/>
      <c r="N182" s="27"/>
      <c r="O182" s="4"/>
      <c r="P182" s="4"/>
      <c r="Q182" s="4"/>
      <c r="R182" s="9"/>
      <c r="S182" s="5"/>
      <c r="T182" s="6"/>
    </row>
    <row r="183" spans="2:21" ht="13" thickBot="1" x14ac:dyDescent="0.3">
      <c r="B183" s="47">
        <f>MAX(B$10:B182)+1</f>
        <v>95</v>
      </c>
      <c r="C183" s="49"/>
      <c r="D183" s="26" t="s">
        <v>77</v>
      </c>
      <c r="E183" s="47"/>
      <c r="F183" s="3"/>
      <c r="G183" s="47"/>
      <c r="H183" s="59">
        <f>H172</f>
        <v>52646.499000000003</v>
      </c>
      <c r="I183" s="52"/>
      <c r="J183" s="59">
        <f>SUM(J172,J179,J181)</f>
        <v>1460.7829050903181</v>
      </c>
      <c r="K183" s="11">
        <f>J183/$H183*100</f>
        <v>2.774700944673107</v>
      </c>
      <c r="L183" s="54"/>
      <c r="M183" s="59">
        <f>SUM(M172,M179,M181)</f>
        <v>-1007.7194509649877</v>
      </c>
      <c r="N183" s="27"/>
      <c r="O183" s="59">
        <f>SUM(O172,O179,O181)</f>
        <v>2468.5023560553063</v>
      </c>
      <c r="P183" s="59">
        <v>-901.91541524044499</v>
      </c>
      <c r="Q183" s="59">
        <f>SUM(Q172,Q179,Q181)</f>
        <v>1566.5869408148608</v>
      </c>
      <c r="R183" s="11">
        <f>Q183/$H183*100</f>
        <v>2.9756716411757234</v>
      </c>
      <c r="S183" s="60">
        <f>Q183/O183</f>
        <v>0.63463052282367827</v>
      </c>
      <c r="T183" s="12">
        <f>R183/K183-1</f>
        <v>7.2429678192326152E-2</v>
      </c>
    </row>
    <row r="184" spans="2:21" ht="13" thickTop="1" x14ac:dyDescent="0.25"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37"/>
    </row>
    <row r="185" spans="2:21" ht="13" x14ac:dyDescent="0.3">
      <c r="B185" s="47"/>
      <c r="C185" s="49"/>
      <c r="D185" s="20" t="s">
        <v>78</v>
      </c>
      <c r="E185" s="47"/>
      <c r="F185" s="25"/>
      <c r="G185" s="47"/>
      <c r="H185" s="34"/>
      <c r="I185" s="52"/>
      <c r="J185" s="34"/>
      <c r="K185" s="52"/>
      <c r="L185" s="52"/>
      <c r="M185" s="13"/>
      <c r="N185" s="52"/>
      <c r="O185" s="14"/>
      <c r="P185" s="52"/>
      <c r="Q185" s="52"/>
      <c r="R185" s="52"/>
      <c r="S185" s="52"/>
      <c r="T185" s="67"/>
      <c r="U185" s="47"/>
    </row>
    <row r="186" spans="2:21" x14ac:dyDescent="0.25">
      <c r="B186" s="47">
        <f>MAX(B$10:B185)+1</f>
        <v>96</v>
      </c>
      <c r="C186" s="49"/>
      <c r="D186" s="26" t="s">
        <v>32</v>
      </c>
      <c r="E186" s="47"/>
      <c r="F186" s="3" t="s">
        <v>33</v>
      </c>
      <c r="G186" s="47"/>
      <c r="H186" s="4">
        <v>192</v>
      </c>
      <c r="I186" s="52"/>
      <c r="J186" s="4">
        <f>$H186*K186/1000</f>
        <v>25.905884038516852</v>
      </c>
      <c r="K186" s="53">
        <v>134.92647936727528</v>
      </c>
      <c r="L186" s="54"/>
      <c r="M186" s="4">
        <f t="shared" ref="M186:M187" si="61">J186-O186</f>
        <v>-224.00323829810307</v>
      </c>
      <c r="N186" s="27"/>
      <c r="O186" s="4">
        <v>249.90912233661993</v>
      </c>
      <c r="P186" s="4">
        <f t="shared" ref="P186" si="62">Q186-O186</f>
        <v>-224.00323829810307</v>
      </c>
      <c r="Q186" s="4">
        <f>$H186*R186/1000</f>
        <v>25.905884038516852</v>
      </c>
      <c r="R186" s="53">
        <v>134.92647936727528</v>
      </c>
      <c r="S186" s="5">
        <f>Q186/O186</f>
        <v>0.10366121811120772</v>
      </c>
      <c r="T186" s="6">
        <f t="shared" ref="T186:T187" si="63">R186/K186-1</f>
        <v>0</v>
      </c>
    </row>
    <row r="187" spans="2:21" x14ac:dyDescent="0.25">
      <c r="B187" s="47">
        <f>MAX(B$10:B186)+1</f>
        <v>97</v>
      </c>
      <c r="C187" s="49"/>
      <c r="D187" s="26" t="s">
        <v>58</v>
      </c>
      <c r="E187" s="47"/>
      <c r="F187" s="3" t="s">
        <v>59</v>
      </c>
      <c r="G187" s="47"/>
      <c r="H187" s="4">
        <v>6138.48</v>
      </c>
      <c r="I187" s="52"/>
      <c r="J187" s="4">
        <f>$H187*K187/100</f>
        <v>555.63807381094978</v>
      </c>
      <c r="K187" s="9">
        <v>9.0517208463813486</v>
      </c>
      <c r="L187" s="54"/>
      <c r="M187" s="4">
        <f t="shared" si="61"/>
        <v>76.992316962756206</v>
      </c>
      <c r="N187" s="27"/>
      <c r="O187" s="4">
        <v>478.64575684819357</v>
      </c>
      <c r="P187" s="4">
        <f>P209-SUM(P186,P192)</f>
        <v>224.00323829810307</v>
      </c>
      <c r="Q187" s="4">
        <f>$H187*R187/100</f>
        <v>702.64899514629667</v>
      </c>
      <c r="R187" s="9">
        <f>(O187+P187)/H187*100</f>
        <v>11.446628402247734</v>
      </c>
      <c r="S187" s="5">
        <f>Q187/O187</f>
        <v>1.4679937826528098</v>
      </c>
      <c r="T187" s="6">
        <f t="shared" si="63"/>
        <v>0.26458035952620107</v>
      </c>
    </row>
    <row r="188" spans="2:21" x14ac:dyDescent="0.25">
      <c r="B188" s="47"/>
      <c r="C188" s="49"/>
      <c r="D188" s="26" t="s">
        <v>34</v>
      </c>
      <c r="E188" s="47"/>
      <c r="F188" s="3"/>
      <c r="G188" s="47"/>
      <c r="H188" s="4"/>
      <c r="I188" s="52"/>
      <c r="J188" s="4"/>
      <c r="K188" s="9"/>
      <c r="L188" s="54"/>
      <c r="M188" s="4"/>
      <c r="N188" s="27"/>
      <c r="O188" s="4"/>
      <c r="P188" s="4"/>
      <c r="Q188" s="4"/>
      <c r="R188" s="9"/>
      <c r="S188" s="5"/>
      <c r="T188" s="15"/>
      <c r="U188" s="47"/>
    </row>
    <row r="189" spans="2:21" x14ac:dyDescent="0.25">
      <c r="B189" s="47">
        <f>MAX(B$10:B188)+1</f>
        <v>98</v>
      </c>
      <c r="C189" s="49"/>
      <c r="D189" s="66" t="s">
        <v>72</v>
      </c>
      <c r="E189" s="47"/>
      <c r="F189" s="3" t="s">
        <v>36</v>
      </c>
      <c r="G189" s="47"/>
      <c r="H189" s="4">
        <v>2496.9</v>
      </c>
      <c r="I189" s="52"/>
      <c r="J189" s="4">
        <f>$H189*K189/100</f>
        <v>177.72250715823182</v>
      </c>
      <c r="K189" s="9">
        <v>7.1177262669002292</v>
      </c>
      <c r="L189" s="54"/>
      <c r="M189" s="4">
        <f t="shared" ref="M189:M191" si="64">J189-O189</f>
        <v>177.72250715823182</v>
      </c>
      <c r="N189" s="27"/>
      <c r="O189" s="4">
        <f>J189/J$192*O$192</f>
        <v>0</v>
      </c>
      <c r="P189" s="4">
        <f t="shared" ref="P189:P191" si="65">Q189-O189</f>
        <v>0</v>
      </c>
      <c r="Q189" s="4">
        <f>$H189*R189/100</f>
        <v>0</v>
      </c>
      <c r="R189" s="9">
        <f>K189*(O$192+P$192)/J$192</f>
        <v>0</v>
      </c>
      <c r="S189" s="5"/>
      <c r="T189" s="15"/>
      <c r="U189" s="47"/>
    </row>
    <row r="190" spans="2:21" x14ac:dyDescent="0.25">
      <c r="B190" s="47">
        <f>MAX(B$10:B189)+1</f>
        <v>99</v>
      </c>
      <c r="C190" s="49"/>
      <c r="D190" s="66" t="s">
        <v>73</v>
      </c>
      <c r="E190" s="47"/>
      <c r="F190" s="3" t="s">
        <v>36</v>
      </c>
      <c r="G190" s="47"/>
      <c r="H190" s="4">
        <v>4159.7690000000002</v>
      </c>
      <c r="I190" s="52"/>
      <c r="J190" s="4">
        <f>$H190*K190/100</f>
        <v>238.91845372049974</v>
      </c>
      <c r="K190" s="9">
        <v>5.7435509933484221</v>
      </c>
      <c r="L190" s="54"/>
      <c r="M190" s="4">
        <f t="shared" si="64"/>
        <v>238.91845372049974</v>
      </c>
      <c r="N190" s="27"/>
      <c r="O190" s="4">
        <f t="shared" ref="O190:O191" si="66">J190/J$192*O$192</f>
        <v>0</v>
      </c>
      <c r="P190" s="4">
        <f t="shared" si="65"/>
        <v>0</v>
      </c>
      <c r="Q190" s="4">
        <f>$H190*R190/100</f>
        <v>0</v>
      </c>
      <c r="R190" s="9">
        <f t="shared" ref="R190:R191" si="67">K190*(O$192+P$192)/J$192</f>
        <v>0</v>
      </c>
      <c r="S190" s="5"/>
      <c r="T190" s="15"/>
      <c r="U190" s="47"/>
    </row>
    <row r="191" spans="2:21" x14ac:dyDescent="0.25">
      <c r="B191" s="47">
        <f>MAX(B$10:B190)+1</f>
        <v>100</v>
      </c>
      <c r="C191" s="49"/>
      <c r="D191" s="66" t="s">
        <v>74</v>
      </c>
      <c r="E191" s="47"/>
      <c r="F191" s="3" t="s">
        <v>36</v>
      </c>
      <c r="G191" s="47"/>
      <c r="H191" s="4">
        <v>9056.9930000000004</v>
      </c>
      <c r="I191" s="52"/>
      <c r="J191" s="4">
        <f>$H191*K191/100</f>
        <v>468.97512902007276</v>
      </c>
      <c r="K191" s="9">
        <v>5.1780445123461263</v>
      </c>
      <c r="L191" s="54"/>
      <c r="M191" s="4">
        <f t="shared" si="64"/>
        <v>468.97512902007276</v>
      </c>
      <c r="N191" s="27"/>
      <c r="O191" s="4">
        <f t="shared" si="66"/>
        <v>0</v>
      </c>
      <c r="P191" s="4">
        <f t="shared" si="65"/>
        <v>0</v>
      </c>
      <c r="Q191" s="4">
        <f>$H191*R191/100</f>
        <v>0</v>
      </c>
      <c r="R191" s="9">
        <f t="shared" si="67"/>
        <v>0</v>
      </c>
      <c r="S191" s="5"/>
      <c r="T191" s="15"/>
      <c r="U191" s="47"/>
    </row>
    <row r="192" spans="2:21" x14ac:dyDescent="0.25">
      <c r="B192" s="47">
        <f>MAX(B$10:B191)+1</f>
        <v>101</v>
      </c>
      <c r="C192" s="49"/>
      <c r="D192" s="26" t="s">
        <v>34</v>
      </c>
      <c r="E192" s="47"/>
      <c r="F192" s="3"/>
      <c r="G192" s="47"/>
      <c r="H192" s="55">
        <f>SUM(H189:H191)</f>
        <v>15713.662</v>
      </c>
      <c r="I192" s="52"/>
      <c r="J192" s="55">
        <f>SUM(J189:J191)</f>
        <v>885.61608989880438</v>
      </c>
      <c r="K192" s="7">
        <f>J192/$H192*100</f>
        <v>5.6359624503747403</v>
      </c>
      <c r="L192" s="54"/>
      <c r="M192" s="55">
        <f>SUM(M189:M191)</f>
        <v>885.61608989880438</v>
      </c>
      <c r="N192" s="27"/>
      <c r="O192" s="55">
        <v>0</v>
      </c>
      <c r="P192" s="55">
        <v>0</v>
      </c>
      <c r="Q192" s="55">
        <f>SUM(Q189:Q191)</f>
        <v>0</v>
      </c>
      <c r="R192" s="7">
        <f>Q192/$H192*100</f>
        <v>0</v>
      </c>
      <c r="S192" s="56"/>
      <c r="T192" s="8">
        <f>R192/K192-1</f>
        <v>-1</v>
      </c>
    </row>
    <row r="193" spans="2:21" x14ac:dyDescent="0.25">
      <c r="B193" s="47"/>
      <c r="C193" s="49"/>
      <c r="D193" s="26"/>
      <c r="E193" s="47"/>
      <c r="F193" s="3"/>
      <c r="G193" s="47"/>
      <c r="H193" s="54"/>
      <c r="I193" s="52"/>
      <c r="J193" s="54"/>
      <c r="K193" s="9"/>
      <c r="L193" s="54"/>
      <c r="M193" s="54"/>
      <c r="N193" s="27"/>
      <c r="O193" s="54"/>
      <c r="P193" s="54"/>
      <c r="Q193" s="54"/>
      <c r="R193" s="9"/>
      <c r="S193" s="57"/>
      <c r="T193" s="6"/>
    </row>
    <row r="194" spans="2:21" x14ac:dyDescent="0.25">
      <c r="B194" s="47">
        <f>MAX(B$10:B193)+1</f>
        <v>102</v>
      </c>
      <c r="C194" s="49"/>
      <c r="D194" s="26" t="s">
        <v>40</v>
      </c>
      <c r="E194" s="47"/>
      <c r="F194" s="3" t="s">
        <v>36</v>
      </c>
      <c r="G194" s="47"/>
      <c r="H194" s="54">
        <v>15713.662</v>
      </c>
      <c r="I194" s="52"/>
      <c r="J194" s="4">
        <f>$H194*K194/100</f>
        <v>49.219269334972772</v>
      </c>
      <c r="K194" s="9">
        <v>0.313225964354921</v>
      </c>
      <c r="L194" s="54"/>
      <c r="M194" s="4">
        <f t="shared" ref="M194" si="68">J194-O194</f>
        <v>49.219269334972772</v>
      </c>
      <c r="N194" s="27"/>
      <c r="O194" s="54"/>
      <c r="P194" s="54"/>
      <c r="Q194" s="54"/>
      <c r="R194" s="9"/>
      <c r="S194" s="57"/>
      <c r="T194" s="6"/>
    </row>
    <row r="195" spans="2:21" x14ac:dyDescent="0.25">
      <c r="B195" s="47"/>
      <c r="C195" s="49"/>
      <c r="D195" s="26"/>
      <c r="E195" s="47"/>
      <c r="F195" s="3"/>
      <c r="G195" s="47"/>
      <c r="H195" s="4"/>
      <c r="I195" s="52"/>
      <c r="J195" s="4"/>
      <c r="K195" s="9"/>
      <c r="L195" s="54"/>
      <c r="M195" s="4"/>
      <c r="N195" s="27"/>
      <c r="O195" s="4"/>
      <c r="P195" s="4"/>
      <c r="Q195" s="4"/>
      <c r="R195" s="9"/>
      <c r="S195" s="5"/>
      <c r="T195" s="15"/>
    </row>
    <row r="196" spans="2:21" x14ac:dyDescent="0.25">
      <c r="B196" s="47">
        <f>MAX(B$10:B195)+1</f>
        <v>103</v>
      </c>
      <c r="C196" s="49"/>
      <c r="D196" s="26" t="s">
        <v>79</v>
      </c>
      <c r="E196" s="47"/>
      <c r="F196" s="3"/>
      <c r="G196" s="47"/>
      <c r="H196" s="4"/>
      <c r="I196" s="52"/>
      <c r="J196" s="4"/>
      <c r="K196" s="9"/>
      <c r="L196" s="54"/>
      <c r="M196" s="4"/>
      <c r="N196" s="27"/>
      <c r="O196" s="4"/>
      <c r="P196" s="4"/>
      <c r="Q196" s="4"/>
      <c r="R196" s="4"/>
      <c r="S196" s="5"/>
      <c r="T196" s="68"/>
    </row>
    <row r="197" spans="2:21" x14ac:dyDescent="0.25">
      <c r="B197" s="47"/>
      <c r="C197" s="49"/>
      <c r="D197" s="26"/>
      <c r="E197" s="47"/>
      <c r="F197" s="3"/>
      <c r="G197" s="47"/>
      <c r="H197" s="4"/>
      <c r="I197" s="52"/>
      <c r="J197" s="4"/>
      <c r="K197" s="9"/>
      <c r="L197" s="54"/>
      <c r="M197" s="4"/>
      <c r="N197" s="27"/>
      <c r="O197" s="4"/>
      <c r="P197" s="4"/>
      <c r="Q197" s="4"/>
      <c r="R197" s="9"/>
      <c r="S197" s="5"/>
      <c r="T197" s="15"/>
    </row>
    <row r="198" spans="2:21" x14ac:dyDescent="0.25">
      <c r="B198" s="47">
        <f>MAX(B$10:B197)+1</f>
        <v>104</v>
      </c>
      <c r="C198" s="49"/>
      <c r="D198" s="26" t="s">
        <v>41</v>
      </c>
      <c r="E198" s="47"/>
      <c r="F198" s="3"/>
      <c r="G198" s="47"/>
      <c r="H198" s="55">
        <f>H192</f>
        <v>15713.662</v>
      </c>
      <c r="I198" s="52"/>
      <c r="J198" s="55">
        <f>SUM(J186:J187,J192,J196,J194)</f>
        <v>1516.3793170832439</v>
      </c>
      <c r="K198" s="7">
        <f>J198/$H198*100</f>
        <v>9.6500695832915575</v>
      </c>
      <c r="L198" s="54"/>
      <c r="M198" s="55">
        <f>SUM(M186:M187,M192,M196,M194)</f>
        <v>787.82443789843023</v>
      </c>
      <c r="N198" s="27"/>
      <c r="O198" s="55">
        <f>SUM(O186:O187,O192,O196)</f>
        <v>728.55487918481344</v>
      </c>
      <c r="P198" s="55">
        <f>SUM(P186:P187,P192,P196)</f>
        <v>0</v>
      </c>
      <c r="Q198" s="55">
        <f>SUM(Q186:Q187,Q192,Q196)</f>
        <v>728.55487918481356</v>
      </c>
      <c r="R198" s="7">
        <f>Q198/$H198*100</f>
        <v>4.6364423466968656</v>
      </c>
      <c r="S198" s="56">
        <f>Q198/O198</f>
        <v>1.0000000000000002</v>
      </c>
      <c r="T198" s="8">
        <f>R198/K198-1</f>
        <v>-0.51954311762429661</v>
      </c>
    </row>
    <row r="199" spans="2:21" x14ac:dyDescent="0.25">
      <c r="E199" s="47"/>
      <c r="F199" s="3"/>
      <c r="G199" s="47"/>
      <c r="H199" s="4"/>
      <c r="I199" s="52"/>
      <c r="J199" s="4"/>
      <c r="K199" s="9"/>
      <c r="L199" s="54"/>
      <c r="M199" s="4"/>
      <c r="N199" s="27"/>
      <c r="O199" s="4"/>
      <c r="P199" s="4"/>
      <c r="Q199" s="4"/>
      <c r="R199" s="9"/>
      <c r="S199" s="5"/>
      <c r="T199" s="6"/>
    </row>
    <row r="200" spans="2:21" ht="13" x14ac:dyDescent="0.3">
      <c r="B200" s="47"/>
      <c r="C200" s="49"/>
      <c r="D200" s="26" t="s">
        <v>46</v>
      </c>
      <c r="E200" s="47"/>
      <c r="F200" s="58"/>
      <c r="G200" s="47"/>
      <c r="H200" s="4"/>
      <c r="I200" s="52"/>
      <c r="J200" s="4"/>
      <c r="K200" s="9"/>
      <c r="L200" s="54"/>
      <c r="M200" s="4"/>
      <c r="N200" s="27"/>
      <c r="O200" s="4"/>
      <c r="P200" s="4"/>
      <c r="Q200" s="4"/>
      <c r="R200" s="32"/>
      <c r="S200" s="5"/>
      <c r="T200" s="33"/>
    </row>
    <row r="201" spans="2:21" x14ac:dyDescent="0.25">
      <c r="B201" s="47">
        <f>MAX(B$10:B200)+1</f>
        <v>105</v>
      </c>
      <c r="C201" s="49"/>
      <c r="D201" s="29" t="s">
        <v>42</v>
      </c>
      <c r="E201" s="47"/>
      <c r="F201" s="58" t="s">
        <v>36</v>
      </c>
      <c r="G201" s="47"/>
      <c r="H201" s="4">
        <v>573.62400000000002</v>
      </c>
      <c r="I201" s="52"/>
      <c r="J201" s="4">
        <f>$H201*K201/100</f>
        <v>0.43188041378521758</v>
      </c>
      <c r="K201" s="9">
        <v>7.5289808966364308E-2</v>
      </c>
      <c r="L201" s="54"/>
      <c r="M201" s="4">
        <f t="shared" ref="M201:M204" si="69">J201-O201</f>
        <v>0.64828239201339932</v>
      </c>
      <c r="N201" s="27"/>
      <c r="O201" s="4">
        <f>Q201</f>
        <v>-0.21640197822818177</v>
      </c>
      <c r="P201" s="4">
        <f t="shared" ref="P201:P204" si="70">Q201-O201</f>
        <v>0</v>
      </c>
      <c r="Q201" s="4">
        <f>$H201*R201/100</f>
        <v>-0.21640197822818177</v>
      </c>
      <c r="R201" s="9">
        <v>-3.7725405183217882E-2</v>
      </c>
      <c r="S201" s="5"/>
      <c r="T201" s="6"/>
    </row>
    <row r="202" spans="2:21" x14ac:dyDescent="0.25">
      <c r="B202" s="47">
        <f>MAX(B$10:B201)+1</f>
        <v>106</v>
      </c>
      <c r="C202" s="49"/>
      <c r="D202" s="29" t="s">
        <v>43</v>
      </c>
      <c r="E202" s="47"/>
      <c r="F202" s="58" t="s">
        <v>36</v>
      </c>
      <c r="G202" s="47"/>
      <c r="H202" s="4">
        <v>15140.038</v>
      </c>
      <c r="I202" s="52"/>
      <c r="J202" s="4">
        <f>$H202*K202/100</f>
        <v>90.505654223389826</v>
      </c>
      <c r="K202" s="9">
        <v>0.59779013912243695</v>
      </c>
      <c r="L202" s="54"/>
      <c r="M202" s="4">
        <f t="shared" si="69"/>
        <v>96.217294903782985</v>
      </c>
      <c r="N202" s="54"/>
      <c r="O202" s="4">
        <f t="shared" ref="O202:O203" si="71">Q202</f>
        <v>-5.711640680393157</v>
      </c>
      <c r="P202" s="4">
        <f t="shared" si="70"/>
        <v>0</v>
      </c>
      <c r="Q202" s="4">
        <f>$H202*R202/100</f>
        <v>-5.711640680393157</v>
      </c>
      <c r="R202" s="9">
        <v>-3.7725405183217882E-2</v>
      </c>
      <c r="S202" s="5"/>
      <c r="T202" s="6"/>
      <c r="U202" s="47"/>
    </row>
    <row r="203" spans="2:21" x14ac:dyDescent="0.25">
      <c r="B203" s="47">
        <f>MAX(B$10:B202)+1</f>
        <v>107</v>
      </c>
      <c r="C203" s="49"/>
      <c r="D203" s="29" t="s">
        <v>44</v>
      </c>
      <c r="E203" s="47"/>
      <c r="F203" s="58" t="s">
        <v>36</v>
      </c>
      <c r="G203" s="47"/>
      <c r="H203" s="4">
        <v>0</v>
      </c>
      <c r="I203" s="52"/>
      <c r="J203" s="4">
        <f>$H203*K203/100</f>
        <v>0</v>
      </c>
      <c r="K203" s="9">
        <v>7.5289808966364308E-2</v>
      </c>
      <c r="L203" s="54"/>
      <c r="M203" s="4">
        <f t="shared" si="69"/>
        <v>0</v>
      </c>
      <c r="N203" s="54"/>
      <c r="O203" s="4">
        <f t="shared" si="71"/>
        <v>0</v>
      </c>
      <c r="P203" s="4">
        <f t="shared" si="70"/>
        <v>0</v>
      </c>
      <c r="Q203" s="4">
        <f>$H203*R203/100</f>
        <v>0</v>
      </c>
      <c r="R203" s="9">
        <v>-3.7725405183217882E-2</v>
      </c>
      <c r="S203" s="57"/>
      <c r="T203" s="6"/>
      <c r="U203" s="47"/>
    </row>
    <row r="204" spans="2:21" x14ac:dyDescent="0.25">
      <c r="B204" s="47">
        <f>MAX(B$10:B203)+1</f>
        <v>108</v>
      </c>
      <c r="C204" s="49"/>
      <c r="D204" s="29" t="s">
        <v>45</v>
      </c>
      <c r="E204" s="47"/>
      <c r="F204" s="58" t="s">
        <v>36</v>
      </c>
      <c r="G204" s="47"/>
      <c r="H204" s="4">
        <f>H198-SUM(H201:H203)</f>
        <v>0</v>
      </c>
      <c r="I204" s="52"/>
      <c r="J204" s="4">
        <f>$H204*K204/100</f>
        <v>0</v>
      </c>
      <c r="K204" s="9">
        <v>0</v>
      </c>
      <c r="L204" s="54"/>
      <c r="M204" s="4">
        <f t="shared" si="69"/>
        <v>0</v>
      </c>
      <c r="N204" s="54"/>
      <c r="O204" s="4">
        <f>Q204</f>
        <v>0</v>
      </c>
      <c r="P204" s="4">
        <f t="shared" si="70"/>
        <v>0</v>
      </c>
      <c r="Q204" s="4">
        <f>$H204*R204/100</f>
        <v>0</v>
      </c>
      <c r="R204" s="9">
        <v>-3.7725405183217882E-2</v>
      </c>
      <c r="S204" s="5"/>
      <c r="T204" s="6"/>
      <c r="U204" s="47"/>
    </row>
    <row r="205" spans="2:21" x14ac:dyDescent="0.25">
      <c r="B205" s="47">
        <f>MAX(B$10:B204)+1</f>
        <v>109</v>
      </c>
      <c r="C205" s="49"/>
      <c r="D205" s="26" t="s">
        <v>46</v>
      </c>
      <c r="E205" s="47"/>
      <c r="F205" s="3"/>
      <c r="G205" s="47"/>
      <c r="H205" s="55">
        <f>SUM(H201:H204)</f>
        <v>15713.662</v>
      </c>
      <c r="I205" s="52"/>
      <c r="J205" s="55">
        <f>SUM(J201:J204)</f>
        <v>90.937534637175048</v>
      </c>
      <c r="K205" s="7">
        <f>J205/$H205*100</f>
        <v>0.57871637201547954</v>
      </c>
      <c r="L205" s="54"/>
      <c r="M205" s="55">
        <f>SUM(M201:M204)</f>
        <v>96.865577295796385</v>
      </c>
      <c r="N205" s="27"/>
      <c r="O205" s="55">
        <f>SUM(O201:O204)</f>
        <v>-5.9280426586213384</v>
      </c>
      <c r="P205" s="55">
        <f>SUM(P201:P204)</f>
        <v>0</v>
      </c>
      <c r="Q205" s="55">
        <f>SUM(Q201:Q204)</f>
        <v>-5.9280426586213384</v>
      </c>
      <c r="R205" s="7">
        <f>Q205/$H205*100</f>
        <v>-3.7725405183217875E-2</v>
      </c>
      <c r="S205" s="56">
        <f>Q205/O205</f>
        <v>1</v>
      </c>
      <c r="T205" s="8">
        <f>R205/K205-1</f>
        <v>-1.0651880731347425</v>
      </c>
    </row>
    <row r="206" spans="2:21" x14ac:dyDescent="0.25"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31"/>
    </row>
    <row r="207" spans="2:21" x14ac:dyDescent="0.25">
      <c r="B207" s="47">
        <f>MAX(B$10:B206)+1</f>
        <v>110</v>
      </c>
      <c r="C207" s="49"/>
      <c r="D207" s="26" t="s">
        <v>47</v>
      </c>
      <c r="E207" s="47"/>
      <c r="F207" s="3" t="s">
        <v>36</v>
      </c>
      <c r="G207" s="47"/>
      <c r="H207" s="4">
        <f>H201</f>
        <v>573.62400000000002</v>
      </c>
      <c r="I207" s="52"/>
      <c r="J207" s="4">
        <f>$H207*K207/100</f>
        <v>0.29193966721141096</v>
      </c>
      <c r="K207" s="9">
        <v>5.0893907369881836E-2</v>
      </c>
      <c r="L207" s="54"/>
      <c r="M207" s="4">
        <f>J207-O207</f>
        <v>-0.59307055400443642</v>
      </c>
      <c r="N207" s="27"/>
      <c r="O207" s="4">
        <f>Q207</f>
        <v>0.88501022121584738</v>
      </c>
      <c r="P207" s="4">
        <f>Q207-O207</f>
        <v>0</v>
      </c>
      <c r="Q207" s="4">
        <f>$H207*R207/100</f>
        <v>0.88501022121584738</v>
      </c>
      <c r="R207" s="9">
        <v>0.15428402947154363</v>
      </c>
      <c r="S207" s="5">
        <f>Q207/O207</f>
        <v>1</v>
      </c>
      <c r="T207" s="6">
        <f>R207/K207-1</f>
        <v>2.0314832844382145</v>
      </c>
    </row>
    <row r="208" spans="2:21" x14ac:dyDescent="0.25">
      <c r="B208" s="47"/>
      <c r="C208" s="49"/>
      <c r="D208" s="26"/>
      <c r="E208" s="47"/>
      <c r="F208" s="3"/>
      <c r="G208" s="47"/>
      <c r="H208" s="4"/>
      <c r="I208" s="52"/>
      <c r="J208" s="4"/>
      <c r="K208" s="9"/>
      <c r="L208" s="54"/>
      <c r="M208" s="4"/>
      <c r="N208" s="27"/>
      <c r="O208" s="4"/>
      <c r="P208" s="4"/>
      <c r="Q208" s="4"/>
      <c r="R208" s="9"/>
      <c r="S208" s="5"/>
      <c r="T208" s="6"/>
    </row>
    <row r="209" spans="2:21" ht="13" thickBot="1" x14ac:dyDescent="0.3">
      <c r="B209" s="47">
        <f>MAX(B$10:B208)+1</f>
        <v>111</v>
      </c>
      <c r="C209" s="49"/>
      <c r="D209" s="26" t="s">
        <v>80</v>
      </c>
      <c r="E209" s="47"/>
      <c r="F209" s="3"/>
      <c r="G209" s="47"/>
      <c r="H209" s="59">
        <f>H198</f>
        <v>15713.662</v>
      </c>
      <c r="I209" s="52"/>
      <c r="J209" s="59">
        <f>SUM(J198,J205,J207)</f>
        <v>1607.6087913876304</v>
      </c>
      <c r="K209" s="11">
        <f>J209/$H209*100</f>
        <v>10.230643826929905</v>
      </c>
      <c r="L209" s="54"/>
      <c r="M209" s="59">
        <f>SUM(M198,M205,M207)</f>
        <v>884.0969446402222</v>
      </c>
      <c r="N209" s="27"/>
      <c r="O209" s="59">
        <f>SUM(O198,O205,O207)</f>
        <v>723.51184674740784</v>
      </c>
      <c r="P209" s="59">
        <v>0</v>
      </c>
      <c r="Q209" s="59">
        <f>SUM(Q198,Q205,Q207)</f>
        <v>723.51184674740796</v>
      </c>
      <c r="R209" s="11">
        <f>Q209/$H209*100</f>
        <v>4.6043490482830034</v>
      </c>
      <c r="S209" s="60">
        <f>Q209/O209</f>
        <v>1.0000000000000002</v>
      </c>
      <c r="T209" s="12">
        <f>R209/K209-1</f>
        <v>-0.54994532835137178</v>
      </c>
    </row>
    <row r="210" spans="2:21" ht="13" thickTop="1" x14ac:dyDescent="0.25">
      <c r="B210" s="47"/>
      <c r="C210" s="49"/>
      <c r="D210" s="26"/>
      <c r="E210" s="47"/>
      <c r="F210" s="3"/>
      <c r="G210" s="47"/>
      <c r="H210" s="54"/>
      <c r="I210" s="52"/>
      <c r="J210" s="54"/>
      <c r="K210" s="9"/>
      <c r="L210" s="54"/>
      <c r="M210" s="54"/>
      <c r="N210" s="27"/>
      <c r="O210" s="54"/>
      <c r="P210" s="54"/>
      <c r="Q210" s="54"/>
      <c r="R210" s="9"/>
      <c r="S210" s="57"/>
      <c r="T210" s="10"/>
    </row>
    <row r="211" spans="2:21" x14ac:dyDescent="0.25">
      <c r="B211" s="19" t="str">
        <f>$B$2 &amp;" (continued)"</f>
        <v>Derivation of Proposed Rates and Revenue by Rate Class - Delivery (continued)</v>
      </c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20"/>
    </row>
    <row r="212" spans="2:21" x14ac:dyDescent="0.25">
      <c r="B212" s="43"/>
      <c r="C212" s="43"/>
      <c r="D212" s="43"/>
      <c r="E212" s="43"/>
      <c r="F212" s="44"/>
      <c r="G212" s="43"/>
      <c r="H212" s="44"/>
      <c r="I212" s="43"/>
      <c r="J212" s="44"/>
      <c r="K212" s="44"/>
      <c r="L212" s="44"/>
      <c r="M212" s="44"/>
      <c r="N212" s="43"/>
      <c r="O212" s="43"/>
      <c r="P212" s="43"/>
      <c r="Q212" s="43"/>
      <c r="R212" s="43"/>
      <c r="S212" s="22"/>
      <c r="T212" s="22"/>
    </row>
    <row r="213" spans="2:21" x14ac:dyDescent="0.25">
      <c r="B213" s="44"/>
      <c r="C213" s="44"/>
      <c r="D213" s="44"/>
      <c r="E213" s="44"/>
      <c r="F213" s="43"/>
      <c r="G213" s="44"/>
      <c r="H213" s="43"/>
      <c r="I213" s="44"/>
      <c r="J213" s="45" t="s">
        <v>1</v>
      </c>
      <c r="K213" s="45"/>
      <c r="L213" s="44"/>
      <c r="M213" s="44"/>
      <c r="N213" s="44"/>
      <c r="O213" s="45" t="s">
        <v>2</v>
      </c>
      <c r="P213" s="45"/>
      <c r="Q213" s="45"/>
      <c r="R213" s="45"/>
      <c r="S213" s="23"/>
      <c r="T213" s="23"/>
    </row>
    <row r="214" spans="2:21" s="24" customFormat="1" ht="39" customHeight="1" x14ac:dyDescent="0.25">
      <c r="B214" s="46" t="s">
        <v>3</v>
      </c>
      <c r="C214" s="46"/>
      <c r="D214" s="46"/>
      <c r="E214" s="46"/>
      <c r="F214" s="47" t="s">
        <v>4</v>
      </c>
      <c r="G214" s="46"/>
      <c r="H214" s="24" t="s">
        <v>5</v>
      </c>
      <c r="I214" s="46"/>
      <c r="J214" s="24" t="s">
        <v>6</v>
      </c>
      <c r="K214" s="24" t="s">
        <v>7</v>
      </c>
      <c r="L214" s="46"/>
      <c r="M214" s="24" t="s">
        <v>8</v>
      </c>
      <c r="N214" s="46"/>
      <c r="O214" s="46" t="s">
        <v>9</v>
      </c>
      <c r="P214" s="24" t="s">
        <v>8</v>
      </c>
      <c r="Q214" s="24" t="s">
        <v>6</v>
      </c>
      <c r="R214" s="24" t="s">
        <v>7</v>
      </c>
      <c r="S214" s="46" t="s">
        <v>10</v>
      </c>
      <c r="T214" s="46" t="s">
        <v>11</v>
      </c>
      <c r="U214" s="46"/>
    </row>
    <row r="215" spans="2:21" ht="14.5" x14ac:dyDescent="0.25">
      <c r="B215" s="48" t="s">
        <v>12</v>
      </c>
      <c r="C215" s="49"/>
      <c r="D215" s="50" t="s">
        <v>13</v>
      </c>
      <c r="E215" s="47"/>
      <c r="F215" s="48" t="s">
        <v>14</v>
      </c>
      <c r="G215" s="47"/>
      <c r="H215" s="48" t="s">
        <v>15</v>
      </c>
      <c r="I215" s="47"/>
      <c r="J215" s="48" t="s">
        <v>16</v>
      </c>
      <c r="K215" s="48" t="s">
        <v>17</v>
      </c>
      <c r="L215" s="47"/>
      <c r="M215" s="48" t="s">
        <v>16</v>
      </c>
      <c r="N215" s="47"/>
      <c r="O215" s="48" t="s">
        <v>16</v>
      </c>
      <c r="P215" s="48" t="s">
        <v>16</v>
      </c>
      <c r="Q215" s="48" t="s">
        <v>16</v>
      </c>
      <c r="R215" s="48" t="s">
        <v>17</v>
      </c>
      <c r="S215" s="48" t="s">
        <v>18</v>
      </c>
      <c r="T215" s="48" t="s">
        <v>19</v>
      </c>
      <c r="U215" s="47"/>
    </row>
    <row r="216" spans="2:21" x14ac:dyDescent="0.25">
      <c r="B216" s="47"/>
      <c r="C216" s="49"/>
      <c r="D216" s="49"/>
      <c r="E216" s="47"/>
      <c r="F216" s="47"/>
      <c r="G216" s="47"/>
      <c r="H216" s="47" t="s">
        <v>20</v>
      </c>
      <c r="I216" s="47"/>
      <c r="J216" s="47" t="s">
        <v>21</v>
      </c>
      <c r="K216" s="47" t="s">
        <v>22</v>
      </c>
      <c r="L216" s="47"/>
      <c r="M216" s="47" t="s">
        <v>23</v>
      </c>
      <c r="N216" s="47"/>
      <c r="O216" s="47" t="s">
        <v>24</v>
      </c>
      <c r="P216" s="47" t="s">
        <v>25</v>
      </c>
      <c r="Q216" s="51" t="s">
        <v>26</v>
      </c>
      <c r="R216" s="51" t="s">
        <v>27</v>
      </c>
      <c r="S216" s="51" t="s">
        <v>28</v>
      </c>
      <c r="T216" s="51" t="s">
        <v>29</v>
      </c>
      <c r="U216" s="47"/>
    </row>
    <row r="217" spans="2:21" ht="13" x14ac:dyDescent="0.3">
      <c r="B217" s="47"/>
      <c r="C217" s="49"/>
      <c r="D217" s="49"/>
      <c r="E217" s="47"/>
      <c r="F217" s="63"/>
      <c r="G217" s="47"/>
      <c r="H217" s="63"/>
      <c r="I217" s="47"/>
      <c r="J217" s="63"/>
      <c r="K217" s="36"/>
      <c r="L217" s="47"/>
      <c r="M217" s="47"/>
      <c r="N217" s="47"/>
      <c r="O217" s="47"/>
      <c r="P217" s="47"/>
      <c r="Q217" s="47"/>
      <c r="R217" s="47"/>
      <c r="S217" s="47"/>
      <c r="T217" s="47"/>
      <c r="U217" s="47"/>
    </row>
    <row r="218" spans="2:21" ht="13" x14ac:dyDescent="0.3">
      <c r="B218" s="47"/>
      <c r="C218" s="49"/>
      <c r="D218" s="20" t="s">
        <v>81</v>
      </c>
      <c r="E218" s="47"/>
      <c r="F218" s="25"/>
      <c r="G218" s="47"/>
      <c r="H218" s="34"/>
      <c r="I218" s="52"/>
      <c r="J218" s="34"/>
      <c r="K218" s="52"/>
      <c r="L218" s="52"/>
      <c r="M218" s="13"/>
      <c r="N218" s="52"/>
      <c r="O218" s="14"/>
      <c r="P218" s="52"/>
      <c r="Q218" s="52"/>
      <c r="R218" s="52"/>
      <c r="S218" s="52"/>
      <c r="T218" s="52"/>
      <c r="U218" s="47"/>
    </row>
    <row r="219" spans="2:21" x14ac:dyDescent="0.25">
      <c r="B219" s="47">
        <f>MAX(B$10:B218)+1</f>
        <v>112</v>
      </c>
      <c r="C219" s="49"/>
      <c r="D219" s="26" t="s">
        <v>32</v>
      </c>
      <c r="E219" s="47"/>
      <c r="F219" s="3" t="s">
        <v>33</v>
      </c>
      <c r="G219" s="47"/>
      <c r="H219" s="4">
        <v>264</v>
      </c>
      <c r="I219" s="52"/>
      <c r="J219" s="4">
        <f>$H219*K219/1000</f>
        <v>80.664724723102395</v>
      </c>
      <c r="K219" s="53">
        <v>305.5481997087212</v>
      </c>
      <c r="L219" s="54"/>
      <c r="M219" s="4">
        <f t="shared" ref="M219:M220" si="72">J219-O219</f>
        <v>-265.7976779856707</v>
      </c>
      <c r="N219" s="27"/>
      <c r="O219" s="4">
        <v>346.46240270877308</v>
      </c>
      <c r="P219" s="4">
        <f t="shared" ref="P219" si="73">Q219-O219</f>
        <v>-265.7976779856707</v>
      </c>
      <c r="Q219" s="4">
        <f>$H219*R219/1000</f>
        <v>80.664724723102395</v>
      </c>
      <c r="R219" s="53">
        <v>305.5481997087212</v>
      </c>
      <c r="S219" s="5">
        <f>Q219/O219</f>
        <v>0.23282389111325011</v>
      </c>
      <c r="T219" s="6">
        <f t="shared" ref="T219:T220" si="74">R219/K219-1</f>
        <v>0</v>
      </c>
    </row>
    <row r="220" spans="2:21" x14ac:dyDescent="0.25">
      <c r="B220" s="47">
        <f>MAX(B$10:B219)+1</f>
        <v>113</v>
      </c>
      <c r="C220" s="49"/>
      <c r="D220" s="26" t="s">
        <v>58</v>
      </c>
      <c r="E220" s="47"/>
      <c r="F220" s="3" t="s">
        <v>59</v>
      </c>
      <c r="G220" s="47"/>
      <c r="H220" s="4">
        <v>30927.768</v>
      </c>
      <c r="I220" s="52"/>
      <c r="J220" s="4">
        <f>$H220*K220/100</f>
        <v>1390.0522253663821</v>
      </c>
      <c r="K220" s="9">
        <v>4.4945119394531865</v>
      </c>
      <c r="L220" s="54"/>
      <c r="M220" s="4">
        <f t="shared" si="72"/>
        <v>491.45925696069389</v>
      </c>
      <c r="N220" s="27"/>
      <c r="O220" s="4">
        <v>898.59296840568823</v>
      </c>
      <c r="P220" s="4">
        <f>P241-SUM(P219,P224)</f>
        <v>265.7976779856707</v>
      </c>
      <c r="Q220" s="4">
        <f>$H220*R220/100</f>
        <v>1164.390646391359</v>
      </c>
      <c r="R220" s="9">
        <f>(O220+P220)/H220*100</f>
        <v>3.7648712522396024</v>
      </c>
      <c r="S220" s="5">
        <f>Q220/O220</f>
        <v>1.2957931870502586</v>
      </c>
      <c r="T220" s="6">
        <f t="shared" si="74"/>
        <v>-0.16234036020880038</v>
      </c>
    </row>
    <row r="221" spans="2:21" x14ac:dyDescent="0.25">
      <c r="B221" s="47"/>
      <c r="C221" s="49"/>
      <c r="D221" s="26" t="s">
        <v>34</v>
      </c>
      <c r="E221" s="47"/>
      <c r="F221" s="3"/>
      <c r="G221" s="47"/>
      <c r="H221" s="4"/>
      <c r="I221" s="52"/>
      <c r="J221" s="4"/>
      <c r="K221" s="9"/>
      <c r="L221" s="54"/>
      <c r="M221" s="4"/>
      <c r="N221" s="27"/>
      <c r="O221" s="4"/>
      <c r="P221" s="4"/>
      <c r="Q221" s="4"/>
      <c r="R221" s="9"/>
      <c r="S221" s="5"/>
      <c r="T221" s="10"/>
      <c r="U221" s="47"/>
    </row>
    <row r="222" spans="2:21" x14ac:dyDescent="0.25">
      <c r="B222" s="47">
        <f>MAX(B$10:B221)+1</f>
        <v>114</v>
      </c>
      <c r="C222" s="49"/>
      <c r="D222" s="29" t="s">
        <v>62</v>
      </c>
      <c r="E222" s="47"/>
      <c r="F222" s="3" t="s">
        <v>36</v>
      </c>
      <c r="G222" s="47"/>
      <c r="H222" s="4">
        <v>183923.41800000001</v>
      </c>
      <c r="I222" s="52"/>
      <c r="J222" s="4">
        <f>$H222*K222/100</f>
        <v>529.90849799759019</v>
      </c>
      <c r="K222" s="9">
        <v>0.28811366369756686</v>
      </c>
      <c r="L222" s="54"/>
      <c r="M222" s="4">
        <f t="shared" ref="M222:M223" si="75">J222-O222</f>
        <v>529.90849799759019</v>
      </c>
      <c r="N222" s="27"/>
      <c r="O222" s="4">
        <f>J222/J$224*O$224</f>
        <v>0</v>
      </c>
      <c r="P222" s="4">
        <f t="shared" ref="P222:P223" si="76">Q222-O222</f>
        <v>0</v>
      </c>
      <c r="Q222" s="4">
        <f>$H222*R222/100</f>
        <v>0</v>
      </c>
      <c r="R222" s="9">
        <f>K222*(O$224+P$224)/J$224</f>
        <v>0</v>
      </c>
      <c r="S222" s="5"/>
      <c r="T222" s="10"/>
      <c r="U222" s="47"/>
    </row>
    <row r="223" spans="2:21" x14ac:dyDescent="0.25">
      <c r="B223" s="47">
        <f>MAX(B$10:B222)+1</f>
        <v>115</v>
      </c>
      <c r="C223" s="49"/>
      <c r="D223" s="29" t="s">
        <v>63</v>
      </c>
      <c r="E223" s="47"/>
      <c r="F223" s="3" t="s">
        <v>36</v>
      </c>
      <c r="G223" s="47"/>
      <c r="H223" s="4">
        <v>139330.31</v>
      </c>
      <c r="I223" s="52"/>
      <c r="J223" s="4">
        <f>$H223*K223/100</f>
        <v>117.1505240105088</v>
      </c>
      <c r="K223" s="9">
        <v>8.4081147892736907E-2</v>
      </c>
      <c r="L223" s="54"/>
      <c r="M223" s="4">
        <f t="shared" si="75"/>
        <v>117.1505240105088</v>
      </c>
      <c r="N223" s="27"/>
      <c r="O223" s="4">
        <f>J223/J$224*O$224</f>
        <v>0</v>
      </c>
      <c r="P223" s="4">
        <f t="shared" si="76"/>
        <v>0</v>
      </c>
      <c r="Q223" s="4">
        <f>$H223*R223/100</f>
        <v>0</v>
      </c>
      <c r="R223" s="9">
        <f>K223*(O$224+P$224)/J$224</f>
        <v>0</v>
      </c>
      <c r="S223" s="5"/>
      <c r="T223" s="10"/>
      <c r="U223" s="47"/>
    </row>
    <row r="224" spans="2:21" x14ac:dyDescent="0.25">
      <c r="B224" s="47">
        <f>MAX(B$10:B223)+1</f>
        <v>116</v>
      </c>
      <c r="C224" s="49"/>
      <c r="D224" s="26" t="s">
        <v>34</v>
      </c>
      <c r="E224" s="47"/>
      <c r="F224" s="3"/>
      <c r="G224" s="47"/>
      <c r="H224" s="55">
        <f>SUM(H222:H223)</f>
        <v>323253.728</v>
      </c>
      <c r="I224" s="52"/>
      <c r="J224" s="55">
        <f>SUM(J222:J223)</f>
        <v>647.05902200809896</v>
      </c>
      <c r="K224" s="7">
        <f>J224/$H224*100</f>
        <v>0.20017062943450381</v>
      </c>
      <c r="L224" s="54"/>
      <c r="M224" s="55">
        <f>SUM(M222:M223)</f>
        <v>647.05902200809896</v>
      </c>
      <c r="N224" s="27"/>
      <c r="O224" s="55">
        <v>0</v>
      </c>
      <c r="P224" s="55">
        <v>0</v>
      </c>
      <c r="Q224" s="55">
        <f>SUM(Q222:Q223)</f>
        <v>0</v>
      </c>
      <c r="R224" s="7">
        <f>Q224/$H224*100</f>
        <v>0</v>
      </c>
      <c r="S224" s="56"/>
      <c r="T224" s="8">
        <f>R224/K224-1</f>
        <v>-1</v>
      </c>
    </row>
    <row r="225" spans="2:21" x14ac:dyDescent="0.25">
      <c r="B225" s="47"/>
      <c r="C225" s="49"/>
      <c r="D225" s="26"/>
      <c r="E225" s="47"/>
      <c r="F225" s="3"/>
      <c r="G225" s="47"/>
      <c r="H225" s="54"/>
      <c r="I225" s="52"/>
      <c r="J225" s="54"/>
      <c r="K225" s="9"/>
      <c r="L225" s="54"/>
      <c r="M225" s="54"/>
      <c r="N225" s="27"/>
      <c r="O225" s="54"/>
      <c r="P225" s="54"/>
      <c r="Q225" s="54"/>
      <c r="R225" s="9"/>
      <c r="S225" s="57"/>
      <c r="T225" s="6"/>
    </row>
    <row r="226" spans="2:21" x14ac:dyDescent="0.25">
      <c r="B226" s="47">
        <f>MAX(B$10:B225)+1</f>
        <v>117</v>
      </c>
      <c r="C226" s="49"/>
      <c r="D226" s="26" t="s">
        <v>40</v>
      </c>
      <c r="E226" s="47"/>
      <c r="F226" s="3" t="s">
        <v>36</v>
      </c>
      <c r="G226" s="47"/>
      <c r="H226" s="54">
        <v>323253.728</v>
      </c>
      <c r="I226" s="52"/>
      <c r="J226" s="4">
        <f>$H226*K226/100</f>
        <v>447.50455636700224</v>
      </c>
      <c r="K226" s="9">
        <v>0.13843755465273466</v>
      </c>
      <c r="L226" s="54"/>
      <c r="M226" s="4">
        <f t="shared" ref="M226" si="77">J226-O226</f>
        <v>447.50455636700224</v>
      </c>
      <c r="N226" s="27"/>
      <c r="O226" s="54"/>
      <c r="P226" s="54"/>
      <c r="Q226" s="54"/>
      <c r="R226" s="9"/>
      <c r="S226" s="57"/>
      <c r="T226" s="6"/>
    </row>
    <row r="227" spans="2:21" x14ac:dyDescent="0.25">
      <c r="B227" s="47"/>
      <c r="C227" s="49"/>
      <c r="D227" s="26"/>
      <c r="E227" s="47"/>
      <c r="F227" s="3"/>
      <c r="G227" s="47"/>
      <c r="H227" s="4"/>
      <c r="I227" s="52"/>
      <c r="J227" s="4"/>
      <c r="K227" s="9"/>
      <c r="L227" s="54"/>
      <c r="M227" s="4"/>
      <c r="N227" s="27"/>
      <c r="O227" s="4"/>
      <c r="P227" s="4"/>
      <c r="Q227" s="4"/>
      <c r="R227" s="9"/>
      <c r="S227" s="5"/>
      <c r="T227" s="10"/>
    </row>
    <row r="228" spans="2:21" x14ac:dyDescent="0.25">
      <c r="B228" s="47">
        <f>MAX(B$10:B227)+1</f>
        <v>118</v>
      </c>
      <c r="C228" s="49"/>
      <c r="D228" s="26" t="s">
        <v>79</v>
      </c>
      <c r="E228" s="47"/>
      <c r="F228" s="3"/>
      <c r="G228" s="47"/>
      <c r="H228" s="4"/>
      <c r="I228" s="52"/>
      <c r="J228" s="4"/>
      <c r="K228" s="9"/>
      <c r="L228" s="54"/>
      <c r="M228" s="4"/>
      <c r="N228" s="27"/>
      <c r="O228" s="4"/>
      <c r="P228" s="4"/>
      <c r="Q228" s="4"/>
      <c r="R228" s="4"/>
      <c r="S228" s="5"/>
      <c r="T228" s="4"/>
    </row>
    <row r="229" spans="2:21" x14ac:dyDescent="0.25">
      <c r="B229" s="47"/>
      <c r="C229" s="49"/>
      <c r="D229" s="26"/>
      <c r="E229" s="47"/>
      <c r="F229" s="3"/>
      <c r="G229" s="47"/>
      <c r="H229" s="4"/>
      <c r="I229" s="52"/>
      <c r="J229" s="4"/>
      <c r="K229" s="9"/>
      <c r="L229" s="54"/>
      <c r="M229" s="4"/>
      <c r="N229" s="27"/>
      <c r="O229" s="4"/>
      <c r="P229" s="4"/>
      <c r="Q229" s="4"/>
      <c r="R229" s="9"/>
      <c r="S229" s="5"/>
      <c r="T229" s="10"/>
    </row>
    <row r="230" spans="2:21" x14ac:dyDescent="0.25">
      <c r="B230" s="47">
        <f>MAX(B$10:B229)+1</f>
        <v>119</v>
      </c>
      <c r="C230" s="49"/>
      <c r="D230" s="26" t="s">
        <v>41</v>
      </c>
      <c r="E230" s="47"/>
      <c r="F230" s="3"/>
      <c r="G230" s="47"/>
      <c r="H230" s="55">
        <f>H224</f>
        <v>323253.728</v>
      </c>
      <c r="I230" s="52"/>
      <c r="J230" s="55">
        <f>SUM(J219:J220,J224,J228,J226)</f>
        <v>2565.280528464586</v>
      </c>
      <c r="K230" s="7">
        <f>J230/$H230*100</f>
        <v>0.79358111175892954</v>
      </c>
      <c r="L230" s="54"/>
      <c r="M230" s="55">
        <f>SUM(M219:M220,M224,M228,M226)</f>
        <v>1320.2251573501244</v>
      </c>
      <c r="N230" s="27"/>
      <c r="O230" s="55">
        <f>SUM(O219:O220,O224,O228)</f>
        <v>1245.0553711144612</v>
      </c>
      <c r="P230" s="55">
        <f>SUM(P219:P220,P224,P228)</f>
        <v>0</v>
      </c>
      <c r="Q230" s="55">
        <f>SUM(Q219:Q220,Q224,Q228)</f>
        <v>1245.0553711144614</v>
      </c>
      <c r="R230" s="7">
        <f>Q230/$H230*100</f>
        <v>0.38516349952643436</v>
      </c>
      <c r="S230" s="56">
        <f>Q230/O230</f>
        <v>1.0000000000000002</v>
      </c>
      <c r="T230" s="8">
        <f>R230/K230-1</f>
        <v>-0.51465137738379341</v>
      </c>
    </row>
    <row r="231" spans="2:21" x14ac:dyDescent="0.25">
      <c r="E231" s="47"/>
      <c r="F231" s="3"/>
      <c r="G231" s="47"/>
      <c r="H231" s="4"/>
      <c r="I231" s="52"/>
      <c r="J231" s="4"/>
      <c r="K231" s="9"/>
      <c r="L231" s="54"/>
      <c r="M231" s="4"/>
      <c r="N231" s="27"/>
      <c r="O231" s="4"/>
      <c r="P231" s="4"/>
      <c r="Q231" s="4"/>
      <c r="R231" s="9"/>
      <c r="S231" s="5"/>
      <c r="T231" s="6"/>
    </row>
    <row r="232" spans="2:21" ht="13" x14ac:dyDescent="0.3">
      <c r="B232" s="47"/>
      <c r="C232" s="49"/>
      <c r="D232" s="26" t="s">
        <v>46</v>
      </c>
      <c r="E232" s="47"/>
      <c r="F232" s="58"/>
      <c r="G232" s="47"/>
      <c r="H232" s="4"/>
      <c r="I232" s="52"/>
      <c r="J232" s="4"/>
      <c r="K232" s="9"/>
      <c r="L232" s="54"/>
      <c r="M232" s="4"/>
      <c r="N232" s="27"/>
      <c r="O232" s="4"/>
      <c r="P232" s="4"/>
      <c r="Q232" s="4"/>
      <c r="R232" s="32"/>
      <c r="S232" s="5"/>
      <c r="T232" s="33"/>
    </row>
    <row r="233" spans="2:21" x14ac:dyDescent="0.25">
      <c r="B233" s="47">
        <f>MAX(B$10:B232)+1</f>
        <v>120</v>
      </c>
      <c r="C233" s="49"/>
      <c r="D233" s="29" t="s">
        <v>42</v>
      </c>
      <c r="E233" s="47"/>
      <c r="F233" s="58" t="s">
        <v>36</v>
      </c>
      <c r="G233" s="47"/>
      <c r="H233" s="4">
        <v>5360.2020000000002</v>
      </c>
      <c r="I233" s="52"/>
      <c r="J233" s="4">
        <f>$H233*K233/100</f>
        <v>4.0337623350103584</v>
      </c>
      <c r="K233" s="9">
        <v>7.5253923919478383E-2</v>
      </c>
      <c r="L233" s="54"/>
      <c r="M233" s="4">
        <f t="shared" ref="M233:M236" si="78">J233-O233</f>
        <v>6.0559204865968645</v>
      </c>
      <c r="N233" s="27"/>
      <c r="O233" s="4">
        <f>Q233</f>
        <v>-2.0221581515865057</v>
      </c>
      <c r="P233" s="4">
        <f t="shared" ref="P233:P236" si="79">Q233-O233</f>
        <v>0</v>
      </c>
      <c r="Q233" s="4">
        <f>$H233*R233/100</f>
        <v>-2.0221581515865057</v>
      </c>
      <c r="R233" s="9">
        <v>-3.7725409445138552E-2</v>
      </c>
      <c r="S233" s="5"/>
      <c r="T233" s="6"/>
    </row>
    <row r="234" spans="2:21" x14ac:dyDescent="0.25">
      <c r="B234" s="47">
        <f>MAX(B$10:B233)+1</f>
        <v>121</v>
      </c>
      <c r="C234" s="49"/>
      <c r="D234" s="29" t="s">
        <v>43</v>
      </c>
      <c r="E234" s="47"/>
      <c r="F234" s="58" t="s">
        <v>36</v>
      </c>
      <c r="G234" s="47"/>
      <c r="H234" s="4">
        <v>108433.382</v>
      </c>
      <c r="I234" s="52"/>
      <c r="J234" s="4">
        <f>$H234*K234/100</f>
        <v>648.21135670132117</v>
      </c>
      <c r="K234" s="9">
        <v>0.59779686360914319</v>
      </c>
      <c r="L234" s="54"/>
      <c r="M234" s="4">
        <f t="shared" si="78"/>
        <v>689.11829403603235</v>
      </c>
      <c r="N234" s="54"/>
      <c r="O234" s="4">
        <f t="shared" ref="O234:O235" si="80">Q234</f>
        <v>-40.906937334711166</v>
      </c>
      <c r="P234" s="4">
        <f t="shared" si="79"/>
        <v>0</v>
      </c>
      <c r="Q234" s="4">
        <f>$H234*R234/100</f>
        <v>-40.906937334711166</v>
      </c>
      <c r="R234" s="9">
        <v>-3.7725409445138552E-2</v>
      </c>
      <c r="S234" s="5"/>
      <c r="T234" s="6"/>
      <c r="U234" s="47"/>
    </row>
    <row r="235" spans="2:21" x14ac:dyDescent="0.25">
      <c r="B235" s="47">
        <f>MAX(B$10:B234)+1</f>
        <v>122</v>
      </c>
      <c r="C235" s="49"/>
      <c r="D235" s="29" t="s">
        <v>44</v>
      </c>
      <c r="E235" s="47"/>
      <c r="F235" s="58" t="s">
        <v>36</v>
      </c>
      <c r="G235" s="47"/>
      <c r="H235" s="4">
        <v>0</v>
      </c>
      <c r="I235" s="52"/>
      <c r="J235" s="4">
        <f>$H235*K235/100</f>
        <v>0</v>
      </c>
      <c r="K235" s="9">
        <v>7.5253923919478383E-2</v>
      </c>
      <c r="L235" s="54"/>
      <c r="M235" s="4">
        <f t="shared" si="78"/>
        <v>0</v>
      </c>
      <c r="N235" s="54"/>
      <c r="O235" s="4">
        <f t="shared" si="80"/>
        <v>0</v>
      </c>
      <c r="P235" s="4">
        <f t="shared" si="79"/>
        <v>0</v>
      </c>
      <c r="Q235" s="4">
        <f>$H235*R235/100</f>
        <v>0</v>
      </c>
      <c r="R235" s="9">
        <v>-3.7725409445138552E-2</v>
      </c>
      <c r="S235" s="57"/>
      <c r="T235" s="6"/>
      <c r="U235" s="47"/>
    </row>
    <row r="236" spans="2:21" x14ac:dyDescent="0.25">
      <c r="B236" s="47">
        <f>MAX(B$10:B235)+1</f>
        <v>123</v>
      </c>
      <c r="C236" s="49"/>
      <c r="D236" s="29" t="s">
        <v>45</v>
      </c>
      <c r="E236" s="47"/>
      <c r="F236" s="58" t="s">
        <v>36</v>
      </c>
      <c r="G236" s="47"/>
      <c r="H236" s="4">
        <f>H230-SUM(H233:H235)</f>
        <v>209460.144</v>
      </c>
      <c r="I236" s="52"/>
      <c r="J236" s="4">
        <f>$H236*K236/100</f>
        <v>0</v>
      </c>
      <c r="K236" s="9">
        <v>0</v>
      </c>
      <c r="L236" s="54"/>
      <c r="M236" s="4">
        <f t="shared" si="78"/>
        <v>79.019696948376819</v>
      </c>
      <c r="N236" s="54"/>
      <c r="O236" s="4">
        <f>Q236</f>
        <v>-79.019696948376819</v>
      </c>
      <c r="P236" s="4">
        <f t="shared" si="79"/>
        <v>0</v>
      </c>
      <c r="Q236" s="4">
        <f>$H236*R236/100</f>
        <v>-79.019696948376819</v>
      </c>
      <c r="R236" s="9">
        <v>-3.7725409445138552E-2</v>
      </c>
      <c r="S236" s="5"/>
      <c r="T236" s="6"/>
      <c r="U236" s="47"/>
    </row>
    <row r="237" spans="2:21" x14ac:dyDescent="0.25">
      <c r="B237" s="47">
        <f>MAX(B$10:B236)+1</f>
        <v>124</v>
      </c>
      <c r="C237" s="49"/>
      <c r="D237" s="26" t="s">
        <v>46</v>
      </c>
      <c r="E237" s="47"/>
      <c r="F237" s="3"/>
      <c r="G237" s="47"/>
      <c r="H237" s="55">
        <f>SUM(H233:H236)</f>
        <v>323253.728</v>
      </c>
      <c r="I237" s="52"/>
      <c r="J237" s="55">
        <f>SUM(J233:J236)</f>
        <v>652.24511903633152</v>
      </c>
      <c r="K237" s="7">
        <f>J237/$H237*100</f>
        <v>0.20177497196144678</v>
      </c>
      <c r="L237" s="54"/>
      <c r="M237" s="55">
        <f>SUM(M233:M236)</f>
        <v>774.193911471006</v>
      </c>
      <c r="N237" s="27"/>
      <c r="O237" s="55">
        <f>SUM(O233:O236)</f>
        <v>-121.94879243467449</v>
      </c>
      <c r="P237" s="55">
        <f>SUM(P233:P236)</f>
        <v>0</v>
      </c>
      <c r="Q237" s="55">
        <f>SUM(Q233:Q236)</f>
        <v>-121.94879243467449</v>
      </c>
      <c r="R237" s="7">
        <f>Q237/$H237*100</f>
        <v>-3.7725409445138552E-2</v>
      </c>
      <c r="S237" s="56">
        <f>Q237/O237</f>
        <v>1</v>
      </c>
      <c r="T237" s="8">
        <f>R237/K237-1</f>
        <v>-1.1869677347909471</v>
      </c>
    </row>
    <row r="238" spans="2:21" x14ac:dyDescent="0.25"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31"/>
    </row>
    <row r="239" spans="2:21" x14ac:dyDescent="0.25">
      <c r="B239" s="47">
        <f>MAX(B$10:B238)+1</f>
        <v>125</v>
      </c>
      <c r="C239" s="49"/>
      <c r="D239" s="26" t="s">
        <v>47</v>
      </c>
      <c r="E239" s="47"/>
      <c r="F239" s="3" t="s">
        <v>36</v>
      </c>
      <c r="G239" s="47"/>
      <c r="H239" s="4">
        <f>H233</f>
        <v>5360.2020000000002</v>
      </c>
      <c r="I239" s="52"/>
      <c r="J239" s="4">
        <f>$H239*K239/100</f>
        <v>2.5150806067196778</v>
      </c>
      <c r="K239" s="9">
        <v>4.6921377342116537E-2</v>
      </c>
      <c r="L239" s="54"/>
      <c r="M239" s="4">
        <f>J239-O239</f>
        <v>-5.7548550266945924</v>
      </c>
      <c r="N239" s="27"/>
      <c r="O239" s="4">
        <f>Q239</f>
        <v>8.2699356334142706</v>
      </c>
      <c r="P239" s="4">
        <f>Q239-O239</f>
        <v>0</v>
      </c>
      <c r="Q239" s="4">
        <f>$H239*R239/100</f>
        <v>8.2699356334142706</v>
      </c>
      <c r="R239" s="9">
        <v>0.15428402947154363</v>
      </c>
      <c r="S239" s="5">
        <f>Q239/O239</f>
        <v>1</v>
      </c>
      <c r="T239" s="6">
        <f>R239/K239-1</f>
        <v>2.2881393985222718</v>
      </c>
    </row>
    <row r="240" spans="2:21" x14ac:dyDescent="0.25">
      <c r="B240" s="47"/>
      <c r="C240" s="49"/>
      <c r="D240" s="26"/>
      <c r="E240" s="47"/>
      <c r="F240" s="3"/>
      <c r="G240" s="47"/>
      <c r="H240" s="4"/>
      <c r="I240" s="52"/>
      <c r="J240" s="4"/>
      <c r="K240" s="9"/>
      <c r="L240" s="54"/>
      <c r="M240" s="4"/>
      <c r="N240" s="27"/>
      <c r="O240" s="4"/>
      <c r="P240" s="4"/>
      <c r="Q240" s="4"/>
      <c r="R240" s="9"/>
      <c r="S240" s="5"/>
      <c r="T240" s="6"/>
    </row>
    <row r="241" spans="2:21" ht="13" thickBot="1" x14ac:dyDescent="0.3">
      <c r="B241" s="47">
        <f>MAX(B$10:B240)+1</f>
        <v>126</v>
      </c>
      <c r="C241" s="49"/>
      <c r="D241" s="26" t="s">
        <v>82</v>
      </c>
      <c r="E241" s="47"/>
      <c r="F241" s="3"/>
      <c r="G241" s="47"/>
      <c r="H241" s="59">
        <f>H230</f>
        <v>323253.728</v>
      </c>
      <c r="I241" s="52"/>
      <c r="J241" s="59">
        <f>SUM(J230,J237,J239)</f>
        <v>3220.0407281076368</v>
      </c>
      <c r="K241" s="11">
        <f>J241/$H241*100</f>
        <v>0.99613413525972905</v>
      </c>
      <c r="L241" s="54"/>
      <c r="M241" s="59">
        <f>SUM(M230,M237,M239)</f>
        <v>2088.6642137944355</v>
      </c>
      <c r="N241" s="27"/>
      <c r="O241" s="59">
        <f>SUM(O230,O237,O239)</f>
        <v>1131.3765143132009</v>
      </c>
      <c r="P241" s="59">
        <v>0</v>
      </c>
      <c r="Q241" s="59">
        <f>SUM(Q230,Q237,Q239)</f>
        <v>1131.3765143132011</v>
      </c>
      <c r="R241" s="11">
        <f>Q241/$H241*100</f>
        <v>0.34999643200192299</v>
      </c>
      <c r="S241" s="60">
        <f>Q241/O241</f>
        <v>1.0000000000000002</v>
      </c>
      <c r="T241" s="12">
        <f>R241/K241-1</f>
        <v>-0.64864527816761752</v>
      </c>
    </row>
    <row r="242" spans="2:21" ht="13" thickTop="1" x14ac:dyDescent="0.25">
      <c r="B242" s="47"/>
      <c r="C242" s="49"/>
      <c r="D242" s="26"/>
      <c r="E242" s="47"/>
      <c r="F242" s="3"/>
      <c r="G242" s="47"/>
      <c r="H242" s="54"/>
      <c r="I242" s="52"/>
      <c r="J242" s="54"/>
      <c r="K242" s="9"/>
      <c r="L242" s="54"/>
      <c r="M242" s="54"/>
      <c r="N242" s="27"/>
      <c r="O242" s="54"/>
      <c r="P242" s="54"/>
      <c r="Q242" s="54"/>
      <c r="R242" s="9"/>
      <c r="S242" s="57"/>
      <c r="T242" s="6"/>
    </row>
    <row r="243" spans="2:21" ht="13" x14ac:dyDescent="0.3">
      <c r="B243" s="47"/>
      <c r="C243" s="49"/>
      <c r="D243" s="20" t="s">
        <v>83</v>
      </c>
      <c r="E243" s="47"/>
      <c r="F243" s="25"/>
      <c r="G243" s="47"/>
      <c r="H243" s="34"/>
      <c r="I243" s="52"/>
      <c r="J243" s="34"/>
      <c r="K243" s="52"/>
      <c r="L243" s="52"/>
      <c r="M243" s="13"/>
      <c r="N243" s="52"/>
      <c r="O243" s="14"/>
      <c r="P243" s="52"/>
      <c r="Q243" s="52"/>
      <c r="R243" s="52"/>
      <c r="S243" s="52"/>
      <c r="T243" s="61"/>
      <c r="U243" s="47"/>
    </row>
    <row r="244" spans="2:21" x14ac:dyDescent="0.25">
      <c r="B244" s="47">
        <f>MAX(B$10:B243)+1</f>
        <v>127</v>
      </c>
      <c r="C244" s="49"/>
      <c r="D244" s="26" t="s">
        <v>32</v>
      </c>
      <c r="E244" s="47"/>
      <c r="F244" s="3" t="s">
        <v>33</v>
      </c>
      <c r="G244" s="47"/>
      <c r="H244" s="4">
        <v>12</v>
      </c>
      <c r="I244" s="52"/>
      <c r="J244" s="4">
        <f>$H244*K244/1000</f>
        <v>0</v>
      </c>
      <c r="K244" s="53">
        <v>0</v>
      </c>
      <c r="L244" s="54"/>
      <c r="M244" s="4">
        <f t="shared" ref="M244:M248" si="81">J244-O244</f>
        <v>-15.80057107482083</v>
      </c>
      <c r="N244" s="27"/>
      <c r="O244" s="4">
        <v>15.80057107482083</v>
      </c>
      <c r="P244" s="4">
        <f t="shared" ref="P244" si="82">Q244-O244</f>
        <v>-15.80057107482083</v>
      </c>
      <c r="Q244" s="4">
        <f>$H244*R244/1000</f>
        <v>0</v>
      </c>
      <c r="R244" s="53">
        <v>0</v>
      </c>
      <c r="S244" s="5">
        <f>Q244/O244</f>
        <v>0</v>
      </c>
      <c r="T244" s="6">
        <v>0</v>
      </c>
    </row>
    <row r="245" spans="2:21" x14ac:dyDescent="0.25">
      <c r="B245" s="47">
        <f>MAX(B$10:B244)+1</f>
        <v>128</v>
      </c>
      <c r="C245" s="49"/>
      <c r="D245" s="26" t="s">
        <v>58</v>
      </c>
      <c r="E245" s="47"/>
      <c r="F245" s="3" t="s">
        <v>59</v>
      </c>
      <c r="G245" s="47"/>
      <c r="H245" s="4">
        <v>15025.2</v>
      </c>
      <c r="I245" s="52"/>
      <c r="J245" s="4">
        <f>$H245*K245/100</f>
        <v>2442.9785861728078</v>
      </c>
      <c r="K245" s="9">
        <v>16.259208437643476</v>
      </c>
      <c r="L245" s="54"/>
      <c r="M245" s="4">
        <f t="shared" si="81"/>
        <v>-2150.4081004623395</v>
      </c>
      <c r="N245" s="27"/>
      <c r="O245" s="4">
        <v>4593.3866866351473</v>
      </c>
      <c r="P245" s="4">
        <f>P263-SUM(P244,P246)</f>
        <v>-111.65552509085691</v>
      </c>
      <c r="Q245" s="4">
        <f>$H245*R245/100</f>
        <v>4481.7311615442914</v>
      </c>
      <c r="R245" s="9">
        <f>(O245+P245)/H245*100</f>
        <v>29.828096541438988</v>
      </c>
      <c r="S245" s="5">
        <f>Q245/O245</f>
        <v>0.97569211287703528</v>
      </c>
      <c r="T245" s="6">
        <f t="shared" ref="T245:T246" si="83">R245/K245-1</f>
        <v>0.83453558983724507</v>
      </c>
    </row>
    <row r="246" spans="2:21" x14ac:dyDescent="0.25">
      <c r="B246" s="47">
        <f>MAX(B$10:B245)+1</f>
        <v>129</v>
      </c>
      <c r="C246" s="49"/>
      <c r="D246" s="26" t="s">
        <v>34</v>
      </c>
      <c r="E246" s="47"/>
      <c r="F246" s="3" t="s">
        <v>36</v>
      </c>
      <c r="G246" s="47"/>
      <c r="H246" s="4">
        <v>188852.1</v>
      </c>
      <c r="I246" s="52"/>
      <c r="J246" s="4">
        <f>$H246*K246/100</f>
        <v>1111.1453367291608</v>
      </c>
      <c r="K246" s="9">
        <v>0.58836800688430824</v>
      </c>
      <c r="L246" s="54"/>
      <c r="M246" s="4">
        <f t="shared" si="81"/>
        <v>1111.1453367291608</v>
      </c>
      <c r="N246" s="27"/>
      <c r="O246" s="4">
        <v>0</v>
      </c>
      <c r="P246" s="4">
        <v>0</v>
      </c>
      <c r="Q246" s="4">
        <f>$H246*R246/100</f>
        <v>0</v>
      </c>
      <c r="R246" s="9">
        <f>(O246+P246)/H246*100</f>
        <v>0</v>
      </c>
      <c r="S246" s="5"/>
      <c r="T246" s="6">
        <f t="shared" si="83"/>
        <v>-1</v>
      </c>
    </row>
    <row r="247" spans="2:21" x14ac:dyDescent="0.25">
      <c r="B247" s="47"/>
      <c r="C247" s="49"/>
      <c r="D247" s="26"/>
      <c r="E247" s="47"/>
      <c r="F247" s="3"/>
      <c r="G247" s="47"/>
      <c r="H247" s="4"/>
      <c r="I247" s="52"/>
      <c r="J247" s="4"/>
      <c r="K247" s="9"/>
      <c r="L247" s="54"/>
      <c r="M247" s="4"/>
      <c r="N247" s="27"/>
      <c r="O247" s="4"/>
      <c r="P247" s="4"/>
      <c r="Q247" s="4"/>
      <c r="R247" s="9"/>
      <c r="S247" s="5"/>
      <c r="T247" s="6"/>
    </row>
    <row r="248" spans="2:21" x14ac:dyDescent="0.25">
      <c r="B248" s="47">
        <f>MAX(B$10:B247)+1</f>
        <v>130</v>
      </c>
      <c r="C248" s="49"/>
      <c r="D248" s="26" t="s">
        <v>40</v>
      </c>
      <c r="E248" s="47"/>
      <c r="F248" s="3" t="s">
        <v>36</v>
      </c>
      <c r="G248" s="47"/>
      <c r="H248" s="4">
        <v>188852.1</v>
      </c>
      <c r="I248" s="52"/>
      <c r="J248" s="4">
        <f>$H248*K248/100</f>
        <v>1171.2521992137447</v>
      </c>
      <c r="K248" s="9">
        <v>0.62019548589279372</v>
      </c>
      <c r="L248" s="54"/>
      <c r="M248" s="4">
        <f t="shared" si="81"/>
        <v>1171.2521992137447</v>
      </c>
      <c r="N248" s="27"/>
      <c r="O248" s="4"/>
      <c r="P248" s="4"/>
      <c r="Q248" s="4"/>
      <c r="R248" s="9"/>
      <c r="S248" s="5"/>
      <c r="T248" s="6"/>
    </row>
    <row r="249" spans="2:21" x14ac:dyDescent="0.25">
      <c r="B249" s="47"/>
      <c r="C249" s="49"/>
      <c r="D249" s="26"/>
      <c r="E249" s="47"/>
      <c r="F249" s="3"/>
      <c r="G249" s="47"/>
      <c r="H249" s="4"/>
      <c r="I249" s="52"/>
      <c r="J249" s="4"/>
      <c r="K249" s="9"/>
      <c r="L249" s="54"/>
      <c r="M249" s="4"/>
      <c r="N249" s="27"/>
      <c r="O249" s="4"/>
      <c r="P249" s="4"/>
      <c r="Q249" s="4"/>
      <c r="R249" s="9"/>
      <c r="S249" s="5"/>
      <c r="T249" s="6"/>
    </row>
    <row r="250" spans="2:21" x14ac:dyDescent="0.25">
      <c r="B250" s="47">
        <f>MAX(B$10:B249)+1</f>
        <v>131</v>
      </c>
      <c r="C250" s="49"/>
      <c r="D250" s="26" t="s">
        <v>79</v>
      </c>
      <c r="E250" s="47"/>
      <c r="F250" s="3"/>
      <c r="G250" s="47"/>
      <c r="H250" s="4"/>
      <c r="I250" s="52"/>
      <c r="J250" s="4"/>
      <c r="K250" s="9"/>
      <c r="L250" s="54"/>
      <c r="M250" s="4"/>
      <c r="N250" s="27"/>
      <c r="O250" s="4"/>
      <c r="P250" s="4"/>
      <c r="Q250" s="4"/>
      <c r="R250" s="4"/>
      <c r="S250" s="5"/>
      <c r="T250" s="6"/>
    </row>
    <row r="251" spans="2:21" x14ac:dyDescent="0.25">
      <c r="B251" s="47"/>
      <c r="C251" s="49"/>
      <c r="D251" s="26"/>
      <c r="E251" s="47"/>
      <c r="F251" s="3"/>
      <c r="G251" s="47"/>
      <c r="H251" s="4"/>
      <c r="I251" s="52"/>
      <c r="J251" s="4"/>
      <c r="K251" s="9"/>
      <c r="L251" s="54"/>
      <c r="M251" s="4"/>
      <c r="N251" s="27"/>
      <c r="O251" s="4"/>
      <c r="P251" s="4"/>
      <c r="Q251" s="4"/>
      <c r="R251" s="9"/>
      <c r="S251" s="5"/>
      <c r="T251" s="6"/>
    </row>
    <row r="252" spans="2:21" x14ac:dyDescent="0.25">
      <c r="B252" s="47">
        <f>MAX(B$10:B251)+1</f>
        <v>132</v>
      </c>
      <c r="C252" s="49"/>
      <c r="D252" s="26" t="s">
        <v>41</v>
      </c>
      <c r="E252" s="47"/>
      <c r="F252" s="3"/>
      <c r="G252" s="47"/>
      <c r="H252" s="55">
        <f>H246</f>
        <v>188852.1</v>
      </c>
      <c r="I252" s="52"/>
      <c r="J252" s="55">
        <f>SUM(J244:J250)</f>
        <v>4725.3761221157129</v>
      </c>
      <c r="K252" s="7">
        <f>J252/$H252*100</f>
        <v>2.5021570435889844</v>
      </c>
      <c r="L252" s="54"/>
      <c r="M252" s="55">
        <f>SUM(M244:M250)</f>
        <v>116.18886440574533</v>
      </c>
      <c r="N252" s="27"/>
      <c r="O252" s="55">
        <f>SUM(O244:O250)</f>
        <v>4609.1872577099684</v>
      </c>
      <c r="P252" s="55">
        <v>-127.45609616567775</v>
      </c>
      <c r="Q252" s="55">
        <f>SUM(Q244:Q250)</f>
        <v>4481.7311615442914</v>
      </c>
      <c r="R252" s="7">
        <f>Q252/$H252*100</f>
        <v>2.373143407748334</v>
      </c>
      <c r="S252" s="56">
        <f>Q252/O252</f>
        <v>0.97234738164467582</v>
      </c>
      <c r="T252" s="8">
        <f>R252/K252-1</f>
        <v>-5.1560966635251226E-2</v>
      </c>
    </row>
    <row r="253" spans="2:21" x14ac:dyDescent="0.25">
      <c r="E253" s="47"/>
      <c r="F253" s="3"/>
      <c r="G253" s="47"/>
      <c r="H253" s="4"/>
      <c r="I253" s="52"/>
      <c r="J253" s="4"/>
      <c r="K253" s="9"/>
      <c r="L253" s="54"/>
      <c r="M253" s="4"/>
      <c r="N253" s="27"/>
      <c r="O253" s="4"/>
      <c r="P253" s="4"/>
      <c r="Q253" s="4"/>
      <c r="R253" s="9"/>
      <c r="S253" s="5"/>
      <c r="T253" s="6"/>
    </row>
    <row r="254" spans="2:21" ht="13" x14ac:dyDescent="0.3">
      <c r="B254" s="47"/>
      <c r="C254" s="49"/>
      <c r="D254" s="26" t="s">
        <v>46</v>
      </c>
      <c r="E254" s="47"/>
      <c r="F254" s="58"/>
      <c r="G254" s="47"/>
      <c r="H254" s="4"/>
      <c r="I254" s="52"/>
      <c r="J254" s="4"/>
      <c r="K254" s="9"/>
      <c r="L254" s="54"/>
      <c r="M254" s="4"/>
      <c r="N254" s="27"/>
      <c r="O254" s="4"/>
      <c r="P254" s="4"/>
      <c r="Q254" s="4"/>
      <c r="R254" s="32"/>
      <c r="S254" s="5"/>
      <c r="T254" s="33"/>
    </row>
    <row r="255" spans="2:21" x14ac:dyDescent="0.25">
      <c r="B255" s="47">
        <f>MAX(B$10:B254)+1</f>
        <v>133</v>
      </c>
      <c r="C255" s="49"/>
      <c r="D255" s="29" t="s">
        <v>42</v>
      </c>
      <c r="E255" s="47"/>
      <c r="F255" s="58" t="s">
        <v>36</v>
      </c>
      <c r="G255" s="47"/>
      <c r="H255" s="4">
        <v>140305.60000000001</v>
      </c>
      <c r="I255" s="52"/>
      <c r="J255" s="4">
        <f>$H255*K255/100</f>
        <v>105.57696314707248</v>
      </c>
      <c r="K255" s="9">
        <v>7.5247861202312999E-2</v>
      </c>
      <c r="L255" s="54"/>
      <c r="M255" s="4">
        <f t="shared" ref="M255:M258" si="84">J255-O255</f>
        <v>193.67743162108974</v>
      </c>
      <c r="N255" s="27"/>
      <c r="O255" s="4">
        <f>Q255</f>
        <v>-88.100468474017248</v>
      </c>
      <c r="P255" s="4">
        <f t="shared" ref="P255:P258" si="85">Q255-O255</f>
        <v>0</v>
      </c>
      <c r="Q255" s="4">
        <f>$H255*R255/100</f>
        <v>-88.100468474017248</v>
      </c>
      <c r="R255" s="9">
        <v>-6.2791840435461765E-2</v>
      </c>
      <c r="S255" s="5"/>
      <c r="T255" s="6"/>
    </row>
    <row r="256" spans="2:21" x14ac:dyDescent="0.25">
      <c r="B256" s="47">
        <f>MAX(B$10:B255)+1</f>
        <v>134</v>
      </c>
      <c r="C256" s="49"/>
      <c r="D256" s="29" t="s">
        <v>43</v>
      </c>
      <c r="E256" s="47"/>
      <c r="F256" s="58" t="s">
        <v>36</v>
      </c>
      <c r="G256" s="47"/>
      <c r="H256" s="4">
        <v>48544.5</v>
      </c>
      <c r="I256" s="52"/>
      <c r="J256" s="4">
        <f>$H256*K256/100</f>
        <v>290.19739097961229</v>
      </c>
      <c r="K256" s="9">
        <v>0.59779664221407636</v>
      </c>
      <c r="L256" s="54"/>
      <c r="M256" s="4">
        <f t="shared" si="84"/>
        <v>320.67937595980504</v>
      </c>
      <c r="N256" s="54"/>
      <c r="O256" s="4">
        <f t="shared" ref="O256:O257" si="86">Q256</f>
        <v>-30.481984980192738</v>
      </c>
      <c r="P256" s="4">
        <f t="shared" si="85"/>
        <v>0</v>
      </c>
      <c r="Q256" s="4">
        <f>$H256*R256/100</f>
        <v>-30.481984980192738</v>
      </c>
      <c r="R256" s="9">
        <v>-6.2791840435461765E-2</v>
      </c>
      <c r="S256" s="5"/>
      <c r="T256" s="6"/>
      <c r="U256" s="47"/>
    </row>
    <row r="257" spans="2:21" x14ac:dyDescent="0.25">
      <c r="B257" s="47">
        <f>MAX(B$10:B256)+1</f>
        <v>135</v>
      </c>
      <c r="C257" s="49"/>
      <c r="D257" s="29" t="s">
        <v>44</v>
      </c>
      <c r="E257" s="47"/>
      <c r="F257" s="58" t="s">
        <v>36</v>
      </c>
      <c r="G257" s="47"/>
      <c r="H257" s="4">
        <v>2</v>
      </c>
      <c r="I257" s="52"/>
      <c r="J257" s="4">
        <f>$H257*K257/100</f>
        <v>1.50495722404626E-3</v>
      </c>
      <c r="K257" s="9">
        <v>7.5247861202312999E-2</v>
      </c>
      <c r="L257" s="54"/>
      <c r="M257" s="4">
        <f t="shared" si="84"/>
        <v>2.7607940327554954E-3</v>
      </c>
      <c r="N257" s="54"/>
      <c r="O257" s="4">
        <f t="shared" si="86"/>
        <v>-1.2558368087092354E-3</v>
      </c>
      <c r="P257" s="4">
        <f t="shared" si="85"/>
        <v>0</v>
      </c>
      <c r="Q257" s="4">
        <f>$H257*R257/100</f>
        <v>-1.2558368087092354E-3</v>
      </c>
      <c r="R257" s="9">
        <v>-6.2791840435461765E-2</v>
      </c>
      <c r="S257" s="5"/>
      <c r="T257" s="6"/>
      <c r="U257" s="47"/>
    </row>
    <row r="258" spans="2:21" x14ac:dyDescent="0.25">
      <c r="B258" s="47">
        <f>MAX(B$10:B257)+1</f>
        <v>136</v>
      </c>
      <c r="C258" s="49"/>
      <c r="D258" s="29" t="s">
        <v>45</v>
      </c>
      <c r="E258" s="47"/>
      <c r="F258" s="58" t="s">
        <v>36</v>
      </c>
      <c r="G258" s="47"/>
      <c r="H258" s="4">
        <f>H252-SUM(H255:H257)</f>
        <v>0</v>
      </c>
      <c r="I258" s="52"/>
      <c r="J258" s="4">
        <f>$H258*K258/100</f>
        <v>0</v>
      </c>
      <c r="K258" s="9">
        <v>0</v>
      </c>
      <c r="L258" s="54"/>
      <c r="M258" s="4">
        <f t="shared" si="84"/>
        <v>0</v>
      </c>
      <c r="N258" s="54"/>
      <c r="O258" s="4">
        <f>Q258</f>
        <v>0</v>
      </c>
      <c r="P258" s="4">
        <f t="shared" si="85"/>
        <v>0</v>
      </c>
      <c r="Q258" s="4">
        <f>$H258*R258/100</f>
        <v>0</v>
      </c>
      <c r="R258" s="9">
        <v>-6.2791840435461765E-2</v>
      </c>
      <c r="S258" s="5"/>
      <c r="T258" s="6"/>
      <c r="U258" s="47"/>
    </row>
    <row r="259" spans="2:21" x14ac:dyDescent="0.25">
      <c r="B259" s="47">
        <f>MAX(B$10:B258)+1</f>
        <v>137</v>
      </c>
      <c r="C259" s="49"/>
      <c r="D259" s="26" t="s">
        <v>46</v>
      </c>
      <c r="E259" s="47"/>
      <c r="F259" s="3"/>
      <c r="G259" s="47"/>
      <c r="H259" s="55">
        <f>SUM(H255:H258)</f>
        <v>188852.1</v>
      </c>
      <c r="I259" s="52"/>
      <c r="J259" s="55">
        <f>SUM(J255:J258)</f>
        <v>395.77585908390881</v>
      </c>
      <c r="K259" s="7">
        <f>J259/$H259*100</f>
        <v>0.20956921267166675</v>
      </c>
      <c r="L259" s="54"/>
      <c r="M259" s="55">
        <f>SUM(M255:M258)</f>
        <v>514.35956837492756</v>
      </c>
      <c r="N259" s="27"/>
      <c r="O259" s="55">
        <f>SUM(O255:O258)</f>
        <v>-118.58370929101869</v>
      </c>
      <c r="P259" s="55">
        <f>SUM(P255:P258)</f>
        <v>0</v>
      </c>
      <c r="Q259" s="55">
        <f>SUM(Q255:Q258)</f>
        <v>-118.58370929101869</v>
      </c>
      <c r="R259" s="7">
        <f>Q259/$H259*100</f>
        <v>-6.2791840435461765E-2</v>
      </c>
      <c r="S259" s="56">
        <f>Q259/O259</f>
        <v>1</v>
      </c>
      <c r="T259" s="8">
        <f>R259/K259-1</f>
        <v>-1.2996234019060715</v>
      </c>
    </row>
    <row r="260" spans="2:21" x14ac:dyDescent="0.25"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31"/>
    </row>
    <row r="261" spans="2:21" x14ac:dyDescent="0.25">
      <c r="B261" s="47">
        <f>MAX(B$10:B260)+1</f>
        <v>138</v>
      </c>
      <c r="C261" s="49"/>
      <c r="D261" s="26" t="s">
        <v>47</v>
      </c>
      <c r="E261" s="47"/>
      <c r="F261" s="3" t="s">
        <v>36</v>
      </c>
      <c r="G261" s="47"/>
      <c r="H261" s="4">
        <f>H255</f>
        <v>140305.60000000001</v>
      </c>
      <c r="I261" s="52"/>
      <c r="J261" s="4">
        <f>$H261*K261/100</f>
        <v>65.825931409084802</v>
      </c>
      <c r="K261" s="9">
        <v>4.6916111266467476E-2</v>
      </c>
      <c r="L261" s="54"/>
      <c r="M261" s="4">
        <f>J261-O261</f>
        <v>-150.64320184514131</v>
      </c>
      <c r="N261" s="27"/>
      <c r="O261" s="4">
        <f>Q261</f>
        <v>216.46913325422611</v>
      </c>
      <c r="P261" s="4">
        <f>Q261-O261</f>
        <v>0</v>
      </c>
      <c r="Q261" s="4">
        <f>$H261*R261/100</f>
        <v>216.46913325422611</v>
      </c>
      <c r="R261" s="9">
        <v>0.15428402947154363</v>
      </c>
      <c r="S261" s="5">
        <f>Q261/O261</f>
        <v>1</v>
      </c>
      <c r="T261" s="6">
        <f>R261/K261-1</f>
        <v>2.288508474098867</v>
      </c>
    </row>
    <row r="262" spans="2:21" x14ac:dyDescent="0.25">
      <c r="B262" s="47"/>
      <c r="C262" s="49"/>
      <c r="D262" s="26"/>
      <c r="E262" s="47"/>
      <c r="F262" s="3"/>
      <c r="G262" s="47"/>
      <c r="H262" s="4"/>
      <c r="I262" s="52"/>
      <c r="J262" s="4"/>
      <c r="K262" s="9"/>
      <c r="L262" s="54"/>
      <c r="M262" s="4"/>
      <c r="N262" s="27"/>
      <c r="O262" s="4"/>
      <c r="P262" s="4"/>
      <c r="Q262" s="4"/>
      <c r="R262" s="9"/>
      <c r="S262" s="5"/>
      <c r="T262" s="6"/>
    </row>
    <row r="263" spans="2:21" ht="13" thickBot="1" x14ac:dyDescent="0.3">
      <c r="B263" s="47">
        <f>MAX(B$10:B262)+1</f>
        <v>139</v>
      </c>
      <c r="C263" s="49"/>
      <c r="D263" s="26" t="s">
        <v>84</v>
      </c>
      <c r="E263" s="47"/>
      <c r="F263" s="3"/>
      <c r="G263" s="47"/>
      <c r="H263" s="59">
        <f>H252</f>
        <v>188852.1</v>
      </c>
      <c r="I263" s="52"/>
      <c r="J263" s="59">
        <f>SUM(J252,J259,J261)</f>
        <v>5186.977912608706</v>
      </c>
      <c r="K263" s="11">
        <f>J263/$H263*100</f>
        <v>2.7465820674531582</v>
      </c>
      <c r="L263" s="54"/>
      <c r="M263" s="59">
        <f>SUM(M252,M259,M261)</f>
        <v>479.90523093553156</v>
      </c>
      <c r="N263" s="27"/>
      <c r="O263" s="59">
        <f>SUM(O252,O259,O261)</f>
        <v>4707.0726816731758</v>
      </c>
      <c r="P263" s="59">
        <f>SUM(P252,P259,P261)</f>
        <v>-127.45609616567775</v>
      </c>
      <c r="Q263" s="59">
        <f>SUM(Q252,Q259,Q261)</f>
        <v>4579.6165855074987</v>
      </c>
      <c r="R263" s="11">
        <f>Q263/$H263*100</f>
        <v>2.4249751977910217</v>
      </c>
      <c r="S263" s="60">
        <f>Q263/O263</f>
        <v>0.97292242869715551</v>
      </c>
      <c r="T263" s="12">
        <f>R263/K263-1</f>
        <v>-0.11709348629089211</v>
      </c>
    </row>
    <row r="264" spans="2:21" ht="13" thickTop="1" x14ac:dyDescent="0.25"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31"/>
    </row>
    <row r="265" spans="2:21" ht="13" x14ac:dyDescent="0.3">
      <c r="B265" s="47"/>
      <c r="C265" s="49"/>
      <c r="D265" s="20" t="s">
        <v>85</v>
      </c>
      <c r="E265" s="47"/>
      <c r="F265" s="25"/>
      <c r="G265" s="47"/>
      <c r="H265" s="34"/>
      <c r="I265" s="52"/>
      <c r="J265" s="34"/>
      <c r="K265" s="52"/>
      <c r="L265" s="52"/>
      <c r="M265" s="13"/>
      <c r="N265" s="52"/>
      <c r="O265" s="14"/>
      <c r="P265" s="52"/>
      <c r="Q265" s="52"/>
      <c r="R265" s="52"/>
      <c r="S265" s="52"/>
      <c r="T265" s="61"/>
      <c r="U265" s="47"/>
    </row>
    <row r="266" spans="2:21" x14ac:dyDescent="0.25">
      <c r="B266" s="47">
        <f>MAX(B$10:B265)+1</f>
        <v>140</v>
      </c>
      <c r="C266" s="49"/>
      <c r="D266" s="26" t="s">
        <v>32</v>
      </c>
      <c r="E266" s="47"/>
      <c r="F266" s="3" t="s">
        <v>33</v>
      </c>
      <c r="G266" s="47"/>
      <c r="H266" s="4">
        <v>0</v>
      </c>
      <c r="I266" s="52"/>
      <c r="J266" s="4">
        <f>$H266*K266/1000</f>
        <v>0</v>
      </c>
      <c r="K266" s="53">
        <v>546.96967474977816</v>
      </c>
      <c r="L266" s="54"/>
      <c r="M266" s="4">
        <f t="shared" ref="M266:M267" si="87">J266-O266</f>
        <v>0</v>
      </c>
      <c r="N266" s="27"/>
      <c r="O266" s="4">
        <v>0</v>
      </c>
      <c r="P266" s="4">
        <f t="shared" ref="P266:P267" si="88">Q266-O266</f>
        <v>0</v>
      </c>
      <c r="Q266" s="4">
        <f>$H266*R266/1000</f>
        <v>0</v>
      </c>
      <c r="R266" s="53">
        <v>1500</v>
      </c>
      <c r="S266" s="5"/>
      <c r="T266" s="6">
        <f>R266/K266-1</f>
        <v>1.7423823828737928</v>
      </c>
    </row>
    <row r="267" spans="2:21" x14ac:dyDescent="0.25">
      <c r="B267" s="47">
        <f>MAX(B$10:B266)+1</f>
        <v>141</v>
      </c>
      <c r="C267" s="49"/>
      <c r="D267" s="26" t="s">
        <v>58</v>
      </c>
      <c r="E267" s="47"/>
      <c r="F267" s="3" t="s">
        <v>59</v>
      </c>
      <c r="G267" s="47"/>
      <c r="H267" s="4">
        <v>0</v>
      </c>
      <c r="I267" s="52"/>
      <c r="J267" s="4">
        <f>$H267*K267/100</f>
        <v>0</v>
      </c>
      <c r="K267" s="9">
        <v>26.375232474581111</v>
      </c>
      <c r="L267" s="54"/>
      <c r="M267" s="4">
        <f t="shared" si="87"/>
        <v>0</v>
      </c>
      <c r="N267" s="27"/>
      <c r="O267" s="4">
        <v>0</v>
      </c>
      <c r="P267" s="4">
        <f t="shared" si="88"/>
        <v>0</v>
      </c>
      <c r="Q267" s="4">
        <f>$H267*R267/100</f>
        <v>0</v>
      </c>
      <c r="R267" s="9">
        <v>25.260400000000001</v>
      </c>
      <c r="S267" s="5"/>
      <c r="T267" s="6">
        <f>R267/K267-1</f>
        <v>-4.2268157281855956E-2</v>
      </c>
    </row>
    <row r="268" spans="2:21" x14ac:dyDescent="0.25">
      <c r="B268" s="47">
        <f>MAX(B$10:B267)+1</f>
        <v>142</v>
      </c>
      <c r="C268" s="49"/>
      <c r="D268" s="26" t="s">
        <v>41</v>
      </c>
      <c r="E268" s="47"/>
      <c r="F268" s="3" t="s">
        <v>36</v>
      </c>
      <c r="G268" s="47"/>
      <c r="H268" s="55">
        <v>0</v>
      </c>
      <c r="I268" s="52"/>
      <c r="J268" s="55">
        <f>SUM(J266:J267)</f>
        <v>0</v>
      </c>
      <c r="K268" s="7"/>
      <c r="L268" s="54"/>
      <c r="M268" s="55">
        <f>SUM(M266:M267)</f>
        <v>0</v>
      </c>
      <c r="N268" s="27"/>
      <c r="O268" s="55">
        <f>SUM(O266:O267)</f>
        <v>0</v>
      </c>
      <c r="P268" s="55">
        <f>SUM(P266:P267)</f>
        <v>0</v>
      </c>
      <c r="Q268" s="55">
        <f>SUM(Q266:Q267)</f>
        <v>0</v>
      </c>
      <c r="R268" s="7"/>
      <c r="S268" s="56"/>
      <c r="T268" s="8"/>
    </row>
    <row r="269" spans="2:21" x14ac:dyDescent="0.25">
      <c r="E269" s="47"/>
      <c r="F269" s="3"/>
      <c r="G269" s="47"/>
      <c r="H269" s="4"/>
      <c r="I269" s="52"/>
      <c r="J269" s="4"/>
      <c r="K269" s="9"/>
      <c r="L269" s="54"/>
      <c r="M269" s="4"/>
      <c r="N269" s="27"/>
      <c r="O269" s="4"/>
      <c r="P269" s="4"/>
      <c r="Q269" s="4"/>
      <c r="R269" s="9"/>
      <c r="S269" s="5"/>
      <c r="T269" s="6"/>
    </row>
    <row r="270" spans="2:21" x14ac:dyDescent="0.25">
      <c r="B270" s="47">
        <f>MAX(B$10:B269)+1</f>
        <v>143</v>
      </c>
      <c r="C270" s="49"/>
      <c r="D270" s="26" t="s">
        <v>68</v>
      </c>
      <c r="E270" s="47"/>
      <c r="F270" s="3"/>
      <c r="G270" s="47"/>
      <c r="H270" s="4"/>
      <c r="I270" s="52"/>
      <c r="J270" s="4"/>
      <c r="K270" s="65"/>
      <c r="L270" s="54"/>
      <c r="M270" s="4"/>
      <c r="N270" s="27"/>
      <c r="O270" s="4"/>
      <c r="P270" s="4"/>
      <c r="Q270" s="4"/>
      <c r="R270" s="65"/>
      <c r="S270" s="5"/>
      <c r="T270" s="6"/>
    </row>
    <row r="271" spans="2:21" x14ac:dyDescent="0.25">
      <c r="B271" s="47"/>
      <c r="C271" s="49"/>
      <c r="D271" s="26"/>
      <c r="E271" s="47"/>
      <c r="F271" s="3"/>
      <c r="G271" s="47"/>
      <c r="H271" s="4"/>
      <c r="I271" s="52"/>
      <c r="J271" s="4"/>
      <c r="K271" s="9"/>
      <c r="L271" s="54"/>
      <c r="M271" s="4"/>
      <c r="N271" s="27"/>
      <c r="O271" s="4"/>
      <c r="P271" s="4"/>
      <c r="Q271" s="4"/>
      <c r="R271" s="9"/>
      <c r="S271" s="5"/>
      <c r="T271" s="15"/>
    </row>
    <row r="272" spans="2:21" ht="13" thickBot="1" x14ac:dyDescent="0.3">
      <c r="B272" s="47">
        <f>MAX(B$10:B271)+1</f>
        <v>144</v>
      </c>
      <c r="C272" s="49"/>
      <c r="D272" s="26" t="s">
        <v>86</v>
      </c>
      <c r="E272" s="47"/>
      <c r="F272" s="3"/>
      <c r="G272" s="47"/>
      <c r="H272" s="59">
        <f>H268</f>
        <v>0</v>
      </c>
      <c r="I272" s="52"/>
      <c r="J272" s="59">
        <f>J268+J270</f>
        <v>0</v>
      </c>
      <c r="K272" s="11"/>
      <c r="L272" s="54"/>
      <c r="M272" s="59">
        <f>M268+M270</f>
        <v>0</v>
      </c>
      <c r="N272" s="27"/>
      <c r="O272" s="59">
        <f>O268+O270</f>
        <v>0</v>
      </c>
      <c r="P272" s="59">
        <f>P268+P270</f>
        <v>0</v>
      </c>
      <c r="Q272" s="59">
        <f>Q268+Q270</f>
        <v>0</v>
      </c>
      <c r="R272" s="11"/>
      <c r="S272" s="60"/>
      <c r="T272" s="16"/>
    </row>
    <row r="273" spans="2:21" ht="13" thickTop="1" x14ac:dyDescent="0.25">
      <c r="B273" s="47"/>
      <c r="C273" s="49"/>
      <c r="D273" s="26"/>
      <c r="E273" s="47"/>
      <c r="F273" s="3"/>
      <c r="G273" s="47"/>
      <c r="H273" s="54"/>
      <c r="I273" s="52"/>
      <c r="J273" s="54"/>
      <c r="K273" s="9"/>
      <c r="L273" s="54"/>
      <c r="M273" s="54"/>
      <c r="N273" s="27"/>
      <c r="O273" s="54"/>
      <c r="P273" s="54"/>
      <c r="Q273" s="54"/>
      <c r="R273" s="9"/>
      <c r="S273" s="57"/>
      <c r="T273" s="10"/>
    </row>
    <row r="274" spans="2:21" x14ac:dyDescent="0.25">
      <c r="B274" s="19" t="str">
        <f>$B$2 &amp;" (continued)"</f>
        <v>Derivation of Proposed Rates and Revenue by Rate Class - Delivery (continued)</v>
      </c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20"/>
    </row>
    <row r="275" spans="2:21" x14ac:dyDescent="0.25">
      <c r="B275" s="43"/>
      <c r="C275" s="43"/>
      <c r="D275" s="43"/>
      <c r="E275" s="43"/>
      <c r="F275" s="44"/>
      <c r="G275" s="43"/>
      <c r="H275" s="44"/>
      <c r="I275" s="43"/>
      <c r="J275" s="44"/>
      <c r="K275" s="44"/>
      <c r="L275" s="44"/>
      <c r="M275" s="44"/>
      <c r="N275" s="43"/>
      <c r="O275" s="43"/>
      <c r="P275" s="43"/>
      <c r="Q275" s="43"/>
      <c r="R275" s="43"/>
      <c r="S275" s="22"/>
      <c r="T275" s="22"/>
    </row>
    <row r="276" spans="2:21" x14ac:dyDescent="0.25">
      <c r="B276" s="44"/>
      <c r="C276" s="44"/>
      <c r="D276" s="44"/>
      <c r="E276" s="44"/>
      <c r="F276" s="43"/>
      <c r="G276" s="44"/>
      <c r="H276" s="43"/>
      <c r="I276" s="44"/>
      <c r="J276" s="45" t="s">
        <v>1</v>
      </c>
      <c r="K276" s="45"/>
      <c r="L276" s="44"/>
      <c r="M276" s="44"/>
      <c r="N276" s="44"/>
      <c r="O276" s="45" t="s">
        <v>2</v>
      </c>
      <c r="P276" s="45"/>
      <c r="Q276" s="45"/>
      <c r="R276" s="45"/>
      <c r="S276" s="23"/>
      <c r="T276" s="23"/>
    </row>
    <row r="277" spans="2:21" s="24" customFormat="1" ht="39" customHeight="1" x14ac:dyDescent="0.25">
      <c r="B277" s="46" t="s">
        <v>3</v>
      </c>
      <c r="C277" s="46"/>
      <c r="D277" s="46"/>
      <c r="E277" s="46"/>
      <c r="F277" s="47" t="s">
        <v>4</v>
      </c>
      <c r="G277" s="46"/>
      <c r="H277" s="24" t="s">
        <v>5</v>
      </c>
      <c r="I277" s="46"/>
      <c r="J277" s="24" t="s">
        <v>6</v>
      </c>
      <c r="K277" s="24" t="s">
        <v>7</v>
      </c>
      <c r="L277" s="46"/>
      <c r="M277" s="24" t="s">
        <v>8</v>
      </c>
      <c r="N277" s="46"/>
      <c r="O277" s="46" t="s">
        <v>9</v>
      </c>
      <c r="P277" s="24" t="s">
        <v>8</v>
      </c>
      <c r="Q277" s="24" t="s">
        <v>6</v>
      </c>
      <c r="R277" s="24" t="s">
        <v>7</v>
      </c>
      <c r="S277" s="46" t="s">
        <v>10</v>
      </c>
      <c r="T277" s="46" t="s">
        <v>11</v>
      </c>
      <c r="U277" s="46"/>
    </row>
    <row r="278" spans="2:21" ht="14.5" x14ac:dyDescent="0.25">
      <c r="B278" s="48" t="s">
        <v>12</v>
      </c>
      <c r="C278" s="49"/>
      <c r="D278" s="50" t="s">
        <v>13</v>
      </c>
      <c r="E278" s="47"/>
      <c r="F278" s="48" t="s">
        <v>14</v>
      </c>
      <c r="G278" s="47"/>
      <c r="H278" s="48" t="s">
        <v>15</v>
      </c>
      <c r="I278" s="47"/>
      <c r="J278" s="48" t="s">
        <v>16</v>
      </c>
      <c r="K278" s="48" t="s">
        <v>17</v>
      </c>
      <c r="L278" s="47"/>
      <c r="M278" s="48" t="s">
        <v>16</v>
      </c>
      <c r="N278" s="47"/>
      <c r="O278" s="48" t="s">
        <v>16</v>
      </c>
      <c r="P278" s="48" t="s">
        <v>16</v>
      </c>
      <c r="Q278" s="48" t="s">
        <v>16</v>
      </c>
      <c r="R278" s="48" t="s">
        <v>17</v>
      </c>
      <c r="S278" s="48" t="s">
        <v>18</v>
      </c>
      <c r="T278" s="48" t="s">
        <v>19</v>
      </c>
      <c r="U278" s="47"/>
    </row>
    <row r="279" spans="2:21" x14ac:dyDescent="0.25">
      <c r="B279" s="47"/>
      <c r="C279" s="49"/>
      <c r="D279" s="49"/>
      <c r="E279" s="47"/>
      <c r="F279" s="47"/>
      <c r="G279" s="47"/>
      <c r="H279" s="47" t="s">
        <v>20</v>
      </c>
      <c r="I279" s="47"/>
      <c r="J279" s="47" t="s">
        <v>21</v>
      </c>
      <c r="K279" s="47" t="s">
        <v>22</v>
      </c>
      <c r="L279" s="47"/>
      <c r="M279" s="47" t="s">
        <v>23</v>
      </c>
      <c r="N279" s="47"/>
      <c r="O279" s="47" t="s">
        <v>24</v>
      </c>
      <c r="P279" s="47" t="s">
        <v>25</v>
      </c>
      <c r="Q279" s="51" t="s">
        <v>26</v>
      </c>
      <c r="R279" s="51" t="s">
        <v>27</v>
      </c>
      <c r="S279" s="51" t="s">
        <v>28</v>
      </c>
      <c r="T279" s="51" t="s">
        <v>29</v>
      </c>
      <c r="U279" s="47"/>
    </row>
    <row r="280" spans="2:21" x14ac:dyDescent="0.25">
      <c r="D280" s="69" t="s">
        <v>87</v>
      </c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</row>
    <row r="281" spans="2:21" ht="13" x14ac:dyDescent="0.3">
      <c r="B281" s="47"/>
      <c r="C281" s="49"/>
      <c r="D281" s="20" t="s">
        <v>88</v>
      </c>
      <c r="E281" s="47"/>
      <c r="F281" s="25"/>
      <c r="G281" s="47"/>
      <c r="H281" s="34"/>
      <c r="I281" s="52"/>
      <c r="J281" s="34"/>
      <c r="K281" s="52"/>
      <c r="L281" s="52"/>
      <c r="M281" s="13"/>
      <c r="N281" s="52"/>
      <c r="O281" s="14"/>
      <c r="P281" s="52"/>
      <c r="Q281" s="52"/>
      <c r="R281" s="52"/>
      <c r="S281" s="52"/>
      <c r="T281" s="52"/>
      <c r="U281" s="47"/>
    </row>
    <row r="282" spans="2:21" x14ac:dyDescent="0.25">
      <c r="B282" s="47">
        <f>MAX(B$10:B281)+1</f>
        <v>145</v>
      </c>
      <c r="C282" s="49"/>
      <c r="D282" s="26" t="s">
        <v>32</v>
      </c>
      <c r="E282" s="47"/>
      <c r="F282" s="3" t="s">
        <v>33</v>
      </c>
      <c r="G282" s="47"/>
      <c r="H282" s="4">
        <v>4430024</v>
      </c>
      <c r="I282" s="52"/>
      <c r="J282" s="4">
        <f>$H282*K282/1000</f>
        <v>101801.95152</v>
      </c>
      <c r="K282" s="53">
        <v>22.98</v>
      </c>
      <c r="L282" s="54"/>
      <c r="M282" s="4">
        <f>J282-O282</f>
        <v>-26441.753103162657</v>
      </c>
      <c r="N282" s="27"/>
      <c r="O282" s="4">
        <v>128243.70462316266</v>
      </c>
      <c r="P282" s="4">
        <f>Q282-O282</f>
        <v>-26353.152623162663</v>
      </c>
      <c r="Q282" s="4">
        <f>$H282*R282/1000</f>
        <v>101890.552</v>
      </c>
      <c r="R282" s="53">
        <v>23</v>
      </c>
      <c r="S282" s="5">
        <f>Q282/O282</f>
        <v>0.79450724150085961</v>
      </c>
      <c r="T282" s="6">
        <f>R282/K282-1</f>
        <v>8.7032201914705176E-4</v>
      </c>
    </row>
    <row r="283" spans="2:21" x14ac:dyDescent="0.25">
      <c r="B283" s="47"/>
      <c r="C283" s="49"/>
      <c r="D283" s="26" t="s">
        <v>34</v>
      </c>
      <c r="E283" s="47"/>
      <c r="F283" s="3"/>
      <c r="G283" s="47"/>
      <c r="H283" s="4"/>
      <c r="I283" s="52"/>
      <c r="J283" s="4"/>
      <c r="K283" s="9"/>
      <c r="L283" s="54"/>
      <c r="M283" s="4"/>
      <c r="N283" s="27"/>
      <c r="O283" s="4"/>
      <c r="P283" s="4"/>
      <c r="Q283" s="4"/>
      <c r="R283" s="9"/>
      <c r="S283" s="5"/>
      <c r="T283" s="6"/>
    </row>
    <row r="284" spans="2:21" x14ac:dyDescent="0.25">
      <c r="B284" s="47">
        <f>MAX(B$10:B283)+1</f>
        <v>146</v>
      </c>
      <c r="C284" s="49"/>
      <c r="D284" s="70" t="s">
        <v>89</v>
      </c>
      <c r="E284" s="47"/>
      <c r="F284" s="3" t="s">
        <v>36</v>
      </c>
      <c r="G284" s="47"/>
      <c r="H284" s="4">
        <v>300034.3661651985</v>
      </c>
      <c r="I284" s="52"/>
      <c r="J284" s="4">
        <f>$H284*K284/100</f>
        <v>33231.806396457388</v>
      </c>
      <c r="K284" s="9">
        <v>11.076000000000001</v>
      </c>
      <c r="L284" s="54"/>
      <c r="M284" s="4">
        <f t="shared" ref="M284:M288" si="89">J284-O284</f>
        <v>16922.690874375097</v>
      </c>
      <c r="N284" s="27"/>
      <c r="O284" s="4">
        <f>J284/J$289*O$289</f>
        <v>16309.115522082289</v>
      </c>
      <c r="P284" s="4">
        <f t="shared" ref="P284:P288" si="90">Q284-O284</f>
        <v>8041.9548599532482</v>
      </c>
      <c r="Q284" s="4">
        <f>$H284*R284/100</f>
        <v>24351.070382035537</v>
      </c>
      <c r="R284" s="9">
        <f>K284*(O$289+P$289)/J$289</f>
        <v>8.1160937306188021</v>
      </c>
      <c r="S284" s="5"/>
      <c r="T284" s="6">
        <f t="shared" ref="T284:T288" si="91">R284/K284-1</f>
        <v>-0.26723603009942198</v>
      </c>
    </row>
    <row r="285" spans="2:21" x14ac:dyDescent="0.25">
      <c r="B285" s="47">
        <f>MAX(B$10:B284)+1</f>
        <v>147</v>
      </c>
      <c r="C285" s="49"/>
      <c r="D285" s="70" t="s">
        <v>90</v>
      </c>
      <c r="E285" s="47"/>
      <c r="F285" s="3" t="s">
        <v>36</v>
      </c>
      <c r="G285" s="47"/>
      <c r="H285" s="4">
        <v>344054.1096208872</v>
      </c>
      <c r="I285" s="52"/>
      <c r="J285" s="4">
        <f>$H285*K285/100</f>
        <v>37150.96275686341</v>
      </c>
      <c r="K285" s="9">
        <v>10.798000000000002</v>
      </c>
      <c r="L285" s="54"/>
      <c r="M285" s="4">
        <f t="shared" si="89"/>
        <v>18918.449720110377</v>
      </c>
      <c r="N285" s="27"/>
      <c r="O285" s="4">
        <f t="shared" ref="O285:O288" si="92">J285/J$289*O$289</f>
        <v>18232.513036753033</v>
      </c>
      <c r="P285" s="4">
        <f t="shared" si="90"/>
        <v>8990.3739185947161</v>
      </c>
      <c r="Q285" s="4">
        <f>$H285*R285/100</f>
        <v>27222.886955347749</v>
      </c>
      <c r="R285" s="9">
        <f t="shared" ref="R285:R288" si="93">K285*(O$289+P$289)/J$289</f>
        <v>7.9123853469864427</v>
      </c>
      <c r="S285" s="5"/>
      <c r="T285" s="6">
        <f t="shared" si="91"/>
        <v>-0.26723603009942198</v>
      </c>
    </row>
    <row r="286" spans="2:21" x14ac:dyDescent="0.25">
      <c r="B286" s="47">
        <f>MAX(B$10:B285)+1</f>
        <v>148</v>
      </c>
      <c r="C286" s="49"/>
      <c r="D286" s="70" t="s">
        <v>90</v>
      </c>
      <c r="E286" s="47"/>
      <c r="F286" s="3" t="s">
        <v>36</v>
      </c>
      <c r="G286" s="47"/>
      <c r="H286" s="4">
        <v>129905.68038836875</v>
      </c>
      <c r="I286" s="52"/>
      <c r="J286" s="4">
        <f>$H286*K286/100</f>
        <v>13454.721034864519</v>
      </c>
      <c r="K286" s="9">
        <v>10.3573</v>
      </c>
      <c r="L286" s="54"/>
      <c r="M286" s="4">
        <f t="shared" si="89"/>
        <v>6851.5711170680424</v>
      </c>
      <c r="N286" s="27"/>
      <c r="O286" s="4">
        <f t="shared" si="92"/>
        <v>6603.1499177964761</v>
      </c>
      <c r="P286" s="4">
        <f t="shared" si="90"/>
        <v>3255.9848816156609</v>
      </c>
      <c r="Q286" s="4">
        <f>$H286*R286/100</f>
        <v>9859.134799412137</v>
      </c>
      <c r="R286" s="9">
        <f t="shared" si="93"/>
        <v>7.5894562654512558</v>
      </c>
      <c r="S286" s="5"/>
      <c r="T286" s="6">
        <f t="shared" si="91"/>
        <v>-0.26723603009942209</v>
      </c>
    </row>
    <row r="287" spans="2:21" x14ac:dyDescent="0.25">
      <c r="B287" s="47">
        <f>MAX(B$10:B286)+1</f>
        <v>149</v>
      </c>
      <c r="C287" s="49"/>
      <c r="D287" s="70" t="s">
        <v>91</v>
      </c>
      <c r="E287" s="47"/>
      <c r="F287" s="3" t="s">
        <v>36</v>
      </c>
      <c r="G287" s="47"/>
      <c r="H287" s="4">
        <v>88809.558943589713</v>
      </c>
      <c r="I287" s="52"/>
      <c r="J287" s="4">
        <f>$H287*K287/100</f>
        <v>8839.215401655485</v>
      </c>
      <c r="K287" s="9">
        <v>9.9530000000000012</v>
      </c>
      <c r="L287" s="54"/>
      <c r="M287" s="4">
        <f t="shared" si="89"/>
        <v>4501.2091136332911</v>
      </c>
      <c r="N287" s="27"/>
      <c r="O287" s="4">
        <f t="shared" si="92"/>
        <v>4338.006288022194</v>
      </c>
      <c r="P287" s="4">
        <f t="shared" si="90"/>
        <v>2139.0522805012115</v>
      </c>
      <c r="Q287" s="4">
        <f>$H287*R287/100</f>
        <v>6477.0585685234055</v>
      </c>
      <c r="R287" s="9">
        <f t="shared" si="93"/>
        <v>7.2931997924204532</v>
      </c>
      <c r="S287" s="5"/>
      <c r="T287" s="6">
        <f t="shared" si="91"/>
        <v>-0.26723603009942209</v>
      </c>
    </row>
    <row r="288" spans="2:21" x14ac:dyDescent="0.25">
      <c r="B288" s="47">
        <f>MAX(B$10:B287)+1</f>
        <v>150</v>
      </c>
      <c r="C288" s="49"/>
      <c r="D288" s="70" t="s">
        <v>92</v>
      </c>
      <c r="E288" s="47"/>
      <c r="F288" s="3" t="s">
        <v>36</v>
      </c>
      <c r="G288" s="47"/>
      <c r="H288" s="4">
        <v>126200.90529496717</v>
      </c>
      <c r="I288" s="52"/>
      <c r="J288" s="4">
        <f>$H288*K288/100</f>
        <v>12138.88647760701</v>
      </c>
      <c r="K288" s="9">
        <v>9.6187000000000005</v>
      </c>
      <c r="L288" s="54"/>
      <c r="M288" s="4">
        <f t="shared" si="89"/>
        <v>6181.5063848462387</v>
      </c>
      <c r="N288" s="27"/>
      <c r="O288" s="4">
        <f t="shared" si="92"/>
        <v>5957.3800927607708</v>
      </c>
      <c r="P288" s="4">
        <f t="shared" si="90"/>
        <v>2937.5585527429839</v>
      </c>
      <c r="Q288" s="4">
        <f>$H288*R288/100</f>
        <v>8894.9386455037547</v>
      </c>
      <c r="R288" s="9">
        <f t="shared" si="93"/>
        <v>7.0482367972826898</v>
      </c>
      <c r="S288" s="5"/>
      <c r="T288" s="6">
        <f t="shared" si="91"/>
        <v>-0.26723603009942198</v>
      </c>
    </row>
    <row r="289" spans="2:21" x14ac:dyDescent="0.25">
      <c r="B289" s="47">
        <f>MAX(B$10:B288)+1</f>
        <v>151</v>
      </c>
      <c r="C289" s="49"/>
      <c r="D289" s="26" t="s">
        <v>34</v>
      </c>
      <c r="E289" s="47"/>
      <c r="F289" s="3"/>
      <c r="G289" s="47"/>
      <c r="H289" s="55">
        <f>SUM(H284:H288)</f>
        <v>989004.62041301141</v>
      </c>
      <c r="I289" s="52"/>
      <c r="J289" s="55">
        <f>SUM(J284:J288)</f>
        <v>104815.59206744781</v>
      </c>
      <c r="K289" s="7">
        <f>J289/$H289*100</f>
        <v>10.598089220622295</v>
      </c>
      <c r="L289" s="54"/>
      <c r="M289" s="55">
        <f>SUM(M284:M288)</f>
        <v>53375.427210033049</v>
      </c>
      <c r="N289" s="27"/>
      <c r="O289" s="55">
        <v>51440.164857414762</v>
      </c>
      <c r="P289" s="55">
        <f>P310-SUM(P282,P296)</f>
        <v>25364.924493407823</v>
      </c>
      <c r="Q289" s="55">
        <f>SUM(Q284:Q288)</f>
        <v>76805.089350822585</v>
      </c>
      <c r="R289" s="7">
        <f>Q289/$H289*100</f>
        <v>7.7658979306637148</v>
      </c>
      <c r="S289" s="56">
        <f>Q289/O289</f>
        <v>1.4930957076773761</v>
      </c>
      <c r="T289" s="8">
        <f>R289/K289-1</f>
        <v>-0.26723603009942209</v>
      </c>
    </row>
    <row r="290" spans="2:21" x14ac:dyDescent="0.25">
      <c r="B290" s="47"/>
      <c r="C290" s="49"/>
      <c r="D290" s="26"/>
      <c r="E290" s="47"/>
      <c r="F290" s="3"/>
      <c r="G290" s="47"/>
      <c r="H290" s="4"/>
      <c r="I290" s="52"/>
      <c r="J290" s="4"/>
      <c r="K290" s="9"/>
      <c r="L290" s="54"/>
      <c r="M290" s="4"/>
      <c r="N290" s="27"/>
      <c r="O290" s="4"/>
      <c r="P290" s="4"/>
      <c r="Q290" s="4"/>
      <c r="R290" s="9"/>
      <c r="S290" s="5"/>
      <c r="T290" s="15"/>
    </row>
    <row r="291" spans="2:21" x14ac:dyDescent="0.25">
      <c r="B291" s="47">
        <f>MAX(B$10:B290)+1</f>
        <v>152</v>
      </c>
      <c r="C291" s="49"/>
      <c r="D291" s="26" t="s">
        <v>41</v>
      </c>
      <c r="E291" s="47"/>
      <c r="F291" s="3"/>
      <c r="G291" s="47"/>
      <c r="H291" s="55">
        <f>H289</f>
        <v>989004.62041301141</v>
      </c>
      <c r="I291" s="52"/>
      <c r="J291" s="55">
        <f>J282+J289</f>
        <v>206617.54358744781</v>
      </c>
      <c r="K291" s="7">
        <f>J291/$H291*100</f>
        <v>20.891463934836189</v>
      </c>
      <c r="L291" s="54"/>
      <c r="M291" s="55">
        <f>M282+M289</f>
        <v>26933.674106870392</v>
      </c>
      <c r="N291" s="27"/>
      <c r="O291" s="55">
        <f>O282+O289</f>
        <v>179683.86948057741</v>
      </c>
      <c r="P291" s="55">
        <f>P282+P289</f>
        <v>-988.22812975483976</v>
      </c>
      <c r="Q291" s="55">
        <f>Q282+Q289</f>
        <v>178695.64135082258</v>
      </c>
      <c r="R291" s="7">
        <f>Q291/$H291*100</f>
        <v>18.068231195542719</v>
      </c>
      <c r="S291" s="56">
        <f>Q291/O291</f>
        <v>0.99450018450397604</v>
      </c>
      <c r="T291" s="8">
        <f>R291/K291-1</f>
        <v>-0.13513809985262804</v>
      </c>
    </row>
    <row r="292" spans="2:21" x14ac:dyDescent="0.25"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31"/>
    </row>
    <row r="293" spans="2:21" x14ac:dyDescent="0.25">
      <c r="B293" s="47"/>
      <c r="C293" s="49"/>
      <c r="D293" s="26" t="s">
        <v>93</v>
      </c>
      <c r="E293" s="47"/>
      <c r="F293" s="3"/>
      <c r="G293" s="47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31"/>
    </row>
    <row r="294" spans="2:21" x14ac:dyDescent="0.25">
      <c r="B294" s="47">
        <f>MAX(B$10:B293)+1</f>
        <v>153</v>
      </c>
      <c r="C294" s="49"/>
      <c r="D294" s="29" t="s">
        <v>94</v>
      </c>
      <c r="E294" s="47"/>
      <c r="F294" s="3" t="s">
        <v>36</v>
      </c>
      <c r="G294" s="47"/>
      <c r="H294" s="4">
        <v>277957.19740979047</v>
      </c>
      <c r="I294" s="52"/>
      <c r="J294" s="4">
        <f>$H294*K294/100</f>
        <v>4736.0541138179869</v>
      </c>
      <c r="K294" s="9">
        <v>1.7038789273859507</v>
      </c>
      <c r="L294" s="54"/>
      <c r="M294" s="4">
        <f t="shared" ref="M294:M295" si="94">J294-O294</f>
        <v>1802.715700147754</v>
      </c>
      <c r="N294" s="27"/>
      <c r="O294" s="4">
        <f t="shared" ref="O294:O295" si="95">Q294</f>
        <v>2933.338413670233</v>
      </c>
      <c r="P294" s="4">
        <f t="shared" ref="P294:P295" si="96">Q294-O294</f>
        <v>0</v>
      </c>
      <c r="Q294" s="4">
        <f>$H294*R294/100</f>
        <v>2933.338413670233</v>
      </c>
      <c r="R294" s="9">
        <f>(O$296+P$296)/H$296*100</f>
        <v>1.05532018634712</v>
      </c>
      <c r="S294" s="5"/>
      <c r="T294" s="6"/>
    </row>
    <row r="295" spans="2:21" x14ac:dyDescent="0.25">
      <c r="B295" s="47">
        <f>MAX(B$10:B294)+1</f>
        <v>154</v>
      </c>
      <c r="C295" s="49"/>
      <c r="D295" s="29" t="s">
        <v>95</v>
      </c>
      <c r="E295" s="47"/>
      <c r="F295" s="3" t="s">
        <v>36</v>
      </c>
      <c r="G295" s="47"/>
      <c r="H295" s="4">
        <v>711047.42300322105</v>
      </c>
      <c r="I295" s="52"/>
      <c r="J295" s="4">
        <f>$H295*K295/100</f>
        <v>15311.573461337153</v>
      </c>
      <c r="K295" s="9">
        <v>2.1533828779895305</v>
      </c>
      <c r="L295" s="54"/>
      <c r="M295" s="4">
        <f t="shared" si="94"/>
        <v>7807.7464718831661</v>
      </c>
      <c r="N295" s="27"/>
      <c r="O295" s="4">
        <f t="shared" si="95"/>
        <v>7503.8269894539872</v>
      </c>
      <c r="P295" s="4">
        <f t="shared" si="96"/>
        <v>0</v>
      </c>
      <c r="Q295" s="4">
        <f>$H295*R295/100</f>
        <v>7503.8269894539872</v>
      </c>
      <c r="R295" s="9">
        <f>(O$296+P$296)/H$296*100</f>
        <v>1.05532018634712</v>
      </c>
      <c r="S295" s="5"/>
      <c r="T295" s="6"/>
    </row>
    <row r="296" spans="2:21" x14ac:dyDescent="0.25">
      <c r="B296" s="47">
        <f>MAX(B$10:B295)+1</f>
        <v>155</v>
      </c>
      <c r="C296" s="49"/>
      <c r="D296" s="26" t="s">
        <v>93</v>
      </c>
      <c r="E296" s="47"/>
      <c r="F296" s="3"/>
      <c r="G296" s="47"/>
      <c r="H296" s="55">
        <f>SUM(H294:H295)</f>
        <v>989004.62041301152</v>
      </c>
      <c r="I296" s="52"/>
      <c r="J296" s="55">
        <f>SUM(J294:J295)</f>
        <v>20047.62757515514</v>
      </c>
      <c r="K296" s="7">
        <f>J296/$H296*100</f>
        <v>2.0270509521768654</v>
      </c>
      <c r="L296" s="54"/>
      <c r="M296" s="55">
        <f>SUM(M294:M295)</f>
        <v>9610.4621720309206</v>
      </c>
      <c r="N296" s="27"/>
      <c r="O296" s="55">
        <v>10437.165403124221</v>
      </c>
      <c r="P296" s="55">
        <v>0</v>
      </c>
      <c r="Q296" s="55">
        <f>SUM(Q294:Q295)</f>
        <v>10437.16540312422</v>
      </c>
      <c r="R296" s="7">
        <f>Q296/$H296*100</f>
        <v>1.05532018634712</v>
      </c>
      <c r="S296" s="56">
        <f>Q296/O296</f>
        <v>0.99999999999999978</v>
      </c>
      <c r="T296" s="8">
        <f>R296/K296-1</f>
        <v>-0.4793815196338288</v>
      </c>
    </row>
    <row r="297" spans="2:21" x14ac:dyDescent="0.25">
      <c r="E297" s="47"/>
      <c r="F297" s="3"/>
      <c r="G297" s="47"/>
      <c r="H297" s="4"/>
      <c r="I297" s="52"/>
      <c r="J297" s="4"/>
      <c r="K297" s="9"/>
      <c r="L297" s="54"/>
      <c r="M297" s="4"/>
      <c r="N297" s="27"/>
      <c r="O297" s="4"/>
      <c r="P297" s="4"/>
      <c r="Q297" s="4"/>
      <c r="R297" s="9"/>
      <c r="S297" s="5"/>
      <c r="T297" s="6"/>
    </row>
    <row r="298" spans="2:21" ht="13" x14ac:dyDescent="0.3">
      <c r="B298" s="47"/>
      <c r="C298" s="49"/>
      <c r="D298" s="26" t="s">
        <v>46</v>
      </c>
      <c r="E298" s="47"/>
      <c r="F298" s="58"/>
      <c r="G298" s="47"/>
      <c r="H298" s="4"/>
      <c r="I298" s="52"/>
      <c r="J298" s="4"/>
      <c r="K298" s="9"/>
      <c r="L298" s="54"/>
      <c r="M298" s="4"/>
      <c r="N298" s="27"/>
      <c r="O298" s="4"/>
      <c r="P298" s="4"/>
      <c r="Q298" s="4"/>
      <c r="R298" s="32"/>
      <c r="S298" s="5"/>
      <c r="T298" s="33"/>
    </row>
    <row r="299" spans="2:21" x14ac:dyDescent="0.25">
      <c r="B299" s="47">
        <f>MAX(B$10:B298)+1</f>
        <v>156</v>
      </c>
      <c r="C299" s="49"/>
      <c r="D299" s="29" t="s">
        <v>96</v>
      </c>
      <c r="E299" s="47"/>
      <c r="F299" s="58" t="s">
        <v>36</v>
      </c>
      <c r="G299" s="47"/>
      <c r="H299" s="4">
        <f>H306</f>
        <v>265159.68152517336</v>
      </c>
      <c r="I299" s="52"/>
      <c r="J299" s="4">
        <f>$H299*K299/100</f>
        <v>-1113.2772797460475</v>
      </c>
      <c r="K299" s="9">
        <v>-0.41985164310900586</v>
      </c>
      <c r="L299" s="54"/>
      <c r="M299" s="4">
        <f t="shared" ref="M299:M302" si="97">J299-O299</f>
        <v>-4657.7665952537482</v>
      </c>
      <c r="N299" s="27"/>
      <c r="O299" s="4">
        <f>Q299</f>
        <v>3544.4893155077011</v>
      </c>
      <c r="P299" s="4">
        <f t="shared" ref="P299:P302" si="98">Q299-O299</f>
        <v>0</v>
      </c>
      <c r="Q299" s="4">
        <f>$H299*R299/100</f>
        <v>3544.4893155077011</v>
      </c>
      <c r="R299" s="9">
        <v>1.3367376575202288</v>
      </c>
      <c r="S299" s="5"/>
      <c r="T299" s="6"/>
    </row>
    <row r="300" spans="2:21" x14ac:dyDescent="0.25">
      <c r="B300" s="47">
        <f>MAX(B$10:B299)+1</f>
        <v>157</v>
      </c>
      <c r="C300" s="49"/>
      <c r="D300" s="29" t="s">
        <v>97</v>
      </c>
      <c r="E300" s="47"/>
      <c r="F300" s="58" t="s">
        <v>36</v>
      </c>
      <c r="G300" s="47"/>
      <c r="H300" s="4">
        <f>H307</f>
        <v>666053.40067181876</v>
      </c>
      <c r="I300" s="52"/>
      <c r="J300" s="4">
        <f>$H300*K300/100</f>
        <v>-1081.4881334051654</v>
      </c>
      <c r="K300" s="9">
        <v>-0.16237258638936697</v>
      </c>
      <c r="L300" s="54"/>
      <c r="M300" s="4">
        <f t="shared" si="97"/>
        <v>-9984.8747593794596</v>
      </c>
      <c r="N300" s="27"/>
      <c r="O300" s="4">
        <f>Q300</f>
        <v>8903.3866259742936</v>
      </c>
      <c r="P300" s="4">
        <f t="shared" si="98"/>
        <v>0</v>
      </c>
      <c r="Q300" s="4">
        <f>$H300*R300/100</f>
        <v>8903.3866259742936</v>
      </c>
      <c r="R300" s="9">
        <v>1.3367376575202288</v>
      </c>
      <c r="S300" s="5"/>
      <c r="T300" s="6"/>
    </row>
    <row r="301" spans="2:21" x14ac:dyDescent="0.25">
      <c r="B301" s="47">
        <f>MAX(B$10:B300)+1</f>
        <v>158</v>
      </c>
      <c r="C301" s="49"/>
      <c r="D301" s="29" t="s">
        <v>98</v>
      </c>
      <c r="E301" s="47"/>
      <c r="F301" s="58" t="s">
        <v>36</v>
      </c>
      <c r="G301" s="47"/>
      <c r="H301" s="4">
        <v>12797.515884617113</v>
      </c>
      <c r="I301" s="52"/>
      <c r="J301" s="4">
        <f>$H301*K301/100</f>
        <v>-53.730580718700978</v>
      </c>
      <c r="K301" s="9">
        <v>-0.41985164310900586</v>
      </c>
      <c r="L301" s="54"/>
      <c r="M301" s="4">
        <f t="shared" si="97"/>
        <v>-224.79979477551097</v>
      </c>
      <c r="N301" s="54"/>
      <c r="O301" s="4">
        <f>Q301</f>
        <v>171.06921405680998</v>
      </c>
      <c r="P301" s="4">
        <f t="shared" si="98"/>
        <v>0</v>
      </c>
      <c r="Q301" s="4">
        <f>$H301*R301/100</f>
        <v>171.06921405680998</v>
      </c>
      <c r="R301" s="9">
        <v>1.3367376575202288</v>
      </c>
      <c r="S301" s="5"/>
      <c r="T301" s="6"/>
      <c r="U301" s="47"/>
    </row>
    <row r="302" spans="2:21" x14ac:dyDescent="0.25">
      <c r="B302" s="47">
        <f>MAX(B$10:B301)+1</f>
        <v>159</v>
      </c>
      <c r="C302" s="49"/>
      <c r="D302" s="29" t="s">
        <v>99</v>
      </c>
      <c r="E302" s="47"/>
      <c r="F302" s="58" t="s">
        <v>36</v>
      </c>
      <c r="G302" s="47"/>
      <c r="H302" s="4">
        <v>44994.022331402288</v>
      </c>
      <c r="I302" s="52"/>
      <c r="J302" s="4">
        <f>$H302*K302/100</f>
        <v>-73.057957780107245</v>
      </c>
      <c r="K302" s="9">
        <v>-0.16237258638936697</v>
      </c>
      <c r="L302" s="54"/>
      <c r="M302" s="4">
        <f t="shared" si="97"/>
        <v>-674.50999791702282</v>
      </c>
      <c r="N302" s="54"/>
      <c r="O302" s="4">
        <f>Q302</f>
        <v>601.45204013691557</v>
      </c>
      <c r="P302" s="4">
        <f t="shared" si="98"/>
        <v>0</v>
      </c>
      <c r="Q302" s="4">
        <f>$H302*R302/100</f>
        <v>601.45204013691557</v>
      </c>
      <c r="R302" s="9">
        <v>1.3367376575202288</v>
      </c>
      <c r="S302" s="5"/>
      <c r="T302" s="6"/>
      <c r="U302" s="47"/>
    </row>
    <row r="303" spans="2:21" x14ac:dyDescent="0.25">
      <c r="B303" s="47">
        <f>MAX(B$10:B302)+1</f>
        <v>160</v>
      </c>
      <c r="C303" s="49"/>
      <c r="D303" s="26" t="s">
        <v>46</v>
      </c>
      <c r="E303" s="47"/>
      <c r="F303" s="3"/>
      <c r="G303" s="47"/>
      <c r="H303" s="55">
        <f>SUM(H299:H302)</f>
        <v>989004.62041301152</v>
      </c>
      <c r="I303" s="52"/>
      <c r="J303" s="55">
        <f>SUM(J299:J302)</f>
        <v>-2321.5539516500207</v>
      </c>
      <c r="K303" s="7">
        <f>J303/$H303*100</f>
        <v>-0.23473641110802215</v>
      </c>
      <c r="L303" s="54"/>
      <c r="M303" s="55">
        <f>SUM(M299:M302)</f>
        <v>-15541.951147325741</v>
      </c>
      <c r="N303" s="27"/>
      <c r="O303" s="55">
        <f>SUM(O299:O302)</f>
        <v>13220.39719567572</v>
      </c>
      <c r="P303" s="55">
        <f>SUM(P299:P302)</f>
        <v>0</v>
      </c>
      <c r="Q303" s="55">
        <f>SUM(Q299:Q302)</f>
        <v>13220.39719567572</v>
      </c>
      <c r="R303" s="7">
        <f>Q303/$H303*100</f>
        <v>1.3367376575202288</v>
      </c>
      <c r="S303" s="56">
        <f>Q303/O303</f>
        <v>1</v>
      </c>
      <c r="T303" s="8">
        <f>R303/K303-1</f>
        <v>-6.6946327636622263</v>
      </c>
    </row>
    <row r="304" spans="2:21" x14ac:dyDescent="0.25"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31"/>
    </row>
    <row r="305" spans="2:21" x14ac:dyDescent="0.25">
      <c r="B305" s="47"/>
      <c r="C305" s="49"/>
      <c r="D305" s="26" t="s">
        <v>100</v>
      </c>
      <c r="E305" s="47"/>
      <c r="F305" s="3"/>
      <c r="G305" s="47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31"/>
    </row>
    <row r="306" spans="2:21" x14ac:dyDescent="0.25">
      <c r="B306" s="47">
        <f>MAX(B$10:B305)+1</f>
        <v>161</v>
      </c>
      <c r="C306" s="49"/>
      <c r="D306" s="29" t="s">
        <v>101</v>
      </c>
      <c r="E306" s="47"/>
      <c r="F306" s="3" t="s">
        <v>36</v>
      </c>
      <c r="G306" s="47"/>
      <c r="H306" s="4">
        <v>265159.68152517336</v>
      </c>
      <c r="I306" s="52"/>
      <c r="J306" s="4">
        <f>$H306*K306/100</f>
        <v>552.85793597998645</v>
      </c>
      <c r="K306" s="9">
        <v>0.20849999999999999</v>
      </c>
      <c r="L306" s="54"/>
      <c r="M306" s="4">
        <f t="shared" ref="M306:M307" si="99">J306-O306</f>
        <v>143.75889478903673</v>
      </c>
      <c r="N306" s="27"/>
      <c r="O306" s="4">
        <f t="shared" ref="O306:O307" si="100">Q306</f>
        <v>409.09904119094972</v>
      </c>
      <c r="P306" s="4">
        <f t="shared" ref="P306:P307" si="101">Q306-O306</f>
        <v>0</v>
      </c>
      <c r="Q306" s="4">
        <f>$H306*R306/100</f>
        <v>409.09904119094972</v>
      </c>
      <c r="R306" s="9">
        <v>0.15428402947154363</v>
      </c>
      <c r="S306" s="5"/>
      <c r="T306" s="6"/>
    </row>
    <row r="307" spans="2:21" x14ac:dyDescent="0.25">
      <c r="B307" s="47">
        <f>MAX(B$10:B306)+1</f>
        <v>162</v>
      </c>
      <c r="C307" s="49"/>
      <c r="D307" s="29" t="s">
        <v>102</v>
      </c>
      <c r="E307" s="47"/>
      <c r="F307" s="3" t="s">
        <v>36</v>
      </c>
      <c r="G307" s="47"/>
      <c r="H307" s="4">
        <v>666053.40067181876</v>
      </c>
      <c r="I307" s="52"/>
      <c r="J307" s="4">
        <f>$H307*K307/100</f>
        <v>1388.7213404007423</v>
      </c>
      <c r="K307" s="9">
        <v>0.20849999999999999</v>
      </c>
      <c r="L307" s="54"/>
      <c r="M307" s="4">
        <f t="shared" si="99"/>
        <v>361.10731541201471</v>
      </c>
      <c r="N307" s="27"/>
      <c r="O307" s="4">
        <f t="shared" si="100"/>
        <v>1027.6140249887276</v>
      </c>
      <c r="P307" s="4">
        <f t="shared" si="101"/>
        <v>0</v>
      </c>
      <c r="Q307" s="4">
        <f>$H307*R307/100</f>
        <v>1027.6140249887276</v>
      </c>
      <c r="R307" s="9">
        <v>0.15428402947154363</v>
      </c>
      <c r="S307" s="5"/>
      <c r="T307" s="6"/>
    </row>
    <row r="308" spans="2:21" x14ac:dyDescent="0.25">
      <c r="B308" s="47">
        <f>MAX(B$10:B307)+1</f>
        <v>163</v>
      </c>
      <c r="C308" s="49"/>
      <c r="D308" s="26" t="s">
        <v>100</v>
      </c>
      <c r="E308" s="47"/>
      <c r="F308" s="3"/>
      <c r="G308" s="47"/>
      <c r="H308" s="55">
        <f>SUM(H306:H307)</f>
        <v>931213.08219699212</v>
      </c>
      <c r="I308" s="52"/>
      <c r="J308" s="55">
        <f>SUM(J306:J307)</f>
        <v>1941.5792763807287</v>
      </c>
      <c r="K308" s="7">
        <f>J308/$H308*100</f>
        <v>0.20850000000000002</v>
      </c>
      <c r="L308" s="54"/>
      <c r="M308" s="55">
        <f>SUM(M306:M307)</f>
        <v>504.86621020105144</v>
      </c>
      <c r="N308" s="27"/>
      <c r="O308" s="55">
        <f>SUM(O306:O307)</f>
        <v>1436.7130661796773</v>
      </c>
      <c r="P308" s="55">
        <f>SUM(P306:P307)</f>
        <v>0</v>
      </c>
      <c r="Q308" s="55">
        <f>SUM(Q306:Q307)</f>
        <v>1436.7130661796773</v>
      </c>
      <c r="R308" s="7">
        <f>Q308/$H308*100</f>
        <v>0.15428402947154365</v>
      </c>
      <c r="S308" s="56">
        <f>Q308/O308</f>
        <v>1</v>
      </c>
      <c r="T308" s="8">
        <f>R308/K308-1</f>
        <v>-0.26002863562808809</v>
      </c>
    </row>
    <row r="309" spans="2:21" x14ac:dyDescent="0.25">
      <c r="B309" s="47"/>
      <c r="C309" s="49"/>
      <c r="D309" s="26"/>
      <c r="E309" s="47"/>
      <c r="F309" s="3"/>
      <c r="G309" s="47"/>
      <c r="H309" s="4"/>
      <c r="I309" s="52"/>
      <c r="J309" s="4"/>
      <c r="K309" s="9"/>
      <c r="L309" s="54"/>
      <c r="M309" s="4"/>
      <c r="N309" s="27"/>
      <c r="O309" s="4"/>
      <c r="P309" s="4"/>
      <c r="Q309" s="4"/>
      <c r="R309" s="9"/>
      <c r="S309" s="5"/>
      <c r="T309" s="6"/>
    </row>
    <row r="310" spans="2:21" ht="13" thickBot="1" x14ac:dyDescent="0.3">
      <c r="B310" s="47">
        <f>MAX(B$10:B309)+1</f>
        <v>164</v>
      </c>
      <c r="C310" s="49"/>
      <c r="D310" s="26" t="s">
        <v>103</v>
      </c>
      <c r="E310" s="47"/>
      <c r="F310" s="3"/>
      <c r="G310" s="47"/>
      <c r="H310" s="59">
        <f>H289</f>
        <v>989004.62041301141</v>
      </c>
      <c r="I310" s="52"/>
      <c r="J310" s="59">
        <f>SUM(J291,J296,J303,J308)</f>
        <v>226285.19648733368</v>
      </c>
      <c r="K310" s="11">
        <f>J310/$H310*100</f>
        <v>22.880094978002859</v>
      </c>
      <c r="L310" s="54"/>
      <c r="M310" s="59">
        <f>SUM(M291,M296,M303,M308)</f>
        <v>21507.051341776627</v>
      </c>
      <c r="N310" s="27"/>
      <c r="O310" s="59">
        <f>SUM(O291,O296,O303,O308)</f>
        <v>204778.14514555706</v>
      </c>
      <c r="P310" s="59">
        <v>-988.22812975483941</v>
      </c>
      <c r="Q310" s="59">
        <f>SUM(Q291,Q296,Q303,Q308)</f>
        <v>203789.9170158022</v>
      </c>
      <c r="R310" s="11">
        <f>Q310/$H310*100</f>
        <v>20.60555762931612</v>
      </c>
      <c r="S310" s="60">
        <f>Q310/O310</f>
        <v>0.9951741523537464</v>
      </c>
      <c r="T310" s="12">
        <f>R310/K310-1</f>
        <v>-9.9411184738240843E-2</v>
      </c>
    </row>
    <row r="311" spans="2:21" ht="13.5" thickTop="1" x14ac:dyDescent="0.3">
      <c r="B311" s="47"/>
      <c r="C311" s="49"/>
      <c r="E311" s="47"/>
      <c r="F311" s="58"/>
      <c r="G311" s="47"/>
      <c r="H311" s="54"/>
      <c r="I311" s="52"/>
      <c r="J311" s="54"/>
      <c r="K311" s="32"/>
      <c r="L311" s="54"/>
      <c r="M311" s="54"/>
      <c r="N311" s="27"/>
      <c r="O311" s="54"/>
      <c r="P311" s="54"/>
      <c r="Q311" s="54"/>
      <c r="R311" s="32"/>
      <c r="S311" s="57"/>
      <c r="T311" s="33"/>
    </row>
    <row r="312" spans="2:21" ht="13" x14ac:dyDescent="0.3">
      <c r="B312" s="47"/>
      <c r="C312" s="49"/>
      <c r="D312" s="20" t="s">
        <v>104</v>
      </c>
      <c r="E312" s="47"/>
      <c r="F312" s="25"/>
      <c r="G312" s="47"/>
      <c r="H312" s="34"/>
      <c r="I312" s="52"/>
      <c r="J312" s="34"/>
      <c r="K312" s="52"/>
      <c r="L312" s="52"/>
      <c r="M312" s="13"/>
      <c r="N312" s="52"/>
      <c r="O312" s="14"/>
      <c r="P312" s="52"/>
      <c r="Q312" s="52"/>
      <c r="R312" s="52"/>
      <c r="S312" s="52"/>
      <c r="T312" s="61"/>
      <c r="U312" s="47"/>
    </row>
    <row r="313" spans="2:21" x14ac:dyDescent="0.25">
      <c r="B313" s="47">
        <f>MAX(B$10:B312)+1</f>
        <v>165</v>
      </c>
      <c r="C313" s="49"/>
      <c r="D313" s="26" t="s">
        <v>32</v>
      </c>
      <c r="E313" s="47"/>
      <c r="F313" s="3" t="s">
        <v>33</v>
      </c>
      <c r="G313" s="47"/>
      <c r="H313" s="4">
        <v>26448</v>
      </c>
      <c r="I313" s="52"/>
      <c r="J313" s="4">
        <f>$H313*K313/1000</f>
        <v>2025.3878399999999</v>
      </c>
      <c r="K313" s="53">
        <v>76.58</v>
      </c>
      <c r="L313" s="54"/>
      <c r="M313" s="4">
        <f>J313-O313</f>
        <v>-2449.6960656206616</v>
      </c>
      <c r="N313" s="27"/>
      <c r="O313" s="4">
        <v>4475.0839056206614</v>
      </c>
      <c r="P313" s="4">
        <f>Q313-O313</f>
        <v>-2359.2439056206613</v>
      </c>
      <c r="Q313" s="4">
        <f>$H313*R313/1000</f>
        <v>2115.84</v>
      </c>
      <c r="R313" s="53">
        <v>80</v>
      </c>
      <c r="S313" s="5">
        <f>Q313/O313</f>
        <v>0.47280454280254408</v>
      </c>
      <c r="T313" s="6">
        <f>R313/K313-1</f>
        <v>4.4659179942543759E-2</v>
      </c>
    </row>
    <row r="314" spans="2:21" x14ac:dyDescent="0.25">
      <c r="B314" s="47"/>
      <c r="C314" s="49"/>
      <c r="D314" s="26" t="s">
        <v>34</v>
      </c>
      <c r="E314" s="47"/>
      <c r="F314" s="3"/>
      <c r="G314" s="47"/>
      <c r="H314" s="4"/>
      <c r="I314" s="52"/>
      <c r="J314" s="4"/>
      <c r="K314" s="9"/>
      <c r="L314" s="54"/>
      <c r="M314" s="4"/>
      <c r="N314" s="27"/>
      <c r="O314" s="4"/>
      <c r="P314" s="4"/>
      <c r="Q314" s="4"/>
      <c r="R314" s="9"/>
      <c r="S314" s="5"/>
      <c r="T314" s="6"/>
    </row>
    <row r="315" spans="2:21" x14ac:dyDescent="0.25">
      <c r="B315" s="47">
        <f>MAX(B$10:B314)+1</f>
        <v>166</v>
      </c>
      <c r="C315" s="49"/>
      <c r="D315" s="70" t="s">
        <v>105</v>
      </c>
      <c r="E315" s="47"/>
      <c r="F315" s="3" t="s">
        <v>36</v>
      </c>
      <c r="G315" s="47"/>
      <c r="H315" s="4">
        <v>21365.254170514676</v>
      </c>
      <c r="I315" s="52"/>
      <c r="J315" s="4">
        <f>$H315*K315/100</f>
        <v>2173.9787076123798</v>
      </c>
      <c r="K315" s="9">
        <v>10.1753</v>
      </c>
      <c r="L315" s="54"/>
      <c r="M315" s="4">
        <f t="shared" ref="M315:M319" si="102">J315-O315</f>
        <v>803.12929763248349</v>
      </c>
      <c r="N315" s="27"/>
      <c r="O315" s="4">
        <f>J315/J$320*O$320</f>
        <v>1370.8494099798963</v>
      </c>
      <c r="P315" s="4">
        <f t="shared" ref="P315:P319" si="103">Q315-O315</f>
        <v>187.99993780297041</v>
      </c>
      <c r="Q315" s="4">
        <f>$H315*R315/100</f>
        <v>1558.8493477828667</v>
      </c>
      <c r="R315" s="9">
        <f>K315*(O$320+P$320)/J$320</f>
        <v>7.2961891084552217</v>
      </c>
      <c r="S315" s="5"/>
      <c r="T315" s="6">
        <f t="shared" ref="T315:T319" si="104">R315/K315-1</f>
        <v>-0.28295095884590904</v>
      </c>
    </row>
    <row r="316" spans="2:21" x14ac:dyDescent="0.25">
      <c r="B316" s="47">
        <f>MAX(B$10:B315)+1</f>
        <v>167</v>
      </c>
      <c r="C316" s="49"/>
      <c r="D316" s="70" t="s">
        <v>106</v>
      </c>
      <c r="E316" s="47"/>
      <c r="F316" s="3" t="s">
        <v>36</v>
      </c>
      <c r="G316" s="47"/>
      <c r="H316" s="4">
        <v>124186.71734667888</v>
      </c>
      <c r="I316" s="52"/>
      <c r="J316" s="4">
        <f>$H316*K316/100</f>
        <v>10310.229647555976</v>
      </c>
      <c r="K316" s="9">
        <v>8.3022000000000009</v>
      </c>
      <c r="L316" s="54"/>
      <c r="M316" s="4">
        <f t="shared" si="102"/>
        <v>3808.8907983673053</v>
      </c>
      <c r="N316" s="27"/>
      <c r="O316" s="4">
        <f t="shared" ref="O316:O319" si="105">J316/J$320*O$320</f>
        <v>6501.3388491886708</v>
      </c>
      <c r="P316" s="4">
        <f t="shared" si="103"/>
        <v>891.60143366982174</v>
      </c>
      <c r="Q316" s="4">
        <f>$H316*R316/100</f>
        <v>7392.9402828584925</v>
      </c>
      <c r="R316" s="9">
        <f t="shared" ref="R316:R319" si="106">K316*(O$320+P$320)/J$320</f>
        <v>5.9530845494694944</v>
      </c>
      <c r="S316" s="5"/>
      <c r="T316" s="6">
        <f t="shared" si="104"/>
        <v>-0.28295095884590904</v>
      </c>
    </row>
    <row r="317" spans="2:21" x14ac:dyDescent="0.25">
      <c r="B317" s="47">
        <f>MAX(B$10:B316)+1</f>
        <v>168</v>
      </c>
      <c r="C317" s="49"/>
      <c r="D317" s="70" t="s">
        <v>107</v>
      </c>
      <c r="E317" s="47"/>
      <c r="F317" s="3" t="s">
        <v>36</v>
      </c>
      <c r="G317" s="47"/>
      <c r="H317" s="4">
        <v>83168.481060518243</v>
      </c>
      <c r="I317" s="52"/>
      <c r="J317" s="4">
        <f>$H317*K317/100</f>
        <v>6002.1029411754807</v>
      </c>
      <c r="K317" s="9">
        <v>7.2168000000000001</v>
      </c>
      <c r="L317" s="54"/>
      <c r="M317" s="4">
        <f t="shared" si="102"/>
        <v>2217.3467948811281</v>
      </c>
      <c r="N317" s="27"/>
      <c r="O317" s="4">
        <f t="shared" si="105"/>
        <v>3784.7561462943527</v>
      </c>
      <c r="P317" s="4">
        <f t="shared" si="103"/>
        <v>519.04601258367484</v>
      </c>
      <c r="Q317" s="4">
        <f>$H317*R317/100</f>
        <v>4303.8021588780275</v>
      </c>
      <c r="R317" s="9">
        <f t="shared" si="106"/>
        <v>5.1747995202008434</v>
      </c>
      <c r="S317" s="5"/>
      <c r="T317" s="6">
        <f t="shared" si="104"/>
        <v>-0.28295095884590904</v>
      </c>
    </row>
    <row r="318" spans="2:21" x14ac:dyDescent="0.25">
      <c r="B318" s="47">
        <f>MAX(B$10:B317)+1</f>
        <v>169</v>
      </c>
      <c r="C318" s="49"/>
      <c r="D318" s="70" t="s">
        <v>108</v>
      </c>
      <c r="E318" s="47"/>
      <c r="F318" s="3" t="s">
        <v>36</v>
      </c>
      <c r="G318" s="47"/>
      <c r="H318" s="4">
        <v>58024.807725332095</v>
      </c>
      <c r="I318" s="52"/>
      <c r="J318" s="4">
        <f>$H318*K318/100</f>
        <v>3792.0372344659031</v>
      </c>
      <c r="K318" s="9">
        <v>6.5351999999999997</v>
      </c>
      <c r="L318" s="54"/>
      <c r="M318" s="4">
        <f t="shared" si="102"/>
        <v>1400.8859378653297</v>
      </c>
      <c r="N318" s="27"/>
      <c r="O318" s="4">
        <f t="shared" si="105"/>
        <v>2391.1512966005735</v>
      </c>
      <c r="P318" s="4">
        <f t="shared" si="103"/>
        <v>327.92536639381342</v>
      </c>
      <c r="Q318" s="4">
        <f>$H318*R318/100</f>
        <v>2719.0766629943869</v>
      </c>
      <c r="R318" s="9">
        <f t="shared" si="106"/>
        <v>4.6860588937502152</v>
      </c>
      <c r="S318" s="5"/>
      <c r="T318" s="6">
        <f t="shared" si="104"/>
        <v>-0.28295095884590904</v>
      </c>
    </row>
    <row r="319" spans="2:21" x14ac:dyDescent="0.25">
      <c r="B319" s="47">
        <f>MAX(B$10:B318)+1</f>
        <v>170</v>
      </c>
      <c r="C319" s="49"/>
      <c r="D319" s="70" t="s">
        <v>109</v>
      </c>
      <c r="E319" s="47"/>
      <c r="F319" s="3" t="s">
        <v>36</v>
      </c>
      <c r="G319" s="47"/>
      <c r="H319" s="4">
        <v>41228.886994960922</v>
      </c>
      <c r="I319" s="52"/>
      <c r="J319" s="4">
        <f>$H319*K319/100</f>
        <v>1629.6542162498204</v>
      </c>
      <c r="K319" s="9">
        <v>3.9527000000000001</v>
      </c>
      <c r="L319" s="54"/>
      <c r="M319" s="4">
        <f t="shared" si="102"/>
        <v>602.04041626423168</v>
      </c>
      <c r="N319" s="27"/>
      <c r="O319" s="4">
        <f t="shared" si="105"/>
        <v>1027.6137999855887</v>
      </c>
      <c r="P319" s="4">
        <f t="shared" si="103"/>
        <v>140.92819318906663</v>
      </c>
      <c r="Q319" s="4">
        <f>$H319*R319/100</f>
        <v>1168.5419931746553</v>
      </c>
      <c r="R319" s="9">
        <f t="shared" si="106"/>
        <v>2.8342797449697756</v>
      </c>
      <c r="S319" s="5"/>
      <c r="T319" s="6">
        <f t="shared" si="104"/>
        <v>-0.28295095884590893</v>
      </c>
    </row>
    <row r="320" spans="2:21" x14ac:dyDescent="0.25">
      <c r="B320" s="47">
        <f>MAX(B$10:B319)+1</f>
        <v>171</v>
      </c>
      <c r="C320" s="49"/>
      <c r="D320" s="26" t="s">
        <v>34</v>
      </c>
      <c r="E320" s="47"/>
      <c r="F320" s="3"/>
      <c r="G320" s="47"/>
      <c r="H320" s="55">
        <f>SUM(H315:H319)</f>
        <v>327974.14729800483</v>
      </c>
      <c r="I320" s="52"/>
      <c r="J320" s="55">
        <f>SUM(J315:J319)</f>
        <v>23908.00274705956</v>
      </c>
      <c r="K320" s="7">
        <f>J320/$H320*100</f>
        <v>7.2895997882833736</v>
      </c>
      <c r="L320" s="54"/>
      <c r="M320" s="55">
        <f>SUM(M315:M319)</f>
        <v>8832.2932450104799</v>
      </c>
      <c r="N320" s="27"/>
      <c r="O320" s="55">
        <v>15075.709502049081</v>
      </c>
      <c r="P320" s="55">
        <f>P341-SUM(P313,P327)</f>
        <v>2067.5009436393484</v>
      </c>
      <c r="Q320" s="55">
        <f>SUM(Q315:Q319)</f>
        <v>17143.210445688426</v>
      </c>
      <c r="R320" s="7">
        <f>Q320/$H320*100</f>
        <v>5.2270005385856564</v>
      </c>
      <c r="S320" s="56">
        <f>Q320/O320</f>
        <v>1.1371412034278274</v>
      </c>
      <c r="T320" s="8">
        <f>R320/K320-1</f>
        <v>-0.28295095884590915</v>
      </c>
    </row>
    <row r="321" spans="2:21" x14ac:dyDescent="0.25">
      <c r="B321" s="47"/>
      <c r="C321" s="49"/>
      <c r="D321" s="26"/>
      <c r="E321" s="47"/>
      <c r="F321" s="3"/>
      <c r="G321" s="47"/>
      <c r="H321" s="4"/>
      <c r="I321" s="52"/>
      <c r="J321" s="4"/>
      <c r="K321" s="9"/>
      <c r="L321" s="54"/>
      <c r="M321" s="4"/>
      <c r="N321" s="27"/>
      <c r="O321" s="4"/>
      <c r="P321" s="4"/>
      <c r="Q321" s="4"/>
      <c r="R321" s="9"/>
      <c r="S321" s="5"/>
      <c r="T321" s="6"/>
    </row>
    <row r="322" spans="2:21" x14ac:dyDescent="0.25">
      <c r="B322" s="47">
        <f>MAX(B$10:B321)+1</f>
        <v>172</v>
      </c>
      <c r="C322" s="49"/>
      <c r="D322" s="26" t="s">
        <v>41</v>
      </c>
      <c r="E322" s="47"/>
      <c r="F322" s="3"/>
      <c r="G322" s="47"/>
      <c r="H322" s="55">
        <f>H320</f>
        <v>327974.14729800483</v>
      </c>
      <c r="I322" s="52"/>
      <c r="J322" s="55">
        <f>J313+J320</f>
        <v>25933.390587059559</v>
      </c>
      <c r="K322" s="7">
        <f>J322/$H322*100</f>
        <v>7.9071447553748451</v>
      </c>
      <c r="L322" s="54"/>
      <c r="M322" s="55">
        <f>M313+M320</f>
        <v>6382.5971793898188</v>
      </c>
      <c r="N322" s="27"/>
      <c r="O322" s="55">
        <f>O313+O320</f>
        <v>19550.793407669742</v>
      </c>
      <c r="P322" s="55">
        <f>P313+P320</f>
        <v>-291.74296198131287</v>
      </c>
      <c r="Q322" s="55">
        <f>Q313+Q320</f>
        <v>19259.050445688426</v>
      </c>
      <c r="R322" s="7">
        <f>Q322/$H322*100</f>
        <v>5.8721245574850789</v>
      </c>
      <c r="S322" s="56">
        <f>Q322/O322</f>
        <v>0.98507769194334249</v>
      </c>
      <c r="T322" s="8">
        <f>R322/K322-1</f>
        <v>-0.2573647328900196</v>
      </c>
    </row>
    <row r="323" spans="2:21" x14ac:dyDescent="0.25"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31"/>
    </row>
    <row r="324" spans="2:21" x14ac:dyDescent="0.25">
      <c r="B324" s="47"/>
      <c r="C324" s="49"/>
      <c r="D324" s="26" t="s">
        <v>93</v>
      </c>
      <c r="E324" s="47"/>
      <c r="F324" s="3"/>
      <c r="G324" s="47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31"/>
    </row>
    <row r="325" spans="2:21" x14ac:dyDescent="0.25">
      <c r="B325" s="47">
        <f>MAX(B$10:B324)+1</f>
        <v>173</v>
      </c>
      <c r="C325" s="49"/>
      <c r="D325" s="29" t="s">
        <v>94</v>
      </c>
      <c r="E325" s="47"/>
      <c r="F325" s="3" t="s">
        <v>36</v>
      </c>
      <c r="G325" s="47"/>
      <c r="H325" s="4">
        <v>74067.232172430071</v>
      </c>
      <c r="I325" s="52"/>
      <c r="J325" s="4">
        <f>$H325*K325/100</f>
        <v>1047.9690924023814</v>
      </c>
      <c r="K325" s="9">
        <v>1.4148889619132621</v>
      </c>
      <c r="L325" s="54"/>
      <c r="M325" s="4">
        <f t="shared" ref="M325:M326" si="107">J325-O325</f>
        <v>411.94650033517814</v>
      </c>
      <c r="N325" s="27"/>
      <c r="O325" s="4">
        <f t="shared" ref="O325:O326" si="108">Q325</f>
        <v>636.02259206720328</v>
      </c>
      <c r="P325" s="4">
        <f t="shared" ref="P325:P326" si="109">Q325-O325</f>
        <v>0</v>
      </c>
      <c r="Q325" s="4">
        <f>$H325*R325/100</f>
        <v>636.02259206720328</v>
      </c>
      <c r="R325" s="9">
        <f>(O$327+P$327)/H$327*100</f>
        <v>0.85870981459996965</v>
      </c>
      <c r="S325" s="5"/>
      <c r="T325" s="6"/>
    </row>
    <row r="326" spans="2:21" x14ac:dyDescent="0.25">
      <c r="B326" s="47">
        <f>MAX(B$10:B325)+1</f>
        <v>174</v>
      </c>
      <c r="C326" s="49"/>
      <c r="D326" s="29" t="s">
        <v>95</v>
      </c>
      <c r="E326" s="47"/>
      <c r="F326" s="3" t="s">
        <v>36</v>
      </c>
      <c r="G326" s="47"/>
      <c r="H326" s="4">
        <v>250025.90575654924</v>
      </c>
      <c r="I326" s="52"/>
      <c r="J326" s="4">
        <f>$H326*K326/100</f>
        <v>3965.389018395635</v>
      </c>
      <c r="K326" s="9">
        <v>1.5859912621441488</v>
      </c>
      <c r="L326" s="54"/>
      <c r="M326" s="4">
        <f t="shared" si="107"/>
        <v>1818.3920266216765</v>
      </c>
      <c r="N326" s="27"/>
      <c r="O326" s="4">
        <f t="shared" si="108"/>
        <v>2146.9969917739586</v>
      </c>
      <c r="P326" s="4">
        <f t="shared" si="109"/>
        <v>0</v>
      </c>
      <c r="Q326" s="4">
        <f>$H326*R326/100</f>
        <v>2146.9969917739586</v>
      </c>
      <c r="R326" s="9">
        <f>(O$327+P$327)/H$327*100</f>
        <v>0.85870981459996965</v>
      </c>
      <c r="S326" s="5"/>
      <c r="T326" s="6"/>
    </row>
    <row r="327" spans="2:21" x14ac:dyDescent="0.25">
      <c r="B327" s="47">
        <f>MAX(B$10:B326)+1</f>
        <v>175</v>
      </c>
      <c r="C327" s="49"/>
      <c r="D327" s="26" t="s">
        <v>93</v>
      </c>
      <c r="E327" s="47"/>
      <c r="F327" s="3"/>
      <c r="G327" s="47"/>
      <c r="H327" s="55">
        <f>SUM(H325:H326)</f>
        <v>324093.1379289793</v>
      </c>
      <c r="I327" s="52"/>
      <c r="J327" s="55">
        <f>SUM(J325:J326)</f>
        <v>5013.3581107980162</v>
      </c>
      <c r="K327" s="7">
        <f>J327/$H327*100</f>
        <v>1.5468880775552327</v>
      </c>
      <c r="L327" s="54"/>
      <c r="M327" s="55">
        <f>SUM(M325:M326)</f>
        <v>2230.3385269568544</v>
      </c>
      <c r="N327" s="27"/>
      <c r="O327" s="55">
        <v>2783.0195838411619</v>
      </c>
      <c r="P327" s="55">
        <v>0</v>
      </c>
      <c r="Q327" s="55">
        <f>SUM(Q325:Q326)</f>
        <v>2783.0195838411619</v>
      </c>
      <c r="R327" s="7">
        <f>Q327/$H327*100</f>
        <v>0.85870981459996965</v>
      </c>
      <c r="S327" s="56">
        <f>Q327/O327</f>
        <v>1</v>
      </c>
      <c r="T327" s="8">
        <f>R327/K327-1</f>
        <v>-0.44487915637884357</v>
      </c>
    </row>
    <row r="328" spans="2:21" x14ac:dyDescent="0.25">
      <c r="E328" s="47"/>
      <c r="F328" s="3"/>
      <c r="G328" s="47"/>
      <c r="H328" s="4"/>
      <c r="I328" s="52"/>
      <c r="J328" s="4"/>
      <c r="K328" s="9"/>
      <c r="L328" s="54"/>
      <c r="M328" s="4"/>
      <c r="N328" s="27"/>
      <c r="O328" s="4"/>
      <c r="P328" s="4"/>
      <c r="Q328" s="4"/>
      <c r="R328" s="9"/>
      <c r="S328" s="5"/>
      <c r="T328" s="6"/>
    </row>
    <row r="329" spans="2:21" ht="13" x14ac:dyDescent="0.3">
      <c r="B329" s="47"/>
      <c r="C329" s="49"/>
      <c r="D329" s="26" t="s">
        <v>46</v>
      </c>
      <c r="E329" s="47"/>
      <c r="F329" s="58"/>
      <c r="G329" s="47"/>
      <c r="H329" s="4"/>
      <c r="I329" s="52"/>
      <c r="J329" s="4"/>
      <c r="K329" s="9"/>
      <c r="L329" s="54"/>
      <c r="M329" s="4"/>
      <c r="N329" s="27"/>
      <c r="O329" s="4"/>
      <c r="P329" s="4"/>
      <c r="Q329" s="4"/>
      <c r="R329" s="32"/>
      <c r="S329" s="5"/>
      <c r="T329" s="33"/>
    </row>
    <row r="330" spans="2:21" x14ac:dyDescent="0.25">
      <c r="B330" s="47">
        <f>MAX(B$10:B329)+1</f>
        <v>176</v>
      </c>
      <c r="C330" s="49"/>
      <c r="D330" s="29" t="s">
        <v>96</v>
      </c>
      <c r="E330" s="47"/>
      <c r="F330" s="58" t="s">
        <v>36</v>
      </c>
      <c r="G330" s="47"/>
      <c r="H330" s="4">
        <f>H337</f>
        <v>38768.213882143405</v>
      </c>
      <c r="I330" s="52"/>
      <c r="J330" s="4">
        <f>$H330*K330/100</f>
        <v>-151.04970179830457</v>
      </c>
      <c r="K330" s="9">
        <v>-0.38962254556658305</v>
      </c>
      <c r="L330" s="54"/>
      <c r="M330" s="4">
        <f t="shared" ref="M330:M333" si="110">J330-O330</f>
        <v>-617.14278737234145</v>
      </c>
      <c r="N330" s="27"/>
      <c r="O330" s="4">
        <f>Q330</f>
        <v>466.09308557403682</v>
      </c>
      <c r="P330" s="4">
        <f t="shared" ref="P330:P333" si="111">Q330-O330</f>
        <v>0</v>
      </c>
      <c r="Q330" s="4">
        <f>$H330*R330/100</f>
        <v>466.09308557403682</v>
      </c>
      <c r="R330" s="9">
        <v>1.2022557629066288</v>
      </c>
      <c r="S330" s="5"/>
      <c r="T330" s="6"/>
    </row>
    <row r="331" spans="2:21" x14ac:dyDescent="0.25">
      <c r="B331" s="47">
        <f>MAX(B$10:B330)+1</f>
        <v>177</v>
      </c>
      <c r="C331" s="49"/>
      <c r="D331" s="29" t="s">
        <v>97</v>
      </c>
      <c r="E331" s="47"/>
      <c r="F331" s="58" t="s">
        <v>36</v>
      </c>
      <c r="G331" s="47"/>
      <c r="H331" s="4">
        <f>H338</f>
        <v>125821.97106758892</v>
      </c>
      <c r="I331" s="52"/>
      <c r="J331" s="4">
        <f>$H331*K331/100</f>
        <v>-201.43077616690701</v>
      </c>
      <c r="K331" s="9">
        <v>-0.16009189369534088</v>
      </c>
      <c r="L331" s="54"/>
      <c r="M331" s="4">
        <f t="shared" si="110"/>
        <v>-1714.1326743297059</v>
      </c>
      <c r="N331" s="27"/>
      <c r="O331" s="4">
        <f>Q331</f>
        <v>1512.7018981627989</v>
      </c>
      <c r="P331" s="4">
        <f t="shared" si="111"/>
        <v>0</v>
      </c>
      <c r="Q331" s="4">
        <f>$H331*R331/100</f>
        <v>1512.7018981627989</v>
      </c>
      <c r="R331" s="9">
        <v>1.2022557629066288</v>
      </c>
      <c r="S331" s="5"/>
      <c r="T331" s="6"/>
    </row>
    <row r="332" spans="2:21" x14ac:dyDescent="0.25">
      <c r="B332" s="47">
        <f>MAX(B$10:B331)+1</f>
        <v>178</v>
      </c>
      <c r="C332" s="49"/>
      <c r="D332" s="29" t="s">
        <v>98</v>
      </c>
      <c r="E332" s="47"/>
      <c r="F332" s="58" t="s">
        <v>36</v>
      </c>
      <c r="G332" s="47"/>
      <c r="H332" s="4">
        <v>35299.018290286658</v>
      </c>
      <c r="I332" s="52"/>
      <c r="J332" s="4">
        <f>$H332*K332/100</f>
        <v>-137.53293362262863</v>
      </c>
      <c r="K332" s="9">
        <v>-0.38962254556658305</v>
      </c>
      <c r="L332" s="54"/>
      <c r="M332" s="4">
        <f t="shared" si="110"/>
        <v>-561.91741526706494</v>
      </c>
      <c r="N332" s="54"/>
      <c r="O332" s="4">
        <f>Q332</f>
        <v>424.38448164443633</v>
      </c>
      <c r="P332" s="4">
        <f t="shared" si="111"/>
        <v>0</v>
      </c>
      <c r="Q332" s="4">
        <f>$H332*R332/100</f>
        <v>424.38448164443633</v>
      </c>
      <c r="R332" s="9">
        <v>1.2022557629066288</v>
      </c>
      <c r="S332" s="5"/>
      <c r="T332" s="6"/>
      <c r="U332" s="47"/>
    </row>
    <row r="333" spans="2:21" x14ac:dyDescent="0.25">
      <c r="B333" s="47">
        <f>MAX(B$10:B332)+1</f>
        <v>179</v>
      </c>
      <c r="C333" s="49"/>
      <c r="D333" s="29" t="s">
        <v>99</v>
      </c>
      <c r="E333" s="47"/>
      <c r="F333" s="58" t="s">
        <v>36</v>
      </c>
      <c r="G333" s="47"/>
      <c r="H333" s="4">
        <v>124203.93468896032</v>
      </c>
      <c r="I333" s="52"/>
      <c r="J333" s="4">
        <f>$H333*K333/100</f>
        <v>-198.84043108768094</v>
      </c>
      <c r="K333" s="9">
        <v>-0.16009189369534088</v>
      </c>
      <c r="L333" s="54"/>
      <c r="M333" s="4">
        <f t="shared" si="110"/>
        <v>-1692.0893936424918</v>
      </c>
      <c r="N333" s="54"/>
      <c r="O333" s="4">
        <f>Q333</f>
        <v>1493.2489625548108</v>
      </c>
      <c r="P333" s="4">
        <f t="shared" si="111"/>
        <v>0</v>
      </c>
      <c r="Q333" s="4">
        <f>$H333*R333/100</f>
        <v>1493.2489625548108</v>
      </c>
      <c r="R333" s="9">
        <v>1.2022557629066288</v>
      </c>
      <c r="S333" s="5"/>
      <c r="T333" s="6"/>
      <c r="U333" s="47"/>
    </row>
    <row r="334" spans="2:21" x14ac:dyDescent="0.25">
      <c r="B334" s="47">
        <f>MAX(B$10:B333)+1</f>
        <v>180</v>
      </c>
      <c r="C334" s="49"/>
      <c r="D334" s="26" t="s">
        <v>46</v>
      </c>
      <c r="E334" s="47"/>
      <c r="F334" s="3"/>
      <c r="G334" s="47"/>
      <c r="H334" s="55">
        <f>SUM(H330:H333)</f>
        <v>324093.1379289793</v>
      </c>
      <c r="I334" s="52"/>
      <c r="J334" s="55">
        <f>SUM(J330:J333)</f>
        <v>-688.85384267552115</v>
      </c>
      <c r="K334" s="7">
        <f>J334/$H334*100</f>
        <v>-0.21254811103914034</v>
      </c>
      <c r="L334" s="54"/>
      <c r="M334" s="55">
        <f>SUM(M330:M333)</f>
        <v>-4585.282270611604</v>
      </c>
      <c r="N334" s="27"/>
      <c r="O334" s="55">
        <f>SUM(O330:O333)</f>
        <v>3896.4284279360827</v>
      </c>
      <c r="P334" s="55">
        <f>SUM(P330:P333)</f>
        <v>0</v>
      </c>
      <c r="Q334" s="55">
        <f>SUM(Q330:Q333)</f>
        <v>3896.4284279360827</v>
      </c>
      <c r="R334" s="7">
        <f>Q334/$H334*100</f>
        <v>1.2022557629066288</v>
      </c>
      <c r="S334" s="56">
        <f>Q334/O334</f>
        <v>1</v>
      </c>
      <c r="T334" s="8">
        <f>R334/K334-1</f>
        <v>-6.6563935432257768</v>
      </c>
    </row>
    <row r="335" spans="2:21" x14ac:dyDescent="0.25"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31"/>
    </row>
    <row r="336" spans="2:21" x14ac:dyDescent="0.25">
      <c r="B336" s="47"/>
      <c r="C336" s="49"/>
      <c r="D336" s="26" t="s">
        <v>100</v>
      </c>
      <c r="E336" s="47"/>
      <c r="F336" s="3"/>
      <c r="G336" s="47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31"/>
    </row>
    <row r="337" spans="2:21" x14ac:dyDescent="0.25">
      <c r="B337" s="47">
        <f>MAX(B$10:B336)+1</f>
        <v>181</v>
      </c>
      <c r="C337" s="49"/>
      <c r="D337" s="29" t="s">
        <v>101</v>
      </c>
      <c r="E337" s="47"/>
      <c r="F337" s="3" t="s">
        <v>36</v>
      </c>
      <c r="G337" s="47"/>
      <c r="H337" s="4">
        <v>38768.213882143405</v>
      </c>
      <c r="I337" s="52"/>
      <c r="J337" s="4">
        <f>$H337*K337/100</f>
        <v>80.831725944268996</v>
      </c>
      <c r="K337" s="9">
        <v>0.20849999999999999</v>
      </c>
      <c r="L337" s="54"/>
      <c r="M337" s="4">
        <f t="shared" ref="M337:M338" si="112">J337-O337</f>
        <v>21.018563412751796</v>
      </c>
      <c r="N337" s="27"/>
      <c r="O337" s="4">
        <f t="shared" ref="O337:O338" si="113">Q337</f>
        <v>59.8131625315172</v>
      </c>
      <c r="P337" s="4">
        <f t="shared" ref="P337:P338" si="114">Q337-O337</f>
        <v>0</v>
      </c>
      <c r="Q337" s="4">
        <f>$H337*R337/100</f>
        <v>59.8131625315172</v>
      </c>
      <c r="R337" s="9">
        <v>0.15428402947154363</v>
      </c>
      <c r="S337" s="5"/>
      <c r="T337" s="6"/>
    </row>
    <row r="338" spans="2:21" x14ac:dyDescent="0.25">
      <c r="B338" s="47">
        <f>MAX(B$10:B337)+1</f>
        <v>182</v>
      </c>
      <c r="C338" s="49"/>
      <c r="D338" s="29" t="s">
        <v>102</v>
      </c>
      <c r="E338" s="47"/>
      <c r="F338" s="3" t="s">
        <v>36</v>
      </c>
      <c r="G338" s="47"/>
      <c r="H338" s="4">
        <v>125821.97106758892</v>
      </c>
      <c r="I338" s="52"/>
      <c r="J338" s="4">
        <f>$H338*K338/100</f>
        <v>262.3388096759229</v>
      </c>
      <c r="K338" s="9">
        <v>0.20849999999999999</v>
      </c>
      <c r="L338" s="54"/>
      <c r="M338" s="4">
        <f t="shared" si="112"/>
        <v>68.21560275232693</v>
      </c>
      <c r="N338" s="27"/>
      <c r="O338" s="4">
        <f t="shared" si="113"/>
        <v>194.12320692359597</v>
      </c>
      <c r="P338" s="4">
        <f t="shared" si="114"/>
        <v>0</v>
      </c>
      <c r="Q338" s="4">
        <f>$H338*R338/100</f>
        <v>194.12320692359597</v>
      </c>
      <c r="R338" s="9">
        <v>0.15428402947154363</v>
      </c>
      <c r="S338" s="5"/>
      <c r="T338" s="6"/>
    </row>
    <row r="339" spans="2:21" x14ac:dyDescent="0.25">
      <c r="B339" s="47">
        <f>MAX(B$10:B338)+1</f>
        <v>183</v>
      </c>
      <c r="C339" s="49"/>
      <c r="D339" s="26" t="s">
        <v>100</v>
      </c>
      <c r="E339" s="47"/>
      <c r="F339" s="3"/>
      <c r="G339" s="47"/>
      <c r="H339" s="55">
        <f>SUM(H337:H338)</f>
        <v>164590.18494973233</v>
      </c>
      <c r="I339" s="52"/>
      <c r="J339" s="55">
        <f>SUM(J337:J338)</f>
        <v>343.17053562019191</v>
      </c>
      <c r="K339" s="7">
        <f>J339/$H339*100</f>
        <v>0.20850000000000002</v>
      </c>
      <c r="L339" s="54"/>
      <c r="M339" s="55">
        <f>SUM(M337:M338)</f>
        <v>89.234166165078733</v>
      </c>
      <c r="N339" s="27"/>
      <c r="O339" s="55">
        <f>SUM(O337:O338)</f>
        <v>253.93636945511318</v>
      </c>
      <c r="P339" s="55">
        <f>SUM(P337:P338)</f>
        <v>0</v>
      </c>
      <c r="Q339" s="55">
        <f>SUM(Q337:Q338)</f>
        <v>253.93636945511318</v>
      </c>
      <c r="R339" s="7">
        <f>Q339/$H339*100</f>
        <v>0.15428402947154363</v>
      </c>
      <c r="S339" s="56">
        <f>Q339/O339</f>
        <v>1</v>
      </c>
      <c r="T339" s="8">
        <f>R339/K339-1</f>
        <v>-0.2600286356280882</v>
      </c>
    </row>
    <row r="340" spans="2:21" x14ac:dyDescent="0.25">
      <c r="B340" s="47"/>
      <c r="C340" s="49"/>
      <c r="D340" s="26"/>
      <c r="E340" s="47"/>
      <c r="F340" s="3"/>
      <c r="G340" s="47"/>
      <c r="H340" s="4"/>
      <c r="I340" s="52"/>
      <c r="J340" s="4"/>
      <c r="K340" s="9"/>
      <c r="L340" s="54"/>
      <c r="M340" s="4"/>
      <c r="N340" s="27"/>
      <c r="O340" s="4"/>
      <c r="P340" s="4"/>
      <c r="Q340" s="4"/>
      <c r="R340" s="9"/>
      <c r="S340" s="5"/>
      <c r="T340" s="6"/>
    </row>
    <row r="341" spans="2:21" ht="13" thickBot="1" x14ac:dyDescent="0.3">
      <c r="B341" s="47">
        <f>MAX(B$10:B340)+1</f>
        <v>184</v>
      </c>
      <c r="C341" s="49"/>
      <c r="D341" s="26" t="s">
        <v>110</v>
      </c>
      <c r="E341" s="47"/>
      <c r="F341" s="3"/>
      <c r="G341" s="47"/>
      <c r="H341" s="59">
        <f>H320</f>
        <v>327974.14729800483</v>
      </c>
      <c r="I341" s="52"/>
      <c r="J341" s="59">
        <f>SUM(J322,J327,J334,J339)</f>
        <v>30601.065390802247</v>
      </c>
      <c r="K341" s="11">
        <f>J341/$H341*100</f>
        <v>9.3303285161063059</v>
      </c>
      <c r="L341" s="54"/>
      <c r="M341" s="59">
        <f>SUM(M322,M327,M334,M339)</f>
        <v>4116.8876019001491</v>
      </c>
      <c r="N341" s="27"/>
      <c r="O341" s="59">
        <f>SUM(O322,O327,O334,O339)</f>
        <v>26484.1777889021</v>
      </c>
      <c r="P341" s="59">
        <v>-291.74296198131293</v>
      </c>
      <c r="Q341" s="59">
        <f>SUM(Q322,Q327,Q334,Q339)</f>
        <v>26192.434826920788</v>
      </c>
      <c r="R341" s="11">
        <f>Q341/$H341*100</f>
        <v>7.9861278831595648</v>
      </c>
      <c r="S341" s="60">
        <f>Q341/O341</f>
        <v>0.98898425451200667</v>
      </c>
      <c r="T341" s="12">
        <f>R341/K341-1</f>
        <v>-0.14406787827741974</v>
      </c>
    </row>
    <row r="342" spans="2:21" ht="13.5" thickTop="1" x14ac:dyDescent="0.3">
      <c r="B342" s="47"/>
      <c r="C342" s="49"/>
      <c r="E342" s="47"/>
      <c r="F342" s="58"/>
      <c r="G342" s="47"/>
      <c r="H342" s="54"/>
      <c r="I342" s="52"/>
      <c r="J342" s="54"/>
      <c r="K342" s="32"/>
      <c r="L342" s="54"/>
      <c r="M342" s="54"/>
      <c r="N342" s="27"/>
      <c r="O342" s="54"/>
      <c r="P342" s="54"/>
      <c r="Q342" s="54"/>
      <c r="R342" s="32"/>
      <c r="S342" s="57"/>
      <c r="T342" s="32"/>
    </row>
    <row r="343" spans="2:21" x14ac:dyDescent="0.25">
      <c r="B343" s="19" t="str">
        <f>$B$2 &amp;" (continued)"</f>
        <v>Derivation of Proposed Rates and Revenue by Rate Class - Delivery (continued)</v>
      </c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20"/>
    </row>
    <row r="344" spans="2:21" x14ac:dyDescent="0.25">
      <c r="B344" s="43"/>
      <c r="C344" s="43"/>
      <c r="D344" s="43"/>
      <c r="E344" s="43"/>
      <c r="F344" s="44"/>
      <c r="G344" s="43"/>
      <c r="H344" s="44"/>
      <c r="I344" s="43"/>
      <c r="J344" s="44"/>
      <c r="K344" s="44"/>
      <c r="L344" s="44"/>
      <c r="M344" s="44"/>
      <c r="N344" s="43"/>
      <c r="O344" s="43"/>
      <c r="P344" s="43"/>
      <c r="Q344" s="43"/>
      <c r="R344" s="43"/>
      <c r="S344" s="22"/>
      <c r="T344" s="22"/>
    </row>
    <row r="345" spans="2:21" x14ac:dyDescent="0.25">
      <c r="B345" s="44"/>
      <c r="C345" s="44"/>
      <c r="D345" s="44"/>
      <c r="E345" s="44"/>
      <c r="F345" s="43"/>
      <c r="G345" s="44"/>
      <c r="H345" s="43"/>
      <c r="I345" s="44"/>
      <c r="J345" s="45" t="s">
        <v>1</v>
      </c>
      <c r="K345" s="45"/>
      <c r="L345" s="44"/>
      <c r="M345" s="44"/>
      <c r="N345" s="44"/>
      <c r="O345" s="45" t="s">
        <v>2</v>
      </c>
      <c r="P345" s="45"/>
      <c r="Q345" s="45"/>
      <c r="R345" s="45"/>
      <c r="S345" s="23"/>
      <c r="T345" s="23"/>
    </row>
    <row r="346" spans="2:21" s="24" customFormat="1" ht="39" customHeight="1" x14ac:dyDescent="0.25">
      <c r="B346" s="46" t="s">
        <v>3</v>
      </c>
      <c r="C346" s="46"/>
      <c r="D346" s="46"/>
      <c r="E346" s="46"/>
      <c r="F346" s="47" t="s">
        <v>4</v>
      </c>
      <c r="G346" s="46"/>
      <c r="H346" s="24" t="s">
        <v>5</v>
      </c>
      <c r="I346" s="46"/>
      <c r="J346" s="24" t="s">
        <v>6</v>
      </c>
      <c r="K346" s="24" t="s">
        <v>7</v>
      </c>
      <c r="L346" s="46"/>
      <c r="M346" s="24" t="s">
        <v>8</v>
      </c>
      <c r="N346" s="46"/>
      <c r="O346" s="46" t="s">
        <v>9</v>
      </c>
      <c r="P346" s="24" t="s">
        <v>8</v>
      </c>
      <c r="Q346" s="24" t="s">
        <v>6</v>
      </c>
      <c r="R346" s="24" t="s">
        <v>7</v>
      </c>
      <c r="S346" s="46" t="s">
        <v>10</v>
      </c>
      <c r="T346" s="46" t="s">
        <v>11</v>
      </c>
      <c r="U346" s="46"/>
    </row>
    <row r="347" spans="2:21" ht="14.5" x14ac:dyDescent="0.25">
      <c r="B347" s="48" t="s">
        <v>12</v>
      </c>
      <c r="C347" s="49"/>
      <c r="D347" s="50" t="s">
        <v>13</v>
      </c>
      <c r="E347" s="47"/>
      <c r="F347" s="48" t="s">
        <v>14</v>
      </c>
      <c r="G347" s="47"/>
      <c r="H347" s="48" t="s">
        <v>15</v>
      </c>
      <c r="I347" s="47"/>
      <c r="J347" s="48" t="s">
        <v>16</v>
      </c>
      <c r="K347" s="48" t="s">
        <v>17</v>
      </c>
      <c r="L347" s="47"/>
      <c r="M347" s="48" t="s">
        <v>16</v>
      </c>
      <c r="N347" s="47"/>
      <c r="O347" s="48" t="s">
        <v>16</v>
      </c>
      <c r="P347" s="48" t="s">
        <v>16</v>
      </c>
      <c r="Q347" s="48" t="s">
        <v>16</v>
      </c>
      <c r="R347" s="48" t="s">
        <v>17</v>
      </c>
      <c r="S347" s="48" t="s">
        <v>18</v>
      </c>
      <c r="T347" s="48" t="s">
        <v>19</v>
      </c>
      <c r="U347" s="47"/>
    </row>
    <row r="348" spans="2:21" x14ac:dyDescent="0.25">
      <c r="B348" s="47"/>
      <c r="C348" s="49"/>
      <c r="D348" s="49"/>
      <c r="E348" s="47"/>
      <c r="F348" s="47"/>
      <c r="G348" s="47"/>
      <c r="H348" s="47" t="s">
        <v>20</v>
      </c>
      <c r="I348" s="47"/>
      <c r="J348" s="47" t="s">
        <v>21</v>
      </c>
      <c r="K348" s="47" t="s">
        <v>22</v>
      </c>
      <c r="L348" s="47"/>
      <c r="M348" s="47" t="s">
        <v>23</v>
      </c>
      <c r="N348" s="47"/>
      <c r="O348" s="47" t="s">
        <v>24</v>
      </c>
      <c r="P348" s="47" t="s">
        <v>25</v>
      </c>
      <c r="Q348" s="51" t="s">
        <v>26</v>
      </c>
      <c r="R348" s="51" t="s">
        <v>27</v>
      </c>
      <c r="S348" s="51" t="s">
        <v>28</v>
      </c>
      <c r="T348" s="51" t="s">
        <v>29</v>
      </c>
      <c r="U348" s="47"/>
    </row>
    <row r="349" spans="2:21" ht="13" x14ac:dyDescent="0.3">
      <c r="B349" s="47"/>
      <c r="C349" s="49"/>
      <c r="E349" s="47"/>
      <c r="F349" s="58"/>
      <c r="G349" s="47"/>
      <c r="H349" s="54"/>
      <c r="I349" s="52"/>
      <c r="J349" s="54"/>
      <c r="K349" s="32"/>
      <c r="L349" s="54"/>
      <c r="M349" s="54"/>
      <c r="N349" s="27"/>
      <c r="O349" s="54"/>
      <c r="P349" s="54"/>
      <c r="Q349" s="54"/>
      <c r="R349" s="32"/>
      <c r="S349" s="57"/>
      <c r="T349" s="32"/>
    </row>
    <row r="350" spans="2:21" ht="13" x14ac:dyDescent="0.3">
      <c r="B350" s="47"/>
      <c r="C350" s="49"/>
      <c r="D350" s="20" t="s">
        <v>111</v>
      </c>
      <c r="E350" s="47"/>
      <c r="F350" s="25"/>
      <c r="G350" s="47"/>
      <c r="H350" s="34"/>
      <c r="I350" s="52"/>
      <c r="J350" s="34"/>
      <c r="K350" s="52"/>
      <c r="L350" s="52"/>
      <c r="M350" s="13"/>
      <c r="N350" s="52"/>
      <c r="O350" s="14"/>
      <c r="P350" s="52"/>
      <c r="Q350" s="52"/>
      <c r="R350" s="52"/>
      <c r="S350" s="52"/>
      <c r="T350" s="52"/>
      <c r="U350" s="47"/>
    </row>
    <row r="351" spans="2:21" x14ac:dyDescent="0.25">
      <c r="B351" s="47">
        <f>MAX(B$10:B350)+1</f>
        <v>185</v>
      </c>
      <c r="C351" s="49"/>
      <c r="D351" s="26" t="s">
        <v>32</v>
      </c>
      <c r="E351" s="47"/>
      <c r="F351" s="3" t="s">
        <v>33</v>
      </c>
      <c r="G351" s="47"/>
      <c r="H351" s="4">
        <v>756.00000000000398</v>
      </c>
      <c r="I351" s="52"/>
      <c r="J351" s="4">
        <f>$H351*K351/1000</f>
        <v>824.61456000000442</v>
      </c>
      <c r="K351" s="53">
        <v>1090.76</v>
      </c>
      <c r="L351" s="54"/>
      <c r="M351" s="4">
        <f>J351-O351</f>
        <v>-1157.8549995009462</v>
      </c>
      <c r="N351" s="27"/>
      <c r="O351" s="4">
        <v>1982.4695595009507</v>
      </c>
      <c r="P351" s="4">
        <f>Q351-O351</f>
        <v>-1226.4695595009466</v>
      </c>
      <c r="Q351" s="4">
        <f>$H351*R351/1000</f>
        <v>756.00000000000398</v>
      </c>
      <c r="R351" s="53">
        <v>1000</v>
      </c>
      <c r="S351" s="5">
        <f>Q351/O351</f>
        <v>0.38134255145401208</v>
      </c>
      <c r="T351" s="6">
        <f>R351/K351-1</f>
        <v>-8.320803843191904E-2</v>
      </c>
    </row>
    <row r="352" spans="2:21" x14ac:dyDescent="0.25">
      <c r="B352" s="47"/>
      <c r="C352" s="49"/>
      <c r="D352" s="26" t="s">
        <v>58</v>
      </c>
      <c r="E352" s="47"/>
      <c r="F352" s="3"/>
      <c r="G352" s="47"/>
      <c r="H352" s="4"/>
      <c r="I352" s="52"/>
      <c r="J352" s="4"/>
      <c r="K352" s="9"/>
      <c r="L352" s="54"/>
      <c r="M352" s="4"/>
      <c r="N352" s="27"/>
      <c r="O352" s="4"/>
      <c r="P352" s="4"/>
      <c r="Q352" s="4"/>
      <c r="R352" s="9"/>
      <c r="S352" s="5"/>
      <c r="T352" s="6"/>
    </row>
    <row r="353" spans="2:20" x14ac:dyDescent="0.25">
      <c r="B353" s="47">
        <f>MAX(B$10:B352)+1</f>
        <v>186</v>
      </c>
      <c r="C353" s="49"/>
      <c r="D353" s="70" t="s">
        <v>112</v>
      </c>
      <c r="E353" s="47"/>
      <c r="F353" s="41" t="s">
        <v>59</v>
      </c>
      <c r="G353" s="47"/>
      <c r="H353" s="4">
        <v>25506.168000000001</v>
      </c>
      <c r="I353" s="52"/>
      <c r="J353" s="4">
        <f>$H353*K353/100</f>
        <v>8875.3302666240015</v>
      </c>
      <c r="K353" s="9">
        <v>34.796800000000005</v>
      </c>
      <c r="L353" s="54"/>
      <c r="M353" s="4">
        <f t="shared" ref="M353:M354" si="115">J353-O353</f>
        <v>4534.5991335264989</v>
      </c>
      <c r="N353" s="27"/>
      <c r="O353" s="4">
        <f>O$355*J353/J$355</f>
        <v>4340.7311330975026</v>
      </c>
      <c r="P353" s="4">
        <f t="shared" ref="P353:P354" si="116">Q353-O353</f>
        <v>6183.5564900474055</v>
      </c>
      <c r="Q353" s="4">
        <f>$H353*R353/100</f>
        <v>10524.287623144908</v>
      </c>
      <c r="R353" s="9">
        <f>K353*(O$355+P$355)/J$355</f>
        <v>41.261735683482158</v>
      </c>
      <c r="S353" s="5"/>
      <c r="T353" s="6">
        <f t="shared" ref="T353:T354" si="117">R353/K353-1</f>
        <v>0.18579109813207406</v>
      </c>
    </row>
    <row r="354" spans="2:20" x14ac:dyDescent="0.25">
      <c r="B354" s="47">
        <f>MAX(B$10:B353)+1</f>
        <v>187</v>
      </c>
      <c r="C354" s="49"/>
      <c r="D354" s="70" t="s">
        <v>113</v>
      </c>
      <c r="E354" s="47"/>
      <c r="F354" s="41" t="s">
        <v>59</v>
      </c>
      <c r="G354" s="47"/>
      <c r="H354" s="4">
        <v>66225.600000000006</v>
      </c>
      <c r="I354" s="52"/>
      <c r="J354" s="4">
        <f>$H354*K354/100</f>
        <v>13551.280948800002</v>
      </c>
      <c r="K354" s="9">
        <v>20.462300000000003</v>
      </c>
      <c r="L354" s="54"/>
      <c r="M354" s="4">
        <f t="shared" si="115"/>
        <v>6923.6439662066632</v>
      </c>
      <c r="N354" s="27"/>
      <c r="O354" s="4">
        <f>O$355*J354/J$355</f>
        <v>6627.6369825933389</v>
      </c>
      <c r="P354" s="4">
        <f t="shared" si="116"/>
        <v>9441.3513347804692</v>
      </c>
      <c r="Q354" s="4">
        <f>$H354*R354/100</f>
        <v>16068.988317373809</v>
      </c>
      <c r="R354" s="9">
        <f>K354*(O$355+P$355)/J$355</f>
        <v>24.264013187307942</v>
      </c>
      <c r="S354" s="5"/>
      <c r="T354" s="6">
        <f t="shared" si="117"/>
        <v>0.18579109813207406</v>
      </c>
    </row>
    <row r="355" spans="2:20" x14ac:dyDescent="0.25">
      <c r="B355" s="47">
        <f>MAX(B$10:B354)+1</f>
        <v>188</v>
      </c>
      <c r="C355" s="49"/>
      <c r="D355" s="26" t="s">
        <v>58</v>
      </c>
      <c r="E355" s="47"/>
      <c r="F355" s="3"/>
      <c r="G355" s="47"/>
      <c r="H355" s="55">
        <f>SUM(H353:H354)</f>
        <v>91731.768000000011</v>
      </c>
      <c r="I355" s="52"/>
      <c r="J355" s="55">
        <f>SUM(J353:J354)</f>
        <v>22426.611215424004</v>
      </c>
      <c r="K355" s="7">
        <f>J355/$H355*100</f>
        <v>24.44803115036876</v>
      </c>
      <c r="L355" s="54"/>
      <c r="M355" s="55">
        <f>SUM(M353:M354)</f>
        <v>11458.243099733161</v>
      </c>
      <c r="N355" s="27"/>
      <c r="O355" s="55">
        <v>10968.368115690842</v>
      </c>
      <c r="P355" s="55">
        <f>P392-SUM(P351,P360,P362)</f>
        <v>15624.907824827875</v>
      </c>
      <c r="Q355" s="55">
        <f>SUM(Q353:Q354)</f>
        <v>26593.275940518717</v>
      </c>
      <c r="R355" s="7">
        <f>Q355/$H355*100</f>
        <v>28.990257704962925</v>
      </c>
      <c r="S355" s="56">
        <f>Q355/O355</f>
        <v>2.4245426174633584</v>
      </c>
      <c r="T355" s="8">
        <f>R355/K355-1</f>
        <v>0.18579109813207406</v>
      </c>
    </row>
    <row r="356" spans="2:20" x14ac:dyDescent="0.25">
      <c r="B356" s="47"/>
      <c r="C356" s="49"/>
      <c r="D356" s="26"/>
      <c r="E356" s="47"/>
      <c r="F356" s="3"/>
      <c r="G356" s="47"/>
      <c r="H356" s="4"/>
      <c r="I356" s="52"/>
      <c r="J356" s="4"/>
      <c r="K356" s="9"/>
      <c r="L356" s="54"/>
      <c r="M356" s="4"/>
      <c r="N356" s="27"/>
      <c r="O356" s="4"/>
      <c r="P356" s="4"/>
      <c r="Q356" s="4"/>
      <c r="R356" s="9"/>
      <c r="S356" s="5"/>
      <c r="T356" s="10"/>
    </row>
    <row r="357" spans="2:20" x14ac:dyDescent="0.25">
      <c r="B357" s="47"/>
      <c r="C357" s="49"/>
      <c r="D357" s="26" t="s">
        <v>34</v>
      </c>
      <c r="E357" s="47"/>
      <c r="F357" s="3"/>
      <c r="G357" s="47"/>
      <c r="H357" s="4"/>
      <c r="I357" s="52"/>
      <c r="J357" s="4"/>
      <c r="K357" s="9"/>
      <c r="L357" s="54"/>
      <c r="M357" s="4"/>
      <c r="N357" s="27"/>
      <c r="O357" s="4"/>
      <c r="P357" s="4"/>
      <c r="Q357" s="4"/>
      <c r="R357" s="9"/>
      <c r="S357" s="5"/>
      <c r="T357" s="10"/>
    </row>
    <row r="358" spans="2:20" x14ac:dyDescent="0.25">
      <c r="B358" s="47">
        <f>MAX(B$10:B357)+1</f>
        <v>189</v>
      </c>
      <c r="C358" s="49"/>
      <c r="D358" s="70" t="s">
        <v>114</v>
      </c>
      <c r="E358" s="47"/>
      <c r="F358" s="3" t="s">
        <v>36</v>
      </c>
      <c r="G358" s="47"/>
      <c r="H358" s="4">
        <v>338478.94474000001</v>
      </c>
      <c r="I358" s="52"/>
      <c r="J358" s="4">
        <f>$H358*K358/100</f>
        <v>2602.5646061058601</v>
      </c>
      <c r="K358" s="9">
        <v>0.76890000000000003</v>
      </c>
      <c r="L358" s="54"/>
      <c r="M358" s="4">
        <f t="shared" ref="M358:M359" si="118">J358-O358</f>
        <v>2602.5646061058601</v>
      </c>
      <c r="N358" s="27"/>
      <c r="O358" s="4">
        <f>J358/J$360*O360</f>
        <v>0</v>
      </c>
      <c r="P358" s="4">
        <f t="shared" ref="P358:P359" si="119">Q358-O358</f>
        <v>0</v>
      </c>
      <c r="Q358" s="4">
        <f>$H358*R358/100</f>
        <v>0</v>
      </c>
      <c r="R358" s="9">
        <f>K358*(O$360+P$360)/J$360</f>
        <v>0</v>
      </c>
      <c r="S358" s="5"/>
      <c r="T358" s="10"/>
    </row>
    <row r="359" spans="2:20" x14ac:dyDescent="0.25">
      <c r="B359" s="47">
        <f>MAX(B$10:B358)+1</f>
        <v>190</v>
      </c>
      <c r="C359" s="49"/>
      <c r="D359" s="70" t="s">
        <v>115</v>
      </c>
      <c r="E359" s="47"/>
      <c r="F359" s="3" t="s">
        <v>36</v>
      </c>
      <c r="G359" s="47"/>
      <c r="H359" s="4">
        <v>590622.16051000007</v>
      </c>
      <c r="I359" s="52"/>
      <c r="J359" s="4">
        <f>$H359*K359/100</f>
        <v>3292.1279226827405</v>
      </c>
      <c r="K359" s="9">
        <v>0.55740000000000001</v>
      </c>
      <c r="L359" s="54"/>
      <c r="M359" s="4">
        <f t="shared" si="118"/>
        <v>3292.1279226827405</v>
      </c>
      <c r="N359" s="27"/>
      <c r="O359" s="4">
        <f>J359/J$360*O361</f>
        <v>0</v>
      </c>
      <c r="P359" s="4">
        <f t="shared" si="119"/>
        <v>0</v>
      </c>
      <c r="Q359" s="4">
        <f>$H359*R359/100</f>
        <v>0</v>
      </c>
      <c r="R359" s="9">
        <f>K359*(O$360+P$360)/J$360</f>
        <v>0</v>
      </c>
      <c r="S359" s="5"/>
      <c r="T359" s="10"/>
    </row>
    <row r="360" spans="2:20" x14ac:dyDescent="0.25">
      <c r="B360" s="47">
        <f>MAX(B$10:B359)+1</f>
        <v>191</v>
      </c>
      <c r="C360" s="49"/>
      <c r="D360" s="26" t="s">
        <v>34</v>
      </c>
      <c r="E360" s="47"/>
      <c r="F360" s="3"/>
      <c r="G360" s="47"/>
      <c r="H360" s="55">
        <f>SUM(H358:H359)</f>
        <v>929101.10525000002</v>
      </c>
      <c r="I360" s="52"/>
      <c r="J360" s="55">
        <f>SUM(J358:J359)</f>
        <v>5894.6925287886006</v>
      </c>
      <c r="K360" s="7">
        <f>J360/$H360*100</f>
        <v>0.63445113728526592</v>
      </c>
      <c r="L360" s="54"/>
      <c r="M360" s="55">
        <f>SUM(M358:M359)</f>
        <v>5894.6925287886006</v>
      </c>
      <c r="N360" s="27"/>
      <c r="O360" s="55">
        <v>0</v>
      </c>
      <c r="P360" s="55">
        <v>0</v>
      </c>
      <c r="Q360" s="55">
        <f>SUM(Q358:Q359)</f>
        <v>0</v>
      </c>
      <c r="R360" s="7">
        <f>Q360/$H360*100</f>
        <v>0</v>
      </c>
      <c r="S360" s="56"/>
      <c r="T360" s="8">
        <f>R360/K360-1</f>
        <v>-1</v>
      </c>
    </row>
    <row r="361" spans="2:20" x14ac:dyDescent="0.25">
      <c r="B361" s="47"/>
      <c r="C361" s="49"/>
      <c r="D361" s="26"/>
      <c r="E361" s="47"/>
      <c r="F361" s="3"/>
      <c r="G361" s="47"/>
      <c r="H361" s="4"/>
      <c r="I361" s="52"/>
      <c r="J361" s="4"/>
      <c r="K361" s="9"/>
      <c r="L361" s="54"/>
      <c r="M361" s="4"/>
      <c r="N361" s="27"/>
      <c r="O361" s="4"/>
      <c r="P361" s="4"/>
      <c r="Q361" s="4"/>
      <c r="R361" s="9"/>
      <c r="S361" s="5"/>
      <c r="T361" s="10"/>
    </row>
    <row r="362" spans="2:20" x14ac:dyDescent="0.25">
      <c r="B362" s="47">
        <f>MAX(B$10:B361)+1</f>
        <v>192</v>
      </c>
      <c r="C362" s="49"/>
      <c r="D362" s="66" t="s">
        <v>116</v>
      </c>
      <c r="E362" s="47"/>
      <c r="F362" s="3" t="s">
        <v>36</v>
      </c>
      <c r="G362" s="47"/>
      <c r="H362" s="4">
        <v>18115.468199999999</v>
      </c>
      <c r="I362" s="52"/>
      <c r="J362" s="4">
        <f>$H362*K362/100</f>
        <v>100.97561974680001</v>
      </c>
      <c r="K362" s="9">
        <v>0.55740000000000001</v>
      </c>
      <c r="L362" s="54"/>
      <c r="M362" s="4">
        <f t="shared" ref="M362:M363" si="120">J362-O362</f>
        <v>100.97561974680001</v>
      </c>
      <c r="N362" s="27"/>
      <c r="O362" s="4">
        <v>0</v>
      </c>
      <c r="P362" s="4">
        <f t="shared" ref="P362" si="121">Q362-O362</f>
        <v>0</v>
      </c>
      <c r="Q362" s="4">
        <f>$H362*R362/100</f>
        <v>0</v>
      </c>
      <c r="R362" s="9">
        <f>R359</f>
        <v>0</v>
      </c>
      <c r="S362" s="5"/>
      <c r="T362" s="6">
        <f>R362/K362-1</f>
        <v>-1</v>
      </c>
    </row>
    <row r="363" spans="2:20" x14ac:dyDescent="0.25">
      <c r="B363" s="47">
        <f>MAX(B$10:B362)+1</f>
        <v>193</v>
      </c>
      <c r="C363" s="49"/>
      <c r="D363" s="66" t="s">
        <v>117</v>
      </c>
      <c r="E363" s="47"/>
      <c r="F363" s="3" t="s">
        <v>33</v>
      </c>
      <c r="G363" s="47"/>
      <c r="H363" s="4">
        <v>456.00000000000375</v>
      </c>
      <c r="I363" s="52"/>
      <c r="J363" s="4">
        <f>$H363*K363/1000</f>
        <v>113.11992000000093</v>
      </c>
      <c r="K363" s="53">
        <v>248.07</v>
      </c>
      <c r="L363" s="54"/>
      <c r="M363" s="4">
        <f t="shared" si="120"/>
        <v>113.11992000000093</v>
      </c>
      <c r="N363" s="27"/>
      <c r="O363" s="4"/>
      <c r="P363" s="4"/>
      <c r="Q363" s="4"/>
      <c r="R363" s="53"/>
      <c r="S363" s="5"/>
      <c r="T363" s="10"/>
    </row>
    <row r="364" spans="2:20" x14ac:dyDescent="0.25">
      <c r="B364" s="47"/>
      <c r="C364" s="49"/>
      <c r="D364" s="26"/>
      <c r="E364" s="47"/>
      <c r="F364" s="3"/>
      <c r="G364" s="47"/>
      <c r="H364" s="4"/>
      <c r="I364" s="52"/>
      <c r="J364" s="4"/>
      <c r="K364" s="9"/>
      <c r="L364" s="54"/>
      <c r="M364" s="4"/>
      <c r="N364" s="27"/>
      <c r="O364" s="4"/>
      <c r="P364" s="4"/>
      <c r="Q364" s="4"/>
      <c r="R364" s="9"/>
      <c r="S364" s="5"/>
      <c r="T364" s="10"/>
    </row>
    <row r="365" spans="2:20" x14ac:dyDescent="0.25">
      <c r="B365" s="47">
        <f>MAX(B$10:B364)+1</f>
        <v>194</v>
      </c>
      <c r="C365" s="49"/>
      <c r="D365" s="26" t="s">
        <v>41</v>
      </c>
      <c r="E365" s="47"/>
      <c r="F365" s="3"/>
      <c r="G365" s="47"/>
      <c r="H365" s="55">
        <f>H360</f>
        <v>929101.10525000002</v>
      </c>
      <c r="I365" s="52"/>
      <c r="J365" s="55">
        <f>SUM(J351,J355,J360,J362:J363)</f>
        <v>29360.013843959412</v>
      </c>
      <c r="K365" s="7">
        <f>J365/$H365*100</f>
        <v>3.1600450885331042</v>
      </c>
      <c r="L365" s="54"/>
      <c r="M365" s="55">
        <f>SUM(M351,M355,M360,M362:M363)</f>
        <v>16409.176168767615</v>
      </c>
      <c r="N365" s="27"/>
      <c r="O365" s="55">
        <f>SUM(O351,O355,O360,O362:O363)</f>
        <v>12950.837675191793</v>
      </c>
      <c r="P365" s="55">
        <f>SUM(P351,P355,P360,P362:P363)</f>
        <v>14398.438265326928</v>
      </c>
      <c r="Q365" s="55">
        <f>SUM(Q351,Q355,Q360,Q362:Q363)</f>
        <v>27349.275940518721</v>
      </c>
      <c r="R365" s="7">
        <f>Q365/$H365*100</f>
        <v>2.9436275326741379</v>
      </c>
      <c r="S365" s="56">
        <f>Q365/O365</f>
        <v>2.1117765990464163</v>
      </c>
      <c r="T365" s="8">
        <f>R365/K365-1</f>
        <v>-6.8485591121558165E-2</v>
      </c>
    </row>
    <row r="366" spans="2:20" x14ac:dyDescent="0.25"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31"/>
    </row>
    <row r="367" spans="2:20" x14ac:dyDescent="0.25">
      <c r="B367" s="47"/>
      <c r="C367" s="49"/>
      <c r="D367" s="26" t="s">
        <v>118</v>
      </c>
      <c r="E367" s="47"/>
      <c r="F367" s="3"/>
      <c r="G367" s="47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31"/>
    </row>
    <row r="368" spans="2:20" x14ac:dyDescent="0.25">
      <c r="B368" s="47">
        <f>MAX(B$10:B367)+1</f>
        <v>195</v>
      </c>
      <c r="C368" s="49"/>
      <c r="D368" s="29" t="s">
        <v>119</v>
      </c>
      <c r="E368" s="47"/>
      <c r="F368" s="41" t="s">
        <v>59</v>
      </c>
      <c r="G368" s="47"/>
      <c r="H368" s="4">
        <v>1764.0360000000001</v>
      </c>
      <c r="I368" s="52"/>
      <c r="J368" s="4">
        <f>$H368*K368/100</f>
        <v>103.49002968871824</v>
      </c>
      <c r="K368" s="9">
        <v>5.8666620005894572</v>
      </c>
      <c r="L368" s="54"/>
      <c r="M368" s="4">
        <f t="shared" ref="M368:M369" si="122">J368-O368</f>
        <v>-166.01682712184024</v>
      </c>
      <c r="N368" s="27"/>
      <c r="O368" s="4">
        <v>269.50685681055847</v>
      </c>
      <c r="P368" s="4">
        <f t="shared" ref="P368:P369" si="123">Q368-O368</f>
        <v>0</v>
      </c>
      <c r="Q368" s="4">
        <f>$H368*R368/100</f>
        <v>269.50685681055842</v>
      </c>
      <c r="R368" s="9">
        <f>SUM($O$368:$O$369)/SUM($H$368:$H$369)*100</f>
        <v>15.277854692906404</v>
      </c>
      <c r="S368" s="5"/>
      <c r="T368" s="6"/>
    </row>
    <row r="369" spans="2:20" x14ac:dyDescent="0.25">
      <c r="B369" s="47">
        <f>MAX(B$10:B368)+1</f>
        <v>196</v>
      </c>
      <c r="C369" s="49"/>
      <c r="D369" s="29" t="s">
        <v>120</v>
      </c>
      <c r="E369" s="47"/>
      <c r="F369" s="41" t="s">
        <v>59</v>
      </c>
      <c r="G369" s="47"/>
      <c r="H369" s="4">
        <v>6791.652</v>
      </c>
      <c r="I369" s="52"/>
      <c r="J369" s="4">
        <f>$H369*K369/100</f>
        <v>295.44107286427385</v>
      </c>
      <c r="K369" s="9">
        <v>4.3500620005894568</v>
      </c>
      <c r="L369" s="54"/>
      <c r="M369" s="4">
        <f t="shared" si="122"/>
        <v>-742.17765094359788</v>
      </c>
      <c r="N369" s="27"/>
      <c r="O369" s="4">
        <v>1037.6187238078717</v>
      </c>
      <c r="P369" s="4">
        <f t="shared" si="123"/>
        <v>0</v>
      </c>
      <c r="Q369" s="4">
        <f>$H369*R369/100</f>
        <v>1037.6187238078717</v>
      </c>
      <c r="R369" s="9">
        <f>SUM($O$368:$O$369)/SUM($H$368:$H$369)*100</f>
        <v>15.277854692906404</v>
      </c>
      <c r="S369" s="5"/>
      <c r="T369" s="6"/>
    </row>
    <row r="370" spans="2:20" x14ac:dyDescent="0.25">
      <c r="B370" s="47"/>
      <c r="C370" s="49"/>
      <c r="D370" s="26" t="s">
        <v>121</v>
      </c>
      <c r="E370" s="47"/>
      <c r="F370" s="3"/>
      <c r="G370" s="47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31"/>
    </row>
    <row r="371" spans="2:20" x14ac:dyDescent="0.25">
      <c r="B371" s="47">
        <f>MAX(B$10:B370)+1</f>
        <v>197</v>
      </c>
      <c r="C371" s="49"/>
      <c r="D371" s="29" t="s">
        <v>122</v>
      </c>
      <c r="E371" s="47"/>
      <c r="F371" s="3" t="s">
        <v>36</v>
      </c>
      <c r="G371" s="47"/>
      <c r="H371" s="4">
        <v>3189.8278335117261</v>
      </c>
      <c r="I371" s="52"/>
      <c r="J371" s="4">
        <f>$H371*K371/100</f>
        <v>-3.9409036352212259</v>
      </c>
      <c r="K371" s="9">
        <v>-0.12354596677033286</v>
      </c>
      <c r="L371" s="54"/>
      <c r="M371" s="4">
        <f t="shared" ref="M371:M374" si="124">J371-O371</f>
        <v>-2.3129601788267662</v>
      </c>
      <c r="N371" s="27"/>
      <c r="O371" s="4">
        <f t="shared" ref="O371:O374" si="125">Q371</f>
        <v>-1.6279434563944599</v>
      </c>
      <c r="P371" s="4">
        <f t="shared" ref="P371:P374" si="126">Q371-O371</f>
        <v>0</v>
      </c>
      <c r="Q371" s="4">
        <f>$H371*R371/100</f>
        <v>-1.6279434563944599</v>
      </c>
      <c r="R371" s="9">
        <v>-5.1035464650837727E-2</v>
      </c>
      <c r="S371" s="5"/>
      <c r="T371" s="6"/>
    </row>
    <row r="372" spans="2:20" x14ac:dyDescent="0.25">
      <c r="B372" s="47">
        <f>MAX(B$10:B371)+1</f>
        <v>198</v>
      </c>
      <c r="C372" s="49"/>
      <c r="D372" s="29" t="s">
        <v>123</v>
      </c>
      <c r="E372" s="47"/>
      <c r="F372" s="3" t="s">
        <v>36</v>
      </c>
      <c r="G372" s="47"/>
      <c r="H372" s="4">
        <v>6167.8313313963072</v>
      </c>
      <c r="I372" s="52"/>
      <c r="J372" s="4">
        <f>$H372*K372/100</f>
        <v>-12.525383104996541</v>
      </c>
      <c r="K372" s="9">
        <v>-0.20307596677033282</v>
      </c>
      <c r="L372" s="54"/>
      <c r="M372" s="4">
        <f t="shared" si="124"/>
        <v>-9.3776017261384848</v>
      </c>
      <c r="N372" s="27"/>
      <c r="O372" s="4">
        <f t="shared" si="125"/>
        <v>-3.1477813788580562</v>
      </c>
      <c r="P372" s="4">
        <f t="shared" si="126"/>
        <v>0</v>
      </c>
      <c r="Q372" s="4">
        <f>$H372*R372/100</f>
        <v>-3.1477813788580562</v>
      </c>
      <c r="R372" s="9">
        <v>-5.1035464650837727E-2</v>
      </c>
      <c r="S372" s="5"/>
      <c r="T372" s="6"/>
    </row>
    <row r="373" spans="2:20" x14ac:dyDescent="0.25">
      <c r="B373" s="47">
        <f>MAX(B$10:B372)+1</f>
        <v>199</v>
      </c>
      <c r="C373" s="49"/>
      <c r="D373" s="29" t="s">
        <v>124</v>
      </c>
      <c r="E373" s="47"/>
      <c r="F373" s="3" t="s">
        <v>36</v>
      </c>
      <c r="G373" s="47"/>
      <c r="H373" s="4">
        <v>16137.939466488273</v>
      </c>
      <c r="I373" s="52"/>
      <c r="J373" s="4">
        <f>$H373*K373/100</f>
        <v>-19.937773330684035</v>
      </c>
      <c r="K373" s="9">
        <v>-0.12354596677033286</v>
      </c>
      <c r="L373" s="54"/>
      <c r="M373" s="4">
        <f t="shared" si="124"/>
        <v>-11.701700938890822</v>
      </c>
      <c r="N373" s="27"/>
      <c r="O373" s="4">
        <f t="shared" si="125"/>
        <v>-8.236072391793213</v>
      </c>
      <c r="P373" s="4">
        <f t="shared" si="126"/>
        <v>0</v>
      </c>
      <c r="Q373" s="4">
        <f>$H373*R373/100</f>
        <v>-8.236072391793213</v>
      </c>
      <c r="R373" s="9">
        <v>-5.1035464650837727E-2</v>
      </c>
      <c r="S373" s="5"/>
      <c r="T373" s="6"/>
    </row>
    <row r="374" spans="2:20" x14ac:dyDescent="0.25">
      <c r="B374" s="47">
        <f>MAX(B$10:B373)+1</f>
        <v>200</v>
      </c>
      <c r="C374" s="49"/>
      <c r="D374" s="29" t="s">
        <v>125</v>
      </c>
      <c r="E374" s="47"/>
      <c r="F374" s="3" t="s">
        <v>36</v>
      </c>
      <c r="G374" s="47"/>
      <c r="H374" s="4">
        <v>56624.874308603685</v>
      </c>
      <c r="I374" s="52"/>
      <c r="J374" s="4">
        <f>$H374*K374/100</f>
        <v>-114.99151093468274</v>
      </c>
      <c r="K374" s="9">
        <v>-0.20307596677033282</v>
      </c>
      <c r="L374" s="54"/>
      <c r="M374" s="4">
        <f t="shared" si="124"/>
        <v>-86.092743223334011</v>
      </c>
      <c r="N374" s="27"/>
      <c r="O374" s="4">
        <f t="shared" si="125"/>
        <v>-28.898767711348729</v>
      </c>
      <c r="P374" s="4">
        <f t="shared" si="126"/>
        <v>0</v>
      </c>
      <c r="Q374" s="4">
        <f>$H374*R374/100</f>
        <v>-28.898767711348729</v>
      </c>
      <c r="R374" s="9">
        <v>-5.1035464650837727E-2</v>
      </c>
      <c r="S374" s="5"/>
      <c r="T374" s="6"/>
    </row>
    <row r="375" spans="2:20" x14ac:dyDescent="0.25">
      <c r="B375" s="47"/>
      <c r="C375" s="49"/>
      <c r="D375" s="26" t="s">
        <v>126</v>
      </c>
      <c r="E375" s="47"/>
      <c r="F375" s="3"/>
      <c r="G375" s="47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5"/>
      <c r="T375" s="31"/>
    </row>
    <row r="376" spans="2:20" x14ac:dyDescent="0.25">
      <c r="B376" s="47">
        <f>MAX(B$10:B375)+1</f>
        <v>201</v>
      </c>
      <c r="C376" s="49"/>
      <c r="D376" s="29" t="s">
        <v>122</v>
      </c>
      <c r="E376" s="47"/>
      <c r="F376" s="3" t="s">
        <v>36</v>
      </c>
      <c r="G376" s="47"/>
      <c r="H376" s="4">
        <f>H388-H371</f>
        <v>2587.1831664882743</v>
      </c>
      <c r="I376" s="52"/>
      <c r="J376" s="4">
        <f>$H376*K376/100</f>
        <v>0</v>
      </c>
      <c r="K376" s="9">
        <v>0</v>
      </c>
      <c r="L376" s="54"/>
      <c r="M376" s="4">
        <f t="shared" ref="M376:M379" si="127">J376-O376</f>
        <v>1.3203809503855473</v>
      </c>
      <c r="N376" s="27"/>
      <c r="O376" s="4">
        <f t="shared" ref="O376:O379" si="128">Q376</f>
        <v>-1.3203809503855473</v>
      </c>
      <c r="P376" s="4">
        <f t="shared" ref="P376:P379" si="129">Q376-O376</f>
        <v>0</v>
      </c>
      <c r="Q376" s="4">
        <f>$H376*R376/100</f>
        <v>-1.3203809503855473</v>
      </c>
      <c r="R376" s="9">
        <v>-5.1035464650837727E-2</v>
      </c>
      <c r="S376" s="5"/>
      <c r="T376" s="6"/>
    </row>
    <row r="377" spans="2:20" x14ac:dyDescent="0.25">
      <c r="B377" s="47">
        <f>MAX(B$10:B376)+1</f>
        <v>202</v>
      </c>
      <c r="C377" s="49"/>
      <c r="D377" s="29" t="s">
        <v>123</v>
      </c>
      <c r="E377" s="47"/>
      <c r="F377" s="3" t="s">
        <v>36</v>
      </c>
      <c r="G377" s="47"/>
      <c r="H377" s="4">
        <f>H389-H372</f>
        <v>3686.2166286036945</v>
      </c>
      <c r="I377" s="52"/>
      <c r="J377" s="4">
        <f>$H377*K377/100</f>
        <v>0</v>
      </c>
      <c r="K377" s="9">
        <v>0</v>
      </c>
      <c r="L377" s="54"/>
      <c r="M377" s="4">
        <f t="shared" si="127"/>
        <v>1.8812777844443409</v>
      </c>
      <c r="N377" s="27"/>
      <c r="O377" s="4">
        <f t="shared" si="128"/>
        <v>-1.8812777844443409</v>
      </c>
      <c r="P377" s="4">
        <f t="shared" si="129"/>
        <v>0</v>
      </c>
      <c r="Q377" s="4">
        <f>$H377*R377/100</f>
        <v>-1.8812777844443409</v>
      </c>
      <c r="R377" s="9">
        <v>-5.1035464650837727E-2</v>
      </c>
      <c r="S377" s="5"/>
      <c r="T377" s="6"/>
    </row>
    <row r="378" spans="2:20" x14ac:dyDescent="0.25">
      <c r="B378" s="47">
        <f>MAX(B$10:B377)+1</f>
        <v>203</v>
      </c>
      <c r="C378" s="49"/>
      <c r="D378" s="29" t="s">
        <v>124</v>
      </c>
      <c r="E378" s="47"/>
      <c r="F378" s="3" t="s">
        <v>36</v>
      </c>
      <c r="G378" s="47"/>
      <c r="H378" s="4">
        <v>13089.046653511728</v>
      </c>
      <c r="I378" s="52"/>
      <c r="J378" s="4">
        <f>$H378*K378/100</f>
        <v>0</v>
      </c>
      <c r="K378" s="9">
        <v>0</v>
      </c>
      <c r="L378" s="54"/>
      <c r="M378" s="4">
        <f t="shared" si="127"/>
        <v>6.6800557779846361</v>
      </c>
      <c r="N378" s="27"/>
      <c r="O378" s="4">
        <f t="shared" si="128"/>
        <v>-6.6800557779846361</v>
      </c>
      <c r="P378" s="4">
        <f t="shared" si="129"/>
        <v>0</v>
      </c>
      <c r="Q378" s="4">
        <f>$H378*R378/100</f>
        <v>-6.6800557779846361</v>
      </c>
      <c r="R378" s="9">
        <v>-5.1035464650837727E-2</v>
      </c>
      <c r="S378" s="5"/>
      <c r="T378" s="6"/>
    </row>
    <row r="379" spans="2:20" x14ac:dyDescent="0.25">
      <c r="B379" s="47">
        <f>MAX(B$10:B378)+1</f>
        <v>204</v>
      </c>
      <c r="C379" s="49"/>
      <c r="D379" s="29" t="s">
        <v>125</v>
      </c>
      <c r="E379" s="47"/>
      <c r="F379" s="3" t="s">
        <v>36</v>
      </c>
      <c r="G379" s="47"/>
      <c r="H379" s="4">
        <v>33841.968441396282</v>
      </c>
      <c r="I379" s="52"/>
      <c r="J379" s="4">
        <f>$H379*K379/100</f>
        <v>0</v>
      </c>
      <c r="K379" s="9">
        <v>0</v>
      </c>
      <c r="L379" s="54"/>
      <c r="M379" s="4">
        <f t="shared" si="127"/>
        <v>17.27140584105646</v>
      </c>
      <c r="N379" s="27"/>
      <c r="O379" s="4">
        <f t="shared" si="128"/>
        <v>-17.27140584105646</v>
      </c>
      <c r="P379" s="4">
        <f t="shared" si="129"/>
        <v>0</v>
      </c>
      <c r="Q379" s="4">
        <f>$H379*R379/100</f>
        <v>-17.27140584105646</v>
      </c>
      <c r="R379" s="9">
        <v>-5.1035464650837727E-2</v>
      </c>
      <c r="S379" s="5"/>
      <c r="T379" s="6"/>
    </row>
    <row r="380" spans="2:20" x14ac:dyDescent="0.25">
      <c r="D380" s="26" t="s">
        <v>127</v>
      </c>
      <c r="E380" s="47"/>
      <c r="F380" s="3"/>
      <c r="G380" s="47"/>
      <c r="H380" s="55">
        <f>SUM(H371:H379)</f>
        <v>135324.88782999996</v>
      </c>
      <c r="I380" s="52"/>
      <c r="J380" s="55">
        <f>SUM(J368:J379)</f>
        <v>247.5355315474076</v>
      </c>
      <c r="K380" s="7">
        <f>J380/$H380*100</f>
        <v>0.1829194433609069</v>
      </c>
      <c r="L380" s="54"/>
      <c r="M380" s="55">
        <f>SUM(M368:M379)</f>
        <v>-990.52636377875706</v>
      </c>
      <c r="N380" s="27"/>
      <c r="O380" s="55">
        <f>SUM(O368:O379)</f>
        <v>1238.0618953261649</v>
      </c>
      <c r="P380" s="55">
        <f>SUM(P368:P379)</f>
        <v>0</v>
      </c>
      <c r="Q380" s="55">
        <f>SUM(Q368:Q379)</f>
        <v>1238.0618953261649</v>
      </c>
      <c r="R380" s="7">
        <f>Q380/$H380*100</f>
        <v>0.91488115392451919</v>
      </c>
      <c r="S380" s="56">
        <f>Q380/O380</f>
        <v>1</v>
      </c>
      <c r="T380" s="8">
        <f>R380/K380-1</f>
        <v>4.0015522522634432</v>
      </c>
    </row>
    <row r="381" spans="2:20" ht="13" x14ac:dyDescent="0.3">
      <c r="B381" s="47"/>
      <c r="C381" s="49"/>
      <c r="D381" s="26"/>
      <c r="E381" s="47"/>
      <c r="F381" s="58"/>
      <c r="G381" s="47"/>
      <c r="H381" s="4"/>
      <c r="I381" s="52"/>
      <c r="J381" s="4"/>
      <c r="K381" s="9"/>
      <c r="L381" s="54"/>
      <c r="M381" s="4"/>
      <c r="N381" s="27"/>
      <c r="O381" s="4"/>
      <c r="P381" s="4"/>
      <c r="Q381" s="4"/>
      <c r="R381" s="32"/>
      <c r="S381" s="5"/>
      <c r="T381" s="33"/>
    </row>
    <row r="382" spans="2:20" x14ac:dyDescent="0.25">
      <c r="B382" s="47"/>
      <c r="C382" s="49"/>
      <c r="D382" s="26" t="s">
        <v>128</v>
      </c>
      <c r="E382" s="47"/>
      <c r="F382" s="3"/>
      <c r="G382" s="47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31"/>
    </row>
    <row r="383" spans="2:20" x14ac:dyDescent="0.25">
      <c r="B383" s="47">
        <f>MAX(B$10:B382)+1</f>
        <v>205</v>
      </c>
      <c r="C383" s="49"/>
      <c r="D383" s="29" t="s">
        <v>129</v>
      </c>
      <c r="E383" s="47"/>
      <c r="F383" s="3" t="s">
        <v>130</v>
      </c>
      <c r="G383" s="47"/>
      <c r="H383" s="4">
        <v>141504</v>
      </c>
      <c r="I383" s="52"/>
      <c r="J383" s="4">
        <f>$H383*K383/1000</f>
        <v>1115.9005440000001</v>
      </c>
      <c r="K383" s="18">
        <v>7.8860000000000001</v>
      </c>
      <c r="L383" s="54"/>
      <c r="M383" s="4">
        <f t="shared" ref="M383:M384" si="130">J383-O383</f>
        <v>357.87618809898709</v>
      </c>
      <c r="N383" s="27"/>
      <c r="O383" s="4">
        <f>Q383</f>
        <v>758.024355901013</v>
      </c>
      <c r="P383" s="4">
        <f>Q383-O383</f>
        <v>0</v>
      </c>
      <c r="Q383" s="4">
        <f>$H383*R383/1000</f>
        <v>758.024355901013</v>
      </c>
      <c r="R383" s="18">
        <v>5.3569111537554628</v>
      </c>
      <c r="S383" s="5"/>
      <c r="T383" s="6"/>
    </row>
    <row r="384" spans="2:20" x14ac:dyDescent="0.25">
      <c r="B384" s="47">
        <f>MAX(B$10:B383)+1</f>
        <v>206</v>
      </c>
      <c r="C384" s="49"/>
      <c r="D384" s="29" t="s">
        <v>131</v>
      </c>
      <c r="E384" s="47"/>
      <c r="F384" s="3" t="s">
        <v>132</v>
      </c>
      <c r="G384" s="47"/>
      <c r="H384" s="4">
        <v>522359</v>
      </c>
      <c r="I384" s="52"/>
      <c r="J384" s="4">
        <f>$H384*K384/1000</f>
        <v>74.697337000000005</v>
      </c>
      <c r="K384" s="18">
        <v>0.14299999999999999</v>
      </c>
      <c r="L384" s="54"/>
      <c r="M384" s="4">
        <f t="shared" si="130"/>
        <v>74.697337000000005</v>
      </c>
      <c r="N384" s="27"/>
      <c r="O384" s="4">
        <f>Q384</f>
        <v>0</v>
      </c>
      <c r="P384" s="4">
        <f t="shared" ref="P384" si="131">Q384-O384</f>
        <v>0</v>
      </c>
      <c r="Q384" s="4">
        <f>$H384*R384/1000</f>
        <v>0</v>
      </c>
      <c r="R384" s="18">
        <v>0</v>
      </c>
      <c r="S384" s="5"/>
      <c r="T384" s="6"/>
    </row>
    <row r="385" spans="2:21" x14ac:dyDescent="0.25">
      <c r="B385" s="47">
        <f>MAX(B$10:B384)+1</f>
        <v>207</v>
      </c>
      <c r="C385" s="49"/>
      <c r="D385" s="26" t="s">
        <v>128</v>
      </c>
      <c r="E385" s="47"/>
      <c r="F385" s="3"/>
      <c r="G385" s="47"/>
      <c r="H385" s="55">
        <f>H384</f>
        <v>522359</v>
      </c>
      <c r="I385" s="52"/>
      <c r="J385" s="55">
        <f>SUM(J383:J384)</f>
        <v>1190.5978810000001</v>
      </c>
      <c r="K385" s="17">
        <f>J385/$H385*1000</f>
        <v>2.2792713076638869</v>
      </c>
      <c r="L385" s="54"/>
      <c r="M385" s="55">
        <f>SUM(M383:M384)</f>
        <v>432.57352509898709</v>
      </c>
      <c r="N385" s="27"/>
      <c r="O385" s="55">
        <f>SUM(O383:O384)</f>
        <v>758.024355901013</v>
      </c>
      <c r="P385" s="55">
        <f>SUM(P383:P384)</f>
        <v>0</v>
      </c>
      <c r="Q385" s="55">
        <f>SUM(Q383:Q384)</f>
        <v>758.024355901013</v>
      </c>
      <c r="R385" s="17">
        <f>Q385/$H385*1000</f>
        <v>1.4511559213127621</v>
      </c>
      <c r="S385" s="56">
        <f>Q385/O385</f>
        <v>1</v>
      </c>
      <c r="T385" s="8">
        <f>R385/K385-1</f>
        <v>-0.36332462202575266</v>
      </c>
    </row>
    <row r="386" spans="2:21" ht="13" x14ac:dyDescent="0.3">
      <c r="B386" s="47"/>
      <c r="C386" s="49"/>
      <c r="D386" s="26"/>
      <c r="E386" s="47"/>
      <c r="F386" s="58"/>
      <c r="G386" s="47"/>
      <c r="H386" s="4"/>
      <c r="I386" s="52"/>
      <c r="J386" s="4"/>
      <c r="K386" s="9"/>
      <c r="L386" s="54"/>
      <c r="M386" s="4"/>
      <c r="N386" s="27"/>
      <c r="O386" s="4"/>
      <c r="P386" s="4"/>
      <c r="Q386" s="4"/>
      <c r="R386" s="32"/>
      <c r="S386" s="5"/>
      <c r="T386" s="33"/>
    </row>
    <row r="387" spans="2:21" x14ac:dyDescent="0.25">
      <c r="B387" s="47"/>
      <c r="C387" s="49"/>
      <c r="D387" s="26" t="s">
        <v>100</v>
      </c>
      <c r="E387" s="47"/>
      <c r="F387" s="3"/>
      <c r="G387" s="47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31"/>
    </row>
    <row r="388" spans="2:21" x14ac:dyDescent="0.25">
      <c r="B388" s="47">
        <f>MAX(B$10:B387)+1</f>
        <v>208</v>
      </c>
      <c r="C388" s="49"/>
      <c r="D388" s="29" t="s">
        <v>119</v>
      </c>
      <c r="E388" s="47"/>
      <c r="F388" s="3" t="s">
        <v>36</v>
      </c>
      <c r="G388" s="47"/>
      <c r="H388" s="4">
        <v>5777.0110000000004</v>
      </c>
      <c r="I388" s="52"/>
      <c r="J388" s="4">
        <f>$H388*K388/100</f>
        <v>12.045067934999999</v>
      </c>
      <c r="K388" s="9">
        <v>0.20849999999999999</v>
      </c>
      <c r="L388" s="54"/>
      <c r="M388" s="4">
        <f t="shared" ref="M388:M389" si="132">J388-O388</f>
        <v>3.1320625811856804</v>
      </c>
      <c r="N388" s="27"/>
      <c r="O388" s="4">
        <f t="shared" ref="O388:O389" si="133">Q388</f>
        <v>8.9130053538143184</v>
      </c>
      <c r="P388" s="4">
        <f t="shared" ref="P388:P389" si="134">Q388-O388</f>
        <v>0</v>
      </c>
      <c r="Q388" s="4">
        <f>$H388*R388/100</f>
        <v>8.9130053538143184</v>
      </c>
      <c r="R388" s="9">
        <v>0.15428402947154363</v>
      </c>
      <c r="S388" s="5"/>
      <c r="T388" s="6"/>
    </row>
    <row r="389" spans="2:21" x14ac:dyDescent="0.25">
      <c r="B389" s="47">
        <f>MAX(B$10:B388)+1</f>
        <v>209</v>
      </c>
      <c r="C389" s="49"/>
      <c r="D389" s="29" t="s">
        <v>120</v>
      </c>
      <c r="E389" s="47"/>
      <c r="F389" s="3" t="s">
        <v>36</v>
      </c>
      <c r="G389" s="47"/>
      <c r="H389" s="4">
        <v>9854.0479600000017</v>
      </c>
      <c r="I389" s="52"/>
      <c r="J389" s="4">
        <f>$H389*K389/100</f>
        <v>20.545689996600004</v>
      </c>
      <c r="K389" s="9">
        <v>0.20849999999999999</v>
      </c>
      <c r="L389" s="54"/>
      <c r="M389" s="4">
        <f t="shared" si="132"/>
        <v>5.3424677378535588</v>
      </c>
      <c r="N389" s="27"/>
      <c r="O389" s="4">
        <f t="shared" si="133"/>
        <v>15.203222258746445</v>
      </c>
      <c r="P389" s="4">
        <f t="shared" si="134"/>
        <v>0</v>
      </c>
      <c r="Q389" s="4">
        <f>$H389*R389/100</f>
        <v>15.203222258746445</v>
      </c>
      <c r="R389" s="9">
        <v>0.15428402947154363</v>
      </c>
      <c r="S389" s="5"/>
      <c r="T389" s="6"/>
    </row>
    <row r="390" spans="2:21" x14ac:dyDescent="0.25">
      <c r="B390" s="47">
        <f>MAX(B$10:B389)+1</f>
        <v>210</v>
      </c>
      <c r="C390" s="49"/>
      <c r="D390" s="26" t="s">
        <v>100</v>
      </c>
      <c r="E390" s="47"/>
      <c r="F390" s="3"/>
      <c r="G390" s="47"/>
      <c r="H390" s="55">
        <f>SUM(H388:H389)</f>
        <v>15631.058960000002</v>
      </c>
      <c r="I390" s="52"/>
      <c r="J390" s="55">
        <f>SUM(J388:J389)</f>
        <v>32.590757931600002</v>
      </c>
      <c r="K390" s="7">
        <f>J390/$H390*100</f>
        <v>0.20850000000000002</v>
      </c>
      <c r="L390" s="54"/>
      <c r="M390" s="55">
        <f>SUM(M388:M389)</f>
        <v>8.4745303190392391</v>
      </c>
      <c r="N390" s="27"/>
      <c r="O390" s="55">
        <f>SUM(O388:O389)</f>
        <v>24.116227612560763</v>
      </c>
      <c r="P390" s="55">
        <f>SUM(P388:P389)</f>
        <v>0</v>
      </c>
      <c r="Q390" s="55">
        <f>SUM(Q388:Q389)</f>
        <v>24.116227612560763</v>
      </c>
      <c r="R390" s="7">
        <f>Q390/$H390*100</f>
        <v>0.15428402947154363</v>
      </c>
      <c r="S390" s="56">
        <f>Q390/O390</f>
        <v>1</v>
      </c>
      <c r="T390" s="8">
        <f>R390/K390-1</f>
        <v>-0.2600286356280882</v>
      </c>
    </row>
    <row r="391" spans="2:21" x14ac:dyDescent="0.25">
      <c r="B391" s="47"/>
      <c r="C391" s="49"/>
      <c r="D391" s="26"/>
      <c r="E391" s="47"/>
      <c r="F391" s="3"/>
      <c r="G391" s="47"/>
      <c r="H391" s="4"/>
      <c r="I391" s="52"/>
      <c r="J391" s="4"/>
      <c r="K391" s="9"/>
      <c r="L391" s="54"/>
      <c r="M391" s="4"/>
      <c r="N391" s="27"/>
      <c r="O391" s="4"/>
      <c r="P391" s="4"/>
      <c r="Q391" s="4"/>
      <c r="R391" s="9"/>
      <c r="S391" s="5"/>
      <c r="T391" s="6"/>
    </row>
    <row r="392" spans="2:21" ht="13" thickBot="1" x14ac:dyDescent="0.3">
      <c r="B392" s="47">
        <f>MAX(B$10:B391)+1</f>
        <v>211</v>
      </c>
      <c r="C392" s="49"/>
      <c r="D392" s="26" t="s">
        <v>133</v>
      </c>
      <c r="E392" s="47"/>
      <c r="F392" s="3"/>
      <c r="G392" s="47"/>
      <c r="H392" s="59">
        <f>H360</f>
        <v>929101.10525000002</v>
      </c>
      <c r="I392" s="52"/>
      <c r="J392" s="59">
        <f>SUM(J365,J380,J385,J390)</f>
        <v>30830.738014438422</v>
      </c>
      <c r="K392" s="11">
        <f>J392/$H392*100</f>
        <v>3.3183404734130164</v>
      </c>
      <c r="L392" s="54"/>
      <c r="M392" s="59">
        <f>SUM(M365,M380,M385,M390)</f>
        <v>15859.697860406885</v>
      </c>
      <c r="N392" s="27"/>
      <c r="O392" s="59">
        <f>SUM(O365,O380,O385,O390)</f>
        <v>14971.040154031532</v>
      </c>
      <c r="P392" s="59">
        <v>14398.438265326928</v>
      </c>
      <c r="Q392" s="59">
        <f>SUM(Q365,Q380,Q385,Q390)</f>
        <v>29369.47841935846</v>
      </c>
      <c r="R392" s="11">
        <f>Q392/$H392*100</f>
        <v>3.1610637694221446</v>
      </c>
      <c r="S392" s="60">
        <f>Q392/O392</f>
        <v>1.9617526983554039</v>
      </c>
      <c r="T392" s="12">
        <f>R392/K392-1</f>
        <v>-4.7396192539913673E-2</v>
      </c>
    </row>
    <row r="393" spans="2:21" ht="13.5" thickTop="1" x14ac:dyDescent="0.3">
      <c r="B393" s="47"/>
      <c r="C393" s="49"/>
      <c r="E393" s="47"/>
      <c r="F393" s="58"/>
      <c r="G393" s="47"/>
      <c r="H393" s="54"/>
      <c r="I393" s="52"/>
      <c r="J393" s="54"/>
      <c r="K393" s="32"/>
      <c r="L393" s="54"/>
      <c r="M393" s="54"/>
      <c r="N393" s="27"/>
      <c r="O393" s="54"/>
      <c r="P393" s="54"/>
      <c r="Q393" s="54"/>
      <c r="R393" s="32"/>
      <c r="S393" s="57"/>
      <c r="T393" s="33"/>
    </row>
    <row r="394" spans="2:21" ht="13" x14ac:dyDescent="0.3">
      <c r="B394" s="47"/>
      <c r="C394" s="49"/>
      <c r="D394" s="20" t="s">
        <v>134</v>
      </c>
      <c r="E394" s="47"/>
      <c r="F394" s="25"/>
      <c r="G394" s="47"/>
      <c r="H394" s="34"/>
      <c r="I394" s="52"/>
      <c r="J394" s="34"/>
      <c r="K394" s="52"/>
      <c r="L394" s="52"/>
      <c r="M394" s="13"/>
      <c r="N394" s="52"/>
      <c r="O394" s="14"/>
      <c r="P394" s="52"/>
      <c r="Q394" s="52"/>
      <c r="R394" s="52"/>
      <c r="S394" s="52"/>
      <c r="T394" s="61"/>
      <c r="U394" s="47"/>
    </row>
    <row r="395" spans="2:21" x14ac:dyDescent="0.25">
      <c r="B395" s="47">
        <f>MAX(B$10:B394)+1</f>
        <v>212</v>
      </c>
      <c r="C395" s="49"/>
      <c r="D395" s="29" t="s">
        <v>32</v>
      </c>
      <c r="E395" s="47"/>
      <c r="F395" s="3" t="s">
        <v>33</v>
      </c>
      <c r="G395" s="47"/>
      <c r="H395" s="4">
        <v>863.99999999999602</v>
      </c>
      <c r="I395" s="52"/>
      <c r="J395" s="4">
        <f>$H395*K395/1000</f>
        <v>318.43583999999851</v>
      </c>
      <c r="K395" s="53">
        <v>368.56</v>
      </c>
      <c r="L395" s="54"/>
      <c r="M395" s="4">
        <f t="shared" ref="M395:M398" si="135">J395-O395</f>
        <v>234.37294703713528</v>
      </c>
      <c r="N395" s="27"/>
      <c r="O395" s="4">
        <v>84.062892962863231</v>
      </c>
      <c r="P395" s="4">
        <f t="shared" ref="P395:P397" si="136">Q395-O395</f>
        <v>234.37294703713528</v>
      </c>
      <c r="Q395" s="4">
        <f>$H395*R395/1000</f>
        <v>318.43583999999851</v>
      </c>
      <c r="R395" s="53">
        <v>368.56</v>
      </c>
      <c r="S395" s="5">
        <f>Q395/O395</f>
        <v>3.7880666341173277</v>
      </c>
      <c r="T395" s="6">
        <f t="shared" ref="T395:T397" si="137">R395/K395-1</f>
        <v>0</v>
      </c>
    </row>
    <row r="396" spans="2:21" x14ac:dyDescent="0.25">
      <c r="B396" s="47">
        <f>MAX(B$10:B395)+1</f>
        <v>213</v>
      </c>
      <c r="C396" s="49"/>
      <c r="D396" s="29" t="s">
        <v>135</v>
      </c>
      <c r="E396" s="47"/>
      <c r="F396" s="3" t="s">
        <v>36</v>
      </c>
      <c r="G396" s="47"/>
      <c r="H396" s="4">
        <v>126830.75640999997</v>
      </c>
      <c r="I396" s="52"/>
      <c r="J396" s="4">
        <f>$H396*K396/100</f>
        <v>4083.5733158906914</v>
      </c>
      <c r="K396" s="9">
        <v>3.2197027215464296</v>
      </c>
      <c r="L396" s="54"/>
      <c r="M396" s="4">
        <f t="shared" si="135"/>
        <v>1338.7673685544355</v>
      </c>
      <c r="N396" s="27"/>
      <c r="O396" s="4">
        <v>2744.8059473362559</v>
      </c>
      <c r="P396" s="4">
        <f t="shared" si="136"/>
        <v>-469.72886492415319</v>
      </c>
      <c r="Q396" s="4">
        <f>$H396*R396/100</f>
        <v>2275.0770824121028</v>
      </c>
      <c r="R396" s="9">
        <v>1.7937897295649372</v>
      </c>
      <c r="S396" s="5">
        <f t="shared" ref="S396" si="138">Q396/O396</f>
        <v>0.8288662754538223</v>
      </c>
      <c r="T396" s="6">
        <f t="shared" si="137"/>
        <v>-0.44287100869257379</v>
      </c>
    </row>
    <row r="397" spans="2:21" x14ac:dyDescent="0.25">
      <c r="B397" s="47">
        <f>MAX(B$10:B396)+1</f>
        <v>214</v>
      </c>
      <c r="C397" s="49"/>
      <c r="D397" s="29" t="s">
        <v>136</v>
      </c>
      <c r="E397" s="47"/>
      <c r="F397" s="3" t="s">
        <v>36</v>
      </c>
      <c r="G397" s="47"/>
      <c r="H397" s="4">
        <v>12203.927079999999</v>
      </c>
      <c r="I397" s="52"/>
      <c r="J397" s="4">
        <f>$H397*K397/100</f>
        <v>422.4442123083611</v>
      </c>
      <c r="K397" s="9">
        <v>3.4615432355431701</v>
      </c>
      <c r="L397" s="54"/>
      <c r="M397" s="4">
        <f t="shared" si="135"/>
        <v>422.4442123083611</v>
      </c>
      <c r="N397" s="27"/>
      <c r="O397" s="4">
        <v>0</v>
      </c>
      <c r="P397" s="4">
        <f t="shared" si="136"/>
        <v>235.35591788701743</v>
      </c>
      <c r="Q397" s="4">
        <f>$H397*R397/100</f>
        <v>235.35591788701743</v>
      </c>
      <c r="R397" s="9">
        <v>1.9285260911852109</v>
      </c>
      <c r="S397" s="5"/>
      <c r="T397" s="6">
        <f t="shared" si="137"/>
        <v>-0.44287100869257379</v>
      </c>
    </row>
    <row r="398" spans="2:21" x14ac:dyDescent="0.25">
      <c r="B398" s="47">
        <f>MAX(B$10:B397)+1</f>
        <v>215</v>
      </c>
      <c r="C398" s="49"/>
      <c r="D398" s="29" t="s">
        <v>117</v>
      </c>
      <c r="E398" s="47"/>
      <c r="F398" s="3" t="s">
        <v>33</v>
      </c>
      <c r="G398" s="47"/>
      <c r="H398" s="4">
        <v>167.99999999999986</v>
      </c>
      <c r="I398" s="52"/>
      <c r="J398" s="4">
        <f>$H398*K398/1000</f>
        <v>41.675759999999968</v>
      </c>
      <c r="K398" s="53">
        <v>248.07</v>
      </c>
      <c r="L398" s="54"/>
      <c r="M398" s="4">
        <f t="shared" si="135"/>
        <v>41.675759999999968</v>
      </c>
      <c r="N398" s="27"/>
      <c r="O398" s="4"/>
      <c r="P398" s="4"/>
      <c r="Q398" s="4"/>
      <c r="R398" s="53"/>
      <c r="S398" s="5"/>
      <c r="T398" s="6"/>
    </row>
    <row r="399" spans="2:21" x14ac:dyDescent="0.25">
      <c r="B399" s="47">
        <f>MAX(B$10:B398)+1</f>
        <v>216</v>
      </c>
      <c r="C399" s="49"/>
      <c r="D399" s="26" t="s">
        <v>41</v>
      </c>
      <c r="E399" s="47"/>
      <c r="F399" s="3"/>
      <c r="G399" s="47"/>
      <c r="H399" s="55">
        <f>H396</f>
        <v>126830.75640999997</v>
      </c>
      <c r="I399" s="52"/>
      <c r="J399" s="55">
        <f>SUM(J395:J398)</f>
        <v>4866.1291281990507</v>
      </c>
      <c r="K399" s="7">
        <f>J399/$H399*100</f>
        <v>3.8367106417535961</v>
      </c>
      <c r="L399" s="54"/>
      <c r="M399" s="55">
        <f>SUM(M395:M398)</f>
        <v>2037.2602878999319</v>
      </c>
      <c r="N399" s="27"/>
      <c r="O399" s="55">
        <f>SUM(O395:O398)</f>
        <v>2828.8688402991193</v>
      </c>
      <c r="P399" s="55">
        <f>SUM(P395:P398)</f>
        <v>-4.8316906031686813E-13</v>
      </c>
      <c r="Q399" s="55">
        <f>SUM(Q395:Q398)</f>
        <v>2828.8688402991183</v>
      </c>
      <c r="R399" s="7">
        <f>Q399/$H399*100</f>
        <v>2.230428107796159</v>
      </c>
      <c r="S399" s="56">
        <f>Q399/O399</f>
        <v>0.99999999999999967</v>
      </c>
      <c r="T399" s="8">
        <f>R399/K399-1</f>
        <v>-0.41866137010094517</v>
      </c>
    </row>
    <row r="400" spans="2:21" x14ac:dyDescent="0.25"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31"/>
    </row>
    <row r="401" spans="2:21" x14ac:dyDescent="0.25">
      <c r="B401" s="47">
        <f>MAX(B$10:B400)+1</f>
        <v>217</v>
      </c>
      <c r="C401" s="49"/>
      <c r="D401" s="26" t="s">
        <v>137</v>
      </c>
      <c r="E401" s="47"/>
      <c r="F401" s="3" t="s">
        <v>36</v>
      </c>
      <c r="G401" s="47"/>
      <c r="H401" s="4">
        <v>5702.7569299999996</v>
      </c>
      <c r="I401" s="52"/>
      <c r="J401" s="4">
        <f>$H401*K401/100</f>
        <v>-1.2593369410155679</v>
      </c>
      <c r="K401" s="9">
        <v>-2.2082949641263561E-2</v>
      </c>
      <c r="L401" s="54"/>
      <c r="M401" s="4">
        <f>J401-O401</f>
        <v>-7.9063917914515418</v>
      </c>
      <c r="N401" s="27"/>
      <c r="O401" s="4">
        <f>Q401</f>
        <v>6.6470548504359739</v>
      </c>
      <c r="P401" s="4">
        <f>Q401-O401</f>
        <v>0</v>
      </c>
      <c r="Q401" s="4">
        <f>$H401*R401/100</f>
        <v>6.6470548504359739</v>
      </c>
      <c r="R401" s="9">
        <v>0.11655862124279553</v>
      </c>
      <c r="S401" s="5">
        <f>Q401/O401</f>
        <v>1</v>
      </c>
      <c r="T401" s="6">
        <f>R401/K401-1</f>
        <v>-6.2782179525962176</v>
      </c>
    </row>
    <row r="402" spans="2:21" x14ac:dyDescent="0.25">
      <c r="B402" s="47"/>
      <c r="C402" s="49"/>
      <c r="D402" s="26"/>
      <c r="E402" s="47"/>
      <c r="F402" s="3"/>
      <c r="G402" s="47"/>
      <c r="H402" s="4"/>
      <c r="I402" s="52"/>
      <c r="J402" s="4"/>
      <c r="K402" s="9"/>
      <c r="L402" s="54"/>
      <c r="M402" s="4"/>
      <c r="N402" s="27"/>
      <c r="O402" s="4"/>
      <c r="P402" s="4"/>
      <c r="Q402" s="4"/>
      <c r="R402" s="9"/>
      <c r="S402" s="5"/>
      <c r="T402" s="6"/>
    </row>
    <row r="403" spans="2:21" ht="13" thickBot="1" x14ac:dyDescent="0.3">
      <c r="B403" s="47">
        <f>MAX(B$10:B402)+1</f>
        <v>218</v>
      </c>
      <c r="C403" s="49"/>
      <c r="D403" s="26" t="s">
        <v>138</v>
      </c>
      <c r="E403" s="47"/>
      <c r="F403" s="3"/>
      <c r="G403" s="47"/>
      <c r="H403" s="59">
        <f>H399</f>
        <v>126830.75640999997</v>
      </c>
      <c r="I403" s="52"/>
      <c r="J403" s="59">
        <f>SUM(J399,J401)</f>
        <v>4864.8697912580355</v>
      </c>
      <c r="K403" s="11">
        <f>J403/$H403*100</f>
        <v>3.8357177146618868</v>
      </c>
      <c r="L403" s="54"/>
      <c r="M403" s="59">
        <f>SUM(M399,M401)</f>
        <v>2029.3538961084803</v>
      </c>
      <c r="N403" s="27"/>
      <c r="O403" s="59">
        <f>SUM(O399,O401)</f>
        <v>2835.515895149555</v>
      </c>
      <c r="P403" s="59">
        <f>SUM(P399,P401)</f>
        <v>-4.8316906031686813E-13</v>
      </c>
      <c r="Q403" s="59">
        <f>SUM(Q399,Q401)</f>
        <v>2835.5158951495541</v>
      </c>
      <c r="R403" s="11">
        <f>Q403/$H403*100</f>
        <v>2.2356689933972418</v>
      </c>
      <c r="S403" s="60">
        <f>Q403/O403</f>
        <v>0.99999999999999967</v>
      </c>
      <c r="T403" s="12">
        <f>R403/K403-1</f>
        <v>-0.41714454511303556</v>
      </c>
    </row>
    <row r="404" spans="2:21" ht="13.5" thickTop="1" x14ac:dyDescent="0.3">
      <c r="B404" s="47"/>
      <c r="C404" s="49"/>
      <c r="E404" s="47"/>
      <c r="F404" s="58"/>
      <c r="G404" s="47"/>
      <c r="H404" s="54"/>
      <c r="I404" s="52"/>
      <c r="J404" s="54"/>
      <c r="K404" s="32"/>
      <c r="L404" s="54"/>
      <c r="M404" s="54"/>
      <c r="N404" s="27"/>
      <c r="O404" s="54"/>
      <c r="P404" s="54"/>
      <c r="Q404" s="54"/>
      <c r="R404" s="32"/>
      <c r="S404" s="57"/>
      <c r="T404" s="33"/>
    </row>
    <row r="405" spans="2:21" x14ac:dyDescent="0.25">
      <c r="B405" s="19" t="str">
        <f>$B$2 &amp;" (continued)"</f>
        <v>Derivation of Proposed Rates and Revenue by Rate Class - Delivery (continued)</v>
      </c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38"/>
      <c r="U405" s="20"/>
    </row>
    <row r="406" spans="2:21" x14ac:dyDescent="0.25">
      <c r="B406" s="43"/>
      <c r="C406" s="43"/>
      <c r="D406" s="43"/>
      <c r="E406" s="43"/>
      <c r="F406" s="44"/>
      <c r="G406" s="43"/>
      <c r="H406" s="44"/>
      <c r="I406" s="43"/>
      <c r="J406" s="44"/>
      <c r="K406" s="44"/>
      <c r="L406" s="44"/>
      <c r="M406" s="44"/>
      <c r="N406" s="43"/>
      <c r="O406" s="43"/>
      <c r="P406" s="43"/>
      <c r="Q406" s="43"/>
      <c r="R406" s="43"/>
      <c r="S406" s="22"/>
      <c r="T406" s="39"/>
    </row>
    <row r="407" spans="2:21" x14ac:dyDescent="0.25">
      <c r="B407" s="44"/>
      <c r="C407" s="44"/>
      <c r="D407" s="44"/>
      <c r="E407" s="44"/>
      <c r="F407" s="43"/>
      <c r="G407" s="44"/>
      <c r="H407" s="43"/>
      <c r="I407" s="44"/>
      <c r="J407" s="45" t="s">
        <v>1</v>
      </c>
      <c r="K407" s="45"/>
      <c r="L407" s="44"/>
      <c r="M407" s="44"/>
      <c r="N407" s="44"/>
      <c r="O407" s="45" t="s">
        <v>2</v>
      </c>
      <c r="P407" s="45"/>
      <c r="Q407" s="45"/>
      <c r="R407" s="45"/>
      <c r="S407" s="23"/>
      <c r="T407" s="40"/>
    </row>
    <row r="408" spans="2:21" s="24" customFormat="1" ht="39" customHeight="1" x14ac:dyDescent="0.25">
      <c r="B408" s="46" t="s">
        <v>3</v>
      </c>
      <c r="C408" s="46"/>
      <c r="D408" s="46"/>
      <c r="E408" s="46"/>
      <c r="F408" s="47" t="s">
        <v>4</v>
      </c>
      <c r="G408" s="46"/>
      <c r="H408" s="24" t="s">
        <v>5</v>
      </c>
      <c r="I408" s="46"/>
      <c r="J408" s="24" t="s">
        <v>6</v>
      </c>
      <c r="K408" s="24" t="s">
        <v>7</v>
      </c>
      <c r="L408" s="46"/>
      <c r="M408" s="24" t="s">
        <v>8</v>
      </c>
      <c r="N408" s="46"/>
      <c r="O408" s="46" t="s">
        <v>9</v>
      </c>
      <c r="P408" s="24" t="s">
        <v>8</v>
      </c>
      <c r="Q408" s="24" t="s">
        <v>6</v>
      </c>
      <c r="R408" s="24" t="s">
        <v>7</v>
      </c>
      <c r="S408" s="46" t="s">
        <v>10</v>
      </c>
      <c r="T408" s="46" t="s">
        <v>11</v>
      </c>
      <c r="U408" s="46"/>
    </row>
    <row r="409" spans="2:21" ht="14.5" x14ac:dyDescent="0.25">
      <c r="B409" s="48" t="s">
        <v>12</v>
      </c>
      <c r="C409" s="49"/>
      <c r="D409" s="50" t="s">
        <v>13</v>
      </c>
      <c r="E409" s="47"/>
      <c r="F409" s="48" t="s">
        <v>14</v>
      </c>
      <c r="G409" s="47"/>
      <c r="H409" s="48" t="s">
        <v>15</v>
      </c>
      <c r="I409" s="47"/>
      <c r="J409" s="48" t="s">
        <v>16</v>
      </c>
      <c r="K409" s="48" t="s">
        <v>17</v>
      </c>
      <c r="L409" s="47"/>
      <c r="M409" s="48" t="s">
        <v>16</v>
      </c>
      <c r="N409" s="47"/>
      <c r="O409" s="48" t="s">
        <v>16</v>
      </c>
      <c r="P409" s="48" t="s">
        <v>16</v>
      </c>
      <c r="Q409" s="48" t="s">
        <v>16</v>
      </c>
      <c r="R409" s="48" t="s">
        <v>17</v>
      </c>
      <c r="S409" s="48" t="s">
        <v>18</v>
      </c>
      <c r="T409" s="71" t="s">
        <v>19</v>
      </c>
      <c r="U409" s="47"/>
    </row>
    <row r="410" spans="2:21" x14ac:dyDescent="0.25">
      <c r="B410" s="47"/>
      <c r="C410" s="49"/>
      <c r="D410" s="49"/>
      <c r="E410" s="47"/>
      <c r="F410" s="47"/>
      <c r="G410" s="47"/>
      <c r="H410" s="47" t="s">
        <v>20</v>
      </c>
      <c r="I410" s="47"/>
      <c r="J410" s="47" t="s">
        <v>21</v>
      </c>
      <c r="K410" s="47" t="s">
        <v>22</v>
      </c>
      <c r="L410" s="47"/>
      <c r="M410" s="47" t="s">
        <v>23</v>
      </c>
      <c r="N410" s="47"/>
      <c r="O410" s="47" t="s">
        <v>24</v>
      </c>
      <c r="P410" s="47" t="s">
        <v>25</v>
      </c>
      <c r="Q410" s="51" t="s">
        <v>26</v>
      </c>
      <c r="R410" s="51" t="s">
        <v>27</v>
      </c>
      <c r="S410" s="51" t="s">
        <v>28</v>
      </c>
      <c r="T410" s="72" t="s">
        <v>29</v>
      </c>
      <c r="U410" s="47"/>
    </row>
    <row r="411" spans="2:21" ht="13" x14ac:dyDescent="0.3">
      <c r="B411" s="47"/>
      <c r="C411" s="49"/>
      <c r="E411" s="47"/>
      <c r="F411" s="58"/>
      <c r="G411" s="47"/>
      <c r="H411" s="54"/>
      <c r="I411" s="52"/>
      <c r="J411" s="54"/>
      <c r="K411" s="32"/>
      <c r="L411" s="54"/>
      <c r="M411" s="54"/>
      <c r="N411" s="27"/>
      <c r="O411" s="54"/>
      <c r="P411" s="54"/>
      <c r="Q411" s="54"/>
      <c r="R411" s="32"/>
      <c r="S411" s="57"/>
      <c r="T411" s="33"/>
    </row>
    <row r="412" spans="2:21" ht="13" x14ac:dyDescent="0.3">
      <c r="B412" s="47"/>
      <c r="C412" s="49"/>
      <c r="D412" s="20" t="s">
        <v>57</v>
      </c>
      <c r="E412" s="47"/>
      <c r="F412" s="25"/>
      <c r="G412" s="47"/>
      <c r="H412" s="34"/>
      <c r="I412" s="52"/>
      <c r="J412" s="34"/>
      <c r="K412" s="52"/>
      <c r="L412" s="52"/>
      <c r="M412" s="13"/>
      <c r="N412" s="52"/>
      <c r="O412" s="14"/>
      <c r="P412" s="52"/>
      <c r="Q412" s="52"/>
      <c r="R412" s="52"/>
      <c r="S412" s="52"/>
      <c r="T412" s="61"/>
      <c r="U412" s="47"/>
    </row>
    <row r="413" spans="2:21" x14ac:dyDescent="0.25">
      <c r="B413" s="47">
        <f>MAX(B$10:B412)+1</f>
        <v>219</v>
      </c>
      <c r="C413" s="49"/>
      <c r="D413" s="26" t="s">
        <v>32</v>
      </c>
      <c r="E413" s="47"/>
      <c r="F413" s="3" t="s">
        <v>33</v>
      </c>
      <c r="G413" s="47"/>
      <c r="H413" s="4">
        <v>144.00000000000003</v>
      </c>
      <c r="I413" s="52"/>
      <c r="J413" s="4">
        <f>$H413*K413/1000</f>
        <v>233.40384000000003</v>
      </c>
      <c r="K413" s="53">
        <v>1620.86</v>
      </c>
      <c r="L413" s="54"/>
      <c r="M413" s="4">
        <f t="shared" ref="M413:M417" si="139">J413-O413</f>
        <v>-404.70223044749309</v>
      </c>
      <c r="N413" s="27"/>
      <c r="O413" s="4">
        <v>638.10607044749315</v>
      </c>
      <c r="P413" s="4">
        <f t="shared" ref="P413:P416" si="140">Q413-O413</f>
        <v>-422.10607044749315</v>
      </c>
      <c r="Q413" s="4">
        <f>$H413*R413/1000</f>
        <v>216.00000000000003</v>
      </c>
      <c r="R413" s="53">
        <v>1500</v>
      </c>
      <c r="S413" s="5">
        <f>Q413/O413</f>
        <v>0.33850171625623748</v>
      </c>
      <c r="T413" s="6">
        <f t="shared" ref="T413:T416" si="141">R413/K413-1</f>
        <v>-7.4565354194686684E-2</v>
      </c>
    </row>
    <row r="414" spans="2:21" x14ac:dyDescent="0.25">
      <c r="B414" s="47">
        <f>MAX(B$10:B413)+1</f>
        <v>220</v>
      </c>
      <c r="C414" s="49"/>
      <c r="D414" s="26" t="s">
        <v>58</v>
      </c>
      <c r="E414" s="47"/>
      <c r="F414" s="41" t="s">
        <v>59</v>
      </c>
      <c r="G414" s="47"/>
      <c r="H414" s="4">
        <v>42050.04</v>
      </c>
      <c r="I414" s="52"/>
      <c r="J414" s="4">
        <f>$H414*K414/100</f>
        <v>8387.3009783999987</v>
      </c>
      <c r="K414" s="9">
        <v>19.945999999999998</v>
      </c>
      <c r="L414" s="54"/>
      <c r="M414" s="4">
        <f t="shared" si="139"/>
        <v>3376.2416581605203</v>
      </c>
      <c r="N414" s="27"/>
      <c r="O414" s="4">
        <v>5011.0593202394784</v>
      </c>
      <c r="P414" s="4">
        <f>P441-SUM(P413,P415,P416,P434,P439)</f>
        <v>422.10607044749315</v>
      </c>
      <c r="Q414" s="4">
        <f>$H414*R414/100</f>
        <v>5433.1653906869715</v>
      </c>
      <c r="R414" s="9">
        <f>(O414+P414)/H414*100</f>
        <v>12.920713965282724</v>
      </c>
      <c r="S414" s="5">
        <f>Q414/O414</f>
        <v>1.0842348979471512</v>
      </c>
      <c r="T414" s="6">
        <f t="shared" si="141"/>
        <v>-0.35221528299996363</v>
      </c>
    </row>
    <row r="415" spans="2:21" x14ac:dyDescent="0.25">
      <c r="B415" s="47">
        <f>MAX(B$10:B414)+1</f>
        <v>221</v>
      </c>
      <c r="C415" s="49"/>
      <c r="D415" s="26" t="s">
        <v>34</v>
      </c>
      <c r="E415" s="47"/>
      <c r="F415" s="3" t="s">
        <v>36</v>
      </c>
      <c r="G415" s="47"/>
      <c r="H415" s="4">
        <v>1076377.9679700001</v>
      </c>
      <c r="I415" s="52"/>
      <c r="J415" s="4">
        <f>$H415*K415/100</f>
        <v>3067.6772087145009</v>
      </c>
      <c r="K415" s="9">
        <v>0.28500000000000003</v>
      </c>
      <c r="L415" s="54"/>
      <c r="M415" s="4">
        <f t="shared" si="139"/>
        <v>3067.6772087145009</v>
      </c>
      <c r="N415" s="27"/>
      <c r="O415" s="4">
        <v>0</v>
      </c>
      <c r="P415" s="4">
        <f t="shared" si="140"/>
        <v>0</v>
      </c>
      <c r="Q415" s="4">
        <f>$H415*R415/100</f>
        <v>0</v>
      </c>
      <c r="R415" s="9">
        <f>O415/H415*100</f>
        <v>0</v>
      </c>
      <c r="S415" s="5"/>
      <c r="T415" s="6">
        <f t="shared" si="141"/>
        <v>-1</v>
      </c>
    </row>
    <row r="416" spans="2:21" x14ac:dyDescent="0.25">
      <c r="B416" s="47">
        <f>MAX(B$10:B415)+1</f>
        <v>222</v>
      </c>
      <c r="C416" s="49"/>
      <c r="D416" s="66" t="s">
        <v>116</v>
      </c>
      <c r="E416" s="47"/>
      <c r="F416" s="3" t="s">
        <v>36</v>
      </c>
      <c r="G416" s="47"/>
      <c r="H416" s="4">
        <v>28099.753000000001</v>
      </c>
      <c r="I416" s="52"/>
      <c r="J416" s="4">
        <f>$H416*K416/100</f>
        <v>80.084296050000006</v>
      </c>
      <c r="K416" s="9">
        <v>0.28500000000000003</v>
      </c>
      <c r="L416" s="54"/>
      <c r="M416" s="4">
        <f t="shared" si="139"/>
        <v>80.084296050000006</v>
      </c>
      <c r="N416" s="27"/>
      <c r="O416" s="4">
        <v>0</v>
      </c>
      <c r="P416" s="4">
        <f t="shared" si="140"/>
        <v>0</v>
      </c>
      <c r="Q416" s="4">
        <f>$H416*R416/100</f>
        <v>0</v>
      </c>
      <c r="R416" s="9">
        <f>R415</f>
        <v>0</v>
      </c>
      <c r="S416" s="5"/>
      <c r="T416" s="6">
        <f t="shared" si="141"/>
        <v>-1</v>
      </c>
    </row>
    <row r="417" spans="2:20" x14ac:dyDescent="0.25">
      <c r="B417" s="47">
        <f>MAX(B$10:B416)+1</f>
        <v>223</v>
      </c>
      <c r="C417" s="49"/>
      <c r="D417" s="66" t="s">
        <v>117</v>
      </c>
      <c r="E417" s="47"/>
      <c r="F417" s="3" t="s">
        <v>33</v>
      </c>
      <c r="G417" s="47"/>
      <c r="H417" s="4">
        <v>143.99999999999989</v>
      </c>
      <c r="I417" s="52"/>
      <c r="J417" s="4">
        <f>$H417*K417/1000</f>
        <v>35.72207999999997</v>
      </c>
      <c r="K417" s="53">
        <v>248.07</v>
      </c>
      <c r="L417" s="54"/>
      <c r="M417" s="4">
        <f t="shared" si="139"/>
        <v>35.72207999999997</v>
      </c>
      <c r="N417" s="27"/>
      <c r="O417" s="4"/>
      <c r="P417" s="4"/>
      <c r="Q417" s="4"/>
      <c r="R417" s="53"/>
      <c r="S417" s="5"/>
      <c r="T417" s="6"/>
    </row>
    <row r="418" spans="2:20" x14ac:dyDescent="0.25">
      <c r="B418" s="47"/>
      <c r="C418" s="49"/>
      <c r="D418" s="26"/>
      <c r="E418" s="47"/>
      <c r="F418" s="3"/>
      <c r="G418" s="47"/>
      <c r="H418" s="4"/>
      <c r="I418" s="52"/>
      <c r="J418" s="4"/>
      <c r="K418" s="9"/>
      <c r="L418" s="54"/>
      <c r="M418" s="4"/>
      <c r="N418" s="27"/>
      <c r="O418" s="4"/>
      <c r="P418" s="4"/>
      <c r="Q418" s="4"/>
      <c r="R418" s="9"/>
      <c r="S418" s="5"/>
      <c r="T418" s="6"/>
    </row>
    <row r="419" spans="2:20" x14ac:dyDescent="0.25">
      <c r="B419" s="47">
        <f>MAX(B$10:B418)+1</f>
        <v>224</v>
      </c>
      <c r="C419" s="49"/>
      <c r="D419" s="26" t="s">
        <v>41</v>
      </c>
      <c r="E419" s="47"/>
      <c r="F419" s="3"/>
      <c r="G419" s="47"/>
      <c r="H419" s="55">
        <f>H415</f>
        <v>1076377.9679700001</v>
      </c>
      <c r="I419" s="52"/>
      <c r="J419" s="55">
        <f>SUM(J413:J417)</f>
        <v>11804.1884031645</v>
      </c>
      <c r="K419" s="7">
        <f>J419/$H419*100</f>
        <v>1.0966583072511846</v>
      </c>
      <c r="L419" s="54"/>
      <c r="M419" s="55">
        <f>SUM(M413:M417)</f>
        <v>6155.023012477528</v>
      </c>
      <c r="N419" s="27"/>
      <c r="O419" s="55">
        <f>SUM(O413:O417)</f>
        <v>5649.1653906869715</v>
      </c>
      <c r="P419" s="55">
        <f>SUM(P413:P417)</f>
        <v>0</v>
      </c>
      <c r="Q419" s="55">
        <f>SUM(Q413:Q417)</f>
        <v>5649.1653906869715</v>
      </c>
      <c r="R419" s="7">
        <f>Q419/$H419*100</f>
        <v>0.52483101278457422</v>
      </c>
      <c r="S419" s="56">
        <f>Q419/O419</f>
        <v>1</v>
      </c>
      <c r="T419" s="8">
        <f>R419/K419-1</f>
        <v>-0.52142703947587565</v>
      </c>
    </row>
    <row r="420" spans="2:20" x14ac:dyDescent="0.25"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31"/>
    </row>
    <row r="421" spans="2:20" x14ac:dyDescent="0.25">
      <c r="B421" s="47"/>
      <c r="C421" s="49"/>
      <c r="D421" s="26" t="s">
        <v>118</v>
      </c>
      <c r="E421" s="47"/>
      <c r="F421" s="3"/>
      <c r="G421" s="47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31"/>
    </row>
    <row r="422" spans="2:20" x14ac:dyDescent="0.25">
      <c r="B422" s="47">
        <f>MAX(B$10:B421)+1</f>
        <v>225</v>
      </c>
      <c r="C422" s="49"/>
      <c r="D422" s="29" t="s">
        <v>119</v>
      </c>
      <c r="E422" s="47"/>
      <c r="F422" s="41" t="s">
        <v>59</v>
      </c>
      <c r="G422" s="47"/>
      <c r="H422" s="4">
        <v>0</v>
      </c>
      <c r="I422" s="52"/>
      <c r="J422" s="4">
        <f>$H422*K422/100</f>
        <v>0</v>
      </c>
      <c r="K422" s="9">
        <v>10.013400000000001</v>
      </c>
      <c r="L422" s="54"/>
      <c r="M422" s="4">
        <f t="shared" ref="M422:M423" si="142">J422-O422</f>
        <v>0</v>
      </c>
      <c r="N422" s="27"/>
      <c r="O422" s="9">
        <v>0</v>
      </c>
      <c r="P422" s="4">
        <f t="shared" ref="P422:P423" si="143">Q422-O422</f>
        <v>0</v>
      </c>
      <c r="Q422" s="4">
        <f>$H422*R422/100</f>
        <v>0</v>
      </c>
      <c r="R422" s="9">
        <f>R368</f>
        <v>15.277854692906404</v>
      </c>
      <c r="S422" s="5"/>
      <c r="T422" s="6"/>
    </row>
    <row r="423" spans="2:20" x14ac:dyDescent="0.25">
      <c r="B423" s="47">
        <f>MAX(B$10:B422)+1</f>
        <v>226</v>
      </c>
      <c r="C423" s="49"/>
      <c r="D423" s="29" t="s">
        <v>120</v>
      </c>
      <c r="E423" s="47"/>
      <c r="F423" s="41" t="s">
        <v>59</v>
      </c>
      <c r="G423" s="47"/>
      <c r="H423" s="4">
        <v>0</v>
      </c>
      <c r="I423" s="52"/>
      <c r="J423" s="4">
        <f>$H423*K423/100</f>
        <v>0</v>
      </c>
      <c r="K423" s="9">
        <v>8.4962</v>
      </c>
      <c r="L423" s="54"/>
      <c r="M423" s="4">
        <f t="shared" si="142"/>
        <v>0</v>
      </c>
      <c r="N423" s="27"/>
      <c r="O423" s="9">
        <v>0</v>
      </c>
      <c r="P423" s="4">
        <f t="shared" si="143"/>
        <v>0</v>
      </c>
      <c r="Q423" s="4">
        <f>$H423*R423/100</f>
        <v>0</v>
      </c>
      <c r="R423" s="9">
        <f>R369</f>
        <v>15.277854692906404</v>
      </c>
      <c r="S423" s="5"/>
      <c r="T423" s="6"/>
    </row>
    <row r="424" spans="2:20" x14ac:dyDescent="0.25">
      <c r="B424" s="47"/>
      <c r="C424" s="49"/>
      <c r="D424" s="26" t="s">
        <v>121</v>
      </c>
      <c r="E424" s="47"/>
      <c r="F424" s="3"/>
      <c r="G424" s="47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31"/>
    </row>
    <row r="425" spans="2:20" x14ac:dyDescent="0.25">
      <c r="B425" s="47">
        <f>MAX(B$10:B424)+1</f>
        <v>227</v>
      </c>
      <c r="C425" s="49"/>
      <c r="D425" s="29" t="s">
        <v>122</v>
      </c>
      <c r="E425" s="47"/>
      <c r="F425" s="3" t="s">
        <v>36</v>
      </c>
      <c r="G425" s="47"/>
      <c r="H425" s="4">
        <v>0</v>
      </c>
      <c r="I425" s="52"/>
      <c r="J425" s="4">
        <f>$H425*K425/100</f>
        <v>0</v>
      </c>
      <c r="K425" s="9">
        <v>0.33329999999999999</v>
      </c>
      <c r="L425" s="54"/>
      <c r="M425" s="4">
        <f t="shared" ref="M425:M428" si="144">J425-O425</f>
        <v>0</v>
      </c>
      <c r="N425" s="27"/>
      <c r="O425" s="4">
        <f t="shared" ref="O425:O428" si="145">Q425</f>
        <v>0</v>
      </c>
      <c r="P425" s="4">
        <f t="shared" ref="P425:P428" si="146">Q425-O425</f>
        <v>0</v>
      </c>
      <c r="Q425" s="4">
        <f>$H425*R425/100</f>
        <v>0</v>
      </c>
      <c r="R425" s="9">
        <f>R371</f>
        <v>-5.1035464650837727E-2</v>
      </c>
      <c r="S425" s="5"/>
      <c r="T425" s="6"/>
    </row>
    <row r="426" spans="2:20" x14ac:dyDescent="0.25">
      <c r="B426" s="47">
        <f>MAX(B$10:B425)+1</f>
        <v>228</v>
      </c>
      <c r="C426" s="49"/>
      <c r="D426" s="29" t="s">
        <v>123</v>
      </c>
      <c r="E426" s="47"/>
      <c r="F426" s="3" t="s">
        <v>36</v>
      </c>
      <c r="G426" s="47"/>
      <c r="H426" s="4">
        <v>0</v>
      </c>
      <c r="I426" s="52"/>
      <c r="J426" s="4">
        <f>$H426*K426/100</f>
        <v>0</v>
      </c>
      <c r="K426" s="9">
        <v>0.27150000000000002</v>
      </c>
      <c r="L426" s="54"/>
      <c r="M426" s="4">
        <f t="shared" si="144"/>
        <v>0</v>
      </c>
      <c r="N426" s="27"/>
      <c r="O426" s="4">
        <f t="shared" si="145"/>
        <v>0</v>
      </c>
      <c r="P426" s="4">
        <f t="shared" si="146"/>
        <v>0</v>
      </c>
      <c r="Q426" s="4">
        <f>$H426*R426/100</f>
        <v>0</v>
      </c>
      <c r="R426" s="9">
        <f>R372</f>
        <v>-5.1035464650837727E-2</v>
      </c>
      <c r="S426" s="5"/>
      <c r="T426" s="6"/>
    </row>
    <row r="427" spans="2:20" x14ac:dyDescent="0.25">
      <c r="B427" s="47">
        <f>MAX(B$10:B426)+1</f>
        <v>229</v>
      </c>
      <c r="C427" s="49"/>
      <c r="D427" s="29" t="s">
        <v>124</v>
      </c>
      <c r="E427" s="47"/>
      <c r="F427" s="3" t="s">
        <v>36</v>
      </c>
      <c r="G427" s="47"/>
      <c r="H427" s="4">
        <v>0</v>
      </c>
      <c r="I427" s="52"/>
      <c r="J427" s="4">
        <f>$H427*K427/100</f>
        <v>0</v>
      </c>
      <c r="K427" s="9">
        <v>0.33329999999999999</v>
      </c>
      <c r="L427" s="54"/>
      <c r="M427" s="4">
        <f t="shared" si="144"/>
        <v>0</v>
      </c>
      <c r="N427" s="27"/>
      <c r="O427" s="4">
        <f t="shared" si="145"/>
        <v>0</v>
      </c>
      <c r="P427" s="4">
        <f t="shared" si="146"/>
        <v>0</v>
      </c>
      <c r="Q427" s="4">
        <f>$H427*R427/100</f>
        <v>0</v>
      </c>
      <c r="R427" s="9">
        <f>R373</f>
        <v>-5.1035464650837727E-2</v>
      </c>
      <c r="S427" s="5"/>
      <c r="T427" s="6"/>
    </row>
    <row r="428" spans="2:20" x14ac:dyDescent="0.25">
      <c r="B428" s="47">
        <f>MAX(B$10:B427)+1</f>
        <v>230</v>
      </c>
      <c r="C428" s="49"/>
      <c r="D428" s="29" t="s">
        <v>125</v>
      </c>
      <c r="E428" s="47"/>
      <c r="F428" s="3" t="s">
        <v>36</v>
      </c>
      <c r="G428" s="47"/>
      <c r="H428" s="4">
        <v>0</v>
      </c>
      <c r="I428" s="52"/>
      <c r="J428" s="4">
        <f>$H428*K428/100</f>
        <v>0</v>
      </c>
      <c r="K428" s="9">
        <v>0.27150000000000002</v>
      </c>
      <c r="L428" s="54"/>
      <c r="M428" s="4">
        <f t="shared" si="144"/>
        <v>0</v>
      </c>
      <c r="N428" s="27"/>
      <c r="O428" s="4">
        <f t="shared" si="145"/>
        <v>0</v>
      </c>
      <c r="P428" s="4">
        <f t="shared" si="146"/>
        <v>0</v>
      </c>
      <c r="Q428" s="4">
        <f>$H428*R428/100</f>
        <v>0</v>
      </c>
      <c r="R428" s="9">
        <f>R374</f>
        <v>-5.1035464650837727E-2</v>
      </c>
      <c r="S428" s="5"/>
      <c r="T428" s="6"/>
    </row>
    <row r="429" spans="2:20" x14ac:dyDescent="0.25">
      <c r="B429" s="47"/>
      <c r="C429" s="49"/>
      <c r="D429" s="26" t="s">
        <v>126</v>
      </c>
      <c r="E429" s="47"/>
      <c r="F429" s="3"/>
      <c r="G429" s="47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31"/>
    </row>
    <row r="430" spans="2:20" x14ac:dyDescent="0.25">
      <c r="B430" s="47">
        <f>MAX(B$10:B429)+1</f>
        <v>231</v>
      </c>
      <c r="C430" s="49"/>
      <c r="D430" s="29" t="s">
        <v>122</v>
      </c>
      <c r="E430" s="47"/>
      <c r="F430" s="3" t="s">
        <v>36</v>
      </c>
      <c r="G430" s="47"/>
      <c r="H430" s="4">
        <v>0</v>
      </c>
      <c r="I430" s="52"/>
      <c r="J430" s="4">
        <f>$H430*K430/100</f>
        <v>0</v>
      </c>
      <c r="K430" s="9">
        <v>0</v>
      </c>
      <c r="L430" s="54"/>
      <c r="M430" s="4">
        <f t="shared" ref="M430:M433" si="147">J430-O430</f>
        <v>0</v>
      </c>
      <c r="N430" s="27"/>
      <c r="O430" s="4">
        <f t="shared" ref="O430:O433" si="148">Q430</f>
        <v>0</v>
      </c>
      <c r="P430" s="4">
        <f t="shared" ref="P430:P433" si="149">Q430-O430</f>
        <v>0</v>
      </c>
      <c r="Q430" s="4">
        <f>$H430*R430/100</f>
        <v>0</v>
      </c>
      <c r="R430" s="9">
        <f>R376</f>
        <v>-5.1035464650837727E-2</v>
      </c>
      <c r="S430" s="5"/>
      <c r="T430" s="6"/>
    </row>
    <row r="431" spans="2:20" x14ac:dyDescent="0.25">
      <c r="B431" s="47">
        <f>MAX(B$10:B430)+1</f>
        <v>232</v>
      </c>
      <c r="C431" s="49"/>
      <c r="D431" s="29" t="s">
        <v>123</v>
      </c>
      <c r="E431" s="47"/>
      <c r="F431" s="3" t="s">
        <v>36</v>
      </c>
      <c r="G431" s="47"/>
      <c r="H431" s="4">
        <v>0</v>
      </c>
      <c r="I431" s="52"/>
      <c r="J431" s="4">
        <f>$H431*K431/100</f>
        <v>0</v>
      </c>
      <c r="K431" s="9">
        <v>0</v>
      </c>
      <c r="L431" s="54"/>
      <c r="M431" s="4">
        <f t="shared" si="147"/>
        <v>0</v>
      </c>
      <c r="N431" s="27"/>
      <c r="O431" s="4">
        <f t="shared" si="148"/>
        <v>0</v>
      </c>
      <c r="P431" s="4">
        <f t="shared" si="149"/>
        <v>0</v>
      </c>
      <c r="Q431" s="4">
        <f>$H431*R431/100</f>
        <v>0</v>
      </c>
      <c r="R431" s="9">
        <f>R377</f>
        <v>-5.1035464650837727E-2</v>
      </c>
      <c r="S431" s="5"/>
      <c r="T431" s="6"/>
    </row>
    <row r="432" spans="2:20" x14ac:dyDescent="0.25">
      <c r="B432" s="47">
        <f>MAX(B$10:B431)+1</f>
        <v>233</v>
      </c>
      <c r="C432" s="49"/>
      <c r="D432" s="29" t="s">
        <v>124</v>
      </c>
      <c r="E432" s="47"/>
      <c r="F432" s="3" t="s">
        <v>36</v>
      </c>
      <c r="G432" s="47"/>
      <c r="H432" s="4">
        <v>0</v>
      </c>
      <c r="I432" s="52"/>
      <c r="J432" s="4">
        <f>$H432*K432/100</f>
        <v>0</v>
      </c>
      <c r="K432" s="9">
        <v>0</v>
      </c>
      <c r="L432" s="54"/>
      <c r="M432" s="4">
        <f t="shared" si="147"/>
        <v>0</v>
      </c>
      <c r="N432" s="27"/>
      <c r="O432" s="4">
        <f t="shared" si="148"/>
        <v>0</v>
      </c>
      <c r="P432" s="4">
        <f t="shared" si="149"/>
        <v>0</v>
      </c>
      <c r="Q432" s="4">
        <f>$H432*R432/100</f>
        <v>0</v>
      </c>
      <c r="R432" s="9">
        <f>R378</f>
        <v>-5.1035464650837727E-2</v>
      </c>
      <c r="S432" s="5"/>
      <c r="T432" s="6"/>
    </row>
    <row r="433" spans="2:21" x14ac:dyDescent="0.25">
      <c r="B433" s="47">
        <f>MAX(B$10:B432)+1</f>
        <v>234</v>
      </c>
      <c r="C433" s="49"/>
      <c r="D433" s="29" t="s">
        <v>125</v>
      </c>
      <c r="E433" s="47"/>
      <c r="F433" s="3" t="s">
        <v>36</v>
      </c>
      <c r="G433" s="47"/>
      <c r="H433" s="4">
        <v>0</v>
      </c>
      <c r="I433" s="52"/>
      <c r="J433" s="4">
        <f>$H433*K433/100</f>
        <v>0</v>
      </c>
      <c r="K433" s="9">
        <v>0</v>
      </c>
      <c r="L433" s="54"/>
      <c r="M433" s="4">
        <f t="shared" si="147"/>
        <v>0</v>
      </c>
      <c r="N433" s="27"/>
      <c r="O433" s="4">
        <f t="shared" si="148"/>
        <v>0</v>
      </c>
      <c r="P433" s="4">
        <f t="shared" si="149"/>
        <v>0</v>
      </c>
      <c r="Q433" s="4">
        <f>$H433*R433/100</f>
        <v>0</v>
      </c>
      <c r="R433" s="9">
        <f>R379</f>
        <v>-5.1035464650837727E-2</v>
      </c>
      <c r="S433" s="5"/>
      <c r="T433" s="6"/>
    </row>
    <row r="434" spans="2:21" x14ac:dyDescent="0.25">
      <c r="D434" s="26" t="s">
        <v>127</v>
      </c>
      <c r="E434" s="47"/>
      <c r="F434" s="3"/>
      <c r="G434" s="47"/>
      <c r="H434" s="55">
        <f>SUM(H425:H433)</f>
        <v>0</v>
      </c>
      <c r="I434" s="52"/>
      <c r="J434" s="55">
        <f>SUM(J422:J433)</f>
        <v>0</v>
      </c>
      <c r="K434" s="7"/>
      <c r="L434" s="54"/>
      <c r="M434" s="55">
        <f>SUM(M422:M433)</f>
        <v>0</v>
      </c>
      <c r="N434" s="27"/>
      <c r="O434" s="55">
        <f>SUM(O422:O433)</f>
        <v>0</v>
      </c>
      <c r="P434" s="55">
        <f>SUM(P422:P433)</f>
        <v>0</v>
      </c>
      <c r="Q434" s="55">
        <f>SUM(Q422:Q433)</f>
        <v>0</v>
      </c>
      <c r="R434" s="7"/>
      <c r="S434" s="56"/>
      <c r="T434" s="8"/>
    </row>
    <row r="435" spans="2:21" ht="13" x14ac:dyDescent="0.3">
      <c r="B435" s="47"/>
      <c r="C435" s="49"/>
      <c r="D435" s="26"/>
      <c r="E435" s="47"/>
      <c r="F435" s="58"/>
      <c r="G435" s="47"/>
      <c r="H435" s="4"/>
      <c r="I435" s="52"/>
      <c r="J435" s="4"/>
      <c r="K435" s="9"/>
      <c r="L435" s="54"/>
      <c r="M435" s="4"/>
      <c r="N435" s="27"/>
      <c r="O435" s="4"/>
      <c r="P435" s="4"/>
      <c r="Q435" s="4"/>
      <c r="R435" s="32"/>
      <c r="S435" s="5"/>
      <c r="T435" s="33"/>
    </row>
    <row r="436" spans="2:21" x14ac:dyDescent="0.25">
      <c r="B436" s="47"/>
      <c r="C436" s="49"/>
      <c r="D436" s="26" t="s">
        <v>128</v>
      </c>
      <c r="E436" s="47"/>
      <c r="F436" s="3"/>
      <c r="G436" s="47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31"/>
    </row>
    <row r="437" spans="2:21" x14ac:dyDescent="0.25">
      <c r="B437" s="47">
        <f>MAX(B$10:B436)+1</f>
        <v>235</v>
      </c>
      <c r="C437" s="49"/>
      <c r="D437" s="29" t="s">
        <v>129</v>
      </c>
      <c r="E437" s="47"/>
      <c r="F437" s="3" t="s">
        <v>130</v>
      </c>
      <c r="G437" s="47"/>
      <c r="H437" s="4">
        <v>0</v>
      </c>
      <c r="I437" s="52"/>
      <c r="J437" s="4">
        <f>$H437*K437/1000</f>
        <v>0</v>
      </c>
      <c r="K437" s="18">
        <v>7.8860000000000001</v>
      </c>
      <c r="L437" s="54"/>
      <c r="M437" s="4">
        <f t="shared" ref="M437:M438" si="150">J437-O437</f>
        <v>0</v>
      </c>
      <c r="N437" s="27"/>
      <c r="O437" s="4">
        <f t="shared" ref="O437:O438" si="151">Q437</f>
        <v>0</v>
      </c>
      <c r="P437" s="4">
        <f t="shared" ref="P437:P438" si="152">Q437-O437</f>
        <v>0</v>
      </c>
      <c r="Q437" s="4">
        <f>$H437*R437/1000</f>
        <v>0</v>
      </c>
      <c r="R437" s="18">
        <f>R383</f>
        <v>5.3569111537554628</v>
      </c>
      <c r="S437" s="5"/>
      <c r="T437" s="6">
        <f t="shared" ref="T437:T438" si="153">R437/K437-1</f>
        <v>-0.32070616868431867</v>
      </c>
    </row>
    <row r="438" spans="2:21" x14ac:dyDescent="0.25">
      <c r="B438" s="47">
        <f>MAX(B$10:B437)+1</f>
        <v>236</v>
      </c>
      <c r="C438" s="49"/>
      <c r="D438" s="29" t="s">
        <v>131</v>
      </c>
      <c r="E438" s="47"/>
      <c r="F438" s="3" t="s">
        <v>132</v>
      </c>
      <c r="G438" s="47"/>
      <c r="H438" s="4">
        <v>0</v>
      </c>
      <c r="I438" s="52"/>
      <c r="J438" s="4">
        <f>$H438*K438/1000</f>
        <v>0</v>
      </c>
      <c r="K438" s="18">
        <v>0.14299999999999999</v>
      </c>
      <c r="L438" s="54"/>
      <c r="M438" s="4">
        <f t="shared" si="150"/>
        <v>0</v>
      </c>
      <c r="N438" s="27"/>
      <c r="O438" s="4">
        <f t="shared" si="151"/>
        <v>0</v>
      </c>
      <c r="P438" s="4">
        <f t="shared" si="152"/>
        <v>0</v>
      </c>
      <c r="Q438" s="4">
        <f>$H438*R438/1000</f>
        <v>0</v>
      </c>
      <c r="R438" s="18">
        <f>R384</f>
        <v>0</v>
      </c>
      <c r="S438" s="5"/>
      <c r="T438" s="6">
        <f t="shared" si="153"/>
        <v>-1</v>
      </c>
    </row>
    <row r="439" spans="2:21" x14ac:dyDescent="0.25">
      <c r="B439" s="47">
        <f>MAX(B$10:B438)+1</f>
        <v>237</v>
      </c>
      <c r="C439" s="49"/>
      <c r="D439" s="26" t="s">
        <v>128</v>
      </c>
      <c r="E439" s="47"/>
      <c r="F439" s="3"/>
      <c r="G439" s="47"/>
      <c r="H439" s="55">
        <f>H438</f>
        <v>0</v>
      </c>
      <c r="I439" s="52"/>
      <c r="J439" s="55">
        <f>SUM(J437:J438)</f>
        <v>0</v>
      </c>
      <c r="K439" s="17"/>
      <c r="L439" s="54"/>
      <c r="M439" s="55">
        <f>SUM(M437:M438)</f>
        <v>0</v>
      </c>
      <c r="N439" s="27"/>
      <c r="O439" s="55">
        <f>SUM(O437:O438)</f>
        <v>0</v>
      </c>
      <c r="P439" s="55">
        <f>SUM(P437:P438)</f>
        <v>0</v>
      </c>
      <c r="Q439" s="55">
        <f>SUM(Q437:Q438)</f>
        <v>0</v>
      </c>
      <c r="R439" s="17"/>
      <c r="S439" s="56"/>
      <c r="T439" s="8"/>
    </row>
    <row r="440" spans="2:21" x14ac:dyDescent="0.25">
      <c r="B440" s="47"/>
      <c r="C440" s="49"/>
      <c r="D440" s="26"/>
      <c r="E440" s="47"/>
      <c r="F440" s="3"/>
      <c r="G440" s="47"/>
      <c r="H440" s="4"/>
      <c r="I440" s="52"/>
      <c r="J440" s="4"/>
      <c r="K440" s="9"/>
      <c r="L440" s="54"/>
      <c r="M440" s="4"/>
      <c r="N440" s="27"/>
      <c r="O440" s="4"/>
      <c r="P440" s="4"/>
      <c r="Q440" s="4"/>
      <c r="R440" s="9"/>
      <c r="S440" s="5"/>
      <c r="T440" s="6"/>
    </row>
    <row r="441" spans="2:21" ht="13" thickBot="1" x14ac:dyDescent="0.3">
      <c r="B441" s="47">
        <f>MAX(B$10:B440)+1</f>
        <v>238</v>
      </c>
      <c r="C441" s="49"/>
      <c r="D441" s="26" t="s">
        <v>60</v>
      </c>
      <c r="E441" s="47"/>
      <c r="F441" s="3"/>
      <c r="G441" s="47"/>
      <c r="H441" s="59">
        <f>H419</f>
        <v>1076377.9679700001</v>
      </c>
      <c r="I441" s="52"/>
      <c r="J441" s="59">
        <f>SUM(J419,J434,J439)</f>
        <v>11804.1884031645</v>
      </c>
      <c r="K441" s="11">
        <f>J441/$H441*100</f>
        <v>1.0966583072511846</v>
      </c>
      <c r="L441" s="54"/>
      <c r="M441" s="59">
        <f>SUM(M419,M434,M439)</f>
        <v>6155.023012477528</v>
      </c>
      <c r="N441" s="27"/>
      <c r="O441" s="59">
        <f>SUM(O419,O434,O439)</f>
        <v>5649.1653906869715</v>
      </c>
      <c r="P441" s="59">
        <v>0</v>
      </c>
      <c r="Q441" s="59">
        <f>SUM(Q419,Q434,Q439)</f>
        <v>5649.1653906869715</v>
      </c>
      <c r="R441" s="11">
        <f>Q441/$H441*100</f>
        <v>0.52483101278457422</v>
      </c>
      <c r="S441" s="60">
        <f>Q441/O441</f>
        <v>1</v>
      </c>
      <c r="T441" s="12">
        <f>R441/K441-1</f>
        <v>-0.52142703947587565</v>
      </c>
    </row>
    <row r="442" spans="2:21" ht="13" thickTop="1" x14ac:dyDescent="0.25">
      <c r="B442" s="47"/>
      <c r="C442" s="49"/>
      <c r="D442" s="26"/>
      <c r="E442" s="47"/>
      <c r="F442" s="3"/>
      <c r="G442" s="47"/>
      <c r="H442" s="54"/>
      <c r="I442" s="52"/>
      <c r="J442" s="54"/>
      <c r="K442" s="9"/>
      <c r="L442" s="54"/>
      <c r="M442" s="54"/>
      <c r="N442" s="27"/>
      <c r="O442" s="54"/>
      <c r="P442" s="54"/>
      <c r="Q442" s="54"/>
      <c r="R442" s="9"/>
      <c r="S442" s="57"/>
      <c r="T442" s="6"/>
    </row>
    <row r="443" spans="2:21" ht="13" x14ac:dyDescent="0.3">
      <c r="B443" s="47"/>
      <c r="C443" s="49"/>
      <c r="D443" s="69" t="s">
        <v>139</v>
      </c>
      <c r="E443" s="47"/>
      <c r="F443" s="58"/>
      <c r="G443" s="47"/>
      <c r="H443" s="54"/>
      <c r="I443" s="52"/>
      <c r="J443" s="54"/>
      <c r="K443" s="32"/>
      <c r="L443" s="54"/>
      <c r="M443" s="54"/>
      <c r="N443" s="27"/>
      <c r="O443" s="54"/>
      <c r="P443" s="54"/>
      <c r="Q443" s="54"/>
      <c r="R443" s="32"/>
      <c r="S443" s="57"/>
      <c r="T443" s="33"/>
    </row>
    <row r="444" spans="2:21" ht="13" x14ac:dyDescent="0.3">
      <c r="B444" s="47"/>
      <c r="C444" s="49"/>
      <c r="D444" s="20" t="s">
        <v>140</v>
      </c>
      <c r="E444" s="47"/>
      <c r="F444" s="25"/>
      <c r="G444" s="47"/>
      <c r="H444" s="34"/>
      <c r="I444" s="52"/>
      <c r="J444" s="34"/>
      <c r="K444" s="52"/>
      <c r="L444" s="52"/>
      <c r="M444" s="13"/>
      <c r="N444" s="52"/>
      <c r="O444" s="14"/>
      <c r="P444" s="52"/>
      <c r="Q444" s="52"/>
      <c r="R444" s="52"/>
      <c r="S444" s="52"/>
      <c r="T444" s="61"/>
      <c r="U444" s="47"/>
    </row>
    <row r="445" spans="2:21" x14ac:dyDescent="0.25">
      <c r="B445" s="47">
        <f>MAX(B$10:B444)+1</f>
        <v>239</v>
      </c>
      <c r="C445" s="49"/>
      <c r="D445" s="26" t="s">
        <v>32</v>
      </c>
      <c r="E445" s="47"/>
      <c r="F445" s="3" t="s">
        <v>33</v>
      </c>
      <c r="G445" s="47"/>
      <c r="H445" s="4">
        <v>14434642</v>
      </c>
      <c r="I445" s="52"/>
      <c r="J445" s="4">
        <f>$H445*K445/1000</f>
        <v>331708.07316000003</v>
      </c>
      <c r="K445" s="53">
        <v>22.98</v>
      </c>
      <c r="L445" s="54"/>
      <c r="M445" s="4">
        <f>J445-O445</f>
        <v>-91138.524318487034</v>
      </c>
      <c r="N445" s="27"/>
      <c r="O445" s="4">
        <v>422846.59747848706</v>
      </c>
      <c r="P445" s="4">
        <f>Q445-O445</f>
        <v>-90849.83147848706</v>
      </c>
      <c r="Q445" s="4">
        <f>$H445*R445/1000</f>
        <v>331996.766</v>
      </c>
      <c r="R445" s="53">
        <v>23</v>
      </c>
      <c r="S445" s="5">
        <f>Q445/O445</f>
        <v>0.78514706747023266</v>
      </c>
      <c r="T445" s="6">
        <f t="shared" ref="T445:T449" si="154">R445/K445-1</f>
        <v>8.7032201914705176E-4</v>
      </c>
    </row>
    <row r="446" spans="2:21" x14ac:dyDescent="0.25">
      <c r="B446" s="47"/>
      <c r="C446" s="49"/>
      <c r="D446" s="26" t="s">
        <v>34</v>
      </c>
      <c r="E446" s="47"/>
      <c r="F446" s="3"/>
      <c r="G446" s="47"/>
      <c r="H446" s="4"/>
      <c r="I446" s="52"/>
      <c r="J446" s="4"/>
      <c r="K446" s="9"/>
      <c r="L446" s="54"/>
      <c r="M446" s="4"/>
      <c r="N446" s="27"/>
      <c r="O446" s="4"/>
      <c r="P446" s="4"/>
      <c r="Q446" s="4"/>
      <c r="R446" s="9"/>
      <c r="S446" s="5"/>
      <c r="T446" s="6"/>
    </row>
    <row r="447" spans="2:21" x14ac:dyDescent="0.25">
      <c r="B447" s="47">
        <f>MAX(B$10:B446)+1</f>
        <v>240</v>
      </c>
      <c r="C447" s="49"/>
      <c r="D447" s="70" t="s">
        <v>141</v>
      </c>
      <c r="E447" s="47"/>
      <c r="F447" s="3" t="s">
        <v>36</v>
      </c>
      <c r="G447" s="47"/>
      <c r="H447" s="4">
        <v>1046728.4725490094</v>
      </c>
      <c r="I447" s="52"/>
      <c r="J447" s="4">
        <f>$H447*K447/100</f>
        <v>66937.239091036594</v>
      </c>
      <c r="K447" s="9">
        <v>6.3948999999999998</v>
      </c>
      <c r="L447" s="54"/>
      <c r="M447" s="4">
        <f t="shared" ref="M447:M449" si="155">J447-O447</f>
        <v>-27060.689017350873</v>
      </c>
      <c r="N447" s="27"/>
      <c r="O447" s="4">
        <f>J447/J$450*O$450</f>
        <v>93997.928108387467</v>
      </c>
      <c r="P447" s="4">
        <f t="shared" ref="P447:P449" si="156">Q447-O447</f>
        <v>30746.546020008143</v>
      </c>
      <c r="Q447" s="4">
        <f>$H447*R447/100</f>
        <v>124744.47412839561</v>
      </c>
      <c r="R447" s="9">
        <f>K447*(O$450+P$450)/J$450</f>
        <v>11.917558125137834</v>
      </c>
      <c r="S447" s="5"/>
      <c r="T447" s="6">
        <f t="shared" si="154"/>
        <v>0.86360351610468244</v>
      </c>
    </row>
    <row r="448" spans="2:21" x14ac:dyDescent="0.25">
      <c r="B448" s="47">
        <f>MAX(B$10:B447)+1</f>
        <v>241</v>
      </c>
      <c r="C448" s="49"/>
      <c r="D448" s="70" t="s">
        <v>142</v>
      </c>
      <c r="E448" s="47"/>
      <c r="F448" s="3" t="s">
        <v>36</v>
      </c>
      <c r="G448" s="47"/>
      <c r="H448" s="4">
        <v>936218.47187615535</v>
      </c>
      <c r="I448" s="52"/>
      <c r="J448" s="4">
        <f>$H448*K448/100</f>
        <v>56929.572837845255</v>
      </c>
      <c r="K448" s="9">
        <v>6.0808</v>
      </c>
      <c r="L448" s="54"/>
      <c r="M448" s="4">
        <f t="shared" si="155"/>
        <v>-23014.894061590436</v>
      </c>
      <c r="N448" s="27"/>
      <c r="O448" s="4">
        <f t="shared" ref="O448:O449" si="157">J448/J$450*O$450</f>
        <v>79944.466899435691</v>
      </c>
      <c r="P448" s="4">
        <f t="shared" si="156"/>
        <v>26149.685211510354</v>
      </c>
      <c r="Q448" s="4">
        <f>$H448*R448/100</f>
        <v>106094.15211094604</v>
      </c>
      <c r="R448" s="9">
        <f t="shared" ref="R448:R449" si="158">K448*(O$450+P$450)/J$450</f>
        <v>11.332200260729353</v>
      </c>
      <c r="S448" s="5"/>
      <c r="T448" s="6">
        <f t="shared" si="154"/>
        <v>0.86360351610468244</v>
      </c>
    </row>
    <row r="449" spans="2:21" x14ac:dyDescent="0.25">
      <c r="B449" s="47">
        <f>MAX(B$10:B448)+1</f>
        <v>242</v>
      </c>
      <c r="C449" s="49"/>
      <c r="D449" s="70" t="s">
        <v>143</v>
      </c>
      <c r="E449" s="47"/>
      <c r="F449" s="3" t="s">
        <v>36</v>
      </c>
      <c r="G449" s="47"/>
      <c r="H449" s="4">
        <v>1272185.1806675675</v>
      </c>
      <c r="I449" s="52"/>
      <c r="J449" s="4">
        <f>$H449*K449/100</f>
        <v>67035.25372491614</v>
      </c>
      <c r="K449" s="9">
        <v>5.2693000000000003</v>
      </c>
      <c r="L449" s="54"/>
      <c r="M449" s="4">
        <f t="shared" si="155"/>
        <v>-27100.31335146715</v>
      </c>
      <c r="N449" s="27"/>
      <c r="O449" s="4">
        <f t="shared" si="157"/>
        <v>94135.56707638329</v>
      </c>
      <c r="P449" s="4">
        <f t="shared" si="156"/>
        <v>30791.567468339927</v>
      </c>
      <c r="Q449" s="4">
        <f>$H449*R449/100</f>
        <v>124927.13454472322</v>
      </c>
      <c r="R449" s="9">
        <f t="shared" si="158"/>
        <v>9.8198860074104033</v>
      </c>
      <c r="S449" s="5"/>
      <c r="T449" s="6">
        <f t="shared" si="154"/>
        <v>0.86360351610468244</v>
      </c>
    </row>
    <row r="450" spans="2:21" x14ac:dyDescent="0.25">
      <c r="B450" s="47">
        <f>MAX(B$10:B449)+1</f>
        <v>243</v>
      </c>
      <c r="C450" s="49"/>
      <c r="D450" s="26" t="s">
        <v>34</v>
      </c>
      <c r="E450" s="47"/>
      <c r="F450" s="3"/>
      <c r="G450" s="47"/>
      <c r="H450" s="55">
        <f>SUM(H447:H449)</f>
        <v>3255132.1250927323</v>
      </c>
      <c r="I450" s="52"/>
      <c r="J450" s="55">
        <f>SUM(J447:J449)</f>
        <v>190902.065653798</v>
      </c>
      <c r="K450" s="7">
        <f>J450/$H450*100</f>
        <v>5.8646487551825439</v>
      </c>
      <c r="L450" s="54"/>
      <c r="M450" s="55">
        <f>SUM(M447:M449)</f>
        <v>-77175.896430408466</v>
      </c>
      <c r="N450" s="27"/>
      <c r="O450" s="55">
        <v>268077.96208420646</v>
      </c>
      <c r="P450" s="55">
        <f>P463-SUM(P445,P461)</f>
        <v>87687.798699858438</v>
      </c>
      <c r="Q450" s="55">
        <f>SUM(Q447:Q449)</f>
        <v>355765.76078406489</v>
      </c>
      <c r="R450" s="7">
        <f>Q450/$H450*100</f>
        <v>10.929380040877138</v>
      </c>
      <c r="S450" s="56">
        <f>Q450/O450</f>
        <v>1.327098124807121</v>
      </c>
      <c r="T450" s="8">
        <f>R450/K450-1</f>
        <v>0.86360351610468244</v>
      </c>
    </row>
    <row r="451" spans="2:21" x14ac:dyDescent="0.25">
      <c r="B451" s="47"/>
      <c r="C451" s="49"/>
      <c r="D451" s="26"/>
      <c r="E451" s="47"/>
      <c r="F451" s="3"/>
      <c r="G451" s="47"/>
      <c r="H451" s="54"/>
      <c r="I451" s="52"/>
      <c r="J451" s="54"/>
      <c r="K451" s="9"/>
      <c r="L451" s="54"/>
      <c r="M451" s="54"/>
      <c r="N451" s="27"/>
      <c r="O451" s="54"/>
      <c r="P451" s="54"/>
      <c r="Q451" s="54"/>
      <c r="R451" s="9"/>
      <c r="S451" s="57"/>
      <c r="T451" s="6"/>
    </row>
    <row r="452" spans="2:21" x14ac:dyDescent="0.25">
      <c r="B452" s="47">
        <f>MAX(B$10:B451)+1</f>
        <v>244</v>
      </c>
      <c r="C452" s="49"/>
      <c r="D452" s="26" t="s">
        <v>144</v>
      </c>
      <c r="E452" s="47"/>
      <c r="F452" s="3" t="s">
        <v>36</v>
      </c>
      <c r="G452" s="47"/>
      <c r="H452" s="54">
        <v>3255132.1250927323</v>
      </c>
      <c r="I452" s="52"/>
      <c r="J452" s="4">
        <f>$H452*K452/100</f>
        <v>27727.215441539895</v>
      </c>
      <c r="K452" s="9">
        <v>0.8518</v>
      </c>
      <c r="L452" s="54"/>
      <c r="M452" s="4">
        <f t="shared" ref="M452" si="159">J452-O452</f>
        <v>27727.215441539895</v>
      </c>
      <c r="N452" s="27"/>
      <c r="O452" s="54"/>
      <c r="P452" s="54"/>
      <c r="Q452" s="54"/>
      <c r="R452" s="9"/>
      <c r="S452" s="57"/>
      <c r="T452" s="6"/>
    </row>
    <row r="453" spans="2:21" x14ac:dyDescent="0.25">
      <c r="B453" s="47"/>
      <c r="C453" s="49"/>
      <c r="D453" s="26"/>
      <c r="E453" s="47"/>
      <c r="F453" s="3"/>
      <c r="G453" s="47"/>
      <c r="H453" s="4"/>
      <c r="I453" s="52"/>
      <c r="J453" s="4"/>
      <c r="K453" s="9"/>
      <c r="L453" s="54"/>
      <c r="M453" s="4"/>
      <c r="N453" s="27"/>
      <c r="O453" s="4"/>
      <c r="P453" s="4"/>
      <c r="Q453" s="4"/>
      <c r="R453" s="9"/>
      <c r="S453" s="5"/>
      <c r="T453" s="6"/>
    </row>
    <row r="454" spans="2:21" x14ac:dyDescent="0.25">
      <c r="B454" s="47">
        <f>MAX(B$10:B453)+1</f>
        <v>245</v>
      </c>
      <c r="C454" s="49"/>
      <c r="D454" s="26" t="s">
        <v>41</v>
      </c>
      <c r="E454" s="47"/>
      <c r="F454" s="3"/>
      <c r="G454" s="47"/>
      <c r="H454" s="55">
        <f>H450</f>
        <v>3255132.1250927323</v>
      </c>
      <c r="I454" s="52"/>
      <c r="J454" s="55">
        <f>J445+J450+J452</f>
        <v>550337.35425533797</v>
      </c>
      <c r="K454" s="7">
        <f>J454/$H454*100</f>
        <v>16.906759329766373</v>
      </c>
      <c r="L454" s="54"/>
      <c r="M454" s="55">
        <f>M445+M450+M452</f>
        <v>-140587.20530735562</v>
      </c>
      <c r="N454" s="27"/>
      <c r="O454" s="55">
        <f>O445+O450</f>
        <v>690924.55956269358</v>
      </c>
      <c r="P454" s="55">
        <f>P445+P450</f>
        <v>-3162.0327786286216</v>
      </c>
      <c r="Q454" s="55">
        <f>Q445+Q450</f>
        <v>687762.52678406495</v>
      </c>
      <c r="R454" s="7">
        <f>Q454/$H454*100</f>
        <v>21.128559467135975</v>
      </c>
      <c r="S454" s="56">
        <f>Q454/O454</f>
        <v>0.9954234760729449</v>
      </c>
      <c r="T454" s="8">
        <f>R454/K454-1</f>
        <v>0.24971078460533924</v>
      </c>
    </row>
    <row r="455" spans="2:21" x14ac:dyDescent="0.25">
      <c r="E455" s="47"/>
      <c r="F455" s="3"/>
      <c r="G455" s="47"/>
      <c r="H455" s="4"/>
      <c r="I455" s="52"/>
      <c r="J455" s="4"/>
      <c r="K455" s="9"/>
      <c r="L455" s="54"/>
      <c r="M455" s="4"/>
      <c r="N455" s="27"/>
      <c r="O455" s="4"/>
      <c r="P455" s="4"/>
      <c r="Q455" s="4"/>
      <c r="R455" s="9"/>
      <c r="S455" s="5"/>
      <c r="T455" s="6"/>
    </row>
    <row r="456" spans="2:21" ht="13" x14ac:dyDescent="0.3">
      <c r="B456" s="47"/>
      <c r="C456" s="49"/>
      <c r="D456" s="26" t="s">
        <v>46</v>
      </c>
      <c r="E456" s="47"/>
      <c r="F456" s="58"/>
      <c r="G456" s="47"/>
      <c r="H456" s="4"/>
      <c r="I456" s="52"/>
      <c r="J456" s="4"/>
      <c r="K456" s="9"/>
      <c r="L456" s="54"/>
      <c r="M456" s="4"/>
      <c r="N456" s="27"/>
      <c r="O456" s="4"/>
      <c r="P456" s="4"/>
      <c r="Q456" s="4"/>
      <c r="R456" s="32"/>
      <c r="S456" s="5"/>
      <c r="T456" s="33"/>
    </row>
    <row r="457" spans="2:21" x14ac:dyDescent="0.25">
      <c r="B457" s="47">
        <f>MAX(B$10:B456)+1</f>
        <v>246</v>
      </c>
      <c r="C457" s="49"/>
      <c r="D457" s="29" t="s">
        <v>42</v>
      </c>
      <c r="E457" s="47"/>
      <c r="F457" s="58" t="s">
        <v>36</v>
      </c>
      <c r="G457" s="47"/>
      <c r="H457" s="4">
        <v>3073284.4249153822</v>
      </c>
      <c r="I457" s="52"/>
      <c r="J457" s="4">
        <f>$H457*K457/100</f>
        <v>0</v>
      </c>
      <c r="K457" s="9">
        <v>0</v>
      </c>
      <c r="L457" s="54"/>
      <c r="M457" s="4">
        <f t="shared" ref="M457:M458" si="160">J457-O457</f>
        <v>2505.4468697594643</v>
      </c>
      <c r="N457" s="27"/>
      <c r="O457" s="4">
        <f>Q457</f>
        <v>-2505.4468697594643</v>
      </c>
      <c r="P457" s="4">
        <f t="shared" ref="P457:P458" si="161">Q457-O457</f>
        <v>0</v>
      </c>
      <c r="Q457" s="4">
        <f>$H457*R457/100</f>
        <v>-2505.4468697594643</v>
      </c>
      <c r="R457" s="9">
        <v>-8.1523429769389061E-2</v>
      </c>
      <c r="S457" s="5"/>
      <c r="T457" s="6"/>
    </row>
    <row r="458" spans="2:21" x14ac:dyDescent="0.25">
      <c r="B458" s="47">
        <f>MAX(B$10:B457)+1</f>
        <v>247</v>
      </c>
      <c r="C458" s="49"/>
      <c r="D458" s="29" t="s">
        <v>43</v>
      </c>
      <c r="E458" s="47"/>
      <c r="F458" s="58" t="s">
        <v>36</v>
      </c>
      <c r="G458" s="47"/>
      <c r="H458" s="4">
        <f>H450-H457</f>
        <v>181847.70017735008</v>
      </c>
      <c r="I458" s="52"/>
      <c r="J458" s="4">
        <f>$H458*K458/100</f>
        <v>0</v>
      </c>
      <c r="K458" s="9">
        <v>0</v>
      </c>
      <c r="L458" s="54"/>
      <c r="M458" s="4">
        <f t="shared" si="160"/>
        <v>148.24848214133118</v>
      </c>
      <c r="N458" s="54"/>
      <c r="O458" s="4">
        <f>Q458</f>
        <v>-148.24848214133118</v>
      </c>
      <c r="P458" s="4">
        <f t="shared" si="161"/>
        <v>0</v>
      </c>
      <c r="Q458" s="4">
        <f>$H458*R458/100</f>
        <v>-148.24848214133118</v>
      </c>
      <c r="R458" s="9">
        <v>-8.1523429769389061E-2</v>
      </c>
      <c r="S458" s="5"/>
      <c r="T458" s="6"/>
      <c r="U458" s="47"/>
    </row>
    <row r="459" spans="2:21" x14ac:dyDescent="0.25">
      <c r="B459" s="47">
        <f>MAX(B$10:B458)+1</f>
        <v>248</v>
      </c>
      <c r="C459" s="49"/>
      <c r="D459" s="26" t="s">
        <v>46</v>
      </c>
      <c r="E459" s="47"/>
      <c r="F459" s="3"/>
      <c r="G459" s="47"/>
      <c r="H459" s="55">
        <f>SUM(H457:H458)</f>
        <v>3255132.1250927323</v>
      </c>
      <c r="I459" s="52"/>
      <c r="J459" s="55">
        <f>SUM(J457:J458)</f>
        <v>0</v>
      </c>
      <c r="K459" s="7">
        <f>J459/$H459*100</f>
        <v>0</v>
      </c>
      <c r="L459" s="54"/>
      <c r="M459" s="55">
        <f>SUM(M457:M458)</f>
        <v>2653.6953519007957</v>
      </c>
      <c r="N459" s="27"/>
      <c r="O459" s="55">
        <f>SUM(O457:O458)</f>
        <v>-2653.6953519007957</v>
      </c>
      <c r="P459" s="55">
        <f>SUM(P457:P458)</f>
        <v>0</v>
      </c>
      <c r="Q459" s="55">
        <f>SUM(Q457:Q458)</f>
        <v>-2653.6953519007957</v>
      </c>
      <c r="R459" s="7">
        <f>Q459/$H459*100</f>
        <v>-8.1523429769389075E-2</v>
      </c>
      <c r="S459" s="56">
        <f>Q459/O459</f>
        <v>1</v>
      </c>
      <c r="T459" s="8"/>
    </row>
    <row r="460" spans="2:21" x14ac:dyDescent="0.25"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31"/>
    </row>
    <row r="461" spans="2:21" x14ac:dyDescent="0.25">
      <c r="B461" s="47">
        <f>MAX(B$10:B460)+1</f>
        <v>249</v>
      </c>
      <c r="C461" s="49"/>
      <c r="D461" s="26" t="s">
        <v>47</v>
      </c>
      <c r="E461" s="47"/>
      <c r="F461" s="3" t="s">
        <v>36</v>
      </c>
      <c r="G461" s="47"/>
      <c r="H461" s="4">
        <f>H457</f>
        <v>3073284.4249153822</v>
      </c>
      <c r="I461" s="52"/>
      <c r="J461" s="4">
        <f>$H461*K461/100</f>
        <v>-2271.1571900124673</v>
      </c>
      <c r="K461" s="9">
        <v>-7.3899999999999993E-2</v>
      </c>
      <c r="L461" s="54"/>
      <c r="M461" s="4">
        <f>J461-O461</f>
        <v>-7012.7442378932756</v>
      </c>
      <c r="N461" s="27"/>
      <c r="O461" s="4">
        <f>Q461</f>
        <v>4741.5870478808083</v>
      </c>
      <c r="P461" s="4">
        <f>Q461-O461</f>
        <v>0</v>
      </c>
      <c r="Q461" s="4">
        <f>$H461*R461/100</f>
        <v>4741.5870478808083</v>
      </c>
      <c r="R461" s="9">
        <v>0.15428402947154363</v>
      </c>
      <c r="S461" s="5">
        <f>Q461/O461</f>
        <v>1</v>
      </c>
      <c r="T461" s="6">
        <f>R461/K461-1</f>
        <v>-3.0877405882482223</v>
      </c>
    </row>
    <row r="462" spans="2:21" x14ac:dyDescent="0.25">
      <c r="B462" s="47"/>
      <c r="C462" s="49"/>
      <c r="D462" s="26"/>
      <c r="E462" s="47"/>
      <c r="F462" s="3"/>
      <c r="G462" s="47"/>
      <c r="H462" s="4"/>
      <c r="I462" s="52"/>
      <c r="J462" s="4"/>
      <c r="K462" s="9"/>
      <c r="L462" s="54"/>
      <c r="M462" s="4"/>
      <c r="N462" s="27"/>
      <c r="O462" s="4"/>
      <c r="P462" s="4"/>
      <c r="Q462" s="4"/>
      <c r="R462" s="9"/>
      <c r="S462" s="5"/>
      <c r="T462" s="6"/>
    </row>
    <row r="463" spans="2:21" ht="13" thickBot="1" x14ac:dyDescent="0.3">
      <c r="B463" s="47">
        <f>MAX(B$10:B462)+1</f>
        <v>250</v>
      </c>
      <c r="C463" s="49"/>
      <c r="D463" s="26" t="s">
        <v>145</v>
      </c>
      <c r="E463" s="47"/>
      <c r="F463" s="3"/>
      <c r="G463" s="47"/>
      <c r="H463" s="59">
        <f>H450</f>
        <v>3255132.1250927323</v>
      </c>
      <c r="I463" s="52"/>
      <c r="J463" s="59">
        <f>J454+J459+J461</f>
        <v>548066.19706532545</v>
      </c>
      <c r="K463" s="11">
        <f>J463/$H463*100</f>
        <v>16.83698774745471</v>
      </c>
      <c r="L463" s="54"/>
      <c r="M463" s="59">
        <f>M454+M459+M461</f>
        <v>-144946.25419334811</v>
      </c>
      <c r="N463" s="27"/>
      <c r="O463" s="59">
        <f>O454+O459+O461</f>
        <v>693012.45125867368</v>
      </c>
      <c r="P463" s="59">
        <v>-3162.0327786286243</v>
      </c>
      <c r="Q463" s="59">
        <f>Q454+Q459+Q461</f>
        <v>689850.41848004505</v>
      </c>
      <c r="R463" s="11">
        <f>Q463/$H463*100</f>
        <v>21.19270100166495</v>
      </c>
      <c r="S463" s="60">
        <f>Q463/O463</f>
        <v>0.99543726411713718</v>
      </c>
      <c r="T463" s="12">
        <f>R463/K463-1</f>
        <v>0.25869908082986548</v>
      </c>
    </row>
    <row r="464" spans="2:21" ht="13.5" thickTop="1" x14ac:dyDescent="0.3">
      <c r="B464" s="47"/>
      <c r="C464" s="49"/>
      <c r="E464" s="47"/>
      <c r="F464" s="58"/>
      <c r="G464" s="47"/>
      <c r="H464" s="54"/>
      <c r="I464" s="52"/>
      <c r="J464" s="54"/>
      <c r="K464" s="32"/>
      <c r="L464" s="54"/>
      <c r="M464" s="54"/>
      <c r="N464" s="27"/>
      <c r="O464" s="54"/>
      <c r="P464" s="54"/>
      <c r="Q464" s="54"/>
      <c r="R464" s="32"/>
      <c r="S464" s="57"/>
      <c r="T464" s="35"/>
    </row>
    <row r="465" spans="2:21" x14ac:dyDescent="0.25">
      <c r="B465" s="19" t="str">
        <f>$B$2 &amp;" (continued)"</f>
        <v>Derivation of Proposed Rates and Revenue by Rate Class - Delivery (continued)</v>
      </c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20"/>
    </row>
    <row r="466" spans="2:21" x14ac:dyDescent="0.25">
      <c r="B466" s="43"/>
      <c r="C466" s="43"/>
      <c r="D466" s="43"/>
      <c r="E466" s="43"/>
      <c r="F466" s="44"/>
      <c r="G466" s="43"/>
      <c r="H466" s="44"/>
      <c r="I466" s="43"/>
      <c r="J466" s="44"/>
      <c r="K466" s="44"/>
      <c r="L466" s="44"/>
      <c r="M466" s="44"/>
      <c r="N466" s="43"/>
      <c r="O466" s="43"/>
      <c r="P466" s="43"/>
      <c r="Q466" s="43"/>
      <c r="R466" s="43"/>
      <c r="S466" s="22"/>
      <c r="T466" s="22"/>
    </row>
    <row r="467" spans="2:21" x14ac:dyDescent="0.25">
      <c r="B467" s="44"/>
      <c r="C467" s="44"/>
      <c r="D467" s="44"/>
      <c r="E467" s="44"/>
      <c r="F467" s="43"/>
      <c r="G467" s="44"/>
      <c r="H467" s="43"/>
      <c r="I467" s="44"/>
      <c r="J467" s="45" t="s">
        <v>1</v>
      </c>
      <c r="K467" s="45"/>
      <c r="L467" s="44"/>
      <c r="M467" s="44"/>
      <c r="N467" s="44"/>
      <c r="O467" s="45" t="s">
        <v>2</v>
      </c>
      <c r="P467" s="45"/>
      <c r="Q467" s="45"/>
      <c r="R467" s="45"/>
      <c r="S467" s="23"/>
      <c r="T467" s="23"/>
    </row>
    <row r="468" spans="2:21" s="24" customFormat="1" ht="39" customHeight="1" x14ac:dyDescent="0.25">
      <c r="B468" s="46" t="s">
        <v>3</v>
      </c>
      <c r="C468" s="46"/>
      <c r="D468" s="46"/>
      <c r="E468" s="46"/>
      <c r="F468" s="47" t="s">
        <v>4</v>
      </c>
      <c r="G468" s="46"/>
      <c r="H468" s="24" t="s">
        <v>5</v>
      </c>
      <c r="I468" s="46"/>
      <c r="J468" s="24" t="s">
        <v>6</v>
      </c>
      <c r="K468" s="24" t="s">
        <v>7</v>
      </c>
      <c r="L468" s="46"/>
      <c r="M468" s="24" t="s">
        <v>8</v>
      </c>
      <c r="N468" s="46"/>
      <c r="O468" s="46" t="s">
        <v>9</v>
      </c>
      <c r="P468" s="24" t="s">
        <v>8</v>
      </c>
      <c r="Q468" s="24" t="s">
        <v>6</v>
      </c>
      <c r="R468" s="24" t="s">
        <v>7</v>
      </c>
      <c r="S468" s="46" t="s">
        <v>10</v>
      </c>
      <c r="T468" s="46" t="s">
        <v>11</v>
      </c>
      <c r="U468" s="46"/>
    </row>
    <row r="469" spans="2:21" ht="14.5" x14ac:dyDescent="0.25">
      <c r="B469" s="48" t="s">
        <v>12</v>
      </c>
      <c r="C469" s="49"/>
      <c r="D469" s="50" t="s">
        <v>13</v>
      </c>
      <c r="E469" s="47"/>
      <c r="F469" s="48" t="s">
        <v>14</v>
      </c>
      <c r="G469" s="47"/>
      <c r="H469" s="48" t="s">
        <v>15</v>
      </c>
      <c r="I469" s="47"/>
      <c r="J469" s="48" t="s">
        <v>16</v>
      </c>
      <c r="K469" s="48" t="s">
        <v>17</v>
      </c>
      <c r="L469" s="47"/>
      <c r="M469" s="48" t="s">
        <v>16</v>
      </c>
      <c r="N469" s="47"/>
      <c r="O469" s="48" t="s">
        <v>16</v>
      </c>
      <c r="P469" s="48" t="s">
        <v>16</v>
      </c>
      <c r="Q469" s="48" t="s">
        <v>16</v>
      </c>
      <c r="R469" s="48" t="s">
        <v>17</v>
      </c>
      <c r="S469" s="48" t="s">
        <v>18</v>
      </c>
      <c r="T469" s="48" t="s">
        <v>19</v>
      </c>
      <c r="U469" s="47"/>
    </row>
    <row r="470" spans="2:21" x14ac:dyDescent="0.25">
      <c r="B470" s="47"/>
      <c r="C470" s="49"/>
      <c r="D470" s="49"/>
      <c r="E470" s="47"/>
      <c r="F470" s="47"/>
      <c r="G470" s="47"/>
      <c r="H470" s="47" t="s">
        <v>20</v>
      </c>
      <c r="I470" s="47"/>
      <c r="J470" s="47" t="s">
        <v>21</v>
      </c>
      <c r="K470" s="47" t="s">
        <v>22</v>
      </c>
      <c r="L470" s="47"/>
      <c r="M470" s="47" t="s">
        <v>23</v>
      </c>
      <c r="N470" s="47"/>
      <c r="O470" s="47" t="s">
        <v>24</v>
      </c>
      <c r="P470" s="47" t="s">
        <v>25</v>
      </c>
      <c r="Q470" s="51" t="s">
        <v>26</v>
      </c>
      <c r="R470" s="51" t="s">
        <v>27</v>
      </c>
      <c r="S470" s="51" t="s">
        <v>28</v>
      </c>
      <c r="T470" s="51" t="s">
        <v>29</v>
      </c>
      <c r="U470" s="47"/>
    </row>
    <row r="471" spans="2:21" ht="13" x14ac:dyDescent="0.3">
      <c r="B471" s="47"/>
      <c r="C471" s="49"/>
      <c r="D471" s="49"/>
      <c r="E471" s="47"/>
      <c r="F471" s="36"/>
      <c r="G471" s="47"/>
      <c r="H471" s="32"/>
      <c r="I471" s="52"/>
      <c r="J471" s="32"/>
      <c r="K471" s="32"/>
      <c r="L471" s="54"/>
      <c r="M471" s="32"/>
      <c r="N471" s="54"/>
      <c r="O471" s="32"/>
      <c r="P471" s="54"/>
      <c r="Q471" s="32"/>
      <c r="R471" s="32"/>
      <c r="S471" s="57"/>
      <c r="T471" s="32"/>
      <c r="U471" s="47"/>
    </row>
    <row r="472" spans="2:21" ht="13" x14ac:dyDescent="0.3">
      <c r="B472" s="47"/>
      <c r="C472" s="49"/>
      <c r="D472" s="20" t="s">
        <v>146</v>
      </c>
      <c r="E472" s="47"/>
      <c r="F472" s="25"/>
      <c r="G472" s="47"/>
      <c r="H472" s="34"/>
      <c r="I472" s="52"/>
      <c r="J472" s="34"/>
      <c r="K472" s="52"/>
      <c r="L472" s="52"/>
      <c r="M472" s="13"/>
      <c r="N472" s="52"/>
      <c r="O472" s="14"/>
      <c r="P472" s="52"/>
      <c r="Q472" s="52"/>
      <c r="R472" s="52"/>
      <c r="S472" s="52"/>
      <c r="T472" s="52"/>
      <c r="U472" s="47"/>
    </row>
    <row r="473" spans="2:21" x14ac:dyDescent="0.25">
      <c r="B473" s="47">
        <f>MAX(B$10:B472)+1</f>
        <v>251</v>
      </c>
      <c r="C473" s="49"/>
      <c r="D473" s="26" t="s">
        <v>32</v>
      </c>
      <c r="E473" s="47"/>
      <c r="F473" s="3" t="s">
        <v>33</v>
      </c>
      <c r="G473" s="47"/>
      <c r="H473" s="4">
        <v>96828</v>
      </c>
      <c r="I473" s="52"/>
      <c r="J473" s="4">
        <f>$H473*K473/1000</f>
        <v>7415.08824</v>
      </c>
      <c r="K473" s="53">
        <v>76.58</v>
      </c>
      <c r="L473" s="54"/>
      <c r="M473" s="4">
        <f>J473-O473</f>
        <v>-13793.676740422023</v>
      </c>
      <c r="N473" s="27"/>
      <c r="O473" s="4">
        <v>21208.764980422024</v>
      </c>
      <c r="P473" s="4">
        <f>Q473-O473</f>
        <v>-13462.524980422024</v>
      </c>
      <c r="Q473" s="4">
        <f>$H473*R473/1000</f>
        <v>7746.24</v>
      </c>
      <c r="R473" s="53">
        <v>80</v>
      </c>
      <c r="S473" s="5">
        <f>Q473/O473</f>
        <v>0.36523767447801014</v>
      </c>
      <c r="T473" s="6">
        <f t="shared" ref="T473:T478" si="162">R473/K473-1</f>
        <v>4.4659179942543759E-2</v>
      </c>
    </row>
    <row r="474" spans="2:21" x14ac:dyDescent="0.25">
      <c r="B474" s="47"/>
      <c r="C474" s="49"/>
      <c r="D474" s="26" t="s">
        <v>34</v>
      </c>
      <c r="E474" s="47"/>
      <c r="F474" s="3"/>
      <c r="G474" s="47"/>
      <c r="H474" s="4"/>
      <c r="I474" s="52"/>
      <c r="J474" s="4"/>
      <c r="K474" s="9"/>
      <c r="L474" s="54"/>
      <c r="M474" s="4"/>
      <c r="N474" s="27"/>
      <c r="O474" s="4"/>
      <c r="P474" s="4"/>
      <c r="Q474" s="4"/>
      <c r="R474" s="9"/>
      <c r="S474" s="5"/>
      <c r="T474" s="6"/>
    </row>
    <row r="475" spans="2:21" x14ac:dyDescent="0.25">
      <c r="B475" s="47">
        <f>MAX(B$10:B474)+1</f>
        <v>252</v>
      </c>
      <c r="C475" s="49"/>
      <c r="D475" s="70" t="s">
        <v>147</v>
      </c>
      <c r="E475" s="47"/>
      <c r="F475" s="3" t="s">
        <v>36</v>
      </c>
      <c r="G475" s="47"/>
      <c r="H475" s="4">
        <v>88010.242093017703</v>
      </c>
      <c r="I475" s="52"/>
      <c r="J475" s="4">
        <f>$H475*K475/100</f>
        <v>5405.5890693531474</v>
      </c>
      <c r="K475" s="9">
        <v>6.1420000000000003</v>
      </c>
      <c r="L475" s="54"/>
      <c r="M475" s="4">
        <f t="shared" ref="M475:M478" si="163">J475-O475</f>
        <v>-981.57281364489791</v>
      </c>
      <c r="N475" s="27"/>
      <c r="O475" s="4">
        <f>J475/J$479*O$479</f>
        <v>6387.1618829980453</v>
      </c>
      <c r="P475" s="4">
        <f t="shared" ref="P475:P478" si="164">Q475-O475</f>
        <v>890.04854171666466</v>
      </c>
      <c r="Q475" s="4">
        <f>$H475*R475/100</f>
        <v>7277.2104247147099</v>
      </c>
      <c r="R475" s="9">
        <f>K475*(O$479+P$479)/J$479</f>
        <v>8.268594940374614</v>
      </c>
      <c r="S475" s="5"/>
      <c r="T475" s="6">
        <f t="shared" si="162"/>
        <v>0.34623818631953984</v>
      </c>
    </row>
    <row r="476" spans="2:21" x14ac:dyDescent="0.25">
      <c r="B476" s="47">
        <f>MAX(B$10:B475)+1</f>
        <v>253</v>
      </c>
      <c r="C476" s="49"/>
      <c r="D476" s="70" t="s">
        <v>148</v>
      </c>
      <c r="E476" s="47"/>
      <c r="F476" s="3" t="s">
        <v>36</v>
      </c>
      <c r="G476" s="47"/>
      <c r="H476" s="4">
        <v>384165.61847793142</v>
      </c>
      <c r="I476" s="52"/>
      <c r="J476" s="4">
        <f>$H476*K476/100</f>
        <v>23174.406769062738</v>
      </c>
      <c r="K476" s="9">
        <v>6.0324000000000009</v>
      </c>
      <c r="L476" s="54"/>
      <c r="M476" s="4">
        <f t="shared" si="163"/>
        <v>-4208.1200337306291</v>
      </c>
      <c r="N476" s="27"/>
      <c r="O476" s="4">
        <f t="shared" ref="O476:O478" si="165">J476/J$479*O$479</f>
        <v>27382.526802793367</v>
      </c>
      <c r="P476" s="4">
        <f t="shared" si="164"/>
        <v>3815.7445350209273</v>
      </c>
      <c r="Q476" s="4">
        <f>$H476*R476/100</f>
        <v>31198.271337814294</v>
      </c>
      <c r="R476" s="9">
        <f t="shared" ref="R476:R478" si="166">K476*(O$479+P$479)/J$479</f>
        <v>8.1210472351539948</v>
      </c>
      <c r="S476" s="5"/>
      <c r="T476" s="6">
        <f t="shared" si="162"/>
        <v>0.34623818631954006</v>
      </c>
    </row>
    <row r="477" spans="2:21" x14ac:dyDescent="0.25">
      <c r="B477" s="47">
        <f>MAX(B$10:B476)+1</f>
        <v>254</v>
      </c>
      <c r="C477" s="49"/>
      <c r="D477" s="70" t="s">
        <v>149</v>
      </c>
      <c r="E477" s="47"/>
      <c r="F477" s="3" t="s">
        <v>36</v>
      </c>
      <c r="G477" s="47"/>
      <c r="H477" s="4">
        <v>366712.75773243775</v>
      </c>
      <c r="I477" s="52"/>
      <c r="J477" s="4">
        <f>$H477*K477/100</f>
        <v>20751.174821805456</v>
      </c>
      <c r="K477" s="9">
        <v>5.6587000000000005</v>
      </c>
      <c r="L477" s="54"/>
      <c r="M477" s="4">
        <f t="shared" si="163"/>
        <v>-3768.0979436185953</v>
      </c>
      <c r="N477" s="27"/>
      <c r="O477" s="4">
        <f t="shared" si="165"/>
        <v>24519.272765424052</v>
      </c>
      <c r="P477" s="4">
        <f t="shared" si="164"/>
        <v>3416.7511906830296</v>
      </c>
      <c r="Q477" s="4">
        <f>$H477*R477/100</f>
        <v>27936.023956107081</v>
      </c>
      <c r="R477" s="9">
        <f t="shared" si="166"/>
        <v>7.6179580249263816</v>
      </c>
      <c r="S477" s="5"/>
      <c r="T477" s="6">
        <f t="shared" si="162"/>
        <v>0.34623818631954006</v>
      </c>
    </row>
    <row r="478" spans="2:21" x14ac:dyDescent="0.25">
      <c r="B478" s="47">
        <f>MAX(B$10:B477)+1</f>
        <v>255</v>
      </c>
      <c r="C478" s="49"/>
      <c r="D478" s="70" t="s">
        <v>150</v>
      </c>
      <c r="E478" s="47"/>
      <c r="F478" s="3" t="s">
        <v>36</v>
      </c>
      <c r="G478" s="47"/>
      <c r="H478" s="4">
        <v>480487.78100537433</v>
      </c>
      <c r="I478" s="52"/>
      <c r="J478" s="4">
        <f>$H478*K478/100</f>
        <v>25315.940205611168</v>
      </c>
      <c r="K478" s="9">
        <v>5.2688000000000006</v>
      </c>
      <c r="L478" s="54"/>
      <c r="M478" s="4">
        <f t="shared" si="163"/>
        <v>-4596.9899559274745</v>
      </c>
      <c r="N478" s="27"/>
      <c r="O478" s="4">
        <f t="shared" si="165"/>
        <v>29912.930161538643</v>
      </c>
      <c r="P478" s="4">
        <f t="shared" si="164"/>
        <v>4168.3552658372573</v>
      </c>
      <c r="Q478" s="4">
        <f>$H478*R478/100</f>
        <v>34081.2854273759</v>
      </c>
      <c r="R478" s="9">
        <f t="shared" si="166"/>
        <v>7.0930597560803932</v>
      </c>
      <c r="S478" s="5"/>
      <c r="T478" s="6">
        <f t="shared" si="162"/>
        <v>0.34623818631954006</v>
      </c>
    </row>
    <row r="479" spans="2:21" x14ac:dyDescent="0.25">
      <c r="B479" s="47">
        <f>MAX(B$10:B478)+1</f>
        <v>256</v>
      </c>
      <c r="C479" s="49"/>
      <c r="D479" s="26" t="s">
        <v>34</v>
      </c>
      <c r="E479" s="47"/>
      <c r="F479" s="3"/>
      <c r="G479" s="47"/>
      <c r="H479" s="55">
        <f>SUM(H475:H478)</f>
        <v>1319376.3993087613</v>
      </c>
      <c r="I479" s="52"/>
      <c r="J479" s="55">
        <f>SUM(J475:J478)</f>
        <v>74647.11086583251</v>
      </c>
      <c r="K479" s="7">
        <f>J479/$H479*100</f>
        <v>5.6577570210397203</v>
      </c>
      <c r="L479" s="54"/>
      <c r="M479" s="55">
        <f>SUM(M475:M478)</f>
        <v>-13554.780746921597</v>
      </c>
      <c r="N479" s="27"/>
      <c r="O479" s="55">
        <v>88201.891612754102</v>
      </c>
      <c r="P479" s="55">
        <f>P492-SUM(P473,P490)</f>
        <v>12290.899533257874</v>
      </c>
      <c r="Q479" s="55">
        <f>SUM(Q475:Q478)</f>
        <v>100492.79114601198</v>
      </c>
      <c r="R479" s="7">
        <f>Q479/$H479*100</f>
        <v>7.6166885506411566</v>
      </c>
      <c r="S479" s="56">
        <f>Q479/O479</f>
        <v>1.1393496138067021</v>
      </c>
      <c r="T479" s="8">
        <f>R479/K479-1</f>
        <v>0.34623818631954006</v>
      </c>
    </row>
    <row r="480" spans="2:21" x14ac:dyDescent="0.25">
      <c r="B480" s="47"/>
      <c r="C480" s="49"/>
      <c r="D480" s="26"/>
      <c r="E480" s="47"/>
      <c r="F480" s="3"/>
      <c r="G480" s="47"/>
      <c r="H480" s="54"/>
      <c r="I480" s="52"/>
      <c r="J480" s="54"/>
      <c r="K480" s="9"/>
      <c r="L480" s="54"/>
      <c r="M480" s="54"/>
      <c r="N480" s="27"/>
      <c r="O480" s="54"/>
      <c r="P480" s="54"/>
      <c r="Q480" s="54"/>
      <c r="R480" s="9"/>
      <c r="S480" s="57"/>
      <c r="T480" s="6"/>
    </row>
    <row r="481" spans="2:21" x14ac:dyDescent="0.25">
      <c r="B481" s="47">
        <f>MAX(B$10:B480)+1</f>
        <v>257</v>
      </c>
      <c r="C481" s="49"/>
      <c r="D481" s="26" t="s">
        <v>144</v>
      </c>
      <c r="E481" s="47"/>
      <c r="F481" s="3" t="s">
        <v>36</v>
      </c>
      <c r="G481" s="47"/>
      <c r="H481" s="54">
        <v>1319376.3993087613</v>
      </c>
      <c r="I481" s="52"/>
      <c r="J481" s="4">
        <f>$H481*K481/100</f>
        <v>10614.383132438985</v>
      </c>
      <c r="K481" s="9">
        <v>0.80449999999999999</v>
      </c>
      <c r="L481" s="54"/>
      <c r="M481" s="4">
        <f t="shared" ref="M481" si="167">J481-O481</f>
        <v>10614.383132438985</v>
      </c>
      <c r="N481" s="27"/>
      <c r="O481" s="54"/>
      <c r="P481" s="54"/>
      <c r="Q481" s="54"/>
      <c r="R481" s="9"/>
      <c r="S481" s="57"/>
      <c r="T481" s="6"/>
    </row>
    <row r="482" spans="2:21" x14ac:dyDescent="0.25">
      <c r="B482" s="47"/>
      <c r="C482" s="49"/>
      <c r="D482" s="26"/>
      <c r="E482" s="47"/>
      <c r="F482" s="3"/>
      <c r="G482" s="47"/>
      <c r="H482" s="4"/>
      <c r="I482" s="52"/>
      <c r="J482" s="4"/>
      <c r="K482" s="9"/>
      <c r="L482" s="54"/>
      <c r="M482" s="4"/>
      <c r="N482" s="27"/>
      <c r="O482" s="4"/>
      <c r="P482" s="4"/>
      <c r="Q482" s="4"/>
      <c r="R482" s="9"/>
      <c r="S482" s="5"/>
      <c r="T482" s="15"/>
    </row>
    <row r="483" spans="2:21" x14ac:dyDescent="0.25">
      <c r="B483" s="47">
        <f>MAX(B$10:B482)+1</f>
        <v>258</v>
      </c>
      <c r="C483" s="49"/>
      <c r="D483" s="26" t="s">
        <v>41</v>
      </c>
      <c r="E483" s="47"/>
      <c r="F483" s="3"/>
      <c r="G483" s="47"/>
      <c r="H483" s="55">
        <f>H479</f>
        <v>1319376.3993087613</v>
      </c>
      <c r="I483" s="52"/>
      <c r="J483" s="55">
        <f>J473+J479+J481</f>
        <v>92676.582238271498</v>
      </c>
      <c r="K483" s="7">
        <f>J483/$H483*100</f>
        <v>7.0242716397554164</v>
      </c>
      <c r="L483" s="54"/>
      <c r="M483" s="55">
        <f>M473+M479+M481</f>
        <v>-16734.074354904638</v>
      </c>
      <c r="N483" s="27"/>
      <c r="O483" s="55">
        <f>O473+O479</f>
        <v>109410.65659317613</v>
      </c>
      <c r="P483" s="55">
        <f>P473+P479</f>
        <v>-1171.6254471641496</v>
      </c>
      <c r="Q483" s="55">
        <f>Q473+Q479</f>
        <v>108239.03114601198</v>
      </c>
      <c r="R483" s="7">
        <f>Q483/$H483*100</f>
        <v>8.2038022813444158</v>
      </c>
      <c r="S483" s="56">
        <f>Q483/O483</f>
        <v>0.98929148692050517</v>
      </c>
      <c r="T483" s="8">
        <f>R483/K483-1</f>
        <v>0.16792212802722273</v>
      </c>
    </row>
    <row r="484" spans="2:21" x14ac:dyDescent="0.25">
      <c r="E484" s="47"/>
      <c r="F484" s="3"/>
      <c r="G484" s="47"/>
      <c r="H484" s="4"/>
      <c r="I484" s="52"/>
      <c r="J484" s="4"/>
      <c r="K484" s="9"/>
      <c r="L484" s="54"/>
      <c r="M484" s="4"/>
      <c r="N484" s="27"/>
      <c r="O484" s="4"/>
      <c r="P484" s="4"/>
      <c r="Q484" s="4"/>
      <c r="R484" s="9"/>
      <c r="S484" s="5"/>
      <c r="T484" s="6"/>
    </row>
    <row r="485" spans="2:21" ht="13" x14ac:dyDescent="0.3">
      <c r="B485" s="47"/>
      <c r="C485" s="49"/>
      <c r="D485" s="26" t="s">
        <v>46</v>
      </c>
      <c r="E485" s="47"/>
      <c r="F485" s="58"/>
      <c r="G485" s="47"/>
      <c r="H485" s="4"/>
      <c r="I485" s="52"/>
      <c r="J485" s="4"/>
      <c r="K485" s="9"/>
      <c r="L485" s="54"/>
      <c r="M485" s="4"/>
      <c r="N485" s="27"/>
      <c r="O485" s="4"/>
      <c r="P485" s="4"/>
      <c r="Q485" s="4"/>
      <c r="R485" s="32"/>
      <c r="S485" s="5"/>
      <c r="T485" s="33"/>
    </row>
    <row r="486" spans="2:21" x14ac:dyDescent="0.25">
      <c r="B486" s="47">
        <f>MAX(B$10:B485)+1</f>
        <v>259</v>
      </c>
      <c r="C486" s="49"/>
      <c r="D486" s="29" t="s">
        <v>42</v>
      </c>
      <c r="E486" s="47"/>
      <c r="F486" s="58" t="s">
        <v>36</v>
      </c>
      <c r="G486" s="47"/>
      <c r="H486" s="4">
        <v>688379.27993858908</v>
      </c>
      <c r="I486" s="52"/>
      <c r="J486" s="4">
        <f>$H486*K486/100</f>
        <v>0</v>
      </c>
      <c r="K486" s="9">
        <v>0</v>
      </c>
      <c r="L486" s="54"/>
      <c r="M486" s="4">
        <f t="shared" ref="M486:M487" si="168">J486-O486</f>
        <v>524.92741219167021</v>
      </c>
      <c r="N486" s="27"/>
      <c r="O486" s="4">
        <f>Q486</f>
        <v>-524.92741219167021</v>
      </c>
      <c r="P486" s="4">
        <f t="shared" ref="P486:P487" si="169">Q486-O486</f>
        <v>0</v>
      </c>
      <c r="Q486" s="4">
        <f>$H486*R486/100</f>
        <v>-524.92741219167021</v>
      </c>
      <c r="R486" s="9">
        <v>-7.6255550898989791E-2</v>
      </c>
      <c r="S486" s="5"/>
      <c r="T486" s="6"/>
    </row>
    <row r="487" spans="2:21" x14ac:dyDescent="0.25">
      <c r="B487" s="47">
        <f>MAX(B$10:B486)+1</f>
        <v>260</v>
      </c>
      <c r="C487" s="49"/>
      <c r="D487" s="29" t="s">
        <v>43</v>
      </c>
      <c r="E487" s="47"/>
      <c r="F487" s="58" t="s">
        <v>36</v>
      </c>
      <c r="G487" s="47"/>
      <c r="H487" s="4">
        <f>H479-H486</f>
        <v>630997.11937017227</v>
      </c>
      <c r="I487" s="52"/>
      <c r="J487" s="4">
        <f>$H487*K487/100</f>
        <v>0</v>
      </c>
      <c r="K487" s="9">
        <v>0</v>
      </c>
      <c r="L487" s="54"/>
      <c r="M487" s="4">
        <f t="shared" si="168"/>
        <v>481.17032953248105</v>
      </c>
      <c r="N487" s="54"/>
      <c r="O487" s="4">
        <f>Q487</f>
        <v>-481.17032953248105</v>
      </c>
      <c r="P487" s="4">
        <f t="shared" si="169"/>
        <v>0</v>
      </c>
      <c r="Q487" s="4">
        <f>$H487*R487/100</f>
        <v>-481.17032953248105</v>
      </c>
      <c r="R487" s="9">
        <v>-7.6255550898989791E-2</v>
      </c>
      <c r="S487" s="5"/>
      <c r="T487" s="6"/>
      <c r="U487" s="47"/>
    </row>
    <row r="488" spans="2:21" x14ac:dyDescent="0.25">
      <c r="B488" s="47">
        <f>MAX(B$10:B487)+1</f>
        <v>261</v>
      </c>
      <c r="C488" s="49"/>
      <c r="D488" s="26" t="s">
        <v>46</v>
      </c>
      <c r="E488" s="47"/>
      <c r="F488" s="3"/>
      <c r="G488" s="47"/>
      <c r="H488" s="55">
        <f>SUM(H486:H487)</f>
        <v>1319376.3993087613</v>
      </c>
      <c r="I488" s="52"/>
      <c r="J488" s="55">
        <f>SUM(J486:J487)</f>
        <v>0</v>
      </c>
      <c r="K488" s="7">
        <f>J488/$H488*100</f>
        <v>0</v>
      </c>
      <c r="L488" s="54"/>
      <c r="M488" s="55">
        <f>SUM(M486:M487)</f>
        <v>1006.0977417241513</v>
      </c>
      <c r="N488" s="27"/>
      <c r="O488" s="55">
        <f>SUM(O486:O487)</f>
        <v>-1006.0977417241513</v>
      </c>
      <c r="P488" s="55">
        <f>SUM(P486:P487)</f>
        <v>0</v>
      </c>
      <c r="Q488" s="55">
        <f>SUM(Q486:Q487)</f>
        <v>-1006.0977417241513</v>
      </c>
      <c r="R488" s="7">
        <f>Q488/$H488*100</f>
        <v>-7.6255550898989791E-2</v>
      </c>
      <c r="S488" s="56">
        <f>Q488/O488</f>
        <v>1</v>
      </c>
      <c r="T488" s="8"/>
    </row>
    <row r="489" spans="2:21" x14ac:dyDescent="0.25"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31"/>
    </row>
    <row r="490" spans="2:21" x14ac:dyDescent="0.25">
      <c r="B490" s="47">
        <f>MAX(B$10:B489)+1</f>
        <v>262</v>
      </c>
      <c r="C490" s="49"/>
      <c r="D490" s="26" t="s">
        <v>47</v>
      </c>
      <c r="E490" s="47"/>
      <c r="F490" s="3" t="s">
        <v>36</v>
      </c>
      <c r="G490" s="47"/>
      <c r="H490" s="4">
        <f>H486</f>
        <v>688379.27993858908</v>
      </c>
      <c r="I490" s="52"/>
      <c r="J490" s="4">
        <f>$H490*K490/100</f>
        <v>-508.71228787461735</v>
      </c>
      <c r="K490" s="9">
        <v>-7.3899999999999993E-2</v>
      </c>
      <c r="L490" s="54"/>
      <c r="M490" s="4">
        <f>J490-O490</f>
        <v>-1570.7715790110697</v>
      </c>
      <c r="N490" s="27"/>
      <c r="O490" s="4">
        <f>Q490</f>
        <v>1062.0592911364524</v>
      </c>
      <c r="P490" s="4">
        <f>Q490-O490</f>
        <v>0</v>
      </c>
      <c r="Q490" s="4">
        <f>$H490*R490/100</f>
        <v>1062.0592911364524</v>
      </c>
      <c r="R490" s="9">
        <v>0.15428402947154363</v>
      </c>
      <c r="S490" s="5">
        <f>Q490/O490</f>
        <v>1</v>
      </c>
      <c r="T490" s="6">
        <f>R490/K490-1</f>
        <v>-3.0877405882482223</v>
      </c>
    </row>
    <row r="491" spans="2:21" x14ac:dyDescent="0.25">
      <c r="B491" s="47"/>
      <c r="C491" s="49"/>
      <c r="D491" s="26"/>
      <c r="E491" s="47"/>
      <c r="F491" s="3"/>
      <c r="G491" s="47"/>
      <c r="H491" s="4"/>
      <c r="I491" s="52"/>
      <c r="J491" s="4"/>
      <c r="K491" s="9"/>
      <c r="L491" s="54"/>
      <c r="M491" s="4"/>
      <c r="N491" s="27"/>
      <c r="O491" s="4"/>
      <c r="P491" s="4"/>
      <c r="Q491" s="4"/>
      <c r="R491" s="9"/>
      <c r="S491" s="5"/>
      <c r="T491" s="6"/>
    </row>
    <row r="492" spans="2:21" ht="13" thickBot="1" x14ac:dyDescent="0.3">
      <c r="B492" s="47">
        <f>MAX(B$10:B491)+1</f>
        <v>263</v>
      </c>
      <c r="C492" s="49"/>
      <c r="D492" s="26" t="s">
        <v>151</v>
      </c>
      <c r="E492" s="47"/>
      <c r="F492" s="3"/>
      <c r="G492" s="47"/>
      <c r="H492" s="59">
        <f>H479</f>
        <v>1319376.3993087613</v>
      </c>
      <c r="I492" s="52"/>
      <c r="J492" s="59">
        <f>J483+J488+J490</f>
        <v>92167.869950396882</v>
      </c>
      <c r="K492" s="11">
        <f>J492/$H492*100</f>
        <v>6.9857146147744382</v>
      </c>
      <c r="L492" s="54"/>
      <c r="M492" s="59">
        <f>M483+M488+M490</f>
        <v>-17298.748192191557</v>
      </c>
      <c r="N492" s="27"/>
      <c r="O492" s="59">
        <f>O483+O488+O490</f>
        <v>109466.61814258843</v>
      </c>
      <c r="P492" s="59">
        <v>-1171.62544716415</v>
      </c>
      <c r="Q492" s="59">
        <f>Q483+Q488+Q490</f>
        <v>108294.99269542428</v>
      </c>
      <c r="R492" s="11">
        <f>Q492/$H492*100</f>
        <v>8.2080437964603163</v>
      </c>
      <c r="S492" s="60">
        <f>Q492/O492</f>
        <v>0.98929696132899603</v>
      </c>
      <c r="T492" s="12">
        <f>R492/K492-1</f>
        <v>0.17497553923842135</v>
      </c>
    </row>
    <row r="493" spans="2:21" ht="13" thickTop="1" x14ac:dyDescent="0.25"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31"/>
    </row>
    <row r="494" spans="2:21" ht="13" x14ac:dyDescent="0.3">
      <c r="B494" s="47"/>
      <c r="C494" s="49"/>
      <c r="D494" s="20" t="s">
        <v>152</v>
      </c>
      <c r="E494" s="47"/>
      <c r="F494" s="25"/>
      <c r="G494" s="47"/>
      <c r="H494" s="34"/>
      <c r="I494" s="52"/>
      <c r="J494" s="34"/>
      <c r="K494" s="52"/>
      <c r="L494" s="52"/>
      <c r="M494" s="13"/>
      <c r="N494" s="52"/>
      <c r="O494" s="14"/>
      <c r="P494" s="52"/>
      <c r="Q494" s="52"/>
      <c r="R494" s="52"/>
      <c r="S494" s="52"/>
      <c r="T494" s="61"/>
      <c r="U494" s="47"/>
    </row>
    <row r="495" spans="2:21" x14ac:dyDescent="0.25">
      <c r="B495" s="47"/>
      <c r="C495" s="49"/>
      <c r="D495" s="26" t="s">
        <v>58</v>
      </c>
      <c r="E495" s="47"/>
      <c r="F495" s="3"/>
      <c r="G495" s="47"/>
      <c r="H495" s="4"/>
      <c r="I495" s="52"/>
      <c r="J495" s="4"/>
      <c r="K495" s="9"/>
      <c r="L495" s="54"/>
      <c r="M495" s="4"/>
      <c r="N495" s="27"/>
      <c r="O495" s="4"/>
      <c r="P495" s="4"/>
      <c r="Q495" s="4"/>
      <c r="R495" s="9"/>
      <c r="S495" s="5"/>
      <c r="T495" s="6"/>
    </row>
    <row r="496" spans="2:21" x14ac:dyDescent="0.25">
      <c r="B496" s="47">
        <f>MAX(B$10:B495)+1</f>
        <v>264</v>
      </c>
      <c r="C496" s="49"/>
      <c r="D496" s="70" t="s">
        <v>153</v>
      </c>
      <c r="E496" s="47"/>
      <c r="F496" s="41" t="s">
        <v>59</v>
      </c>
      <c r="G496" s="47"/>
      <c r="H496" s="4">
        <v>20879.34</v>
      </c>
      <c r="I496" s="52"/>
      <c r="J496" s="4">
        <f>$H496*K496/100</f>
        <v>14489.134475639999</v>
      </c>
      <c r="K496" s="9">
        <v>69.394599999999997</v>
      </c>
      <c r="L496" s="54"/>
      <c r="M496" s="4">
        <f t="shared" ref="M496:M498" si="170">J496-O496</f>
        <v>-7432.2675735819175</v>
      </c>
      <c r="N496" s="27"/>
      <c r="O496" s="4">
        <f>O$499*J496/J$499</f>
        <v>21921.402049221917</v>
      </c>
      <c r="P496" s="4">
        <f t="shared" ref="P496:P498" si="171">Q496-O496</f>
        <v>-8768.5608196887697</v>
      </c>
      <c r="Q496" s="4">
        <f>$H496*R496/100</f>
        <v>13152.841229533147</v>
      </c>
      <c r="R496" s="9">
        <f>K496*(O$499+P$499)/J$499</f>
        <v>62.994525830477151</v>
      </c>
      <c r="S496" s="5"/>
      <c r="T496" s="6">
        <f>R496/K496-1</f>
        <v>-9.22272650829149E-2</v>
      </c>
    </row>
    <row r="497" spans="2:20" x14ac:dyDescent="0.25">
      <c r="B497" s="47">
        <f>MAX(B$10:B496)+1</f>
        <v>265</v>
      </c>
      <c r="C497" s="49"/>
      <c r="D497" s="70" t="s">
        <v>154</v>
      </c>
      <c r="E497" s="47"/>
      <c r="F497" s="41" t="s">
        <v>59</v>
      </c>
      <c r="G497" s="47"/>
      <c r="H497" s="4">
        <v>20175.232</v>
      </c>
      <c r="I497" s="52"/>
      <c r="J497" s="4">
        <f>$H497*K497/100</f>
        <v>6669.4676688639993</v>
      </c>
      <c r="K497" s="9">
        <v>33.057699999999997</v>
      </c>
      <c r="L497" s="54"/>
      <c r="M497" s="4">
        <f t="shared" si="170"/>
        <v>-3421.133841478917</v>
      </c>
      <c r="N497" s="27"/>
      <c r="O497" s="4">
        <f t="shared" ref="O497:O498" si="172">O$499*J497/J$499</f>
        <v>10090.601510342916</v>
      </c>
      <c r="P497" s="4">
        <f t="shared" si="171"/>
        <v>-4036.2406041371678</v>
      </c>
      <c r="Q497" s="4">
        <f>$H497*R497/100</f>
        <v>6054.3609062057485</v>
      </c>
      <c r="R497" s="9">
        <f t="shared" ref="R497:R498" si="173">K497*(O$499+P$499)/J$499</f>
        <v>30.008878739068521</v>
      </c>
      <c r="S497" s="5"/>
      <c r="T497" s="6">
        <f t="shared" ref="T497:T498" si="174">R497/K497-1</f>
        <v>-9.22272650829149E-2</v>
      </c>
    </row>
    <row r="498" spans="2:20" x14ac:dyDescent="0.25">
      <c r="B498" s="47">
        <f>MAX(B$10:B497)+1</f>
        <v>266</v>
      </c>
      <c r="C498" s="49"/>
      <c r="D498" s="70" t="s">
        <v>155</v>
      </c>
      <c r="E498" s="47"/>
      <c r="F498" s="41" t="s">
        <v>59</v>
      </c>
      <c r="G498" s="47"/>
      <c r="H498" s="4">
        <v>5781.4719999999998</v>
      </c>
      <c r="I498" s="52"/>
      <c r="J498" s="4">
        <f>$H498*K498/100</f>
        <v>1638.2379059199998</v>
      </c>
      <c r="K498" s="9">
        <v>28.335999999999999</v>
      </c>
      <c r="L498" s="54"/>
      <c r="M498" s="4">
        <f t="shared" si="170"/>
        <v>-840.34160124972823</v>
      </c>
      <c r="N498" s="27"/>
      <c r="O498" s="4">
        <f t="shared" si="172"/>
        <v>2478.579507169728</v>
      </c>
      <c r="P498" s="4">
        <f t="shared" si="171"/>
        <v>-991.43180286789129</v>
      </c>
      <c r="Q498" s="4">
        <f>$H498*R498/100</f>
        <v>1487.1477043018367</v>
      </c>
      <c r="R498" s="9">
        <f t="shared" si="173"/>
        <v>25.722648216610523</v>
      </c>
      <c r="S498" s="5"/>
      <c r="T498" s="6">
        <f t="shared" si="174"/>
        <v>-9.22272650829149E-2</v>
      </c>
    </row>
    <row r="499" spans="2:20" x14ac:dyDescent="0.25">
      <c r="B499" s="47">
        <f>MAX(B$10:B498)+1</f>
        <v>267</v>
      </c>
      <c r="C499" s="49"/>
      <c r="D499" s="26" t="s">
        <v>58</v>
      </c>
      <c r="E499" s="47"/>
      <c r="F499" s="3"/>
      <c r="G499" s="47"/>
      <c r="H499" s="55">
        <f>SUM(H496:H498)</f>
        <v>46836.044000000002</v>
      </c>
      <c r="I499" s="52"/>
      <c r="J499" s="55">
        <f>SUM(J496:J498)</f>
        <v>22796.840050423998</v>
      </c>
      <c r="K499" s="7">
        <f>J499/$H499*100</f>
        <v>48.673709612246498</v>
      </c>
      <c r="L499" s="54"/>
      <c r="M499" s="55">
        <f>SUM(M496:M498)</f>
        <v>-11693.743016310564</v>
      </c>
      <c r="N499" s="27"/>
      <c r="O499" s="55">
        <v>34490.583066734558</v>
      </c>
      <c r="P499" s="55">
        <f>O499*-0.4</f>
        <v>-13796.233226693825</v>
      </c>
      <c r="Q499" s="55">
        <f>SUM(Q496:Q498)</f>
        <v>20694.349840040733</v>
      </c>
      <c r="R499" s="7">
        <f>Q499/$H499*100</f>
        <v>44.184666493269013</v>
      </c>
      <c r="S499" s="56">
        <f>Q499/O499</f>
        <v>0.6</v>
      </c>
      <c r="T499" s="8">
        <f>R499/K499-1</f>
        <v>-9.2227265082915011E-2</v>
      </c>
    </row>
    <row r="500" spans="2:20" x14ac:dyDescent="0.25">
      <c r="B500" s="47"/>
      <c r="C500" s="49"/>
      <c r="D500" s="26"/>
      <c r="E500" s="47"/>
      <c r="F500" s="3"/>
      <c r="G500" s="47"/>
      <c r="H500" s="4"/>
      <c r="I500" s="52"/>
      <c r="J500" s="4"/>
      <c r="K500" s="9"/>
      <c r="L500" s="54"/>
      <c r="M500" s="4"/>
      <c r="N500" s="27"/>
      <c r="O500" s="4"/>
      <c r="P500" s="4"/>
      <c r="Q500" s="4"/>
      <c r="R500" s="9"/>
      <c r="S500" s="5"/>
      <c r="T500" s="6"/>
    </row>
    <row r="501" spans="2:20" x14ac:dyDescent="0.25">
      <c r="B501" s="47"/>
      <c r="C501" s="49"/>
      <c r="D501" s="26" t="s">
        <v>34</v>
      </c>
      <c r="E501" s="47"/>
      <c r="F501" s="3"/>
      <c r="G501" s="47"/>
      <c r="H501" s="4"/>
      <c r="I501" s="52"/>
      <c r="J501" s="4"/>
      <c r="K501" s="9"/>
      <c r="L501" s="54"/>
      <c r="M501" s="4"/>
      <c r="N501" s="27"/>
      <c r="O501" s="4"/>
      <c r="P501" s="4"/>
      <c r="Q501" s="4"/>
      <c r="R501" s="9"/>
      <c r="S501" s="5"/>
      <c r="T501" s="6"/>
    </row>
    <row r="502" spans="2:20" x14ac:dyDescent="0.25">
      <c r="B502" s="47">
        <f>MAX(B$10:B501)+1</f>
        <v>268</v>
      </c>
      <c r="C502" s="49"/>
      <c r="D502" s="70" t="s">
        <v>156</v>
      </c>
      <c r="E502" s="47"/>
      <c r="F502" s="3" t="s">
        <v>36</v>
      </c>
      <c r="G502" s="47"/>
      <c r="H502" s="4">
        <v>592384.97535999969</v>
      </c>
      <c r="I502" s="52"/>
      <c r="J502" s="4">
        <f>$H502*K502/100</f>
        <v>10760.080692439034</v>
      </c>
      <c r="K502" s="9">
        <v>1.8164</v>
      </c>
      <c r="L502" s="54"/>
      <c r="M502" s="4">
        <f>J502-O502</f>
        <v>10778.957985528628</v>
      </c>
      <c r="N502" s="27"/>
      <c r="O502" s="4">
        <f>O$504*J502/J$504</f>
        <v>-18.877293089594453</v>
      </c>
      <c r="P502" s="4">
        <f t="shared" ref="P502:P503" si="175">Q502-O502</f>
        <v>5615.027679177022</v>
      </c>
      <c r="Q502" s="4">
        <f>$H502*R502/100</f>
        <v>5596.1503860874273</v>
      </c>
      <c r="R502" s="9">
        <v>0.94468135061774283</v>
      </c>
      <c r="S502" s="5"/>
      <c r="T502" s="6">
        <f t="shared" ref="T502:T504" si="176">R502/K502-1</f>
        <v>-0.47991557442317612</v>
      </c>
    </row>
    <row r="503" spans="2:20" x14ac:dyDescent="0.25">
      <c r="B503" s="47">
        <f>MAX(B$10:B502)+1</f>
        <v>269</v>
      </c>
      <c r="C503" s="49"/>
      <c r="D503" s="70" t="s">
        <v>157</v>
      </c>
      <c r="E503" s="47"/>
      <c r="F503" s="3" t="s">
        <v>36</v>
      </c>
      <c r="G503" s="47"/>
      <c r="H503" s="4">
        <v>0</v>
      </c>
      <c r="I503" s="52"/>
      <c r="J503" s="4">
        <f>$H503*K503/100</f>
        <v>0</v>
      </c>
      <c r="K503" s="9">
        <v>0.65500000000000003</v>
      </c>
      <c r="L503" s="54"/>
      <c r="M503" s="4">
        <f>J503-O503</f>
        <v>0</v>
      </c>
      <c r="N503" s="27"/>
      <c r="O503" s="4">
        <f>O$504*J503/J$504</f>
        <v>0</v>
      </c>
      <c r="P503" s="4">
        <f t="shared" si="175"/>
        <v>0</v>
      </c>
      <c r="Q503" s="4">
        <f>$H503*R503/100</f>
        <v>0</v>
      </c>
      <c r="R503" s="9">
        <v>-0.21671864938225716</v>
      </c>
      <c r="S503" s="5"/>
      <c r="T503" s="6">
        <f t="shared" si="176"/>
        <v>-1.3308681669958125</v>
      </c>
    </row>
    <row r="504" spans="2:20" x14ac:dyDescent="0.25">
      <c r="B504" s="47">
        <f>MAX(B$10:B503)+1</f>
        <v>270</v>
      </c>
      <c r="C504" s="49"/>
      <c r="D504" s="26" t="s">
        <v>34</v>
      </c>
      <c r="E504" s="47"/>
      <c r="F504" s="3"/>
      <c r="G504" s="47"/>
      <c r="H504" s="55">
        <f>SUM(H502:H503)</f>
        <v>592384.97535999969</v>
      </c>
      <c r="I504" s="52"/>
      <c r="J504" s="55">
        <f>SUM(J502:J503)</f>
        <v>10760.080692439034</v>
      </c>
      <c r="K504" s="7">
        <f>J504/$H504*100</f>
        <v>1.8164</v>
      </c>
      <c r="L504" s="54"/>
      <c r="M504" s="55">
        <f>SUM(M502:M503)</f>
        <v>10778.957985528628</v>
      </c>
      <c r="N504" s="27"/>
      <c r="O504" s="55">
        <v>-18.877293089594453</v>
      </c>
      <c r="P504" s="55">
        <f>SUM(P502:P503)</f>
        <v>5615.027679177022</v>
      </c>
      <c r="Q504" s="55">
        <f>SUM(Q502:Q503)</f>
        <v>5596.1503860874273</v>
      </c>
      <c r="R504" s="7">
        <f>Q504/$H504*100</f>
        <v>0.94468135061774261</v>
      </c>
      <c r="S504" s="5"/>
      <c r="T504" s="6">
        <f t="shared" si="176"/>
        <v>-0.47991557442317623</v>
      </c>
    </row>
    <row r="505" spans="2:20" x14ac:dyDescent="0.25">
      <c r="B505" s="47"/>
      <c r="C505" s="49"/>
      <c r="D505" s="26"/>
      <c r="E505" s="47"/>
      <c r="F505" s="3"/>
      <c r="G505" s="47"/>
      <c r="H505" s="4"/>
      <c r="I505" s="52"/>
      <c r="J505" s="4"/>
      <c r="K505" s="9"/>
      <c r="L505" s="54"/>
      <c r="M505" s="4"/>
      <c r="N505" s="27"/>
      <c r="O505" s="4"/>
      <c r="P505" s="4"/>
      <c r="Q505" s="4"/>
      <c r="R505" s="9"/>
      <c r="S505" s="5"/>
      <c r="T505" s="6"/>
    </row>
    <row r="506" spans="2:20" x14ac:dyDescent="0.25">
      <c r="B506" s="47">
        <f>MAX(B$10:B505)+1</f>
        <v>271</v>
      </c>
      <c r="C506" s="49"/>
      <c r="D506" s="70" t="s">
        <v>158</v>
      </c>
      <c r="E506" s="47"/>
      <c r="F506" s="3" t="s">
        <v>36</v>
      </c>
      <c r="G506" s="47"/>
      <c r="H506" s="4">
        <v>57602.159589999996</v>
      </c>
      <c r="I506" s="52"/>
      <c r="J506" s="4">
        <f>$H506*K506/100</f>
        <v>1166.3861295379099</v>
      </c>
      <c r="K506" s="9">
        <v>2.0249000000000001</v>
      </c>
      <c r="L506" s="54"/>
      <c r="M506" s="4">
        <f t="shared" ref="M506:M507" si="177">J506-O506</f>
        <v>1166.3861295379099</v>
      </c>
      <c r="N506" s="27"/>
      <c r="O506" s="4">
        <v>0</v>
      </c>
      <c r="P506" s="4">
        <f t="shared" ref="P506:P507" si="178">Q506-O506</f>
        <v>612.02878042905058</v>
      </c>
      <c r="Q506" s="4">
        <f>$H506*R506/100</f>
        <v>612.02878042905058</v>
      </c>
      <c r="R506" s="9">
        <v>1.0625101294558088</v>
      </c>
      <c r="S506" s="5"/>
      <c r="T506" s="6">
        <f t="shared" ref="T506:T507" si="179">R506/K506-1</f>
        <v>-0.47527772756392472</v>
      </c>
    </row>
    <row r="507" spans="2:20" x14ac:dyDescent="0.25">
      <c r="B507" s="47">
        <f>MAX(B$10:B506)+1</f>
        <v>272</v>
      </c>
      <c r="C507" s="49"/>
      <c r="D507" s="70" t="s">
        <v>159</v>
      </c>
      <c r="E507" s="47"/>
      <c r="F507" s="3" t="s">
        <v>36</v>
      </c>
      <c r="G507" s="47"/>
      <c r="H507" s="4">
        <v>1276.4049299999999</v>
      </c>
      <c r="I507" s="52"/>
      <c r="J507" s="4">
        <f>$H507*K507/100</f>
        <v>92.49723606230998</v>
      </c>
      <c r="K507" s="9">
        <v>7.2466999999999997</v>
      </c>
      <c r="L507" s="54"/>
      <c r="M507" s="4">
        <f t="shared" si="177"/>
        <v>92.49723606230998</v>
      </c>
      <c r="N507" s="27"/>
      <c r="O507" s="4">
        <v>0</v>
      </c>
      <c r="P507" s="4">
        <f t="shared" si="178"/>
        <v>152.11629944487487</v>
      </c>
      <c r="Q507" s="4">
        <f>$H507*R507/100</f>
        <v>152.11629944487487</v>
      </c>
      <c r="R507" s="9">
        <v>11.917558125137834</v>
      </c>
      <c r="S507" s="5"/>
      <c r="T507" s="6">
        <f t="shared" si="179"/>
        <v>0.64454967435354504</v>
      </c>
    </row>
    <row r="508" spans="2:20" x14ac:dyDescent="0.25">
      <c r="B508" s="47"/>
      <c r="C508" s="49"/>
      <c r="D508" s="26"/>
      <c r="E508" s="47"/>
      <c r="F508" s="3"/>
      <c r="G508" s="47"/>
      <c r="H508" s="4"/>
      <c r="I508" s="52"/>
      <c r="J508" s="4"/>
      <c r="K508" s="9"/>
      <c r="L508" s="54"/>
      <c r="M508" s="4"/>
      <c r="N508" s="27"/>
      <c r="O508" s="4"/>
      <c r="P508" s="4"/>
      <c r="Q508" s="4"/>
      <c r="R508" s="9"/>
      <c r="S508" s="5"/>
      <c r="T508" s="6"/>
    </row>
    <row r="509" spans="2:20" x14ac:dyDescent="0.25">
      <c r="B509" s="47">
        <f>MAX(B$10:B508)+1</f>
        <v>273</v>
      </c>
      <c r="C509" s="49"/>
      <c r="D509" s="26" t="s">
        <v>160</v>
      </c>
      <c r="E509" s="47"/>
      <c r="F509" s="3"/>
      <c r="G509" s="47"/>
      <c r="H509" s="55">
        <f>H504</f>
        <v>592384.97535999969</v>
      </c>
      <c r="I509" s="52"/>
      <c r="J509" s="55">
        <f>SUM(J499,J504,J506:J507)</f>
        <v>34815.80410846325</v>
      </c>
      <c r="K509" s="7">
        <f>J509/$H509*100</f>
        <v>5.8772260534300775</v>
      </c>
      <c r="L509" s="54"/>
      <c r="M509" s="55">
        <f>SUM(M499,M504,M506:M507)</f>
        <v>344.09833481828457</v>
      </c>
      <c r="N509" s="27"/>
      <c r="O509" s="55">
        <f>SUM(O499,O504,O506:O507)</f>
        <v>34471.705773644964</v>
      </c>
      <c r="P509" s="55">
        <f>SUM(P499,P504,P506:P507)</f>
        <v>-7417.0604676428775</v>
      </c>
      <c r="Q509" s="55">
        <f>SUM(Q499,Q504,Q506:Q507)</f>
        <v>27054.645306002087</v>
      </c>
      <c r="R509" s="7">
        <f>Q509/$H509*100</f>
        <v>4.5670714875171576</v>
      </c>
      <c r="S509" s="56">
        <f>Q509/O509</f>
        <v>0.78483627945926815</v>
      </c>
      <c r="T509" s="8">
        <f>R509/K509-1</f>
        <v>-0.22292056728842091</v>
      </c>
    </row>
    <row r="510" spans="2:20" x14ac:dyDescent="0.25">
      <c r="E510" s="47"/>
      <c r="F510" s="3"/>
      <c r="G510" s="47"/>
      <c r="H510" s="4"/>
      <c r="I510" s="52"/>
      <c r="J510" s="4"/>
      <c r="K510" s="9"/>
      <c r="L510" s="54"/>
      <c r="M510" s="4"/>
      <c r="N510" s="27"/>
      <c r="O510" s="4"/>
      <c r="P510" s="4"/>
      <c r="Q510" s="4"/>
      <c r="R510" s="9"/>
      <c r="S510" s="5"/>
      <c r="T510" s="6"/>
    </row>
    <row r="511" spans="2:20" x14ac:dyDescent="0.25">
      <c r="D511" s="26" t="s">
        <v>161</v>
      </c>
      <c r="E511" s="47"/>
      <c r="F511" s="3"/>
      <c r="G511" s="47"/>
      <c r="H511" s="4"/>
      <c r="I511" s="52"/>
      <c r="J511" s="4"/>
      <c r="K511" s="9"/>
      <c r="L511" s="54"/>
      <c r="M511" s="4"/>
      <c r="N511" s="27"/>
      <c r="O511" s="4"/>
      <c r="P511" s="4"/>
      <c r="Q511" s="4"/>
      <c r="R511" s="9"/>
      <c r="S511" s="5"/>
      <c r="T511" s="6"/>
    </row>
    <row r="512" spans="2:20" x14ac:dyDescent="0.25">
      <c r="B512" s="47">
        <f>MAX(B$10:B511)+1</f>
        <v>274</v>
      </c>
      <c r="D512" s="29" t="s">
        <v>32</v>
      </c>
      <c r="E512" s="47"/>
      <c r="F512" s="3" t="s">
        <v>33</v>
      </c>
      <c r="G512" s="47"/>
      <c r="H512" s="4">
        <v>36.000000000000014</v>
      </c>
      <c r="I512" s="52"/>
      <c r="J512" s="4">
        <f>$H512*K512/1000</f>
        <v>27.211680000000012</v>
      </c>
      <c r="K512" s="53">
        <v>755.88</v>
      </c>
      <c r="L512" s="54"/>
      <c r="M512" s="4">
        <f t="shared" ref="M512:M514" si="180">J512-O512</f>
        <v>27.211680000000012</v>
      </c>
      <c r="N512" s="27"/>
      <c r="O512" s="4">
        <v>0</v>
      </c>
      <c r="P512" s="4">
        <f t="shared" ref="P512:P514" si="181">Q512-O512</f>
        <v>18.000000000000007</v>
      </c>
      <c r="Q512" s="4">
        <f>$H512*R512/1000</f>
        <v>18.000000000000007</v>
      </c>
      <c r="R512" s="53">
        <v>500</v>
      </c>
      <c r="S512" s="5"/>
      <c r="T512" s="6">
        <f t="shared" ref="T512:T514" si="182">R512/K512-1</f>
        <v>-0.33851934169444886</v>
      </c>
    </row>
    <row r="513" spans="2:21" x14ac:dyDescent="0.25">
      <c r="B513" s="47">
        <f>MAX(B$10:B512)+1</f>
        <v>275</v>
      </c>
      <c r="D513" s="29" t="s">
        <v>135</v>
      </c>
      <c r="E513" s="47"/>
      <c r="F513" s="3" t="s">
        <v>36</v>
      </c>
      <c r="G513" s="47"/>
      <c r="H513" s="4">
        <v>238.00964000000002</v>
      </c>
      <c r="I513" s="52"/>
      <c r="J513" s="4">
        <f>$H513*K513/100</f>
        <v>8.1999081172799997</v>
      </c>
      <c r="K513" s="9">
        <v>3.4451999999999998</v>
      </c>
      <c r="L513" s="54"/>
      <c r="M513" s="4">
        <f t="shared" si="180"/>
        <v>0.68364515644408819</v>
      </c>
      <c r="N513" s="27"/>
      <c r="O513" s="4">
        <v>7.5162629608359115</v>
      </c>
      <c r="P513" s="4">
        <f t="shared" si="181"/>
        <v>-3.1384632088114683</v>
      </c>
      <c r="Q513" s="4">
        <f>$H513*R513/100</f>
        <v>4.3777997520244432</v>
      </c>
      <c r="R513" s="9">
        <v>1.8393371596311994</v>
      </c>
      <c r="S513" s="5">
        <f t="shared" ref="S513:S514" si="183">Q513/O513</f>
        <v>0.5824436657997889</v>
      </c>
      <c r="T513" s="6">
        <f t="shared" si="182"/>
        <v>-0.46611599917821911</v>
      </c>
    </row>
    <row r="514" spans="2:21" x14ac:dyDescent="0.25">
      <c r="B514" s="47">
        <f>MAX(B$10:B513)+1</f>
        <v>276</v>
      </c>
      <c r="D514" s="29" t="s">
        <v>162</v>
      </c>
      <c r="E514" s="47"/>
      <c r="F514" s="3" t="s">
        <v>36</v>
      </c>
      <c r="G514" s="47"/>
      <c r="H514" s="4">
        <v>2278.64</v>
      </c>
      <c r="I514" s="52"/>
      <c r="J514" s="4">
        <f>$H514*K514/100</f>
        <v>83.254669679999992</v>
      </c>
      <c r="K514" s="9">
        <v>3.6536999999999997</v>
      </c>
      <c r="L514" s="54"/>
      <c r="M514" s="4">
        <f t="shared" si="180"/>
        <v>20.990048780071433</v>
      </c>
      <c r="N514" s="27"/>
      <c r="O514" s="4">
        <v>62.264620899928559</v>
      </c>
      <c r="P514" s="4">
        <f t="shared" si="181"/>
        <v>-14.470665206250125</v>
      </c>
      <c r="Q514" s="4">
        <f>$H514*R514/100</f>
        <v>47.793955693678434</v>
      </c>
      <c r="R514" s="9">
        <v>2.0974772536986288</v>
      </c>
      <c r="S514" s="5">
        <f t="shared" si="183"/>
        <v>0.76759410083766</v>
      </c>
      <c r="T514" s="6">
        <f t="shared" si="182"/>
        <v>-0.42593063094982375</v>
      </c>
    </row>
    <row r="515" spans="2:21" x14ac:dyDescent="0.25">
      <c r="B515" s="47"/>
      <c r="C515" s="49"/>
      <c r="D515" s="26"/>
      <c r="E515" s="47"/>
      <c r="F515" s="3"/>
      <c r="G515" s="47"/>
      <c r="H515" s="4"/>
      <c r="I515" s="52"/>
      <c r="J515" s="4"/>
      <c r="K515" s="9"/>
      <c r="L515" s="54"/>
      <c r="M515" s="4"/>
      <c r="N515" s="27"/>
      <c r="O515" s="4"/>
      <c r="P515" s="4"/>
      <c r="Q515" s="4"/>
      <c r="R515" s="9"/>
      <c r="S515" s="5"/>
      <c r="T515" s="6"/>
    </row>
    <row r="516" spans="2:21" x14ac:dyDescent="0.25">
      <c r="B516" s="47">
        <f>MAX(B$10:B515)+1</f>
        <v>277</v>
      </c>
      <c r="C516" s="49"/>
      <c r="D516" s="26" t="s">
        <v>163</v>
      </c>
      <c r="E516" s="47"/>
      <c r="F516" s="3"/>
      <c r="G516" s="47"/>
      <c r="H516" s="55">
        <f>H513</f>
        <v>238.00964000000002</v>
      </c>
      <c r="I516" s="52"/>
      <c r="J516" s="55">
        <f>SUM(J512:J514)</f>
        <v>118.66625779728</v>
      </c>
      <c r="K516" s="7">
        <f>J516/$H516*100</f>
        <v>49.857752735258956</v>
      </c>
      <c r="L516" s="54"/>
      <c r="M516" s="55">
        <f>SUM(M512:M514)</f>
        <v>48.885373936515535</v>
      </c>
      <c r="N516" s="27"/>
      <c r="O516" s="55">
        <f>SUM(O512:O514)</f>
        <v>69.780883860764476</v>
      </c>
      <c r="P516" s="55">
        <f>SUM(P512:P514)</f>
        <v>0.39087158493841301</v>
      </c>
      <c r="Q516" s="55">
        <f>SUM(Q512:Q514)</f>
        <v>70.171755445702885</v>
      </c>
      <c r="R516" s="7">
        <f>Q516/$H516*100</f>
        <v>29.482736684826243</v>
      </c>
      <c r="S516" s="56">
        <f>Q516/O516</f>
        <v>1.005601413500556</v>
      </c>
      <c r="T516" s="8">
        <f>R516/K516-1</f>
        <v>-0.40866294473043274</v>
      </c>
    </row>
    <row r="517" spans="2:21" x14ac:dyDescent="0.25">
      <c r="E517" s="47"/>
      <c r="F517" s="3"/>
      <c r="G517" s="47"/>
      <c r="H517" s="4"/>
      <c r="I517" s="52"/>
      <c r="J517" s="4"/>
      <c r="K517" s="9"/>
      <c r="L517" s="54"/>
      <c r="M517" s="4"/>
      <c r="N517" s="27"/>
      <c r="O517" s="4"/>
      <c r="P517" s="4"/>
      <c r="Q517" s="4"/>
      <c r="R517" s="9"/>
      <c r="S517" s="5"/>
      <c r="T517" s="6"/>
    </row>
    <row r="518" spans="2:21" ht="13" x14ac:dyDescent="0.3">
      <c r="B518" s="47"/>
      <c r="C518" s="49"/>
      <c r="D518" s="26" t="s">
        <v>46</v>
      </c>
      <c r="E518" s="47"/>
      <c r="F518" s="58"/>
      <c r="G518" s="47"/>
      <c r="H518" s="4"/>
      <c r="I518" s="52"/>
      <c r="J518" s="4"/>
      <c r="K518" s="9"/>
      <c r="L518" s="54"/>
      <c r="M518" s="4"/>
      <c r="N518" s="27"/>
      <c r="O518" s="4"/>
      <c r="P518" s="4"/>
      <c r="Q518" s="4"/>
      <c r="R518" s="32"/>
      <c r="S518" s="5"/>
      <c r="T518" s="33"/>
    </row>
    <row r="519" spans="2:21" x14ac:dyDescent="0.25">
      <c r="B519" s="47">
        <f>MAX(B$10:B518)+1</f>
        <v>278</v>
      </c>
      <c r="C519" s="49"/>
      <c r="D519" s="29" t="s">
        <v>42</v>
      </c>
      <c r="E519" s="47"/>
      <c r="F519" s="58" t="s">
        <v>36</v>
      </c>
      <c r="G519" s="47"/>
      <c r="H519" s="4">
        <v>59361.556339999981</v>
      </c>
      <c r="I519" s="52"/>
      <c r="J519" s="4">
        <f>$H519*K519/100</f>
        <v>0</v>
      </c>
      <c r="K519" s="9">
        <v>0</v>
      </c>
      <c r="L519" s="54"/>
      <c r="M519" s="4">
        <f t="shared" ref="M519:M520" si="184">J519-O519</f>
        <v>38.303771912582569</v>
      </c>
      <c r="N519" s="27"/>
      <c r="O519" s="4">
        <f>Q519</f>
        <v>-38.303771912582569</v>
      </c>
      <c r="P519" s="4">
        <f t="shared" ref="P519:P520" si="185">Q519-O519</f>
        <v>0</v>
      </c>
      <c r="Q519" s="4">
        <f>$H519*R519/100</f>
        <v>-38.303771912582569</v>
      </c>
      <c r="R519" s="9">
        <v>-6.4526225850942004E-2</v>
      </c>
      <c r="S519" s="5"/>
      <c r="T519" s="6"/>
    </row>
    <row r="520" spans="2:21" x14ac:dyDescent="0.25">
      <c r="B520" s="47">
        <f>MAX(B$10:B519)+1</f>
        <v>279</v>
      </c>
      <c r="C520" s="49"/>
      <c r="D520" s="29" t="s">
        <v>43</v>
      </c>
      <c r="E520" s="47"/>
      <c r="F520" s="58" t="s">
        <v>36</v>
      </c>
      <c r="G520" s="47"/>
      <c r="H520" s="4">
        <f>H504+H513+H507-H519</f>
        <v>534537.83358999959</v>
      </c>
      <c r="I520" s="52"/>
      <c r="J520" s="4">
        <f>$H520*K520/100</f>
        <v>0</v>
      </c>
      <c r="K520" s="9">
        <v>0</v>
      </c>
      <c r="L520" s="54"/>
      <c r="M520" s="4">
        <f t="shared" si="184"/>
        <v>344.91708976101569</v>
      </c>
      <c r="N520" s="54"/>
      <c r="O520" s="4">
        <f>Q520</f>
        <v>-344.91708976101569</v>
      </c>
      <c r="P520" s="4">
        <f t="shared" si="185"/>
        <v>0</v>
      </c>
      <c r="Q520" s="4">
        <f>$H520*R520/100</f>
        <v>-344.91708976101569</v>
      </c>
      <c r="R520" s="9">
        <v>-6.4526225850942004E-2</v>
      </c>
      <c r="S520" s="5"/>
      <c r="T520" s="6"/>
      <c r="U520" s="47"/>
    </row>
    <row r="521" spans="2:21" x14ac:dyDescent="0.25">
      <c r="B521" s="21"/>
      <c r="C521" s="49"/>
      <c r="D521" s="26" t="s">
        <v>46</v>
      </c>
      <c r="E521" s="47"/>
      <c r="F521" s="3"/>
      <c r="G521" s="47"/>
      <c r="H521" s="55">
        <f>SUM(H519:H520)</f>
        <v>593899.3899299996</v>
      </c>
      <c r="I521" s="52"/>
      <c r="J521" s="55">
        <f>SUM(J519:J520)</f>
        <v>0</v>
      </c>
      <c r="K521" s="7">
        <f>J521/$H521*100</f>
        <v>0</v>
      </c>
      <c r="L521" s="54"/>
      <c r="M521" s="55">
        <f>SUM(M519:M520)</f>
        <v>383.22086167359828</v>
      </c>
      <c r="N521" s="27"/>
      <c r="O521" s="55">
        <f>SUM(O519:O520)</f>
        <v>-383.22086167359828</v>
      </c>
      <c r="P521" s="55">
        <f>SUM(P519:P520)</f>
        <v>0</v>
      </c>
      <c r="Q521" s="55">
        <f>SUM(Q519:Q520)</f>
        <v>-383.22086167359828</v>
      </c>
      <c r="R521" s="7">
        <f>Q521/$H521*100</f>
        <v>-6.4526225850942004E-2</v>
      </c>
      <c r="S521" s="56">
        <f>Q521/O521</f>
        <v>1</v>
      </c>
      <c r="T521" s="8"/>
    </row>
    <row r="522" spans="2:21" x14ac:dyDescent="0.25"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31"/>
    </row>
    <row r="523" spans="2:21" x14ac:dyDescent="0.25">
      <c r="B523" s="47">
        <f>MAX(B$10:B522)+1</f>
        <v>280</v>
      </c>
      <c r="C523" s="49"/>
      <c r="D523" s="26" t="s">
        <v>164</v>
      </c>
      <c r="E523" s="47"/>
      <c r="F523" s="3" t="s">
        <v>36</v>
      </c>
      <c r="G523" s="47"/>
      <c r="H523" s="4">
        <v>16020.952840000002</v>
      </c>
      <c r="I523" s="52"/>
      <c r="J523" s="4">
        <f>$H523*K523/100</f>
        <v>33.403686671400003</v>
      </c>
      <c r="K523" s="9">
        <v>0.20849999999999999</v>
      </c>
      <c r="L523" s="54"/>
      <c r="M523" s="4">
        <f t="shared" ref="M523:M524" si="186">J523-O523</f>
        <v>14.52639358180555</v>
      </c>
      <c r="N523" s="27"/>
      <c r="O523" s="4">
        <f t="shared" ref="O523:O524" si="187">Q523</f>
        <v>18.877293089594453</v>
      </c>
      <c r="P523" s="4">
        <f t="shared" ref="P523:P524" si="188">Q523-O523</f>
        <v>0</v>
      </c>
      <c r="Q523" s="4">
        <f>$H523*R523/100</f>
        <v>18.877293089594453</v>
      </c>
      <c r="R523" s="9">
        <v>0.11782877883806597</v>
      </c>
      <c r="S523" s="5">
        <f>Q523/O523</f>
        <v>1</v>
      </c>
      <c r="T523" s="6">
        <f>R523/K523-1</f>
        <v>-0.43487396240735743</v>
      </c>
    </row>
    <row r="524" spans="2:21" x14ac:dyDescent="0.25">
      <c r="B524" s="47">
        <f>MAX(B$10:B523)+1</f>
        <v>281</v>
      </c>
      <c r="C524" s="49"/>
      <c r="D524" s="26" t="s">
        <v>47</v>
      </c>
      <c r="E524" s="47"/>
      <c r="F524" s="3" t="s">
        <v>36</v>
      </c>
      <c r="G524" s="47"/>
      <c r="H524" s="4">
        <f>H519</f>
        <v>59361.556339999981</v>
      </c>
      <c r="I524" s="52"/>
      <c r="J524" s="4">
        <f>$H524*K524/100</f>
        <v>-43.868190135259987</v>
      </c>
      <c r="K524" s="9">
        <v>-7.3899999999999993E-2</v>
      </c>
      <c r="L524" s="54"/>
      <c r="M524" s="4">
        <f t="shared" si="186"/>
        <v>-135.45359121363254</v>
      </c>
      <c r="N524" s="27"/>
      <c r="O524" s="4">
        <f t="shared" si="187"/>
        <v>91.585401078372541</v>
      </c>
      <c r="P524" s="4">
        <f t="shared" si="188"/>
        <v>0</v>
      </c>
      <c r="Q524" s="4">
        <f>$H524*R524/100</f>
        <v>91.585401078372541</v>
      </c>
      <c r="R524" s="9">
        <v>0.15428402947154363</v>
      </c>
      <c r="S524" s="5">
        <f>Q524/O524</f>
        <v>1</v>
      </c>
      <c r="T524" s="6">
        <f>R524/K524-1</f>
        <v>-3.0877405882482223</v>
      </c>
    </row>
    <row r="525" spans="2:21" x14ac:dyDescent="0.25">
      <c r="B525" s="47"/>
      <c r="C525" s="49"/>
      <c r="D525" s="26"/>
      <c r="E525" s="47"/>
      <c r="F525" s="3"/>
      <c r="G525" s="47"/>
      <c r="H525" s="4"/>
      <c r="I525" s="52"/>
      <c r="J525" s="4"/>
      <c r="K525" s="9"/>
      <c r="L525" s="54"/>
      <c r="M525" s="4"/>
      <c r="N525" s="27"/>
      <c r="O525" s="4"/>
      <c r="P525" s="4"/>
      <c r="Q525" s="4"/>
      <c r="R525" s="9"/>
      <c r="S525" s="5"/>
      <c r="T525" s="6"/>
    </row>
    <row r="526" spans="2:21" ht="13" thickBot="1" x14ac:dyDescent="0.3">
      <c r="B526" s="47">
        <f>MAX(B$10:B525)+1</f>
        <v>282</v>
      </c>
      <c r="C526" s="49"/>
      <c r="D526" s="26" t="s">
        <v>165</v>
      </c>
      <c r="E526" s="47"/>
      <c r="F526" s="3"/>
      <c r="G526" s="47"/>
      <c r="H526" s="59">
        <f>H504+H516</f>
        <v>592622.98499999964</v>
      </c>
      <c r="I526" s="52"/>
      <c r="J526" s="59">
        <f>SUM(J509,J516,J521,J523:J524)</f>
        <v>34924.005862796672</v>
      </c>
      <c r="K526" s="11">
        <f>J526/$H526*100</f>
        <v>5.8931237476043377</v>
      </c>
      <c r="L526" s="54"/>
      <c r="M526" s="59">
        <f>SUM(M509,M516,M521,M523:M524)</f>
        <v>655.2773727965714</v>
      </c>
      <c r="N526" s="27"/>
      <c r="O526" s="59">
        <f>SUM(O509,O516,O521,O523:O524)</f>
        <v>34268.728490000103</v>
      </c>
      <c r="P526" s="59">
        <f>SUM(P509,P516,P521,P523:P524)</f>
        <v>-7416.6695960579391</v>
      </c>
      <c r="Q526" s="59">
        <f>SUM(Q509,Q516,Q521,Q523:Q524)</f>
        <v>26852.058893942158</v>
      </c>
      <c r="R526" s="11">
        <f>Q526/$H526*100</f>
        <v>4.5310525534108628</v>
      </c>
      <c r="S526" s="60">
        <f>Q526/O526</f>
        <v>0.78357324818100005</v>
      </c>
      <c r="T526" s="12">
        <f>R526/K526-1</f>
        <v>-0.23112889742849563</v>
      </c>
    </row>
    <row r="527" spans="2:21" ht="13.5" thickTop="1" x14ac:dyDescent="0.3">
      <c r="B527" s="47"/>
      <c r="C527" s="49"/>
      <c r="E527" s="47"/>
      <c r="F527" s="58"/>
      <c r="G527" s="47"/>
      <c r="H527" s="54"/>
      <c r="I527" s="52"/>
      <c r="J527" s="54"/>
      <c r="K527" s="32"/>
      <c r="L527" s="54"/>
      <c r="M527" s="54"/>
      <c r="N527" s="27"/>
      <c r="O527" s="54"/>
      <c r="P527" s="54"/>
      <c r="Q527" s="54"/>
      <c r="R527" s="32"/>
      <c r="S527" s="57"/>
      <c r="T527" s="35"/>
    </row>
    <row r="528" spans="2:21" x14ac:dyDescent="0.25">
      <c r="B528" s="19" t="str">
        <f>$B$2 &amp;" (continued)"</f>
        <v>Derivation of Proposed Rates and Revenue by Rate Class - Delivery (continued)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20"/>
    </row>
    <row r="529" spans="2:21" x14ac:dyDescent="0.25">
      <c r="B529" s="43"/>
      <c r="C529" s="43"/>
      <c r="D529" s="43"/>
      <c r="E529" s="43"/>
      <c r="F529" s="44"/>
      <c r="G529" s="43"/>
      <c r="H529" s="44"/>
      <c r="I529" s="43"/>
      <c r="J529" s="44"/>
      <c r="K529" s="44"/>
      <c r="L529" s="44"/>
      <c r="M529" s="44"/>
      <c r="N529" s="43"/>
      <c r="O529" s="43"/>
      <c r="P529" s="43"/>
      <c r="Q529" s="43"/>
      <c r="R529" s="43"/>
      <c r="S529" s="22"/>
      <c r="T529" s="22"/>
    </row>
    <row r="530" spans="2:21" x14ac:dyDescent="0.25">
      <c r="B530" s="44"/>
      <c r="C530" s="44"/>
      <c r="D530" s="44"/>
      <c r="E530" s="44"/>
      <c r="F530" s="43"/>
      <c r="G530" s="44"/>
      <c r="H530" s="43"/>
      <c r="I530" s="44"/>
      <c r="J530" s="45" t="s">
        <v>1</v>
      </c>
      <c r="K530" s="45"/>
      <c r="L530" s="44"/>
      <c r="M530" s="44"/>
      <c r="N530" s="44"/>
      <c r="O530" s="45" t="s">
        <v>2</v>
      </c>
      <c r="P530" s="45"/>
      <c r="Q530" s="45"/>
      <c r="R530" s="45"/>
      <c r="S530" s="23"/>
      <c r="T530" s="23"/>
    </row>
    <row r="531" spans="2:21" s="24" customFormat="1" ht="39" customHeight="1" x14ac:dyDescent="0.25">
      <c r="B531" s="46" t="s">
        <v>3</v>
      </c>
      <c r="C531" s="46"/>
      <c r="D531" s="46"/>
      <c r="E531" s="46"/>
      <c r="F531" s="47" t="s">
        <v>4</v>
      </c>
      <c r="G531" s="46"/>
      <c r="H531" s="24" t="s">
        <v>5</v>
      </c>
      <c r="I531" s="46"/>
      <c r="J531" s="24" t="s">
        <v>6</v>
      </c>
      <c r="K531" s="24" t="s">
        <v>7</v>
      </c>
      <c r="L531" s="46"/>
      <c r="M531" s="24" t="s">
        <v>8</v>
      </c>
      <c r="N531" s="46"/>
      <c r="O531" s="46" t="s">
        <v>9</v>
      </c>
      <c r="P531" s="24" t="s">
        <v>8</v>
      </c>
      <c r="Q531" s="24" t="s">
        <v>6</v>
      </c>
      <c r="R531" s="24" t="s">
        <v>7</v>
      </c>
      <c r="S531" s="46" t="s">
        <v>10</v>
      </c>
      <c r="T531" s="46" t="s">
        <v>11</v>
      </c>
      <c r="U531" s="46"/>
    </row>
    <row r="532" spans="2:21" ht="14.5" x14ac:dyDescent="0.25">
      <c r="B532" s="48" t="s">
        <v>12</v>
      </c>
      <c r="C532" s="49"/>
      <c r="D532" s="50" t="s">
        <v>13</v>
      </c>
      <c r="E532" s="47"/>
      <c r="F532" s="48" t="s">
        <v>14</v>
      </c>
      <c r="G532" s="47"/>
      <c r="H532" s="48" t="s">
        <v>15</v>
      </c>
      <c r="I532" s="47"/>
      <c r="J532" s="48" t="s">
        <v>16</v>
      </c>
      <c r="K532" s="48" t="s">
        <v>17</v>
      </c>
      <c r="L532" s="47"/>
      <c r="M532" s="48" t="s">
        <v>16</v>
      </c>
      <c r="N532" s="47"/>
      <c r="O532" s="48" t="s">
        <v>16</v>
      </c>
      <c r="P532" s="48" t="s">
        <v>16</v>
      </c>
      <c r="Q532" s="48" t="s">
        <v>16</v>
      </c>
      <c r="R532" s="48" t="s">
        <v>17</v>
      </c>
      <c r="S532" s="48" t="s">
        <v>18</v>
      </c>
      <c r="T532" s="48" t="s">
        <v>19</v>
      </c>
      <c r="U532" s="47"/>
    </row>
    <row r="533" spans="2:21" x14ac:dyDescent="0.25">
      <c r="B533" s="47"/>
      <c r="C533" s="49"/>
      <c r="D533" s="49"/>
      <c r="E533" s="47"/>
      <c r="F533" s="47"/>
      <c r="G533" s="47"/>
      <c r="H533" s="47" t="s">
        <v>20</v>
      </c>
      <c r="I533" s="47"/>
      <c r="J533" s="47" t="s">
        <v>21</v>
      </c>
      <c r="K533" s="47" t="s">
        <v>22</v>
      </c>
      <c r="L533" s="47"/>
      <c r="M533" s="47" t="s">
        <v>23</v>
      </c>
      <c r="N533" s="47"/>
      <c r="O533" s="47" t="s">
        <v>24</v>
      </c>
      <c r="P533" s="47" t="s">
        <v>25</v>
      </c>
      <c r="Q533" s="51" t="s">
        <v>26</v>
      </c>
      <c r="R533" s="51" t="s">
        <v>27</v>
      </c>
      <c r="S533" s="51" t="s">
        <v>28</v>
      </c>
      <c r="T533" s="51" t="s">
        <v>29</v>
      </c>
      <c r="U533" s="47"/>
    </row>
    <row r="534" spans="2:21" ht="13" x14ac:dyDescent="0.3">
      <c r="B534" s="47"/>
      <c r="C534" s="49"/>
      <c r="E534" s="47"/>
      <c r="F534" s="58"/>
      <c r="G534" s="47"/>
      <c r="H534" s="54"/>
      <c r="I534" s="52"/>
      <c r="J534" s="54"/>
      <c r="K534" s="32"/>
      <c r="L534" s="54"/>
      <c r="M534" s="54"/>
      <c r="N534" s="27"/>
      <c r="O534" s="54"/>
      <c r="P534" s="54"/>
      <c r="Q534" s="54"/>
      <c r="R534" s="32"/>
      <c r="S534" s="57"/>
      <c r="T534" s="32"/>
    </row>
    <row r="535" spans="2:21" ht="13" x14ac:dyDescent="0.3">
      <c r="B535" s="47"/>
      <c r="C535" s="49"/>
      <c r="D535" s="20" t="s">
        <v>166</v>
      </c>
      <c r="E535" s="47"/>
      <c r="F535" s="25"/>
      <c r="G535" s="47"/>
      <c r="H535" s="34"/>
      <c r="I535" s="52"/>
      <c r="J535" s="34"/>
      <c r="K535" s="52"/>
      <c r="L535" s="52"/>
      <c r="M535" s="13"/>
      <c r="N535" s="52"/>
      <c r="O535" s="14"/>
      <c r="P535" s="52"/>
      <c r="Q535" s="52"/>
      <c r="R535" s="52"/>
      <c r="S535" s="52"/>
      <c r="T535" s="52"/>
      <c r="U535" s="47"/>
    </row>
    <row r="536" spans="2:21" x14ac:dyDescent="0.25">
      <c r="B536" s="47">
        <f>MAX(B$10:B535)+1</f>
        <v>283</v>
      </c>
      <c r="D536" s="26" t="s">
        <v>32</v>
      </c>
      <c r="E536" s="47"/>
      <c r="F536" s="3" t="s">
        <v>33</v>
      </c>
      <c r="G536" s="47"/>
      <c r="H536" s="4">
        <v>456.0000000000021</v>
      </c>
      <c r="I536" s="52"/>
      <c r="J536" s="4">
        <f>$H536*K536/1000</f>
        <v>344.68128000000161</v>
      </c>
      <c r="K536" s="53">
        <v>755.88</v>
      </c>
      <c r="L536" s="54"/>
      <c r="M536" s="4">
        <f t="shared" ref="M536:M540" si="189">J536-O536</f>
        <v>-649.35745012938287</v>
      </c>
      <c r="N536" s="27"/>
      <c r="O536" s="4">
        <v>994.03873012938448</v>
      </c>
      <c r="P536" s="4">
        <f t="shared" ref="P536:P540" si="190">Q536-O536</f>
        <v>-766.03873012938345</v>
      </c>
      <c r="Q536" s="4">
        <f>$H536*R536/1000</f>
        <v>228.00000000000105</v>
      </c>
      <c r="R536" s="53">
        <v>500</v>
      </c>
      <c r="S536" s="5">
        <f t="shared" ref="S536:S538" si="191">Q536/O536</f>
        <v>0.22936732049698352</v>
      </c>
      <c r="T536" s="6">
        <f t="shared" ref="T536:T540" si="192">R536/K536-1</f>
        <v>-0.33851934169444886</v>
      </c>
    </row>
    <row r="537" spans="2:21" x14ac:dyDescent="0.25">
      <c r="B537" s="47">
        <f>MAX(B$10:B536)+1</f>
        <v>284</v>
      </c>
      <c r="C537" s="49"/>
      <c r="D537" s="26" t="s">
        <v>135</v>
      </c>
      <c r="E537" s="47"/>
      <c r="F537" s="3" t="s">
        <v>36</v>
      </c>
      <c r="G537" s="47"/>
      <c r="H537" s="4">
        <v>55087.023449999993</v>
      </c>
      <c r="I537" s="52"/>
      <c r="J537" s="4">
        <f>$H537*K537/100</f>
        <v>1820.2308503197396</v>
      </c>
      <c r="K537" s="9">
        <v>3.3042824540554112</v>
      </c>
      <c r="L537" s="54"/>
      <c r="M537" s="4">
        <f t="shared" si="189"/>
        <v>1320.5684626210468</v>
      </c>
      <c r="N537" s="27"/>
      <c r="O537" s="4">
        <v>499.6623876986929</v>
      </c>
      <c r="P537" s="4">
        <f t="shared" si="190"/>
        <v>513.57370475190964</v>
      </c>
      <c r="Q537" s="4">
        <f>$H537*R537/100</f>
        <v>1013.2360924506025</v>
      </c>
      <c r="R537" s="9">
        <v>1.8393371596311994</v>
      </c>
      <c r="S537" s="5">
        <f t="shared" si="191"/>
        <v>2.0278414333271879</v>
      </c>
      <c r="T537" s="6">
        <f t="shared" si="192"/>
        <v>-0.44334747855052625</v>
      </c>
    </row>
    <row r="538" spans="2:21" x14ac:dyDescent="0.25">
      <c r="B538" s="47">
        <f>MAX(B$10:B537)+1</f>
        <v>285</v>
      </c>
      <c r="C538" s="49"/>
      <c r="D538" s="66" t="s">
        <v>162</v>
      </c>
      <c r="E538" s="47"/>
      <c r="F538" s="3" t="s">
        <v>36</v>
      </c>
      <c r="G538" s="47"/>
      <c r="H538" s="4">
        <v>4252.9598999999998</v>
      </c>
      <c r="I538" s="52"/>
      <c r="J538" s="4">
        <f>$H538*K538/100</f>
        <v>155.3903958663</v>
      </c>
      <c r="K538" s="9">
        <v>3.6536999999999997</v>
      </c>
      <c r="L538" s="54"/>
      <c r="M538" s="4">
        <f t="shared" si="189"/>
        <v>217.65501676622856</v>
      </c>
      <c r="N538" s="27"/>
      <c r="O538" s="4">
        <v>-62.264620899928559</v>
      </c>
      <c r="P538" s="4">
        <f t="shared" si="190"/>
        <v>151.46948741135253</v>
      </c>
      <c r="Q538" s="4">
        <f>$H538*R538/100</f>
        <v>89.204866511423958</v>
      </c>
      <c r="R538" s="9">
        <v>2.0974772536986288</v>
      </c>
      <c r="S538" s="5">
        <f t="shared" si="191"/>
        <v>-1.4326734062156044</v>
      </c>
      <c r="T538" s="6">
        <f t="shared" si="192"/>
        <v>-0.42593063094982375</v>
      </c>
    </row>
    <row r="539" spans="2:21" x14ac:dyDescent="0.25">
      <c r="B539" s="47">
        <f>MAX(B$10:B538)+1</f>
        <v>286</v>
      </c>
      <c r="C539" s="49"/>
      <c r="D539" s="66" t="s">
        <v>167</v>
      </c>
      <c r="E539" s="47"/>
      <c r="F539" s="3" t="s">
        <v>36</v>
      </c>
      <c r="G539" s="47"/>
      <c r="H539" s="4">
        <v>12766.517779999998</v>
      </c>
      <c r="I539" s="52"/>
      <c r="J539" s="4">
        <f>$H539*K539/100</f>
        <v>-6.7662544233999986</v>
      </c>
      <c r="K539" s="9">
        <v>-5.2999999999999999E-2</v>
      </c>
      <c r="L539" s="54"/>
      <c r="M539" s="4">
        <f t="shared" si="189"/>
        <v>-6.7662544233999986</v>
      </c>
      <c r="N539" s="27"/>
      <c r="O539" s="4">
        <v>0</v>
      </c>
      <c r="P539" s="4">
        <f t="shared" si="190"/>
        <v>-6.7662544233999986</v>
      </c>
      <c r="Q539" s="4">
        <f>$H539*R539/100</f>
        <v>-6.7662544233999986</v>
      </c>
      <c r="R539" s="9">
        <v>-5.2999999999999999E-2</v>
      </c>
      <c r="S539" s="5"/>
      <c r="T539" s="6">
        <f t="shared" si="192"/>
        <v>0</v>
      </c>
    </row>
    <row r="540" spans="2:21" x14ac:dyDescent="0.25">
      <c r="B540" s="47">
        <f>MAX(B$10:B539)+1</f>
        <v>287</v>
      </c>
      <c r="C540" s="49"/>
      <c r="D540" s="66" t="s">
        <v>168</v>
      </c>
      <c r="E540" s="47"/>
      <c r="F540" s="3" t="s">
        <v>36</v>
      </c>
      <c r="G540" s="47"/>
      <c r="H540" s="4">
        <v>12450.358</v>
      </c>
      <c r="I540" s="52"/>
      <c r="J540" s="4">
        <f>$H540*K540/100</f>
        <v>-0.26394758960000003</v>
      </c>
      <c r="K540" s="9">
        <v>-2.1199999999999999E-3</v>
      </c>
      <c r="L540" s="54"/>
      <c r="M540" s="4">
        <f t="shared" si="189"/>
        <v>-0.26394758960000003</v>
      </c>
      <c r="N540" s="27"/>
      <c r="O540" s="4">
        <v>0</v>
      </c>
      <c r="P540" s="4">
        <f t="shared" si="190"/>
        <v>-0.26394758960000003</v>
      </c>
      <c r="Q540" s="4">
        <f>$H540*R540/100</f>
        <v>-0.26394758960000003</v>
      </c>
      <c r="R540" s="9">
        <v>-2.1199999999999999E-3</v>
      </c>
      <c r="S540" s="5"/>
      <c r="T540" s="6">
        <f t="shared" si="192"/>
        <v>0</v>
      </c>
    </row>
    <row r="541" spans="2:21" x14ac:dyDescent="0.25">
      <c r="B541" s="47"/>
      <c r="C541" s="49"/>
      <c r="D541" s="26"/>
      <c r="E541" s="47"/>
      <c r="F541" s="3"/>
      <c r="G541" s="47"/>
      <c r="H541" s="4"/>
      <c r="I541" s="52"/>
      <c r="J541" s="4"/>
      <c r="K541" s="9"/>
      <c r="L541" s="54"/>
      <c r="M541" s="4"/>
      <c r="N541" s="27"/>
      <c r="O541" s="4"/>
      <c r="P541" s="4"/>
      <c r="Q541" s="4"/>
      <c r="R541" s="9"/>
      <c r="S541" s="5"/>
      <c r="T541" s="10"/>
    </row>
    <row r="542" spans="2:21" x14ac:dyDescent="0.25">
      <c r="B542" s="47">
        <f>MAX(B$10:B541)+1</f>
        <v>288</v>
      </c>
      <c r="C542" s="49"/>
      <c r="D542" s="26" t="s">
        <v>163</v>
      </c>
      <c r="E542" s="47"/>
      <c r="F542" s="3"/>
      <c r="G542" s="47"/>
      <c r="H542" s="55">
        <f>H537</f>
        <v>55087.023449999993</v>
      </c>
      <c r="I542" s="52"/>
      <c r="J542" s="55">
        <f>SUM(J536:J540)</f>
        <v>2313.2723241730414</v>
      </c>
      <c r="K542" s="7">
        <f>J542/$H542*100</f>
        <v>4.1993053523262045</v>
      </c>
      <c r="L542" s="54"/>
      <c r="M542" s="55">
        <f>SUM(M536:M540)</f>
        <v>881.83582724489247</v>
      </c>
      <c r="N542" s="27"/>
      <c r="O542" s="55">
        <f>SUM(O536:O540)</f>
        <v>1431.4364969281487</v>
      </c>
      <c r="P542" s="55">
        <f>SUM(P536:P540)</f>
        <v>-108.02573997912127</v>
      </c>
      <c r="Q542" s="55">
        <f>SUM(Q536:Q540)</f>
        <v>1323.4107569490275</v>
      </c>
      <c r="R542" s="7">
        <f>Q542/$H542*100</f>
        <v>2.4024001916716879</v>
      </c>
      <c r="S542" s="56">
        <f>Q542/O542</f>
        <v>0.92453333402428706</v>
      </c>
      <c r="T542" s="8">
        <f>R542/K542-1</f>
        <v>-0.42790533430942845</v>
      </c>
    </row>
    <row r="543" spans="2:21" x14ac:dyDescent="0.25">
      <c r="E543" s="47"/>
      <c r="F543" s="3"/>
      <c r="G543" s="47"/>
      <c r="H543" s="4"/>
      <c r="I543" s="52"/>
      <c r="J543" s="4"/>
      <c r="K543" s="9"/>
      <c r="L543" s="54"/>
      <c r="M543" s="4"/>
      <c r="N543" s="27"/>
      <c r="O543" s="4"/>
      <c r="P543" s="4"/>
      <c r="Q543" s="4"/>
      <c r="R543" s="9"/>
      <c r="S543" s="5"/>
      <c r="T543" s="6"/>
    </row>
    <row r="544" spans="2:21" x14ac:dyDescent="0.25">
      <c r="D544" s="26" t="s">
        <v>169</v>
      </c>
      <c r="E544" s="47"/>
      <c r="F544" s="3"/>
      <c r="G544" s="47"/>
      <c r="H544" s="4"/>
      <c r="I544" s="52"/>
      <c r="J544" s="4"/>
      <c r="K544" s="9"/>
      <c r="L544" s="54"/>
      <c r="M544" s="4"/>
      <c r="N544" s="27"/>
      <c r="O544" s="4"/>
      <c r="P544" s="4"/>
      <c r="Q544" s="4"/>
      <c r="R544" s="9"/>
      <c r="S544" s="5"/>
      <c r="T544" s="6"/>
    </row>
    <row r="545" spans="2:21" x14ac:dyDescent="0.25">
      <c r="B545" s="47">
        <f>MAX(B$10:B544)+1</f>
        <v>289</v>
      </c>
      <c r="C545" s="49"/>
      <c r="D545" s="29" t="s">
        <v>58</v>
      </c>
      <c r="E545" s="47"/>
      <c r="F545" s="41" t="s">
        <v>59</v>
      </c>
      <c r="G545" s="47"/>
      <c r="H545" s="4">
        <v>431.904</v>
      </c>
      <c r="I545" s="52"/>
      <c r="J545" s="4">
        <f>$H545*K545/100</f>
        <v>178.012256928</v>
      </c>
      <c r="K545" s="9">
        <v>41.215699999999998</v>
      </c>
      <c r="L545" s="54"/>
      <c r="M545" s="4">
        <f t="shared" ref="M545:M547" si="193">J545-O545</f>
        <v>-71.012420040848326</v>
      </c>
      <c r="N545" s="27"/>
      <c r="O545" s="4">
        <v>249.02467696884833</v>
      </c>
      <c r="P545" s="4">
        <f t="shared" ref="P545:P547" si="194">Q545-O545</f>
        <v>-76.649925721346506</v>
      </c>
      <c r="Q545" s="4">
        <f>$H545*R545/100</f>
        <v>172.37475124750182</v>
      </c>
      <c r="R545" s="9">
        <f>((R496*8450)+(R497*19700))/28150</f>
        <v>39.910431773612146</v>
      </c>
      <c r="S545" s="5">
        <f t="shared" ref="S545" si="195">Q545/O545</f>
        <v>0.69219947735968745</v>
      </c>
      <c r="T545" s="6">
        <f t="shared" ref="T545:T547" si="196">R545/K545-1</f>
        <v>-3.1669199513482793E-2</v>
      </c>
    </row>
    <row r="546" spans="2:21" x14ac:dyDescent="0.25">
      <c r="B546" s="47">
        <f>MAX(B$10:B545)+1</f>
        <v>290</v>
      </c>
      <c r="D546" s="29" t="s">
        <v>135</v>
      </c>
      <c r="E546" s="47"/>
      <c r="F546" s="3" t="s">
        <v>36</v>
      </c>
      <c r="G546" s="47"/>
      <c r="H546" s="4">
        <v>4405.8775999999998</v>
      </c>
      <c r="I546" s="52"/>
      <c r="J546" s="4">
        <f>$H546*K546/100</f>
        <v>148.77974391040479</v>
      </c>
      <c r="K546" s="9">
        <v>3.3768469625757374</v>
      </c>
      <c r="L546" s="54"/>
      <c r="M546" s="4">
        <f t="shared" si="193"/>
        <v>148.77974391040479</v>
      </c>
      <c r="N546" s="27"/>
      <c r="O546" s="4">
        <v>0</v>
      </c>
      <c r="P546" s="4">
        <f t="shared" si="194"/>
        <v>148.77974391040479</v>
      </c>
      <c r="Q546" s="4">
        <f>$H546*R546/100</f>
        <v>148.77974391040479</v>
      </c>
      <c r="R546" s="9">
        <f>K546</f>
        <v>3.3768469625757374</v>
      </c>
      <c r="S546" s="5"/>
      <c r="T546" s="6">
        <f t="shared" si="196"/>
        <v>0</v>
      </c>
    </row>
    <row r="547" spans="2:21" x14ac:dyDescent="0.25">
      <c r="B547" s="47">
        <f>MAX(B$10:B546)+1</f>
        <v>291</v>
      </c>
      <c r="D547" s="29" t="s">
        <v>170</v>
      </c>
      <c r="E547" s="47"/>
      <c r="F547" s="3" t="s">
        <v>36</v>
      </c>
      <c r="G547" s="47"/>
      <c r="H547" s="4">
        <v>854.38999999999942</v>
      </c>
      <c r="I547" s="52"/>
      <c r="J547" s="4">
        <f>$H547*K547/100</f>
        <v>31.841285479307995</v>
      </c>
      <c r="K547" s="9">
        <v>3.7267858330865313</v>
      </c>
      <c r="L547" s="54"/>
      <c r="M547" s="4">
        <f t="shared" si="193"/>
        <v>31.841285479307995</v>
      </c>
      <c r="N547" s="27"/>
      <c r="O547" s="4">
        <v>0</v>
      </c>
      <c r="P547" s="4">
        <f t="shared" si="194"/>
        <v>31.841285479307995</v>
      </c>
      <c r="Q547" s="4">
        <f>$H547*R547/100</f>
        <v>31.841285479307995</v>
      </c>
      <c r="R547" s="9">
        <f>K547</f>
        <v>3.7267858330865313</v>
      </c>
      <c r="S547" s="5"/>
      <c r="T547" s="6">
        <f t="shared" si="196"/>
        <v>0</v>
      </c>
    </row>
    <row r="548" spans="2:21" x14ac:dyDescent="0.25">
      <c r="B548" s="47"/>
      <c r="C548" s="49"/>
      <c r="D548" s="26"/>
      <c r="E548" s="47"/>
      <c r="F548" s="3"/>
      <c r="G548" s="47"/>
      <c r="H548" s="4"/>
      <c r="I548" s="52"/>
      <c r="J548" s="4"/>
      <c r="K548" s="9"/>
      <c r="L548" s="54"/>
      <c r="M548" s="4"/>
      <c r="N548" s="27"/>
      <c r="O548" s="4"/>
      <c r="P548" s="4"/>
      <c r="Q548" s="4"/>
      <c r="R548" s="9"/>
      <c r="S548" s="5"/>
      <c r="T548" s="6"/>
    </row>
    <row r="549" spans="2:21" x14ac:dyDescent="0.25">
      <c r="B549" s="47">
        <f>MAX(B$10:B548)+1</f>
        <v>292</v>
      </c>
      <c r="C549" s="49"/>
      <c r="D549" s="26" t="s">
        <v>160</v>
      </c>
      <c r="E549" s="47"/>
      <c r="F549" s="3"/>
      <c r="G549" s="47"/>
      <c r="H549" s="55">
        <f>H546</f>
        <v>4405.8775999999998</v>
      </c>
      <c r="I549" s="52"/>
      <c r="J549" s="55">
        <f>SUM(J545:J547)</f>
        <v>358.63328631771276</v>
      </c>
      <c r="K549" s="7">
        <f>J549/$H549*100</f>
        <v>8.1398831033733838</v>
      </c>
      <c r="L549" s="54"/>
      <c r="M549" s="55">
        <f>SUM(M545:M547)</f>
        <v>109.60860934886446</v>
      </c>
      <c r="N549" s="27"/>
      <c r="O549" s="55">
        <f>SUM(O545:O547)</f>
        <v>249.02467696884833</v>
      </c>
      <c r="P549" s="55">
        <f>SUM(P545:P547)</f>
        <v>103.97110366836628</v>
      </c>
      <c r="Q549" s="55">
        <f>SUM(Q545:Q547)</f>
        <v>352.99578063721458</v>
      </c>
      <c r="R549" s="7">
        <f>Q549/$H549*100</f>
        <v>8.0119288978253635</v>
      </c>
      <c r="S549" s="56">
        <f>Q549/O549</f>
        <v>1.4175132558504333</v>
      </c>
      <c r="T549" s="8">
        <f>R549/K549-1</f>
        <v>-1.5719415613596799E-2</v>
      </c>
    </row>
    <row r="550" spans="2:21" x14ac:dyDescent="0.25">
      <c r="E550" s="47"/>
      <c r="F550" s="3"/>
      <c r="G550" s="47"/>
      <c r="H550" s="4"/>
      <c r="I550" s="52"/>
      <c r="J550" s="4"/>
      <c r="K550" s="9"/>
      <c r="L550" s="54"/>
      <c r="M550" s="4"/>
      <c r="N550" s="27"/>
      <c r="O550" s="4"/>
      <c r="P550" s="4"/>
      <c r="Q550" s="4"/>
      <c r="R550" s="9"/>
      <c r="S550" s="5"/>
      <c r="T550" s="6"/>
    </row>
    <row r="551" spans="2:21" ht="13" x14ac:dyDescent="0.3">
      <c r="B551" s="47"/>
      <c r="C551" s="49"/>
      <c r="D551" s="26" t="s">
        <v>46</v>
      </c>
      <c r="E551" s="47"/>
      <c r="F551" s="58"/>
      <c r="G551" s="47"/>
      <c r="H551" s="4"/>
      <c r="I551" s="52"/>
      <c r="J551" s="4"/>
      <c r="K551" s="9"/>
      <c r="L551" s="54"/>
      <c r="M551" s="4"/>
      <c r="N551" s="27"/>
      <c r="O551" s="4"/>
      <c r="P551" s="4"/>
      <c r="Q551" s="4"/>
      <c r="R551" s="32"/>
      <c r="S551" s="5"/>
      <c r="T551" s="33"/>
    </row>
    <row r="552" spans="2:21" x14ac:dyDescent="0.25">
      <c r="B552" s="47">
        <f>MAX(B$10:B551)+1</f>
        <v>293</v>
      </c>
      <c r="C552" s="49"/>
      <c r="D552" s="29" t="s">
        <v>42</v>
      </c>
      <c r="E552" s="47"/>
      <c r="F552" s="58" t="s">
        <v>36</v>
      </c>
      <c r="G552" s="47"/>
      <c r="H552" s="4">
        <v>2163.9659000000001</v>
      </c>
      <c r="I552" s="52"/>
      <c r="J552" s="4">
        <f>$H552*K552/100</f>
        <v>0</v>
      </c>
      <c r="K552" s="9">
        <v>0</v>
      </c>
      <c r="L552" s="54"/>
      <c r="M552" s="4">
        <f t="shared" ref="M552:M553" si="197">J552-O552</f>
        <v>0.87239695938136097</v>
      </c>
      <c r="N552" s="27"/>
      <c r="O552" s="4">
        <f>Q552</f>
        <v>-0.87239695938136097</v>
      </c>
      <c r="P552" s="4">
        <f t="shared" ref="P552:P553" si="198">Q552-O552</f>
        <v>0</v>
      </c>
      <c r="Q552" s="4">
        <f>$H552*R552/100</f>
        <v>-0.87239695938136097</v>
      </c>
      <c r="R552" s="9">
        <v>-4.0314727666520112E-2</v>
      </c>
      <c r="S552" s="5"/>
      <c r="T552" s="6"/>
    </row>
    <row r="553" spans="2:21" x14ac:dyDescent="0.25">
      <c r="B553" s="47">
        <f>MAX(B$10:B552)+1</f>
        <v>294</v>
      </c>
      <c r="C553" s="49"/>
      <c r="D553" s="29" t="s">
        <v>43</v>
      </c>
      <c r="E553" s="47"/>
      <c r="F553" s="58" t="s">
        <v>36</v>
      </c>
      <c r="G553" s="47"/>
      <c r="H553" s="4">
        <f>H537+H546-H552</f>
        <v>57328.93514999999</v>
      </c>
      <c r="I553" s="52"/>
      <c r="J553" s="4">
        <f>$H553*K553/100</f>
        <v>0</v>
      </c>
      <c r="K553" s="9">
        <v>0</v>
      </c>
      <c r="L553" s="54"/>
      <c r="M553" s="4">
        <f t="shared" si="197"/>
        <v>23.112004079838421</v>
      </c>
      <c r="N553" s="54"/>
      <c r="O553" s="4">
        <f>Q553</f>
        <v>-23.112004079838421</v>
      </c>
      <c r="P553" s="4">
        <f t="shared" si="198"/>
        <v>0</v>
      </c>
      <c r="Q553" s="4">
        <f>$H553*R553/100</f>
        <v>-23.112004079838421</v>
      </c>
      <c r="R553" s="9">
        <v>-4.0314727666520112E-2</v>
      </c>
      <c r="S553" s="5"/>
      <c r="T553" s="6"/>
      <c r="U553" s="47"/>
    </row>
    <row r="554" spans="2:21" x14ac:dyDescent="0.25">
      <c r="B554" s="21"/>
      <c r="C554" s="49"/>
      <c r="D554" s="26" t="s">
        <v>46</v>
      </c>
      <c r="E554" s="47"/>
      <c r="F554" s="3"/>
      <c r="G554" s="47"/>
      <c r="H554" s="55">
        <f>SUM(H552:H553)</f>
        <v>59492.901049999993</v>
      </c>
      <c r="I554" s="52"/>
      <c r="J554" s="55">
        <f>SUM(J552:J553)</f>
        <v>0</v>
      </c>
      <c r="K554" s="7">
        <f>J554/$H554*100</f>
        <v>0</v>
      </c>
      <c r="L554" s="54"/>
      <c r="M554" s="55">
        <f>SUM(M552:M553)</f>
        <v>23.984401039219783</v>
      </c>
      <c r="N554" s="27"/>
      <c r="O554" s="55">
        <f>SUM(O552:O553)</f>
        <v>-23.984401039219783</v>
      </c>
      <c r="P554" s="55">
        <f>SUM(P552:P553)</f>
        <v>0</v>
      </c>
      <c r="Q554" s="55">
        <f>SUM(Q552:Q553)</f>
        <v>-23.984401039219783</v>
      </c>
      <c r="R554" s="7">
        <f>Q554/$H554*100</f>
        <v>-4.0314727666520112E-2</v>
      </c>
      <c r="S554" s="56">
        <f>Q554/O554</f>
        <v>1</v>
      </c>
      <c r="T554" s="8"/>
    </row>
    <row r="555" spans="2:21" x14ac:dyDescent="0.25"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31"/>
    </row>
    <row r="556" spans="2:21" x14ac:dyDescent="0.25">
      <c r="B556" s="47">
        <f>MAX(B$10:B555)+1</f>
        <v>295</v>
      </c>
      <c r="C556" s="49"/>
      <c r="D556" s="26" t="s">
        <v>164</v>
      </c>
      <c r="E556" s="47"/>
      <c r="F556" s="3" t="s">
        <v>36</v>
      </c>
      <c r="G556" s="47"/>
      <c r="H556" s="4">
        <v>1599.69</v>
      </c>
      <c r="I556" s="52"/>
      <c r="J556" s="4">
        <f>$H556*K556/100</f>
        <v>3.3353536500000001</v>
      </c>
      <c r="K556" s="9">
        <v>0.20849999999999999</v>
      </c>
      <c r="L556" s="54"/>
      <c r="M556" s="4">
        <f t="shared" ref="M556:M557" si="199">J556-O556</f>
        <v>1.4504584578053423</v>
      </c>
      <c r="N556" s="27"/>
      <c r="O556" s="4">
        <f t="shared" ref="O556:O557" si="200">Q556</f>
        <v>1.8848951921946577</v>
      </c>
      <c r="P556" s="4">
        <f t="shared" ref="P556:P557" si="201">Q556-O556</f>
        <v>0</v>
      </c>
      <c r="Q556" s="4">
        <f>$H556*R556/100</f>
        <v>1.8848951921946577</v>
      </c>
      <c r="R556" s="9">
        <v>0.11782877883806597</v>
      </c>
      <c r="S556" s="5">
        <f>Q556/O556</f>
        <v>1</v>
      </c>
      <c r="T556" s="6">
        <f>R556/K556-1</f>
        <v>-0.43487396240735743</v>
      </c>
    </row>
    <row r="557" spans="2:21" x14ac:dyDescent="0.25">
      <c r="B557" s="47">
        <f>MAX(B$10:B556)+1</f>
        <v>296</v>
      </c>
      <c r="C557" s="49"/>
      <c r="D557" s="26" t="s">
        <v>47</v>
      </c>
      <c r="E557" s="47"/>
      <c r="F557" s="3" t="s">
        <v>36</v>
      </c>
      <c r="G557" s="47"/>
      <c r="H557" s="4">
        <f>H552</f>
        <v>2163.9659000000001</v>
      </c>
      <c r="I557" s="52"/>
      <c r="J557" s="4">
        <f>$H557*K557/100</f>
        <v>-1.5991708001</v>
      </c>
      <c r="K557" s="9">
        <v>-7.3899999999999993E-2</v>
      </c>
      <c r="L557" s="54"/>
      <c r="M557" s="4">
        <f t="shared" si="199"/>
        <v>-4.9378245870101551</v>
      </c>
      <c r="N557" s="27"/>
      <c r="O557" s="4">
        <f t="shared" si="200"/>
        <v>3.3386537869101547</v>
      </c>
      <c r="P557" s="4">
        <f t="shared" si="201"/>
        <v>0</v>
      </c>
      <c r="Q557" s="4">
        <f>$H557*R557/100</f>
        <v>3.3386537869101547</v>
      </c>
      <c r="R557" s="9">
        <v>0.15428402947154363</v>
      </c>
      <c r="S557" s="5">
        <f>Q557/O557</f>
        <v>1</v>
      </c>
      <c r="T557" s="6">
        <f>R557/K557-1</f>
        <v>-3.0877405882482223</v>
      </c>
    </row>
    <row r="558" spans="2:21" x14ac:dyDescent="0.25">
      <c r="B558" s="47"/>
      <c r="C558" s="49"/>
      <c r="D558" s="26"/>
      <c r="E558" s="47"/>
      <c r="F558" s="3"/>
      <c r="G558" s="47"/>
      <c r="H558" s="4"/>
      <c r="I558" s="52"/>
      <c r="J558" s="4"/>
      <c r="K558" s="9"/>
      <c r="L558" s="54"/>
      <c r="M558" s="4"/>
      <c r="N558" s="27"/>
      <c r="O558" s="4"/>
      <c r="P558" s="4"/>
      <c r="Q558" s="4"/>
      <c r="R558" s="9"/>
      <c r="S558" s="5"/>
      <c r="T558" s="6"/>
    </row>
    <row r="559" spans="2:21" ht="13" thickBot="1" x14ac:dyDescent="0.3">
      <c r="B559" s="47">
        <f>MAX(B$10:B558)+1</f>
        <v>297</v>
      </c>
      <c r="C559" s="49"/>
      <c r="D559" s="26" t="s">
        <v>171</v>
      </c>
      <c r="E559" s="47"/>
      <c r="F559" s="3"/>
      <c r="G559" s="47"/>
      <c r="H559" s="59">
        <f>H537+H549</f>
        <v>59492.901049999993</v>
      </c>
      <c r="I559" s="52"/>
      <c r="J559" s="59">
        <f>SUM(J542,J549,J554,J556:J557)</f>
        <v>2673.6417933406537</v>
      </c>
      <c r="K559" s="11">
        <f>J559/$H559*100</f>
        <v>4.4940518047584002</v>
      </c>
      <c r="L559" s="54"/>
      <c r="M559" s="59">
        <f>SUM(M542,M549,M554,M556:M557)</f>
        <v>1011.9414715037718</v>
      </c>
      <c r="N559" s="27"/>
      <c r="O559" s="59">
        <f>SUM(O542,O549,O554,O556:O557)</f>
        <v>1661.7003218368818</v>
      </c>
      <c r="P559" s="59">
        <f>SUM(P542,P549,P554,P556:P557)</f>
        <v>-4.0546363107549865</v>
      </c>
      <c r="Q559" s="59">
        <f>SUM(Q542,Q549,Q554,Q556:Q557)</f>
        <v>1657.6456855261267</v>
      </c>
      <c r="R559" s="11">
        <f>Q559/$H559*100</f>
        <v>2.7862915680191511</v>
      </c>
      <c r="S559" s="60">
        <f>Q559/O559</f>
        <v>0.9975599473277631</v>
      </c>
      <c r="T559" s="12">
        <f>R559/K559-1</f>
        <v>-0.38000457291814826</v>
      </c>
    </row>
    <row r="560" spans="2:21" ht="13" thickTop="1" x14ac:dyDescent="0.25">
      <c r="B560" s="47"/>
      <c r="C560" s="49"/>
      <c r="D560" s="26"/>
      <c r="E560" s="47"/>
      <c r="F560" s="3"/>
      <c r="G560" s="47"/>
      <c r="H560" s="54"/>
      <c r="I560" s="52"/>
      <c r="J560" s="54"/>
      <c r="K560" s="9"/>
      <c r="L560" s="54"/>
      <c r="M560" s="54"/>
      <c r="N560" s="27"/>
      <c r="O560" s="54"/>
      <c r="P560" s="54"/>
      <c r="Q560" s="54"/>
      <c r="R560" s="9"/>
      <c r="S560" s="57"/>
      <c r="T560" s="6"/>
    </row>
    <row r="561" spans="2:21" ht="13" x14ac:dyDescent="0.3">
      <c r="B561" s="47"/>
      <c r="C561" s="49"/>
      <c r="D561" s="20" t="s">
        <v>172</v>
      </c>
      <c r="E561" s="47"/>
      <c r="F561" s="25"/>
      <c r="G561" s="47"/>
      <c r="H561" s="34"/>
      <c r="I561" s="52"/>
      <c r="J561" s="34"/>
      <c r="K561" s="52"/>
      <c r="L561" s="52"/>
      <c r="M561" s="13"/>
      <c r="N561" s="52"/>
      <c r="O561" s="14"/>
      <c r="P561" s="52"/>
      <c r="Q561" s="52"/>
      <c r="R561" s="52"/>
      <c r="S561" s="52"/>
      <c r="T561" s="61"/>
      <c r="U561" s="47"/>
    </row>
    <row r="562" spans="2:21" x14ac:dyDescent="0.25">
      <c r="D562" s="26" t="s">
        <v>169</v>
      </c>
      <c r="E562" s="47"/>
      <c r="F562" s="3"/>
      <c r="G562" s="47"/>
      <c r="H562" s="4"/>
      <c r="I562" s="52"/>
      <c r="J562" s="4"/>
      <c r="K562" s="9"/>
      <c r="L562" s="54"/>
      <c r="M562" s="4"/>
      <c r="N562" s="27"/>
      <c r="O562" s="4"/>
      <c r="P562" s="4"/>
      <c r="Q562" s="4"/>
      <c r="R562" s="9"/>
      <c r="S562" s="5"/>
      <c r="T562" s="6"/>
    </row>
    <row r="563" spans="2:21" x14ac:dyDescent="0.25">
      <c r="B563" s="47">
        <f>MAX(B$10:B562)+1</f>
        <v>298</v>
      </c>
      <c r="C563" s="49"/>
      <c r="D563" s="29" t="s">
        <v>58</v>
      </c>
      <c r="E563" s="47"/>
      <c r="F563" s="41" t="s">
        <v>59</v>
      </c>
      <c r="G563" s="47"/>
      <c r="H563" s="4">
        <v>71858.168000000005</v>
      </c>
      <c r="I563" s="52"/>
      <c r="J563" s="4">
        <f>$H563*K563/100</f>
        <v>24456.568187960005</v>
      </c>
      <c r="K563" s="9">
        <v>34.034500000000001</v>
      </c>
      <c r="L563" s="54"/>
      <c r="M563" s="4">
        <f t="shared" ref="M563:M565" si="202">J563-O563</f>
        <v>-11314.570653952182</v>
      </c>
      <c r="N563" s="27"/>
      <c r="O563" s="4">
        <v>35771.138841912187</v>
      </c>
      <c r="P563" s="4">
        <f>P582-SUM(P564,P565)</f>
        <v>-7616.9059513200655</v>
      </c>
      <c r="Q563" s="4">
        <f>$H563*R563/100</f>
        <v>28154.232890592117</v>
      </c>
      <c r="R563" s="9">
        <f>(O563+P563)/H563*100</f>
        <v>39.180282039186018</v>
      </c>
      <c r="S563" s="5">
        <f t="shared" ref="S563" si="203">Q563/O563</f>
        <v>0.78706560098680656</v>
      </c>
      <c r="T563" s="6">
        <f t="shared" ref="T563:T565" si="204">R563/K563-1</f>
        <v>0.15119311402212499</v>
      </c>
    </row>
    <row r="564" spans="2:21" x14ac:dyDescent="0.25">
      <c r="B564" s="47">
        <f>MAX(B$10:B563)+1</f>
        <v>299</v>
      </c>
      <c r="D564" s="29" t="s">
        <v>34</v>
      </c>
      <c r="E564" s="47"/>
      <c r="F564" s="3" t="s">
        <v>36</v>
      </c>
      <c r="G564" s="47"/>
      <c r="H564" s="4">
        <v>713737.64702999999</v>
      </c>
      <c r="I564" s="52"/>
      <c r="J564" s="4">
        <f>$H564*K564/100</f>
        <v>1677.9972081675298</v>
      </c>
      <c r="K564" s="9">
        <v>0.23509999999999998</v>
      </c>
      <c r="L564" s="54"/>
      <c r="M564" s="4">
        <f t="shared" si="202"/>
        <v>1677.9972081675298</v>
      </c>
      <c r="N564" s="27"/>
      <c r="O564" s="4">
        <v>0</v>
      </c>
      <c r="P564" s="4">
        <f t="shared" ref="P564:P565" si="205">Q564-O564</f>
        <v>0</v>
      </c>
      <c r="Q564" s="4">
        <f>$H564*R564/100</f>
        <v>0</v>
      </c>
      <c r="R564" s="9">
        <f>O564/(H564+H565)*100</f>
        <v>0</v>
      </c>
      <c r="S564" s="5"/>
      <c r="T564" s="6">
        <f t="shared" si="204"/>
        <v>-1</v>
      </c>
    </row>
    <row r="565" spans="2:21" x14ac:dyDescent="0.25">
      <c r="B565" s="47">
        <f>MAX(B$10:B564)+1</f>
        <v>300</v>
      </c>
      <c r="D565" s="29" t="s">
        <v>158</v>
      </c>
      <c r="E565" s="47"/>
      <c r="F565" s="3" t="s">
        <v>36</v>
      </c>
      <c r="G565" s="47"/>
      <c r="H565" s="4">
        <v>22348.747200000002</v>
      </c>
      <c r="I565" s="52"/>
      <c r="J565" s="4">
        <f>$H565*K565/100</f>
        <v>52.541904667199994</v>
      </c>
      <c r="K565" s="9">
        <v>0.23509999999999998</v>
      </c>
      <c r="L565" s="54"/>
      <c r="M565" s="4">
        <f t="shared" si="202"/>
        <v>52.541904667199994</v>
      </c>
      <c r="N565" s="27"/>
      <c r="O565" s="4">
        <v>0</v>
      </c>
      <c r="P565" s="4">
        <f t="shared" si="205"/>
        <v>0</v>
      </c>
      <c r="Q565" s="4">
        <f>$H565*R565/100</f>
        <v>0</v>
      </c>
      <c r="R565" s="9">
        <f>R564</f>
        <v>0</v>
      </c>
      <c r="S565" s="5"/>
      <c r="T565" s="6">
        <f t="shared" si="204"/>
        <v>-1</v>
      </c>
    </row>
    <row r="566" spans="2:21" x14ac:dyDescent="0.25">
      <c r="B566" s="47"/>
      <c r="C566" s="49"/>
      <c r="D566" s="26"/>
      <c r="E566" s="47"/>
      <c r="F566" s="3"/>
      <c r="G566" s="47"/>
      <c r="H566" s="4"/>
      <c r="I566" s="52"/>
      <c r="J566" s="4"/>
      <c r="K566" s="9"/>
      <c r="L566" s="54"/>
      <c r="M566" s="4"/>
      <c r="N566" s="27"/>
      <c r="O566" s="4"/>
      <c r="P566" s="4"/>
      <c r="Q566" s="4"/>
      <c r="R566" s="9"/>
      <c r="S566" s="5"/>
      <c r="T566" s="6"/>
    </row>
    <row r="567" spans="2:21" x14ac:dyDescent="0.25">
      <c r="B567" s="47">
        <f>MAX(B$10:B566)+1</f>
        <v>301</v>
      </c>
      <c r="C567" s="49"/>
      <c r="D567" s="26" t="s">
        <v>160</v>
      </c>
      <c r="E567" s="47"/>
      <c r="F567" s="3"/>
      <c r="G567" s="47"/>
      <c r="H567" s="55">
        <f>H564</f>
        <v>713737.64702999999</v>
      </c>
      <c r="I567" s="52"/>
      <c r="J567" s="55">
        <f>SUM(J563:J565)</f>
        <v>26187.107300794734</v>
      </c>
      <c r="K567" s="7">
        <f>J567/$H567*100</f>
        <v>3.6690102322280942</v>
      </c>
      <c r="L567" s="54"/>
      <c r="M567" s="55">
        <f>SUM(M563:M565)</f>
        <v>-9584.0315411174524</v>
      </c>
      <c r="N567" s="27"/>
      <c r="O567" s="55">
        <f>SUM(O563:O565)</f>
        <v>35771.138841912187</v>
      </c>
      <c r="P567" s="55">
        <f>SUM(P563:P565)</f>
        <v>-7616.9059513200655</v>
      </c>
      <c r="Q567" s="55">
        <f>SUM(Q563:Q565)</f>
        <v>28154.232890592117</v>
      </c>
      <c r="R567" s="7">
        <f>Q567/$H567*100</f>
        <v>3.9446192880181266</v>
      </c>
      <c r="S567" s="56">
        <f>Q567/O567</f>
        <v>0.78706560098680656</v>
      </c>
      <c r="T567" s="8">
        <f>R567/K567-1</f>
        <v>7.5118094075922626E-2</v>
      </c>
    </row>
    <row r="568" spans="2:21" x14ac:dyDescent="0.25">
      <c r="E568" s="47"/>
      <c r="F568" s="3"/>
      <c r="G568" s="47"/>
      <c r="H568" s="4"/>
      <c r="I568" s="52"/>
      <c r="J568" s="4"/>
      <c r="K568" s="9"/>
      <c r="L568" s="54"/>
      <c r="M568" s="4"/>
      <c r="N568" s="27"/>
      <c r="O568" s="4"/>
      <c r="P568" s="4"/>
      <c r="Q568" s="4"/>
      <c r="R568" s="9"/>
      <c r="S568" s="5"/>
      <c r="T568" s="6"/>
    </row>
    <row r="569" spans="2:21" x14ac:dyDescent="0.25">
      <c r="D569" s="26" t="s">
        <v>161</v>
      </c>
      <c r="E569" s="47"/>
      <c r="F569" s="3"/>
      <c r="G569" s="47"/>
      <c r="H569" s="4"/>
      <c r="I569" s="52"/>
      <c r="J569" s="4"/>
      <c r="K569" s="9"/>
      <c r="L569" s="54"/>
      <c r="M569" s="4"/>
      <c r="N569" s="27"/>
      <c r="O569" s="4"/>
      <c r="P569" s="4"/>
      <c r="Q569" s="4"/>
      <c r="R569" s="9"/>
      <c r="S569" s="5"/>
      <c r="T569" s="6"/>
    </row>
    <row r="570" spans="2:21" x14ac:dyDescent="0.25">
      <c r="B570" s="47">
        <f>MAX(B$10:B569)+1</f>
        <v>302</v>
      </c>
      <c r="D570" s="29" t="s">
        <v>135</v>
      </c>
      <c r="E570" s="47"/>
      <c r="F570" s="3" t="s">
        <v>36</v>
      </c>
      <c r="G570" s="47"/>
      <c r="H570" s="4">
        <v>75999.023490000007</v>
      </c>
      <c r="I570" s="52"/>
      <c r="J570" s="4">
        <f>$H570*K570/100</f>
        <v>1696.8086138462095</v>
      </c>
      <c r="K570" s="9">
        <v>2.2326716001416473</v>
      </c>
      <c r="L570" s="54"/>
      <c r="M570" s="4">
        <f t="shared" ref="M570:M571" si="206">J570-O570</f>
        <v>721.99173762223063</v>
      </c>
      <c r="N570" s="27"/>
      <c r="O570" s="4">
        <v>974.81687622397885</v>
      </c>
      <c r="P570" s="4">
        <f t="shared" ref="P570:P571" si="207">Q570-O570</f>
        <v>-90.364444560668744</v>
      </c>
      <c r="Q570" s="4">
        <f>$H570*R570/100</f>
        <v>884.45243166331011</v>
      </c>
      <c r="R570" s="9">
        <v>1.1637681525996013</v>
      </c>
      <c r="S570" s="5"/>
      <c r="T570" s="6">
        <f t="shared" ref="T570:T571" si="208">R570/K570-1</f>
        <v>-0.47875533843590412</v>
      </c>
    </row>
    <row r="571" spans="2:21" x14ac:dyDescent="0.25">
      <c r="B571" s="47">
        <f>MAX(B$10:B570)+1</f>
        <v>303</v>
      </c>
      <c r="D571" s="29" t="s">
        <v>162</v>
      </c>
      <c r="E571" s="47"/>
      <c r="F571" s="3" t="s">
        <v>36</v>
      </c>
      <c r="G571" s="47"/>
      <c r="H571" s="4">
        <v>7467.4059999999999</v>
      </c>
      <c r="I571" s="52"/>
      <c r="J571" s="4">
        <f>$H571*K571/100</f>
        <v>173.362820234</v>
      </c>
      <c r="K571" s="9">
        <v>2.3215936060527578</v>
      </c>
      <c r="L571" s="54"/>
      <c r="M571" s="4">
        <f t="shared" si="206"/>
        <v>173.362820234</v>
      </c>
      <c r="N571" s="27"/>
      <c r="O571" s="4">
        <v>0</v>
      </c>
      <c r="P571" s="4">
        <f t="shared" si="207"/>
        <v>90.364444560668531</v>
      </c>
      <c r="Q571" s="4">
        <f>$H571*R571/100</f>
        <v>90.364444560668531</v>
      </c>
      <c r="R571" s="9">
        <v>1.2101182734763387</v>
      </c>
      <c r="S571" s="5"/>
      <c r="T571" s="6">
        <f t="shared" si="208"/>
        <v>-0.47875533843590412</v>
      </c>
    </row>
    <row r="572" spans="2:21" x14ac:dyDescent="0.25">
      <c r="B572" s="47"/>
      <c r="C572" s="49"/>
      <c r="D572" s="26"/>
      <c r="E572" s="47"/>
      <c r="F572" s="3"/>
      <c r="G572" s="47"/>
      <c r="H572" s="4"/>
      <c r="I572" s="52"/>
      <c r="J572" s="4"/>
      <c r="K572" s="9"/>
      <c r="L572" s="54"/>
      <c r="M572" s="4"/>
      <c r="N572" s="27"/>
      <c r="O572" s="4"/>
      <c r="P572" s="4"/>
      <c r="Q572" s="4"/>
      <c r="R572" s="9"/>
      <c r="S572" s="5"/>
      <c r="T572" s="6"/>
    </row>
    <row r="573" spans="2:21" x14ac:dyDescent="0.25">
      <c r="B573" s="47">
        <f>MAX(B$10:B572)+1</f>
        <v>304</v>
      </c>
      <c r="C573" s="49"/>
      <c r="D573" s="26" t="s">
        <v>163</v>
      </c>
      <c r="E573" s="47"/>
      <c r="F573" s="3"/>
      <c r="G573" s="47"/>
      <c r="H573" s="55">
        <f>H570</f>
        <v>75999.023490000007</v>
      </c>
      <c r="I573" s="52"/>
      <c r="J573" s="55">
        <f>SUM(J570:J571)</f>
        <v>1870.1714340802096</v>
      </c>
      <c r="K573" s="7">
        <f>J573/$H573*100</f>
        <v>2.4607835051015989</v>
      </c>
      <c r="L573" s="54"/>
      <c r="M573" s="55">
        <f>SUM(M570:M571)</f>
        <v>895.3545578562306</v>
      </c>
      <c r="N573" s="27"/>
      <c r="O573" s="55">
        <f>SUM(O570:O571)</f>
        <v>974.81687622397885</v>
      </c>
      <c r="P573" s="55">
        <f>SUM(P570:P571)</f>
        <v>-2.1316282072803006E-13</v>
      </c>
      <c r="Q573" s="55">
        <f>SUM(Q570:Q571)</f>
        <v>974.81687622397862</v>
      </c>
      <c r="R573" s="7">
        <f>Q573/$H573*100</f>
        <v>1.2826702652991924</v>
      </c>
      <c r="S573" s="56">
        <f>Q573/O573</f>
        <v>0.99999999999999978</v>
      </c>
      <c r="T573" s="8">
        <f>R573/K573-1</f>
        <v>-0.47875533843590423</v>
      </c>
    </row>
    <row r="574" spans="2:21" x14ac:dyDescent="0.25">
      <c r="E574" s="47"/>
      <c r="F574" s="3"/>
      <c r="G574" s="47"/>
      <c r="H574" s="4"/>
      <c r="I574" s="52"/>
      <c r="J574" s="4"/>
      <c r="K574" s="9"/>
      <c r="L574" s="54"/>
      <c r="M574" s="4"/>
      <c r="N574" s="27"/>
      <c r="O574" s="4"/>
      <c r="P574" s="4"/>
      <c r="Q574" s="4"/>
      <c r="R574" s="9"/>
      <c r="S574" s="5"/>
      <c r="T574" s="6"/>
    </row>
    <row r="575" spans="2:21" ht="13" x14ac:dyDescent="0.3">
      <c r="B575" s="47"/>
      <c r="C575" s="49"/>
      <c r="D575" s="26" t="s">
        <v>46</v>
      </c>
      <c r="E575" s="47"/>
      <c r="F575" s="58"/>
      <c r="G575" s="47"/>
      <c r="H575" s="4"/>
      <c r="I575" s="52"/>
      <c r="J575" s="4"/>
      <c r="K575" s="9"/>
      <c r="L575" s="54"/>
      <c r="M575" s="4"/>
      <c r="N575" s="27"/>
      <c r="O575" s="4"/>
      <c r="P575" s="4"/>
      <c r="Q575" s="4"/>
      <c r="R575" s="32"/>
      <c r="S575" s="5"/>
      <c r="T575" s="33"/>
    </row>
    <row r="576" spans="2:21" x14ac:dyDescent="0.25">
      <c r="B576" s="47">
        <f>MAX(B$10:B575)+1</f>
        <v>305</v>
      </c>
      <c r="C576" s="49"/>
      <c r="D576" s="29" t="s">
        <v>42</v>
      </c>
      <c r="E576" s="47"/>
      <c r="F576" s="58" t="s">
        <v>36</v>
      </c>
      <c r="G576" s="47"/>
      <c r="H576" s="4">
        <v>35618.685999999994</v>
      </c>
      <c r="I576" s="52"/>
      <c r="J576" s="4">
        <f>$H576*K576/100</f>
        <v>0</v>
      </c>
      <c r="K576" s="9">
        <v>0</v>
      </c>
      <c r="L576" s="54"/>
      <c r="M576" s="4">
        <f t="shared" ref="M576:M577" si="209">J576-O576</f>
        <v>25.358886762047696</v>
      </c>
      <c r="N576" s="27"/>
      <c r="O576" s="4">
        <f>Q576</f>
        <v>-25.358886762047696</v>
      </c>
      <c r="P576" s="4">
        <f t="shared" ref="P576:P577" si="210">Q576-O576</f>
        <v>0</v>
      </c>
      <c r="Q576" s="4">
        <f>$H576*R576/100</f>
        <v>-25.358886762047696</v>
      </c>
      <c r="R576" s="9">
        <v>-7.1195458367127012E-2</v>
      </c>
      <c r="S576" s="57"/>
      <c r="T576" s="6"/>
    </row>
    <row r="577" spans="2:21" x14ac:dyDescent="0.25">
      <c r="B577" s="47">
        <f>MAX(B$10:B576)+1</f>
        <v>306</v>
      </c>
      <c r="C577" s="49"/>
      <c r="D577" s="29" t="s">
        <v>43</v>
      </c>
      <c r="E577" s="47"/>
      <c r="F577" s="58" t="s">
        <v>36</v>
      </c>
      <c r="G577" s="47"/>
      <c r="H577" s="4">
        <f>H564+H570-H576</f>
        <v>754117.98452000006</v>
      </c>
      <c r="I577" s="52"/>
      <c r="J577" s="4">
        <f>$H577*K577/100</f>
        <v>0</v>
      </c>
      <c r="K577" s="9">
        <v>0</v>
      </c>
      <c r="L577" s="54"/>
      <c r="M577" s="4">
        <f t="shared" si="209"/>
        <v>536.89775570795393</v>
      </c>
      <c r="N577" s="54"/>
      <c r="O577" s="4">
        <f>Q577</f>
        <v>-536.89775570795393</v>
      </c>
      <c r="P577" s="4">
        <f t="shared" si="210"/>
        <v>0</v>
      </c>
      <c r="Q577" s="4">
        <f>$H577*R577/100</f>
        <v>-536.89775570795393</v>
      </c>
      <c r="R577" s="9">
        <v>-7.1195458367127012E-2</v>
      </c>
      <c r="S577" s="57"/>
      <c r="T577" s="6"/>
      <c r="U577" s="47"/>
    </row>
    <row r="578" spans="2:21" x14ac:dyDescent="0.25">
      <c r="B578" s="21"/>
      <c r="C578" s="49"/>
      <c r="D578" s="26" t="s">
        <v>46</v>
      </c>
      <c r="E578" s="47"/>
      <c r="F578" s="3"/>
      <c r="G578" s="47"/>
      <c r="H578" s="55">
        <f>SUM(H576:H577)</f>
        <v>789736.67052000004</v>
      </c>
      <c r="I578" s="52"/>
      <c r="J578" s="55">
        <f>SUM(J576:J577)</f>
        <v>0</v>
      </c>
      <c r="K578" s="7">
        <f>J578/$H578*100</f>
        <v>0</v>
      </c>
      <c r="L578" s="54"/>
      <c r="M578" s="55">
        <f>SUM(M576:M577)</f>
        <v>562.25664247000168</v>
      </c>
      <c r="N578" s="27"/>
      <c r="O578" s="55">
        <f>SUM(O576:O577)</f>
        <v>-562.25664247000168</v>
      </c>
      <c r="P578" s="55">
        <f>SUM(P576:P577)</f>
        <v>0</v>
      </c>
      <c r="Q578" s="55">
        <f>SUM(Q576:Q577)</f>
        <v>-562.25664247000168</v>
      </c>
      <c r="R578" s="7">
        <f>Q578/$H578*100</f>
        <v>-7.1195458367127012E-2</v>
      </c>
      <c r="S578" s="56">
        <f>Q578/O578</f>
        <v>1</v>
      </c>
      <c r="T578" s="8"/>
    </row>
    <row r="579" spans="2:21" x14ac:dyDescent="0.25"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31"/>
    </row>
    <row r="580" spans="2:21" x14ac:dyDescent="0.25">
      <c r="B580" s="47">
        <f>MAX(B$10:B579)+1</f>
        <v>307</v>
      </c>
      <c r="C580" s="49"/>
      <c r="D580" s="26" t="s">
        <v>47</v>
      </c>
      <c r="E580" s="47"/>
      <c r="F580" s="3" t="s">
        <v>36</v>
      </c>
      <c r="G580" s="47"/>
      <c r="H580" s="4">
        <f>H576</f>
        <v>35618.685999999994</v>
      </c>
      <c r="I580" s="52"/>
      <c r="J580" s="4">
        <f>$H580*K580/100</f>
        <v>-26.322208953999993</v>
      </c>
      <c r="K580" s="9">
        <v>-7.3899999999999993E-2</v>
      </c>
      <c r="L580" s="54"/>
      <c r="M580" s="4">
        <f>J580-O580</f>
        <v>-81.276152959616567</v>
      </c>
      <c r="N580" s="27"/>
      <c r="O580" s="4">
        <f>Q580</f>
        <v>54.953944005616577</v>
      </c>
      <c r="P580" s="4">
        <f>Q580-O580</f>
        <v>0</v>
      </c>
      <c r="Q580" s="4">
        <f>$H580*R580/100</f>
        <v>54.953944005616577</v>
      </c>
      <c r="R580" s="9">
        <v>0.15428402947154363</v>
      </c>
      <c r="S580" s="5">
        <f>Q580/O580</f>
        <v>1</v>
      </c>
      <c r="T580" s="6">
        <f>R580/K580-1</f>
        <v>-3.0877405882482223</v>
      </c>
    </row>
    <row r="581" spans="2:21" x14ac:dyDescent="0.25">
      <c r="B581" s="47"/>
      <c r="C581" s="49"/>
      <c r="D581" s="26"/>
      <c r="E581" s="47"/>
      <c r="F581" s="3"/>
      <c r="G581" s="47"/>
      <c r="H581" s="4"/>
      <c r="I581" s="52"/>
      <c r="J581" s="4"/>
      <c r="K581" s="9"/>
      <c r="L581" s="54"/>
      <c r="M581" s="4"/>
      <c r="N581" s="27"/>
      <c r="O581" s="4"/>
      <c r="P581" s="4"/>
      <c r="Q581" s="4"/>
      <c r="R581" s="9"/>
      <c r="S581" s="5"/>
      <c r="T581" s="6"/>
    </row>
    <row r="582" spans="2:21" ht="13" thickBot="1" x14ac:dyDescent="0.3">
      <c r="B582" s="47">
        <f>MAX(B$10:B581)+1</f>
        <v>308</v>
      </c>
      <c r="C582" s="49"/>
      <c r="D582" s="26" t="s">
        <v>173</v>
      </c>
      <c r="E582" s="47"/>
      <c r="F582" s="3"/>
      <c r="G582" s="47"/>
      <c r="H582" s="59">
        <f>H567+H573</f>
        <v>789736.67052000004</v>
      </c>
      <c r="I582" s="52"/>
      <c r="J582" s="59">
        <f>SUM(J567,J573,J578,J580)</f>
        <v>28030.956525920945</v>
      </c>
      <c r="K582" s="11">
        <f>J582/$H582*100</f>
        <v>3.5494054628948701</v>
      </c>
      <c r="L582" s="54"/>
      <c r="M582" s="59">
        <f>SUM(M567,M573,M578,M580)</f>
        <v>-8207.6964937508383</v>
      </c>
      <c r="N582" s="27"/>
      <c r="O582" s="59">
        <f>SUM(O567,O573,O578,O580)</f>
        <v>36238.653019671787</v>
      </c>
      <c r="P582" s="59">
        <v>-7616.9059513200655</v>
      </c>
      <c r="Q582" s="59">
        <f>SUM(Q567,Q573,Q578,Q580)</f>
        <v>28621.747068351713</v>
      </c>
      <c r="R582" s="11">
        <f>Q582/$H582*100</f>
        <v>3.6242140116788293</v>
      </c>
      <c r="S582" s="60">
        <f>Q582/O582</f>
        <v>0.78981266364438785</v>
      </c>
      <c r="T582" s="12">
        <f>R582/K582-1</f>
        <v>2.1076360411905748E-2</v>
      </c>
    </row>
    <row r="583" spans="2:21" ht="13.5" thickTop="1" x14ac:dyDescent="0.3">
      <c r="B583" s="47"/>
      <c r="C583" s="49"/>
      <c r="E583" s="47"/>
      <c r="F583" s="58"/>
      <c r="G583" s="47"/>
      <c r="H583" s="54"/>
      <c r="I583" s="52"/>
      <c r="J583" s="54"/>
      <c r="K583" s="32"/>
      <c r="L583" s="54"/>
      <c r="M583" s="54"/>
      <c r="N583" s="27"/>
      <c r="O583" s="54"/>
      <c r="P583" s="54"/>
      <c r="Q583" s="54"/>
      <c r="R583" s="32"/>
      <c r="S583" s="57"/>
      <c r="T583" s="35"/>
    </row>
    <row r="584" spans="2:21" x14ac:dyDescent="0.25">
      <c r="B584" s="19" t="str">
        <f>$B$2 &amp;" (continued)"</f>
        <v>Derivation of Proposed Rates and Revenue by Rate Class - Delivery (continued)</v>
      </c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20"/>
    </row>
    <row r="585" spans="2:21" x14ac:dyDescent="0.25">
      <c r="B585" s="43"/>
      <c r="C585" s="43"/>
      <c r="D585" s="43"/>
      <c r="E585" s="43"/>
      <c r="F585" s="44"/>
      <c r="G585" s="43"/>
      <c r="H585" s="44"/>
      <c r="I585" s="43"/>
      <c r="J585" s="44"/>
      <c r="K585" s="44"/>
      <c r="L585" s="44"/>
      <c r="M585" s="44"/>
      <c r="N585" s="43"/>
      <c r="O585" s="43"/>
      <c r="P585" s="43"/>
      <c r="Q585" s="43"/>
      <c r="R585" s="43"/>
      <c r="S585" s="22"/>
      <c r="T585" s="22"/>
    </row>
    <row r="586" spans="2:21" x14ac:dyDescent="0.25">
      <c r="B586" s="44"/>
      <c r="C586" s="44"/>
      <c r="D586" s="44"/>
      <c r="E586" s="44"/>
      <c r="F586" s="43"/>
      <c r="G586" s="44"/>
      <c r="H586" s="43"/>
      <c r="I586" s="44"/>
      <c r="J586" s="45" t="s">
        <v>1</v>
      </c>
      <c r="K586" s="45"/>
      <c r="L586" s="44"/>
      <c r="M586" s="44"/>
      <c r="N586" s="44"/>
      <c r="O586" s="45" t="s">
        <v>2</v>
      </c>
      <c r="P586" s="45"/>
      <c r="Q586" s="45"/>
      <c r="R586" s="45"/>
      <c r="S586" s="23"/>
      <c r="T586" s="23"/>
    </row>
    <row r="587" spans="2:21" s="24" customFormat="1" ht="39" customHeight="1" x14ac:dyDescent="0.25">
      <c r="B587" s="46" t="s">
        <v>3</v>
      </c>
      <c r="C587" s="46"/>
      <c r="D587" s="46"/>
      <c r="E587" s="46"/>
      <c r="F587" s="47" t="s">
        <v>4</v>
      </c>
      <c r="G587" s="46"/>
      <c r="H587" s="24" t="s">
        <v>5</v>
      </c>
      <c r="I587" s="46"/>
      <c r="J587" s="24" t="s">
        <v>6</v>
      </c>
      <c r="K587" s="24" t="s">
        <v>7</v>
      </c>
      <c r="L587" s="46"/>
      <c r="M587" s="24" t="s">
        <v>8</v>
      </c>
      <c r="N587" s="46"/>
      <c r="O587" s="46" t="s">
        <v>9</v>
      </c>
      <c r="P587" s="24" t="s">
        <v>8</v>
      </c>
      <c r="Q587" s="24" t="s">
        <v>6</v>
      </c>
      <c r="R587" s="24" t="s">
        <v>7</v>
      </c>
      <c r="S587" s="46" t="s">
        <v>10</v>
      </c>
      <c r="T587" s="46" t="s">
        <v>11</v>
      </c>
      <c r="U587" s="46"/>
    </row>
    <row r="588" spans="2:21" ht="14.5" x14ac:dyDescent="0.25">
      <c r="B588" s="48" t="s">
        <v>12</v>
      </c>
      <c r="C588" s="49"/>
      <c r="D588" s="50" t="s">
        <v>13</v>
      </c>
      <c r="E588" s="47"/>
      <c r="F588" s="48" t="s">
        <v>14</v>
      </c>
      <c r="G588" s="47"/>
      <c r="H588" s="48" t="s">
        <v>15</v>
      </c>
      <c r="I588" s="47"/>
      <c r="J588" s="48" t="s">
        <v>16</v>
      </c>
      <c r="K588" s="48" t="s">
        <v>17</v>
      </c>
      <c r="L588" s="47"/>
      <c r="M588" s="48" t="s">
        <v>16</v>
      </c>
      <c r="N588" s="47"/>
      <c r="O588" s="48" t="s">
        <v>16</v>
      </c>
      <c r="P588" s="48" t="s">
        <v>16</v>
      </c>
      <c r="Q588" s="48" t="s">
        <v>16</v>
      </c>
      <c r="R588" s="48" t="s">
        <v>17</v>
      </c>
      <c r="S588" s="48" t="s">
        <v>18</v>
      </c>
      <c r="T588" s="48" t="s">
        <v>19</v>
      </c>
      <c r="U588" s="47"/>
    </row>
    <row r="589" spans="2:21" x14ac:dyDescent="0.25">
      <c r="B589" s="47"/>
      <c r="C589" s="49"/>
      <c r="D589" s="49"/>
      <c r="E589" s="47"/>
      <c r="F589" s="47"/>
      <c r="G589" s="47"/>
      <c r="H589" s="47" t="s">
        <v>20</v>
      </c>
      <c r="I589" s="47"/>
      <c r="J589" s="47" t="s">
        <v>21</v>
      </c>
      <c r="K589" s="47" t="s">
        <v>22</v>
      </c>
      <c r="L589" s="47"/>
      <c r="M589" s="47" t="s">
        <v>23</v>
      </c>
      <c r="N589" s="47"/>
      <c r="O589" s="47" t="s">
        <v>24</v>
      </c>
      <c r="P589" s="47" t="s">
        <v>25</v>
      </c>
      <c r="Q589" s="51" t="s">
        <v>26</v>
      </c>
      <c r="R589" s="51" t="s">
        <v>27</v>
      </c>
      <c r="S589" s="51" t="s">
        <v>28</v>
      </c>
      <c r="T589" s="51" t="s">
        <v>29</v>
      </c>
      <c r="U589" s="47"/>
    </row>
    <row r="590" spans="2:21" ht="13" x14ac:dyDescent="0.3">
      <c r="B590" s="47"/>
      <c r="C590" s="49"/>
      <c r="E590" s="47"/>
      <c r="F590" s="58"/>
      <c r="G590" s="47"/>
      <c r="H590" s="54"/>
      <c r="I590" s="52"/>
      <c r="J590" s="54"/>
      <c r="K590" s="32"/>
      <c r="L590" s="54"/>
      <c r="M590" s="54"/>
      <c r="N590" s="27"/>
      <c r="O590" s="54"/>
      <c r="P590" s="54"/>
      <c r="Q590" s="54"/>
      <c r="R590" s="32"/>
      <c r="S590" s="57"/>
      <c r="T590" s="32"/>
    </row>
    <row r="591" spans="2:21" ht="13" x14ac:dyDescent="0.3">
      <c r="B591" s="47"/>
      <c r="C591" s="49"/>
      <c r="D591" s="20" t="s">
        <v>174</v>
      </c>
      <c r="E591" s="47"/>
      <c r="F591" s="25"/>
      <c r="G591" s="47"/>
      <c r="H591" s="34"/>
      <c r="I591" s="52"/>
      <c r="J591" s="34"/>
      <c r="K591" s="52"/>
      <c r="L591" s="52"/>
      <c r="M591" s="13"/>
      <c r="N591" s="52"/>
      <c r="O591" s="14"/>
      <c r="P591" s="52"/>
      <c r="Q591" s="52"/>
      <c r="R591" s="52"/>
      <c r="S591" s="52"/>
      <c r="T591" s="52"/>
      <c r="U591" s="47"/>
    </row>
    <row r="592" spans="2:21" x14ac:dyDescent="0.25">
      <c r="D592" s="26" t="s">
        <v>169</v>
      </c>
      <c r="E592" s="47"/>
      <c r="F592" s="3"/>
      <c r="G592" s="47"/>
      <c r="H592" s="4"/>
      <c r="I592" s="52"/>
      <c r="J592" s="4"/>
      <c r="K592" s="9"/>
      <c r="L592" s="54"/>
      <c r="M592" s="4"/>
      <c r="N592" s="27"/>
      <c r="O592" s="4"/>
      <c r="P592" s="4"/>
      <c r="Q592" s="4"/>
      <c r="R592" s="9"/>
      <c r="S592" s="5"/>
      <c r="T592" s="10"/>
    </row>
    <row r="593" spans="2:21" x14ac:dyDescent="0.25">
      <c r="B593" s="47">
        <f>MAX(B$10:B592)+1</f>
        <v>309</v>
      </c>
      <c r="C593" s="49"/>
      <c r="D593" s="29" t="s">
        <v>58</v>
      </c>
      <c r="E593" s="47"/>
      <c r="F593" s="41" t="s">
        <v>59</v>
      </c>
      <c r="G593" s="47"/>
      <c r="H593" s="4">
        <v>6040.4639999999999</v>
      </c>
      <c r="I593" s="52"/>
      <c r="J593" s="4">
        <f>$H593*K593/100</f>
        <v>1644.7216997759999</v>
      </c>
      <c r="K593" s="9">
        <v>27.228400000000001</v>
      </c>
      <c r="L593" s="54"/>
      <c r="M593" s="4">
        <f t="shared" ref="M593:M594" si="211">J593-O593</f>
        <v>-211.4629856499871</v>
      </c>
      <c r="N593" s="27"/>
      <c r="O593" s="4">
        <v>1856.184685425987</v>
      </c>
      <c r="P593" s="4">
        <f>P605-P594</f>
        <v>-50.362268575201725</v>
      </c>
      <c r="Q593" s="4">
        <f>$H593*R593/100</f>
        <v>1805.822416850785</v>
      </c>
      <c r="R593" s="9">
        <f>(O593+P593)/H593*100</f>
        <v>29.895425531064916</v>
      </c>
      <c r="S593" s="5">
        <f t="shared" ref="S593" si="212">Q593/O593</f>
        <v>0.9728678568621828</v>
      </c>
      <c r="T593" s="6">
        <f t="shared" ref="T593:T594" si="213">R593/K593-1</f>
        <v>9.795013776295769E-2</v>
      </c>
    </row>
    <row r="594" spans="2:21" x14ac:dyDescent="0.25">
      <c r="B594" s="47">
        <f>MAX(B$10:B593)+1</f>
        <v>310</v>
      </c>
      <c r="D594" s="29" t="s">
        <v>34</v>
      </c>
      <c r="E594" s="47"/>
      <c r="F594" s="3" t="s">
        <v>36</v>
      </c>
      <c r="G594" s="47"/>
      <c r="H594" s="4">
        <v>90073.425800000012</v>
      </c>
      <c r="I594" s="52"/>
      <c r="J594" s="4">
        <f>$H594*K594/100</f>
        <v>141.41527850599999</v>
      </c>
      <c r="K594" s="9">
        <v>0.15699999999999997</v>
      </c>
      <c r="L594" s="54"/>
      <c r="M594" s="4">
        <f t="shared" si="211"/>
        <v>141.41527850599999</v>
      </c>
      <c r="N594" s="27"/>
      <c r="O594" s="4">
        <v>0</v>
      </c>
      <c r="P594" s="4">
        <v>0</v>
      </c>
      <c r="Q594" s="4">
        <f>$H594*R594/100</f>
        <v>0</v>
      </c>
      <c r="R594" s="9">
        <f>(O594+P594)/H594*100</f>
        <v>0</v>
      </c>
      <c r="S594" s="5"/>
      <c r="T594" s="6">
        <f t="shared" si="213"/>
        <v>-1</v>
      </c>
    </row>
    <row r="595" spans="2:21" x14ac:dyDescent="0.25">
      <c r="B595" s="47"/>
      <c r="C595" s="49"/>
      <c r="D595" s="26"/>
      <c r="E595" s="47"/>
      <c r="F595" s="3"/>
      <c r="G595" s="47"/>
      <c r="H595" s="4"/>
      <c r="I595" s="52"/>
      <c r="J595" s="4"/>
      <c r="K595" s="9"/>
      <c r="L595" s="54"/>
      <c r="M595" s="4"/>
      <c r="N595" s="27"/>
      <c r="O595" s="4"/>
      <c r="P595" s="4"/>
      <c r="Q595" s="4"/>
      <c r="R595" s="9"/>
      <c r="S595" s="5"/>
      <c r="T595" s="15"/>
    </row>
    <row r="596" spans="2:21" x14ac:dyDescent="0.25">
      <c r="B596" s="47">
        <f>MAX(B$10:B595)+1</f>
        <v>311</v>
      </c>
      <c r="C596" s="49"/>
      <c r="D596" s="26" t="s">
        <v>160</v>
      </c>
      <c r="E596" s="47"/>
      <c r="F596" s="3"/>
      <c r="G596" s="47"/>
      <c r="H596" s="55">
        <f>H594</f>
        <v>90073.425800000012</v>
      </c>
      <c r="I596" s="52"/>
      <c r="J596" s="55">
        <f>SUM(J593:J594)</f>
        <v>1786.136978282</v>
      </c>
      <c r="K596" s="7">
        <f>J596/$H596*100</f>
        <v>1.9829788446683014</v>
      </c>
      <c r="L596" s="54"/>
      <c r="M596" s="55">
        <f>SUM(M593:M594)</f>
        <v>-70.047707143987111</v>
      </c>
      <c r="N596" s="27"/>
      <c r="O596" s="55">
        <f>SUM(O593:O594)</f>
        <v>1856.184685425987</v>
      </c>
      <c r="P596" s="55">
        <f>SUM(P593:P594)</f>
        <v>-50.362268575201725</v>
      </c>
      <c r="Q596" s="55">
        <f>SUM(Q593:Q594)</f>
        <v>1805.822416850785</v>
      </c>
      <c r="R596" s="7">
        <f>Q596/$H596*100</f>
        <v>2.0048337240558078</v>
      </c>
      <c r="S596" s="56">
        <f>Q596/O596</f>
        <v>0.9728678568621828</v>
      </c>
      <c r="T596" s="8">
        <f>R596/K596-1</f>
        <v>1.1021236785389021E-2</v>
      </c>
    </row>
    <row r="597" spans="2:21" x14ac:dyDescent="0.25">
      <c r="E597" s="47"/>
      <c r="F597" s="3"/>
      <c r="G597" s="47"/>
      <c r="H597" s="4"/>
      <c r="I597" s="52"/>
      <c r="J597" s="4"/>
      <c r="K597" s="9"/>
      <c r="L597" s="54"/>
      <c r="M597" s="4"/>
      <c r="N597" s="27"/>
      <c r="O597" s="4"/>
      <c r="P597" s="4"/>
      <c r="Q597" s="4"/>
      <c r="R597" s="9"/>
      <c r="S597" s="5"/>
      <c r="T597" s="6"/>
    </row>
    <row r="598" spans="2:21" ht="13" x14ac:dyDescent="0.3">
      <c r="B598" s="47"/>
      <c r="C598" s="49"/>
      <c r="D598" s="26" t="s">
        <v>46</v>
      </c>
      <c r="E598" s="47"/>
      <c r="F598" s="58"/>
      <c r="G598" s="47"/>
      <c r="H598" s="4"/>
      <c r="I598" s="52"/>
      <c r="J598" s="4"/>
      <c r="K598" s="9"/>
      <c r="L598" s="54"/>
      <c r="M598" s="4"/>
      <c r="N598" s="27"/>
      <c r="O598" s="4"/>
      <c r="P598" s="4"/>
      <c r="Q598" s="4"/>
      <c r="R598" s="32"/>
      <c r="S598" s="5"/>
      <c r="T598" s="33"/>
    </row>
    <row r="599" spans="2:21" x14ac:dyDescent="0.25">
      <c r="B599" s="47">
        <f>MAX(B$10:B598)+1</f>
        <v>312</v>
      </c>
      <c r="C599" s="49"/>
      <c r="D599" s="29" t="s">
        <v>42</v>
      </c>
      <c r="E599" s="47"/>
      <c r="F599" s="58" t="s">
        <v>36</v>
      </c>
      <c r="G599" s="47"/>
      <c r="H599" s="4">
        <v>15795.321699999999</v>
      </c>
      <c r="I599" s="52"/>
      <c r="J599" s="4">
        <f>$H599*K599/100</f>
        <v>0</v>
      </c>
      <c r="K599" s="9">
        <v>0</v>
      </c>
      <c r="L599" s="54"/>
      <c r="M599" s="4">
        <f t="shared" ref="M599:M600" si="214">J599-O599</f>
        <v>8.7628840503921896</v>
      </c>
      <c r="N599" s="27"/>
      <c r="O599" s="4">
        <f>Q599</f>
        <v>-8.7628840503921896</v>
      </c>
      <c r="P599" s="4">
        <f t="shared" ref="P599:P600" si="215">Q599-O599</f>
        <v>0</v>
      </c>
      <c r="Q599" s="4">
        <f>$H599*R599/100</f>
        <v>-8.7628840503921896</v>
      </c>
      <c r="R599" s="9">
        <v>-5.5477718129616757E-2</v>
      </c>
      <c r="S599" s="5"/>
      <c r="T599" s="6"/>
    </row>
    <row r="600" spans="2:21" x14ac:dyDescent="0.25">
      <c r="B600" s="47">
        <f>MAX(B$10:B599)+1</f>
        <v>313</v>
      </c>
      <c r="C600" s="49"/>
      <c r="D600" s="29" t="s">
        <v>43</v>
      </c>
      <c r="E600" s="47"/>
      <c r="F600" s="58" t="s">
        <v>36</v>
      </c>
      <c r="G600" s="47"/>
      <c r="H600" s="4">
        <f>H594-H599</f>
        <v>74278.104100000011</v>
      </c>
      <c r="I600" s="52"/>
      <c r="J600" s="4">
        <f>$H600*K600/100</f>
        <v>0</v>
      </c>
      <c r="K600" s="9">
        <v>0</v>
      </c>
      <c r="L600" s="54"/>
      <c r="M600" s="4">
        <f t="shared" si="214"/>
        <v>41.207797224621316</v>
      </c>
      <c r="N600" s="54"/>
      <c r="O600" s="4">
        <f>Q600</f>
        <v>-41.207797224621316</v>
      </c>
      <c r="P600" s="4">
        <f t="shared" si="215"/>
        <v>0</v>
      </c>
      <c r="Q600" s="4">
        <f>$H600*R600/100</f>
        <v>-41.207797224621316</v>
      </c>
      <c r="R600" s="9">
        <v>-5.5477718129616757E-2</v>
      </c>
      <c r="S600" s="5"/>
      <c r="T600" s="6"/>
      <c r="U600" s="47"/>
    </row>
    <row r="601" spans="2:21" x14ac:dyDescent="0.25">
      <c r="B601" s="21"/>
      <c r="C601" s="49"/>
      <c r="D601" s="26" t="s">
        <v>46</v>
      </c>
      <c r="E601" s="47"/>
      <c r="F601" s="3"/>
      <c r="G601" s="47"/>
      <c r="H601" s="55">
        <f>SUM(H599:H600)</f>
        <v>90073.425800000012</v>
      </c>
      <c r="I601" s="52"/>
      <c r="J601" s="55">
        <f>SUM(J599:J600)</f>
        <v>0</v>
      </c>
      <c r="K601" s="7">
        <f>J601/$H601*100</f>
        <v>0</v>
      </c>
      <c r="L601" s="54"/>
      <c r="M601" s="55">
        <f>SUM(M599:M600)</f>
        <v>49.970681275013504</v>
      </c>
      <c r="N601" s="27"/>
      <c r="O601" s="55">
        <f>SUM(O599:O600)</f>
        <v>-49.970681275013504</v>
      </c>
      <c r="P601" s="55">
        <f>SUM(P599:P600)</f>
        <v>0</v>
      </c>
      <c r="Q601" s="55">
        <f>SUM(Q599:Q600)</f>
        <v>-49.970681275013504</v>
      </c>
      <c r="R601" s="7">
        <f>Q601/$H601*100</f>
        <v>-5.5477718129616757E-2</v>
      </c>
      <c r="S601" s="56">
        <f>Q601/O601</f>
        <v>1</v>
      </c>
      <c r="T601" s="8"/>
    </row>
    <row r="602" spans="2:21" x14ac:dyDescent="0.25"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31"/>
    </row>
    <row r="603" spans="2:21" x14ac:dyDescent="0.25">
      <c r="B603" s="47">
        <f>MAX(B$10:B602)+1</f>
        <v>314</v>
      </c>
      <c r="C603" s="49"/>
      <c r="D603" s="26" t="s">
        <v>47</v>
      </c>
      <c r="E603" s="47"/>
      <c r="F603" s="3" t="s">
        <v>36</v>
      </c>
      <c r="G603" s="47"/>
      <c r="H603" s="4">
        <f>H599</f>
        <v>15795.321699999999</v>
      </c>
      <c r="I603" s="52"/>
      <c r="J603" s="4">
        <f>$H603*K603/100</f>
        <v>-11.672742736299996</v>
      </c>
      <c r="K603" s="9">
        <v>-7.3899999999999993E-2</v>
      </c>
      <c r="L603" s="54"/>
      <c r="M603" s="4">
        <f>J603-O603</f>
        <v>-36.042401523053123</v>
      </c>
      <c r="N603" s="27"/>
      <c r="O603" s="4">
        <f>Q603</f>
        <v>24.369658786753124</v>
      </c>
      <c r="P603" s="4">
        <f>Q603-O603</f>
        <v>0</v>
      </c>
      <c r="Q603" s="4">
        <f>$H603*R603/100</f>
        <v>24.369658786753124</v>
      </c>
      <c r="R603" s="9">
        <v>0.15428402947154363</v>
      </c>
      <c r="S603" s="5">
        <f>Q603/O603</f>
        <v>1</v>
      </c>
      <c r="T603" s="6">
        <f>R603/K603-1</f>
        <v>-3.0877405882482223</v>
      </c>
    </row>
    <row r="604" spans="2:21" x14ac:dyDescent="0.25">
      <c r="B604" s="47"/>
      <c r="C604" s="49"/>
      <c r="D604" s="26"/>
      <c r="E604" s="47"/>
      <c r="F604" s="3"/>
      <c r="G604" s="47"/>
      <c r="H604" s="4"/>
      <c r="I604" s="52"/>
      <c r="J604" s="4"/>
      <c r="K604" s="9"/>
      <c r="L604" s="54"/>
      <c r="M604" s="4"/>
      <c r="N604" s="27"/>
      <c r="O604" s="4"/>
      <c r="P604" s="4"/>
      <c r="Q604" s="4"/>
      <c r="R604" s="9"/>
      <c r="S604" s="5"/>
      <c r="T604" s="6"/>
    </row>
    <row r="605" spans="2:21" ht="13" thickBot="1" x14ac:dyDescent="0.3">
      <c r="B605" s="47">
        <f>MAX(B$10:B604)+1</f>
        <v>315</v>
      </c>
      <c r="C605" s="49"/>
      <c r="D605" s="26" t="s">
        <v>175</v>
      </c>
      <c r="E605" s="47"/>
      <c r="F605" s="3"/>
      <c r="G605" s="47"/>
      <c r="H605" s="59">
        <f>H596</f>
        <v>90073.425800000012</v>
      </c>
      <c r="I605" s="52"/>
      <c r="J605" s="59">
        <f>SUM(J596,J601,J603)</f>
        <v>1774.4642355456999</v>
      </c>
      <c r="K605" s="11">
        <f>J605/$H605*100</f>
        <v>1.9700197031316862</v>
      </c>
      <c r="L605" s="54"/>
      <c r="M605" s="59">
        <f>SUM(M596,M601,M603)</f>
        <v>-56.119427392026729</v>
      </c>
      <c r="N605" s="27"/>
      <c r="O605" s="59">
        <f>SUM(O596,O601,O603)</f>
        <v>1830.5836629377268</v>
      </c>
      <c r="P605" s="59">
        <v>-50.362268575201725</v>
      </c>
      <c r="Q605" s="59">
        <f>SUM(Q596,Q601,Q603)</f>
        <v>1780.2213943625247</v>
      </c>
      <c r="R605" s="11">
        <f>Q605/$H605*100</f>
        <v>1.9764113317010359</v>
      </c>
      <c r="S605" s="60">
        <f>Q605/O605</f>
        <v>0.97248840924627256</v>
      </c>
      <c r="T605" s="12">
        <f>R605/K605-1</f>
        <v>3.2444490576359897E-3</v>
      </c>
    </row>
    <row r="606" spans="2:21" ht="13.5" thickTop="1" x14ac:dyDescent="0.3">
      <c r="B606" s="47"/>
      <c r="C606" s="49"/>
      <c r="E606" s="47"/>
      <c r="F606" s="58"/>
      <c r="G606" s="47"/>
      <c r="H606" s="54"/>
      <c r="I606" s="52"/>
      <c r="J606" s="54"/>
      <c r="K606" s="32"/>
      <c r="L606" s="54"/>
      <c r="M606" s="54"/>
      <c r="N606" s="27"/>
      <c r="O606" s="54"/>
      <c r="P606" s="54"/>
      <c r="Q606" s="54"/>
      <c r="R606" s="32"/>
      <c r="S606" s="57"/>
      <c r="T606" s="35"/>
    </row>
    <row r="607" spans="2:21" ht="13" x14ac:dyDescent="0.3">
      <c r="B607" s="47"/>
      <c r="C607" s="49"/>
      <c r="D607" s="20" t="s">
        <v>176</v>
      </c>
      <c r="E607" s="47"/>
      <c r="F607" s="25"/>
      <c r="G607" s="47"/>
      <c r="H607" s="34"/>
      <c r="I607" s="52"/>
      <c r="J607" s="34"/>
      <c r="K607" s="52"/>
      <c r="L607" s="52"/>
      <c r="M607" s="13"/>
      <c r="N607" s="52"/>
      <c r="O607" s="14"/>
      <c r="P607" s="52"/>
      <c r="Q607" s="52"/>
      <c r="R607" s="52"/>
      <c r="S607" s="52"/>
      <c r="T607" s="67"/>
      <c r="U607" s="47"/>
    </row>
    <row r="608" spans="2:21" x14ac:dyDescent="0.25">
      <c r="B608" s="47">
        <f>MAX(B$10:B607)+1</f>
        <v>316</v>
      </c>
      <c r="D608" s="26" t="s">
        <v>32</v>
      </c>
      <c r="E608" s="47"/>
      <c r="F608" s="41" t="s">
        <v>33</v>
      </c>
      <c r="G608" s="47"/>
      <c r="H608" s="4">
        <v>564.00000000000091</v>
      </c>
      <c r="I608" s="52"/>
      <c r="J608" s="4">
        <f>$H608*K608/1000</f>
        <v>1215.7640400000021</v>
      </c>
      <c r="K608" s="53">
        <v>2155.61</v>
      </c>
      <c r="L608" s="54"/>
      <c r="M608" s="4">
        <f>J608-O608</f>
        <v>-417.38416806107602</v>
      </c>
      <c r="N608" s="27"/>
      <c r="O608" s="4">
        <v>1633.1482080610781</v>
      </c>
      <c r="P608" s="4">
        <f>Q608-O608</f>
        <v>58.851791938924634</v>
      </c>
      <c r="Q608" s="4">
        <f>$H608*R608/1000</f>
        <v>1692.0000000000027</v>
      </c>
      <c r="R608" s="53">
        <v>3000</v>
      </c>
      <c r="S608" s="5">
        <f t="shared" ref="S608" si="216">Q608/O608</f>
        <v>1.0360357937194171</v>
      </c>
      <c r="T608" s="6">
        <f>R608/K608-1</f>
        <v>0.39171742569388712</v>
      </c>
    </row>
    <row r="609" spans="2:20" ht="14.5" x14ac:dyDescent="0.25">
      <c r="D609" s="26" t="s">
        <v>177</v>
      </c>
      <c r="E609" s="47"/>
      <c r="F609" s="3"/>
      <c r="G609" s="47"/>
      <c r="H609" s="4"/>
      <c r="I609" s="52"/>
      <c r="J609" s="4"/>
      <c r="K609" s="9"/>
      <c r="L609" s="54"/>
      <c r="M609" s="4"/>
      <c r="N609" s="27"/>
      <c r="O609" s="4"/>
      <c r="P609" s="4"/>
      <c r="Q609" s="4"/>
      <c r="R609" s="9"/>
      <c r="S609" s="5"/>
      <c r="T609" s="15"/>
    </row>
    <row r="610" spans="2:20" x14ac:dyDescent="0.25">
      <c r="B610" s="47"/>
      <c r="C610" s="49"/>
      <c r="D610" s="29" t="s">
        <v>178</v>
      </c>
      <c r="E610" s="47"/>
      <c r="F610" s="3"/>
      <c r="G610" s="47"/>
      <c r="H610" s="4"/>
      <c r="I610" s="52"/>
      <c r="J610" s="4"/>
      <c r="K610" s="9"/>
      <c r="L610" s="54"/>
      <c r="M610" s="4"/>
      <c r="N610" s="27"/>
      <c r="O610" s="4"/>
      <c r="P610" s="4"/>
      <c r="Q610" s="4"/>
      <c r="R610" s="9"/>
      <c r="S610" s="5"/>
      <c r="T610" s="15"/>
    </row>
    <row r="611" spans="2:20" x14ac:dyDescent="0.25">
      <c r="B611" s="47">
        <f>MAX(B$10:B610)+1</f>
        <v>317</v>
      </c>
      <c r="C611" s="49"/>
      <c r="D611" s="73" t="s">
        <v>179</v>
      </c>
      <c r="E611" s="47"/>
      <c r="F611" s="41" t="s">
        <v>59</v>
      </c>
      <c r="G611" s="47"/>
      <c r="H611" s="4">
        <v>14363.064</v>
      </c>
      <c r="I611" s="52"/>
      <c r="J611" s="4">
        <f>$H611*K611/100</f>
        <v>6405.2658430560004</v>
      </c>
      <c r="K611" s="9">
        <v>44.595399999999998</v>
      </c>
      <c r="L611" s="54"/>
      <c r="M611" s="4">
        <f t="shared" ref="M611" si="217">J611-O611</f>
        <v>429.48958872759067</v>
      </c>
      <c r="N611" s="27"/>
      <c r="O611" s="4">
        <v>5975.7762543284098</v>
      </c>
      <c r="P611" s="4">
        <f>(P$637-P$635-P$608)*J611/SUM(J$611:J$612)</f>
        <v>-520.37730937091931</v>
      </c>
      <c r="Q611" s="4">
        <f>$H611*R611/100</f>
        <v>5455.3989449574901</v>
      </c>
      <c r="R611" s="9">
        <f>(O611+P611)/H611*100</f>
        <v>37.982139082284185</v>
      </c>
      <c r="S611" s="5"/>
      <c r="T611" s="6">
        <f t="shared" ref="T611:T618" si="218">R611/K611-1</f>
        <v>-0.14829468774169119</v>
      </c>
    </row>
    <row r="612" spans="2:20" x14ac:dyDescent="0.25">
      <c r="B612" s="47">
        <f>MAX(B$10:B611)+1</f>
        <v>318</v>
      </c>
      <c r="C612" s="49"/>
      <c r="D612" s="73" t="s">
        <v>180</v>
      </c>
      <c r="E612" s="47"/>
      <c r="F612" s="41" t="s">
        <v>59</v>
      </c>
      <c r="G612" s="47"/>
      <c r="H612" s="4">
        <v>12176.784</v>
      </c>
      <c r="I612" s="52"/>
      <c r="J612" s="4">
        <f>$H612*K612/100</f>
        <v>3857.1546301919998</v>
      </c>
      <c r="K612" s="9">
        <v>31.676299999999998</v>
      </c>
      <c r="L612" s="54"/>
      <c r="M612" s="4">
        <f>J612-O612</f>
        <v>258.63216240678412</v>
      </c>
      <c r="N612" s="27"/>
      <c r="O612" s="4">
        <v>3598.5224677852157</v>
      </c>
      <c r="P612" s="4">
        <f>(P$637-P$635-P$608)*J612/SUM(J$611:J$612)</f>
        <v>-313.36337904895726</v>
      </c>
      <c r="Q612" s="4">
        <f>$H612*R612/100</f>
        <v>3285.1590887362581</v>
      </c>
      <c r="R612" s="9">
        <f>(O612+P612)/H612*100</f>
        <v>26.978872982687861</v>
      </c>
      <c r="S612" s="5"/>
      <c r="T612" s="6">
        <f t="shared" si="218"/>
        <v>-0.1482946877416913</v>
      </c>
    </row>
    <row r="613" spans="2:20" x14ac:dyDescent="0.25">
      <c r="B613" s="47"/>
      <c r="C613" s="49"/>
      <c r="D613" s="29" t="s">
        <v>181</v>
      </c>
      <c r="E613" s="47"/>
      <c r="F613" s="3"/>
      <c r="G613" s="47"/>
      <c r="H613" s="4"/>
      <c r="I613" s="52"/>
      <c r="J613" s="4"/>
      <c r="K613" s="9"/>
      <c r="L613" s="54"/>
      <c r="M613" s="4"/>
      <c r="N613" s="27"/>
      <c r="O613" s="4"/>
      <c r="P613" s="4"/>
      <c r="Q613" s="4"/>
      <c r="R613" s="9"/>
      <c r="S613" s="5"/>
      <c r="T613" s="15"/>
    </row>
    <row r="614" spans="2:20" x14ac:dyDescent="0.25">
      <c r="B614" s="47">
        <f>MAX(B$10:B613)+1</f>
        <v>319</v>
      </c>
      <c r="C614" s="49"/>
      <c r="D614" s="74" t="s">
        <v>182</v>
      </c>
      <c r="E614" s="47"/>
      <c r="F614" s="58" t="s">
        <v>36</v>
      </c>
      <c r="G614" s="47"/>
      <c r="H614" s="4">
        <v>393753.99073000008</v>
      </c>
      <c r="I614" s="52"/>
      <c r="J614" s="4">
        <f>$H614*K614/100</f>
        <v>475.65482080184017</v>
      </c>
      <c r="K614" s="9">
        <v>0.12080000000000002</v>
      </c>
      <c r="L614" s="54"/>
      <c r="M614" s="4">
        <f>J614-O614</f>
        <v>475.65482080184017</v>
      </c>
      <c r="N614" s="27"/>
      <c r="O614" s="4">
        <v>0</v>
      </c>
      <c r="P614" s="4">
        <f>Q614-O614</f>
        <v>0</v>
      </c>
      <c r="Q614" s="4">
        <f>$H614*R614/100</f>
        <v>0</v>
      </c>
      <c r="R614" s="9">
        <f>O614/(H614+H617)*100</f>
        <v>0</v>
      </c>
      <c r="S614" s="5"/>
      <c r="T614" s="6">
        <f t="shared" si="218"/>
        <v>-1</v>
      </c>
    </row>
    <row r="615" spans="2:20" ht="25" x14ac:dyDescent="0.25">
      <c r="B615" s="47">
        <f>MAX(B$10:B614)+1</f>
        <v>320</v>
      </c>
      <c r="C615" s="49"/>
      <c r="D615" s="74" t="s">
        <v>183</v>
      </c>
      <c r="E615" s="47"/>
      <c r="F615" s="58" t="s">
        <v>36</v>
      </c>
      <c r="G615" s="47"/>
      <c r="H615" s="4">
        <v>37535.500949999994</v>
      </c>
      <c r="I615" s="52"/>
      <c r="J615" s="4">
        <f>$H615*K615/100</f>
        <v>813.69458959409997</v>
      </c>
      <c r="K615" s="9">
        <v>2.1678000000000002</v>
      </c>
      <c r="L615" s="54"/>
      <c r="M615" s="4">
        <f>J615-O615</f>
        <v>692.92239147005341</v>
      </c>
      <c r="N615" s="27"/>
      <c r="O615" s="4">
        <v>120.77219812404655</v>
      </c>
      <c r="P615" s="4">
        <f>Q615-O615</f>
        <v>-1.5784885290857034</v>
      </c>
      <c r="Q615" s="4">
        <f>$H615*R615/100</f>
        <v>119.19370959496085</v>
      </c>
      <c r="R615" s="9">
        <v>0.3175492708988632</v>
      </c>
      <c r="S615" s="5"/>
      <c r="T615" s="6">
        <f t="shared" si="218"/>
        <v>-0.85351542074967102</v>
      </c>
    </row>
    <row r="616" spans="2:20" x14ac:dyDescent="0.25">
      <c r="B616" s="47"/>
      <c r="C616" s="49"/>
      <c r="D616" s="26"/>
      <c r="E616" s="47"/>
      <c r="F616" s="3"/>
      <c r="G616" s="47"/>
      <c r="H616" s="4"/>
      <c r="I616" s="52"/>
      <c r="J616" s="4"/>
      <c r="K616" s="9"/>
      <c r="L616" s="54"/>
      <c r="M616" s="4"/>
      <c r="N616" s="27"/>
      <c r="O616" s="4"/>
      <c r="P616" s="4"/>
      <c r="Q616" s="4"/>
      <c r="R616" s="9"/>
      <c r="S616" s="5"/>
      <c r="T616" s="15"/>
    </row>
    <row r="617" spans="2:20" x14ac:dyDescent="0.25">
      <c r="B617" s="47">
        <f>MAX(B$10:B616)+1</f>
        <v>321</v>
      </c>
      <c r="C617" s="49"/>
      <c r="D617" s="29" t="s">
        <v>184</v>
      </c>
      <c r="E617" s="47"/>
      <c r="F617" s="58" t="s">
        <v>36</v>
      </c>
      <c r="G617" s="47"/>
      <c r="H617" s="4">
        <v>1410.373</v>
      </c>
      <c r="I617" s="52"/>
      <c r="J617" s="4">
        <f>$H617*K617/100</f>
        <v>1.7037305840000001</v>
      </c>
      <c r="K617" s="9">
        <v>0.12080000000000002</v>
      </c>
      <c r="L617" s="54"/>
      <c r="M617" s="4">
        <f t="shared" ref="M617" si="219">J617-O617</f>
        <v>1.7037305840000001</v>
      </c>
      <c r="N617" s="27"/>
      <c r="O617" s="4">
        <v>0</v>
      </c>
      <c r="P617" s="4">
        <f t="shared" ref="P617" si="220">Q617-O617</f>
        <v>0</v>
      </c>
      <c r="Q617" s="4">
        <f>$H617*R617/100</f>
        <v>0</v>
      </c>
      <c r="R617" s="9">
        <f>R614</f>
        <v>0</v>
      </c>
      <c r="S617" s="5"/>
      <c r="T617" s="6">
        <f t="shared" si="218"/>
        <v>-1</v>
      </c>
    </row>
    <row r="618" spans="2:20" x14ac:dyDescent="0.25">
      <c r="B618" s="47">
        <f>MAX(B$10:B617)+1</f>
        <v>322</v>
      </c>
      <c r="C618" s="49"/>
      <c r="D618" s="29" t="s">
        <v>185</v>
      </c>
      <c r="E618" s="47"/>
      <c r="F618" s="58" t="s">
        <v>36</v>
      </c>
      <c r="G618" s="47"/>
      <c r="H618" s="4">
        <v>350</v>
      </c>
      <c r="I618" s="52"/>
      <c r="J618" s="4">
        <f>$H618*K618/100</f>
        <v>10.775799999999998</v>
      </c>
      <c r="K618" s="9">
        <v>3.0787999999999998</v>
      </c>
      <c r="L618" s="54"/>
      <c r="M618" s="4">
        <f>J618-O618</f>
        <v>10.775799999999998</v>
      </c>
      <c r="N618" s="27"/>
      <c r="O618" s="4">
        <v>0</v>
      </c>
      <c r="P618" s="4">
        <f>Q618-O618</f>
        <v>1.5784885290856949</v>
      </c>
      <c r="Q618" s="4">
        <f>$H618*R618/100</f>
        <v>1.5784885290856949</v>
      </c>
      <c r="R618" s="9">
        <v>0.45099672259591284</v>
      </c>
      <c r="S618" s="5"/>
      <c r="T618" s="6">
        <f t="shared" si="218"/>
        <v>-0.85351542074967102</v>
      </c>
    </row>
    <row r="619" spans="2:20" x14ac:dyDescent="0.25">
      <c r="B619" s="47"/>
      <c r="C619" s="49"/>
      <c r="D619" s="26"/>
      <c r="E619" s="47"/>
      <c r="F619" s="3"/>
      <c r="G619" s="47"/>
      <c r="H619" s="4"/>
      <c r="I619" s="52"/>
      <c r="J619" s="4"/>
      <c r="K619" s="9"/>
      <c r="L619" s="54"/>
      <c r="M619" s="4"/>
      <c r="N619" s="27"/>
      <c r="O619" s="4"/>
      <c r="P619" s="4"/>
      <c r="Q619" s="4"/>
      <c r="R619" s="9"/>
      <c r="S619" s="5"/>
      <c r="T619" s="15"/>
    </row>
    <row r="620" spans="2:20" ht="13" x14ac:dyDescent="0.3">
      <c r="B620" s="47">
        <f>MAX(B$10:B619)+1</f>
        <v>323</v>
      </c>
      <c r="C620" s="49"/>
      <c r="D620" s="29" t="s">
        <v>186</v>
      </c>
      <c r="E620" s="47"/>
      <c r="F620" s="41"/>
      <c r="G620" s="47"/>
      <c r="H620" s="34"/>
      <c r="I620" s="52"/>
      <c r="J620" s="34"/>
      <c r="K620" s="52"/>
      <c r="L620" s="52"/>
      <c r="M620" s="13"/>
      <c r="N620" s="52"/>
      <c r="O620" s="14"/>
      <c r="P620" s="52"/>
      <c r="Q620" s="52"/>
      <c r="R620" s="52"/>
      <c r="S620" s="52"/>
      <c r="T620" s="67"/>
    </row>
    <row r="621" spans="2:20" x14ac:dyDescent="0.25">
      <c r="B621" s="47">
        <f>MAX(B$10:B620)+1</f>
        <v>324</v>
      </c>
      <c r="C621" s="49"/>
      <c r="D621" s="26" t="s">
        <v>187</v>
      </c>
      <c r="E621" s="47"/>
      <c r="F621" s="3"/>
      <c r="G621" s="47"/>
      <c r="H621" s="55">
        <f>SUM(H614:H615)</f>
        <v>431289.49168000009</v>
      </c>
      <c r="I621" s="52"/>
      <c r="J621" s="55">
        <f>SUM(J608:J620)</f>
        <v>12780.013454227941</v>
      </c>
      <c r="K621" s="7">
        <f>J621/$H621*100</f>
        <v>2.9632100249987565</v>
      </c>
      <c r="L621" s="54"/>
      <c r="M621" s="55">
        <f>SUM(M608:M620)</f>
        <v>1451.7943259291922</v>
      </c>
      <c r="N621" s="27"/>
      <c r="O621" s="55">
        <f>SUM(O608:O620)</f>
        <v>11328.219128298751</v>
      </c>
      <c r="P621" s="55">
        <f>SUM(P608:P620)</f>
        <v>-774.88889648095187</v>
      </c>
      <c r="Q621" s="55">
        <f>SUM(Q608:Q620)</f>
        <v>10553.330231817798</v>
      </c>
      <c r="R621" s="7">
        <f>Q621/$H621*100</f>
        <v>2.446924962328541</v>
      </c>
      <c r="S621" s="56">
        <f>Q621/O621</f>
        <v>0.9315965830370263</v>
      </c>
      <c r="T621" s="8">
        <f>R621/K621-1</f>
        <v>-0.17423168061481986</v>
      </c>
    </row>
    <row r="622" spans="2:20" x14ac:dyDescent="0.25">
      <c r="E622" s="47"/>
      <c r="F622" s="3"/>
      <c r="G622" s="47"/>
      <c r="H622" s="4"/>
      <c r="I622" s="52"/>
      <c r="J622" s="4"/>
      <c r="K622" s="9"/>
      <c r="L622" s="54"/>
      <c r="M622" s="4"/>
      <c r="N622" s="27"/>
      <c r="O622" s="4"/>
      <c r="P622" s="4"/>
      <c r="Q622" s="4"/>
      <c r="R622" s="9"/>
      <c r="S622" s="5"/>
      <c r="T622" s="6"/>
    </row>
    <row r="623" spans="2:20" x14ac:dyDescent="0.25">
      <c r="D623" s="66" t="s">
        <v>188</v>
      </c>
      <c r="E623" s="47"/>
      <c r="F623" s="3"/>
      <c r="G623" s="47"/>
      <c r="H623" s="4"/>
      <c r="I623" s="52"/>
      <c r="J623" s="4"/>
      <c r="K623" s="9"/>
      <c r="L623" s="54"/>
      <c r="M623" s="4"/>
      <c r="N623" s="27"/>
      <c r="O623" s="4"/>
      <c r="P623" s="4"/>
      <c r="Q623" s="4"/>
      <c r="R623" s="9"/>
      <c r="S623" s="5"/>
      <c r="T623" s="6"/>
    </row>
    <row r="624" spans="2:20" x14ac:dyDescent="0.25">
      <c r="D624" s="70" t="s">
        <v>189</v>
      </c>
      <c r="E624" s="47"/>
      <c r="F624" s="3"/>
      <c r="G624" s="47"/>
      <c r="H624" s="4"/>
      <c r="I624" s="52"/>
      <c r="J624" s="4"/>
      <c r="K624" s="9"/>
      <c r="L624" s="54"/>
      <c r="M624" s="4"/>
      <c r="N624" s="27"/>
      <c r="O624" s="4"/>
      <c r="P624" s="4"/>
      <c r="Q624" s="4"/>
      <c r="R624" s="9"/>
      <c r="S624" s="5"/>
      <c r="T624" s="6"/>
    </row>
    <row r="625" spans="2:21" x14ac:dyDescent="0.25">
      <c r="B625" s="47">
        <f>MAX(B$10:B624)+1</f>
        <v>325</v>
      </c>
      <c r="D625" s="73" t="s">
        <v>190</v>
      </c>
      <c r="E625" s="47"/>
      <c r="F625" s="3" t="s">
        <v>191</v>
      </c>
      <c r="G625" s="47"/>
      <c r="H625" s="4">
        <v>17815248</v>
      </c>
      <c r="I625" s="52"/>
      <c r="J625" s="4">
        <f>$H625*K625/1000</f>
        <v>213.78297599999999</v>
      </c>
      <c r="K625" s="18">
        <v>1.2E-2</v>
      </c>
      <c r="L625" s="54"/>
      <c r="M625" s="4">
        <f>J625-O625</f>
        <v>-58.662632009905536</v>
      </c>
      <c r="N625" s="27"/>
      <c r="O625" s="4">
        <v>272.44560800990553</v>
      </c>
      <c r="P625" s="4">
        <f>Q625-O625</f>
        <v>0</v>
      </c>
      <c r="Q625" s="4">
        <f>$H625*R625/1000</f>
        <v>272.4456080099053</v>
      </c>
      <c r="R625" s="18">
        <v>1.5292832746976371E-2</v>
      </c>
      <c r="S625" s="5"/>
      <c r="T625" s="6">
        <f t="shared" ref="T625" si="221">R625/K625-1</f>
        <v>0.27440272891469752</v>
      </c>
    </row>
    <row r="626" spans="2:21" x14ac:dyDescent="0.25">
      <c r="D626" s="70" t="s">
        <v>192</v>
      </c>
      <c r="E626" s="47"/>
      <c r="F626" s="3"/>
      <c r="G626" s="47"/>
      <c r="H626" s="4"/>
      <c r="I626" s="52"/>
      <c r="J626" s="4"/>
      <c r="K626" s="9"/>
      <c r="L626" s="54"/>
      <c r="M626" s="4"/>
      <c r="N626" s="27"/>
      <c r="O626" s="4"/>
      <c r="P626" s="4"/>
      <c r="Q626" s="4"/>
      <c r="R626" s="9"/>
      <c r="S626" s="5"/>
      <c r="T626" s="6"/>
    </row>
    <row r="627" spans="2:21" x14ac:dyDescent="0.25">
      <c r="B627" s="47">
        <f>MAX(B$10:B626)+1</f>
        <v>326</v>
      </c>
      <c r="D627" s="74" t="s">
        <v>193</v>
      </c>
      <c r="E627" s="47"/>
      <c r="F627" s="3" t="s">
        <v>191</v>
      </c>
      <c r="G627" s="47"/>
      <c r="H627" s="4">
        <v>674172</v>
      </c>
      <c r="I627" s="52"/>
      <c r="J627" s="4">
        <f>$H627*K627/1000</f>
        <v>1266.0950159999998</v>
      </c>
      <c r="K627" s="18">
        <v>1.8779999999999999</v>
      </c>
      <c r="L627" s="54"/>
      <c r="M627" s="4">
        <f>J627-O627</f>
        <v>588.86968062247831</v>
      </c>
      <c r="N627" s="27"/>
      <c r="O627" s="4">
        <v>677.22533537752145</v>
      </c>
      <c r="P627" s="4">
        <f t="shared" ref="P627:P630" si="222">Q627-O627</f>
        <v>630.21022274437189</v>
      </c>
      <c r="Q627" s="4">
        <f>$H627*R627/1000</f>
        <v>1307.4355581218933</v>
      </c>
      <c r="R627" s="18">
        <v>1.9393204673612867</v>
      </c>
      <c r="S627" s="5"/>
      <c r="T627" s="6">
        <f t="shared" ref="T627:T630" si="223">R627/K627-1</f>
        <v>3.2652006049673554E-2</v>
      </c>
    </row>
    <row r="628" spans="2:21" x14ac:dyDescent="0.25">
      <c r="B628" s="47">
        <f>MAX(B$10:B627)+1</f>
        <v>327</v>
      </c>
      <c r="D628" s="74" t="s">
        <v>194</v>
      </c>
      <c r="E628" s="47"/>
      <c r="F628" s="3" t="s">
        <v>191</v>
      </c>
      <c r="G628" s="47"/>
      <c r="H628" s="4">
        <v>10476</v>
      </c>
      <c r="I628" s="52"/>
      <c r="J628" s="4">
        <f>$H628*K628/1000</f>
        <v>15.431148</v>
      </c>
      <c r="K628" s="18">
        <v>1.4730000000000001</v>
      </c>
      <c r="L628" s="54"/>
      <c r="M628" s="4">
        <f t="shared" ref="M628:M630" si="224">J628-O628</f>
        <v>7.1771352699157909</v>
      </c>
      <c r="N628" s="27"/>
      <c r="O628" s="4">
        <v>8.2540127300842094</v>
      </c>
      <c r="P628" s="4">
        <f t="shared" si="222"/>
        <v>9.4447052668870057</v>
      </c>
      <c r="Q628" s="4">
        <f>$H628*R628/1000</f>
        <v>17.698717996971215</v>
      </c>
      <c r="R628" s="18">
        <v>1.6894537988708682</v>
      </c>
      <c r="S628" s="5"/>
      <c r="T628" s="6">
        <f t="shared" si="223"/>
        <v>0.14694758918592532</v>
      </c>
    </row>
    <row r="629" spans="2:21" x14ac:dyDescent="0.25">
      <c r="B629" s="47">
        <f>MAX(B$10:B628)+1</f>
        <v>328</v>
      </c>
      <c r="D629" s="73" t="s">
        <v>195</v>
      </c>
      <c r="E629" s="47"/>
      <c r="F629" s="3" t="s">
        <v>191</v>
      </c>
      <c r="G629" s="47"/>
      <c r="H629" s="4">
        <v>0</v>
      </c>
      <c r="I629" s="52"/>
      <c r="J629" s="4">
        <f>$H629*K629/1000</f>
        <v>0</v>
      </c>
      <c r="K629" s="18">
        <v>1.4730000000000001</v>
      </c>
      <c r="L629" s="54"/>
      <c r="M629" s="4">
        <f t="shared" si="224"/>
        <v>0</v>
      </c>
      <c r="N629" s="27"/>
      <c r="O629" s="4">
        <v>0</v>
      </c>
      <c r="P629" s="4">
        <f t="shared" si="222"/>
        <v>0</v>
      </c>
      <c r="Q629" s="4">
        <f>$H629*R629/1000</f>
        <v>0</v>
      </c>
      <c r="R629" s="18">
        <v>1.6894537988708682</v>
      </c>
      <c r="S629" s="5"/>
      <c r="T629" s="6">
        <f t="shared" si="223"/>
        <v>0.14694758918592532</v>
      </c>
    </row>
    <row r="630" spans="2:21" x14ac:dyDescent="0.25">
      <c r="B630" s="47">
        <f>MAX(B$10:B629)+1</f>
        <v>329</v>
      </c>
      <c r="D630" s="73" t="s">
        <v>196</v>
      </c>
      <c r="E630" s="47"/>
      <c r="F630" s="3" t="s">
        <v>191</v>
      </c>
      <c r="G630" s="47"/>
      <c r="H630" s="4">
        <v>0</v>
      </c>
      <c r="I630" s="52"/>
      <c r="J630" s="4">
        <f>$H630*K630/1000</f>
        <v>0</v>
      </c>
      <c r="K630" s="18">
        <v>1.4730000000000001</v>
      </c>
      <c r="L630" s="54"/>
      <c r="M630" s="4">
        <f t="shared" si="224"/>
        <v>0</v>
      </c>
      <c r="N630" s="27"/>
      <c r="O630" s="4">
        <v>0</v>
      </c>
      <c r="P630" s="4">
        <f t="shared" si="222"/>
        <v>0</v>
      </c>
      <c r="Q630" s="4">
        <f>$H630*R630/1000</f>
        <v>0</v>
      </c>
      <c r="R630" s="18">
        <v>1.6894537988708682</v>
      </c>
      <c r="S630" s="5"/>
      <c r="T630" s="6">
        <f t="shared" si="223"/>
        <v>0.14694758918592532</v>
      </c>
    </row>
    <row r="631" spans="2:21" x14ac:dyDescent="0.25">
      <c r="D631" s="70" t="s">
        <v>197</v>
      </c>
      <c r="E631" s="47"/>
      <c r="F631" s="3"/>
      <c r="G631" s="47"/>
      <c r="H631" s="4"/>
      <c r="I631" s="52"/>
      <c r="J631" s="4"/>
      <c r="K631" s="9"/>
      <c r="L631" s="54"/>
      <c r="M631" s="4"/>
      <c r="N631" s="27"/>
      <c r="O631" s="4"/>
      <c r="P631" s="4"/>
      <c r="Q631" s="4"/>
      <c r="R631" s="9"/>
      <c r="S631" s="5"/>
      <c r="T631" s="6"/>
    </row>
    <row r="632" spans="2:21" x14ac:dyDescent="0.25">
      <c r="B632" s="47">
        <f>MAX(B$10:B631)+1</f>
        <v>330</v>
      </c>
      <c r="D632" s="73" t="s">
        <v>198</v>
      </c>
      <c r="E632" s="47"/>
      <c r="F632" s="3" t="s">
        <v>132</v>
      </c>
      <c r="G632" s="47"/>
      <c r="H632" s="4">
        <v>2989700.51</v>
      </c>
      <c r="I632" s="52"/>
      <c r="J632" s="4">
        <f>$H632*K632/1000</f>
        <v>35.876406119999999</v>
      </c>
      <c r="K632" s="18">
        <v>1.2E-2</v>
      </c>
      <c r="L632" s="54"/>
      <c r="M632" s="4">
        <f>J632-O632</f>
        <v>35.876406119999999</v>
      </c>
      <c r="N632" s="27"/>
      <c r="O632" s="4">
        <v>0</v>
      </c>
      <c r="P632" s="4">
        <f>Q632-O632</f>
        <v>0</v>
      </c>
      <c r="Q632" s="4">
        <f>$H632*R632/1000</f>
        <v>0</v>
      </c>
      <c r="R632" s="18">
        <v>0</v>
      </c>
      <c r="S632" s="5"/>
      <c r="T632" s="6">
        <f t="shared" ref="T632" si="225">R632/K632-1</f>
        <v>-1</v>
      </c>
    </row>
    <row r="633" spans="2:21" x14ac:dyDescent="0.25">
      <c r="D633" s="66"/>
      <c r="E633" s="47"/>
      <c r="F633" s="3"/>
      <c r="G633" s="47"/>
      <c r="H633" s="4"/>
      <c r="I633" s="52"/>
      <c r="J633" s="4"/>
      <c r="K633" s="9"/>
      <c r="L633" s="54"/>
      <c r="M633" s="4"/>
      <c r="N633" s="27"/>
      <c r="O633" s="4"/>
      <c r="P633" s="4"/>
      <c r="Q633" s="4"/>
      <c r="R633" s="9"/>
      <c r="S633" s="5"/>
      <c r="T633" s="6"/>
    </row>
    <row r="634" spans="2:21" ht="13" x14ac:dyDescent="0.3">
      <c r="B634" s="47">
        <f>MAX(B$10:B633)+1</f>
        <v>331</v>
      </c>
      <c r="C634" s="49"/>
      <c r="D634" s="29" t="s">
        <v>199</v>
      </c>
      <c r="E634" s="47"/>
      <c r="F634" s="58"/>
      <c r="G634" s="47"/>
      <c r="H634" s="34"/>
      <c r="I634" s="52"/>
      <c r="J634" s="34"/>
      <c r="K634" s="52"/>
      <c r="L634" s="52"/>
      <c r="M634" s="13"/>
      <c r="N634" s="52"/>
      <c r="O634" s="14"/>
      <c r="P634" s="52"/>
      <c r="Q634" s="52"/>
      <c r="R634" s="52"/>
      <c r="S634" s="52"/>
      <c r="T634" s="67"/>
    </row>
    <row r="635" spans="2:21" x14ac:dyDescent="0.25">
      <c r="B635" s="47">
        <f>MAX(B$10:B634)+1</f>
        <v>332</v>
      </c>
      <c r="C635" s="49"/>
      <c r="D635" s="26" t="s">
        <v>200</v>
      </c>
      <c r="E635" s="47"/>
      <c r="F635" s="3"/>
      <c r="G635" s="47"/>
      <c r="H635" s="55">
        <f>H621</f>
        <v>431289.49168000009</v>
      </c>
      <c r="I635" s="52"/>
      <c r="J635" s="55">
        <f>SUM(J625:J634)</f>
        <v>1531.1855461199996</v>
      </c>
      <c r="K635" s="7">
        <f>J635/$H635*100</f>
        <v>0.35502500655779468</v>
      </c>
      <c r="L635" s="54"/>
      <c r="M635" s="55">
        <f>SUM(M625:M634)</f>
        <v>573.26059000248847</v>
      </c>
      <c r="N635" s="27"/>
      <c r="O635" s="55">
        <f>SUM(O625:O634)</f>
        <v>957.92495611751121</v>
      </c>
      <c r="P635" s="55">
        <f>SUM(P625:P634)</f>
        <v>639.6549280112589</v>
      </c>
      <c r="Q635" s="55">
        <f>SUM(Q625:Q634)</f>
        <v>1597.5798841287699</v>
      </c>
      <c r="R635" s="7">
        <f>Q635/$H635*100</f>
        <v>0.37041938534271351</v>
      </c>
      <c r="S635" s="56">
        <f>Q635/O635</f>
        <v>1.6677505622191875</v>
      </c>
      <c r="T635" s="8">
        <f>R635/K635-1</f>
        <v>4.3361392861245518E-2</v>
      </c>
    </row>
    <row r="636" spans="2:21" x14ac:dyDescent="0.25">
      <c r="B636" s="47"/>
      <c r="C636" s="49"/>
      <c r="D636" s="26"/>
      <c r="E636" s="47"/>
      <c r="F636" s="3"/>
      <c r="G636" s="47"/>
      <c r="H636" s="4"/>
      <c r="I636" s="52"/>
      <c r="J636" s="4"/>
      <c r="K636" s="9"/>
      <c r="L636" s="54"/>
      <c r="M636" s="4"/>
      <c r="N636" s="27"/>
      <c r="O636" s="4"/>
      <c r="P636" s="4"/>
      <c r="Q636" s="4"/>
      <c r="R636" s="9"/>
      <c r="S636" s="5"/>
      <c r="T636" s="6"/>
    </row>
    <row r="637" spans="2:21" ht="13" thickBot="1" x14ac:dyDescent="0.3">
      <c r="B637" s="47">
        <f>MAX(B$10:B636)+1</f>
        <v>333</v>
      </c>
      <c r="C637" s="49"/>
      <c r="D637" s="26" t="s">
        <v>201</v>
      </c>
      <c r="E637" s="47"/>
      <c r="F637" s="3"/>
      <c r="G637" s="47"/>
      <c r="H637" s="59">
        <f>H621</f>
        <v>431289.49168000009</v>
      </c>
      <c r="I637" s="52"/>
      <c r="J637" s="59">
        <f>J621+J635</f>
        <v>14311.19900034794</v>
      </c>
      <c r="K637" s="11">
        <f>J637/$H637*100</f>
        <v>3.3182350315565512</v>
      </c>
      <c r="L637" s="54"/>
      <c r="M637" s="59">
        <f>M621+M635</f>
        <v>2025.0549159316806</v>
      </c>
      <c r="N637" s="27"/>
      <c r="O637" s="59">
        <f>O621+O635</f>
        <v>12286.144084416263</v>
      </c>
      <c r="P637" s="59">
        <v>-135.23396846969302</v>
      </c>
      <c r="Q637" s="59">
        <f>Q621+Q635</f>
        <v>12150.910115946568</v>
      </c>
      <c r="R637" s="11">
        <f>Q637/$H637*100</f>
        <v>2.8173443476712543</v>
      </c>
      <c r="S637" s="60">
        <f>Q637/O637</f>
        <v>0.988992969027506</v>
      </c>
      <c r="T637" s="12">
        <f>R637/K637-1</f>
        <v>-0.15095093600115905</v>
      </c>
    </row>
    <row r="638" spans="2:21" ht="13.5" thickTop="1" x14ac:dyDescent="0.3">
      <c r="B638" s="47"/>
      <c r="C638" s="49"/>
      <c r="E638" s="47"/>
      <c r="F638" s="58"/>
      <c r="G638" s="47"/>
      <c r="H638" s="54"/>
      <c r="I638" s="52"/>
      <c r="J638" s="54"/>
      <c r="K638" s="32"/>
      <c r="L638" s="54"/>
      <c r="M638" s="54"/>
      <c r="N638" s="27"/>
      <c r="O638" s="54"/>
      <c r="P638" s="54"/>
      <c r="Q638" s="54"/>
      <c r="R638" s="32"/>
      <c r="S638" s="57"/>
      <c r="T638" s="32"/>
    </row>
    <row r="639" spans="2:21" x14ac:dyDescent="0.25">
      <c r="B639" s="19" t="str">
        <f>$B$2 &amp;" (continued)"</f>
        <v>Derivation of Proposed Rates and Revenue by Rate Class - Delivery (continued)</v>
      </c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20"/>
    </row>
    <row r="640" spans="2:21" x14ac:dyDescent="0.25">
      <c r="B640" s="43"/>
      <c r="C640" s="43"/>
      <c r="D640" s="43"/>
      <c r="E640" s="43"/>
      <c r="F640" s="44"/>
      <c r="G640" s="43"/>
      <c r="H640" s="44"/>
      <c r="I640" s="43"/>
      <c r="J640" s="44"/>
      <c r="K640" s="44"/>
      <c r="L640" s="44"/>
      <c r="M640" s="44"/>
      <c r="N640" s="43"/>
      <c r="O640" s="43"/>
      <c r="P640" s="43"/>
      <c r="Q640" s="43"/>
      <c r="R640" s="43"/>
      <c r="S640" s="22"/>
      <c r="T640" s="22"/>
    </row>
    <row r="641" spans="2:21" x14ac:dyDescent="0.25">
      <c r="B641" s="44"/>
      <c r="C641" s="44"/>
      <c r="D641" s="44"/>
      <c r="E641" s="44"/>
      <c r="F641" s="43"/>
      <c r="G641" s="44"/>
      <c r="H641" s="43"/>
      <c r="I641" s="44"/>
      <c r="J641" s="45" t="s">
        <v>1</v>
      </c>
      <c r="K641" s="45"/>
      <c r="L641" s="44"/>
      <c r="M641" s="44"/>
      <c r="N641" s="44"/>
      <c r="O641" s="45" t="s">
        <v>2</v>
      </c>
      <c r="P641" s="45"/>
      <c r="Q641" s="45"/>
      <c r="R641" s="45"/>
      <c r="S641" s="23"/>
      <c r="T641" s="23"/>
    </row>
    <row r="642" spans="2:21" s="24" customFormat="1" ht="39" customHeight="1" x14ac:dyDescent="0.25">
      <c r="B642" s="46" t="s">
        <v>3</v>
      </c>
      <c r="C642" s="46"/>
      <c r="D642" s="46"/>
      <c r="E642" s="46"/>
      <c r="F642" s="47" t="s">
        <v>4</v>
      </c>
      <c r="G642" s="46"/>
      <c r="H642" s="24" t="s">
        <v>5</v>
      </c>
      <c r="I642" s="46"/>
      <c r="J642" s="24" t="s">
        <v>6</v>
      </c>
      <c r="K642" s="24" t="s">
        <v>7</v>
      </c>
      <c r="L642" s="46"/>
      <c r="M642" s="24" t="s">
        <v>8</v>
      </c>
      <c r="N642" s="46"/>
      <c r="O642" s="46" t="s">
        <v>9</v>
      </c>
      <c r="P642" s="24" t="s">
        <v>8</v>
      </c>
      <c r="Q642" s="24" t="s">
        <v>6</v>
      </c>
      <c r="R642" s="24" t="s">
        <v>7</v>
      </c>
      <c r="S642" s="46" t="s">
        <v>10</v>
      </c>
      <c r="T642" s="46" t="s">
        <v>11</v>
      </c>
      <c r="U642" s="46"/>
    </row>
    <row r="643" spans="2:21" ht="14.5" x14ac:dyDescent="0.25">
      <c r="B643" s="48" t="s">
        <v>12</v>
      </c>
      <c r="C643" s="49"/>
      <c r="D643" s="50" t="s">
        <v>13</v>
      </c>
      <c r="E643" s="47"/>
      <c r="F643" s="48" t="s">
        <v>14</v>
      </c>
      <c r="G643" s="47"/>
      <c r="H643" s="48" t="s">
        <v>15</v>
      </c>
      <c r="I643" s="47"/>
      <c r="J643" s="48" t="s">
        <v>16</v>
      </c>
      <c r="K643" s="48" t="s">
        <v>17</v>
      </c>
      <c r="L643" s="47"/>
      <c r="M643" s="48" t="s">
        <v>16</v>
      </c>
      <c r="N643" s="47"/>
      <c r="O643" s="48" t="s">
        <v>16</v>
      </c>
      <c r="P643" s="48" t="s">
        <v>16</v>
      </c>
      <c r="Q643" s="48" t="s">
        <v>16</v>
      </c>
      <c r="R643" s="48" t="s">
        <v>17</v>
      </c>
      <c r="S643" s="48" t="s">
        <v>18</v>
      </c>
      <c r="T643" s="48" t="s">
        <v>19</v>
      </c>
      <c r="U643" s="47"/>
    </row>
    <row r="644" spans="2:21" x14ac:dyDescent="0.25">
      <c r="B644" s="47"/>
      <c r="C644" s="49"/>
      <c r="D644" s="49"/>
      <c r="E644" s="47"/>
      <c r="F644" s="47"/>
      <c r="G644" s="47"/>
      <c r="H644" s="47" t="s">
        <v>20</v>
      </c>
      <c r="I644" s="47"/>
      <c r="J644" s="47" t="s">
        <v>21</v>
      </c>
      <c r="K644" s="47" t="s">
        <v>22</v>
      </c>
      <c r="L644" s="47"/>
      <c r="M644" s="47" t="s">
        <v>23</v>
      </c>
      <c r="N644" s="47"/>
      <c r="O644" s="47" t="s">
        <v>24</v>
      </c>
      <c r="P644" s="47" t="s">
        <v>25</v>
      </c>
      <c r="Q644" s="51" t="s">
        <v>26</v>
      </c>
      <c r="R644" s="51" t="s">
        <v>27</v>
      </c>
      <c r="S644" s="51" t="s">
        <v>28</v>
      </c>
      <c r="T644" s="51" t="s">
        <v>29</v>
      </c>
      <c r="U644" s="47"/>
    </row>
    <row r="645" spans="2:21" ht="13" x14ac:dyDescent="0.3">
      <c r="B645" s="47"/>
      <c r="C645" s="49"/>
      <c r="E645" s="47"/>
      <c r="F645" s="58"/>
      <c r="G645" s="47"/>
      <c r="H645" s="54"/>
      <c r="I645" s="52"/>
      <c r="J645" s="54"/>
      <c r="K645" s="32"/>
      <c r="L645" s="54"/>
      <c r="M645" s="54"/>
      <c r="N645" s="27"/>
      <c r="O645" s="54"/>
      <c r="P645" s="54"/>
      <c r="Q645" s="54"/>
      <c r="R645" s="32"/>
      <c r="S645" s="57"/>
      <c r="T645" s="32"/>
    </row>
    <row r="646" spans="2:21" ht="13" x14ac:dyDescent="0.3">
      <c r="B646" s="47"/>
      <c r="C646" s="49"/>
      <c r="D646" s="20" t="s">
        <v>202</v>
      </c>
      <c r="E646" s="47"/>
      <c r="F646" s="25"/>
      <c r="G646" s="47"/>
      <c r="H646" s="34"/>
      <c r="I646" s="52"/>
      <c r="J646" s="34"/>
      <c r="K646" s="52"/>
      <c r="L646" s="52"/>
      <c r="M646" s="13"/>
      <c r="N646" s="52"/>
      <c r="O646" s="14"/>
      <c r="P646" s="52"/>
      <c r="Q646" s="52"/>
      <c r="R646" s="52"/>
      <c r="S646" s="52"/>
      <c r="T646" s="52"/>
      <c r="U646" s="47"/>
    </row>
    <row r="647" spans="2:21" x14ac:dyDescent="0.25">
      <c r="B647" s="47">
        <f>MAX(B$10:B646)+1</f>
        <v>334</v>
      </c>
      <c r="D647" s="26" t="s">
        <v>32</v>
      </c>
      <c r="E647" s="47"/>
      <c r="F647" s="41" t="s">
        <v>33</v>
      </c>
      <c r="G647" s="47"/>
      <c r="H647" s="4">
        <v>501.00000000000347</v>
      </c>
      <c r="I647" s="52"/>
      <c r="J647" s="4">
        <f>$H647*K647/1000</f>
        <v>3408.7088100000237</v>
      </c>
      <c r="K647" s="53">
        <v>6803.81</v>
      </c>
      <c r="L647" s="54"/>
      <c r="M647" s="4">
        <f>J647-O647</f>
        <v>-1863.3634791863715</v>
      </c>
      <c r="N647" s="27"/>
      <c r="O647" s="4">
        <v>5272.0722891863952</v>
      </c>
      <c r="P647" s="4">
        <f>Q647-O647</f>
        <v>-3769.0722891863848</v>
      </c>
      <c r="Q647" s="4">
        <f>$H647*R647/1000</f>
        <v>1503.0000000000105</v>
      </c>
      <c r="R647" s="53">
        <v>3000</v>
      </c>
      <c r="S647" s="5">
        <f>Q647/O647</f>
        <v>0.28508713795196439</v>
      </c>
      <c r="T647" s="6">
        <f>R647/K647-1</f>
        <v>-0.55907057957232786</v>
      </c>
    </row>
    <row r="648" spans="2:21" ht="14.5" x14ac:dyDescent="0.25">
      <c r="D648" s="26" t="s">
        <v>177</v>
      </c>
      <c r="E648" s="47"/>
      <c r="F648" s="3"/>
      <c r="G648" s="47"/>
      <c r="H648" s="4"/>
      <c r="I648" s="52"/>
      <c r="J648" s="4"/>
      <c r="K648" s="9"/>
      <c r="L648" s="54"/>
      <c r="M648" s="4"/>
      <c r="N648" s="27"/>
      <c r="O648" s="4"/>
      <c r="P648" s="4"/>
      <c r="Q648" s="4"/>
      <c r="R648" s="9"/>
      <c r="S648" s="5"/>
      <c r="T648" s="15"/>
    </row>
    <row r="649" spans="2:21" x14ac:dyDescent="0.25">
      <c r="B649" s="47"/>
      <c r="C649" s="49"/>
      <c r="D649" s="29" t="s">
        <v>178</v>
      </c>
      <c r="E649" s="47"/>
      <c r="F649" s="3"/>
      <c r="G649" s="47"/>
      <c r="H649" s="4"/>
      <c r="I649" s="52"/>
      <c r="J649" s="4"/>
      <c r="K649" s="9"/>
      <c r="L649" s="54"/>
      <c r="M649" s="4"/>
      <c r="N649" s="27"/>
      <c r="O649" s="4"/>
      <c r="P649" s="4"/>
      <c r="Q649" s="4"/>
      <c r="R649" s="9"/>
      <c r="S649" s="5"/>
      <c r="T649" s="15"/>
    </row>
    <row r="650" spans="2:21" x14ac:dyDescent="0.25">
      <c r="B650" s="47">
        <f>MAX(B$10:B649)+1</f>
        <v>335</v>
      </c>
      <c r="C650" s="49"/>
      <c r="D650" s="73" t="s">
        <v>203</v>
      </c>
      <c r="E650" s="47"/>
      <c r="F650" s="41" t="s">
        <v>59</v>
      </c>
      <c r="G650" s="47"/>
      <c r="H650" s="4">
        <v>60333.714</v>
      </c>
      <c r="I650" s="52"/>
      <c r="J650" s="4">
        <f>$H650*K650/100</f>
        <v>20007.021564684001</v>
      </c>
      <c r="K650" s="9">
        <v>33.160600000000002</v>
      </c>
      <c r="L650" s="54"/>
      <c r="M650" s="4">
        <f t="shared" ref="M650:M651" si="226">J650-O650</f>
        <v>-2944.9418597011208</v>
      </c>
      <c r="N650" s="27"/>
      <c r="O650" s="4">
        <v>22951.963424385121</v>
      </c>
      <c r="P650" s="4">
        <f>(P$676-P$674-P$647)*J650/SUM(J$650:J$651)</f>
        <v>-51.626683842640169</v>
      </c>
      <c r="Q650" s="4">
        <f>$H650*R650/100</f>
        <v>22900.33674054248</v>
      </c>
      <c r="R650" s="9">
        <f>(O650+P650)/H650*100</f>
        <v>37.956119758419774</v>
      </c>
      <c r="S650" s="5"/>
      <c r="T650" s="6">
        <f t="shared" ref="T650:T651" si="227">R650/K650-1</f>
        <v>0.14461498761843194</v>
      </c>
    </row>
    <row r="651" spans="2:21" x14ac:dyDescent="0.25">
      <c r="B651" s="47">
        <f>MAX(B$10:B650)+1</f>
        <v>336</v>
      </c>
      <c r="C651" s="49"/>
      <c r="D651" s="73" t="s">
        <v>204</v>
      </c>
      <c r="E651" s="47"/>
      <c r="F651" s="41" t="s">
        <v>59</v>
      </c>
      <c r="G651" s="47"/>
      <c r="H651" s="4">
        <v>248379.71</v>
      </c>
      <c r="I651" s="52"/>
      <c r="J651" s="4">
        <f>$H651*K651/100</f>
        <v>45894.112535539993</v>
      </c>
      <c r="K651" s="9">
        <v>18.477399999999999</v>
      </c>
      <c r="L651" s="54"/>
      <c r="M651" s="4">
        <f t="shared" si="226"/>
        <v>-6755.4029810373904</v>
      </c>
      <c r="N651" s="27"/>
      <c r="O651" s="4">
        <v>52649.515516577383</v>
      </c>
      <c r="P651" s="4">
        <f>(P$676-P$674-P$647)*J651/SUM(J$650:J$651)</f>
        <v>-118.42646495134595</v>
      </c>
      <c r="Q651" s="4">
        <f>$H651*R651/100</f>
        <v>52531.089051626033</v>
      </c>
      <c r="R651" s="9">
        <f>(O651+P651)/H651*100</f>
        <v>21.149508972220815</v>
      </c>
      <c r="S651" s="5"/>
      <c r="T651" s="6">
        <f t="shared" si="227"/>
        <v>0.14461498761843194</v>
      </c>
    </row>
    <row r="652" spans="2:21" x14ac:dyDescent="0.25">
      <c r="B652" s="47"/>
      <c r="C652" s="49"/>
      <c r="D652" s="29" t="s">
        <v>181</v>
      </c>
      <c r="E652" s="47"/>
      <c r="F652" s="3"/>
      <c r="G652" s="47"/>
      <c r="H652" s="4"/>
      <c r="I652" s="52"/>
      <c r="J652" s="4"/>
      <c r="K652" s="9"/>
      <c r="L652" s="54"/>
      <c r="M652" s="4"/>
      <c r="N652" s="27"/>
      <c r="O652" s="4"/>
      <c r="P652" s="4"/>
      <c r="Q652" s="4"/>
      <c r="R652" s="9"/>
      <c r="S652" s="5"/>
      <c r="T652" s="15"/>
    </row>
    <row r="653" spans="2:21" x14ac:dyDescent="0.25">
      <c r="B653" s="47">
        <f>MAX(B$10:B652)+1</f>
        <v>337</v>
      </c>
      <c r="C653" s="49"/>
      <c r="D653" s="74" t="s">
        <v>182</v>
      </c>
      <c r="E653" s="47"/>
      <c r="F653" s="58" t="s">
        <v>36</v>
      </c>
      <c r="G653" s="47"/>
      <c r="H653" s="4">
        <v>4963881.1019000001</v>
      </c>
      <c r="I653" s="52"/>
      <c r="J653" s="4">
        <f>$H653*K653/100</f>
        <v>893.49859834199992</v>
      </c>
      <c r="K653" s="9">
        <v>1.7999999999999999E-2</v>
      </c>
      <c r="L653" s="54"/>
      <c r="M653" s="4">
        <f>J653-O653</f>
        <v>893.49859834199992</v>
      </c>
      <c r="N653" s="27"/>
      <c r="O653" s="4">
        <v>0</v>
      </c>
      <c r="P653" s="4">
        <f t="shared" ref="P653:P654" si="228">Q653-O653</f>
        <v>0</v>
      </c>
      <c r="Q653" s="4">
        <f>$H653*R653/100</f>
        <v>0</v>
      </c>
      <c r="R653" s="9">
        <f>O653/(H653+H656)*100</f>
        <v>0</v>
      </c>
      <c r="S653" s="5"/>
      <c r="T653" s="6">
        <f t="shared" ref="T653:T654" si="229">R653/K653-1</f>
        <v>-1</v>
      </c>
    </row>
    <row r="654" spans="2:21" ht="25" x14ac:dyDescent="0.25">
      <c r="B654" s="47">
        <f>MAX(B$10:B653)+1</f>
        <v>338</v>
      </c>
      <c r="C654" s="49"/>
      <c r="D654" s="74" t="s">
        <v>183</v>
      </c>
      <c r="E654" s="47"/>
      <c r="F654" s="58" t="s">
        <v>36</v>
      </c>
      <c r="G654" s="47"/>
      <c r="H654" s="4">
        <v>41762.222750000008</v>
      </c>
      <c r="I654" s="52"/>
      <c r="J654" s="4">
        <f>$H654*K654/100</f>
        <v>1129.7096472863298</v>
      </c>
      <c r="K654" s="9">
        <v>2.7050994245423148</v>
      </c>
      <c r="L654" s="54"/>
      <c r="M654" s="4">
        <f>J654-O654</f>
        <v>545.65292579573406</v>
      </c>
      <c r="N654" s="27"/>
      <c r="O654" s="4">
        <v>584.05672149059569</v>
      </c>
      <c r="P654" s="4">
        <f t="shared" si="228"/>
        <v>-2.9374796475721041</v>
      </c>
      <c r="Q654" s="4">
        <f>$H654*R654/100</f>
        <v>581.11924184302359</v>
      </c>
      <c r="R654" s="9">
        <v>1.391495000928856</v>
      </c>
      <c r="S654" s="5"/>
      <c r="T654" s="6">
        <f t="shared" si="229"/>
        <v>-0.48560301026115227</v>
      </c>
    </row>
    <row r="655" spans="2:21" x14ac:dyDescent="0.25">
      <c r="B655" s="47"/>
      <c r="C655" s="49"/>
      <c r="D655" s="26"/>
      <c r="E655" s="47"/>
      <c r="F655" s="3"/>
      <c r="G655" s="47"/>
      <c r="H655" s="4"/>
      <c r="I655" s="52"/>
      <c r="J655" s="4"/>
      <c r="K655" s="9"/>
      <c r="L655" s="54"/>
      <c r="M655" s="4"/>
      <c r="N655" s="27"/>
      <c r="O655" s="4"/>
      <c r="P655" s="4"/>
      <c r="Q655" s="4"/>
      <c r="R655" s="9"/>
      <c r="S655" s="5"/>
      <c r="T655" s="15"/>
    </row>
    <row r="656" spans="2:21" x14ac:dyDescent="0.25">
      <c r="B656" s="47">
        <f>MAX(B$10:B655)+1</f>
        <v>339</v>
      </c>
      <c r="C656" s="49"/>
      <c r="D656" s="29" t="s">
        <v>184</v>
      </c>
      <c r="E656" s="47"/>
      <c r="F656" s="58" t="s">
        <v>36</v>
      </c>
      <c r="G656" s="47"/>
      <c r="H656" s="4">
        <v>24455.350999999999</v>
      </c>
      <c r="I656" s="52"/>
      <c r="J656" s="4">
        <f>$H656*K656/100</f>
        <v>4.4019631799999992</v>
      </c>
      <c r="K656" s="9">
        <v>1.7999999999999999E-2</v>
      </c>
      <c r="L656" s="54"/>
      <c r="M656" s="4">
        <f t="shared" ref="M656:M657" si="230">J656-O656</f>
        <v>4.4019631799999992</v>
      </c>
      <c r="N656" s="27"/>
      <c r="O656" s="4">
        <v>0</v>
      </c>
      <c r="P656" s="4">
        <f t="shared" ref="P656:P657" si="231">Q656-O656</f>
        <v>0</v>
      </c>
      <c r="Q656" s="4">
        <f>$H656*R656/100</f>
        <v>0</v>
      </c>
      <c r="R656" s="9">
        <f>R653</f>
        <v>0</v>
      </c>
      <c r="S656" s="5"/>
      <c r="T656" s="6">
        <f t="shared" ref="T656:T657" si="232">R656/K656-1</f>
        <v>-1</v>
      </c>
    </row>
    <row r="657" spans="2:20" x14ac:dyDescent="0.25">
      <c r="B657" s="47">
        <f>MAX(B$10:B656)+1</f>
        <v>340</v>
      </c>
      <c r="C657" s="49"/>
      <c r="D657" s="29" t="s">
        <v>185</v>
      </c>
      <c r="E657" s="47"/>
      <c r="F657" s="58" t="s">
        <v>36</v>
      </c>
      <c r="G657" s="47"/>
      <c r="H657" s="4">
        <v>176.95000000000073</v>
      </c>
      <c r="I657" s="52"/>
      <c r="J657" s="4">
        <f>$H657*K657/100</f>
        <v>5.7105303999999997</v>
      </c>
      <c r="K657" s="9">
        <v>3.2271999999999865</v>
      </c>
      <c r="L657" s="54"/>
      <c r="M657" s="4">
        <f t="shared" si="230"/>
        <v>5.7105303999999997</v>
      </c>
      <c r="N657" s="27"/>
      <c r="O657" s="4">
        <v>0</v>
      </c>
      <c r="P657" s="4">
        <f t="shared" si="231"/>
        <v>2.9374796475721778</v>
      </c>
      <c r="Q657" s="4">
        <f>$H657*R657/100</f>
        <v>2.9374796475721778</v>
      </c>
      <c r="R657" s="9">
        <v>1.6600619652852024</v>
      </c>
      <c r="S657" s="5"/>
      <c r="T657" s="6">
        <f t="shared" si="232"/>
        <v>-0.48560301026115227</v>
      </c>
    </row>
    <row r="658" spans="2:20" x14ac:dyDescent="0.25">
      <c r="B658" s="47"/>
      <c r="C658" s="49"/>
      <c r="D658" s="26"/>
      <c r="E658" s="47"/>
      <c r="F658" s="3"/>
      <c r="G658" s="47"/>
      <c r="H658" s="4"/>
      <c r="I658" s="52"/>
      <c r="J658" s="4"/>
      <c r="K658" s="9"/>
      <c r="L658" s="54"/>
      <c r="M658" s="4"/>
      <c r="N658" s="27"/>
      <c r="O658" s="4"/>
      <c r="P658" s="4"/>
      <c r="Q658" s="4"/>
      <c r="R658" s="9"/>
      <c r="S658" s="5"/>
      <c r="T658" s="15"/>
    </row>
    <row r="659" spans="2:20" ht="13" x14ac:dyDescent="0.3">
      <c r="B659" s="47">
        <f>MAX(B$10:B658)+1</f>
        <v>341</v>
      </c>
      <c r="C659" s="49"/>
      <c r="D659" s="29" t="s">
        <v>186</v>
      </c>
      <c r="E659" s="47"/>
      <c r="F659" s="41"/>
      <c r="G659" s="47"/>
      <c r="H659" s="34"/>
      <c r="I659" s="52"/>
      <c r="J659" s="34"/>
      <c r="K659" s="52"/>
      <c r="L659" s="52"/>
      <c r="M659" s="13"/>
      <c r="N659" s="52"/>
      <c r="O659" s="14"/>
      <c r="P659" s="52"/>
      <c r="Q659" s="52"/>
      <c r="R659" s="52"/>
      <c r="S659" s="52"/>
      <c r="T659" s="67"/>
    </row>
    <row r="660" spans="2:20" x14ac:dyDescent="0.25">
      <c r="B660" s="47">
        <f>MAX(B$10:B659)+1</f>
        <v>342</v>
      </c>
      <c r="C660" s="49"/>
      <c r="D660" s="26" t="s">
        <v>187</v>
      </c>
      <c r="E660" s="47"/>
      <c r="F660" s="3"/>
      <c r="G660" s="47"/>
      <c r="H660" s="55">
        <f>SUM(H653:H654)</f>
        <v>5005643.3246499998</v>
      </c>
      <c r="I660" s="52"/>
      <c r="J660" s="55">
        <f>SUM(J647:J659)</f>
        <v>71343.163649432361</v>
      </c>
      <c r="K660" s="7">
        <f>J660/$H660*100</f>
        <v>1.4252546380623465</v>
      </c>
      <c r="L660" s="54"/>
      <c r="M660" s="55">
        <f>SUM(M647:M659)</f>
        <v>-10114.44430220715</v>
      </c>
      <c r="N660" s="27"/>
      <c r="O660" s="55">
        <f>SUM(O647:O659)</f>
        <v>81457.607951639497</v>
      </c>
      <c r="P660" s="55">
        <f>SUM(P647:P659)</f>
        <v>-3939.1254379803709</v>
      </c>
      <c r="Q660" s="55">
        <f>SUM(Q647:Q659)</f>
        <v>77518.482513659124</v>
      </c>
      <c r="R660" s="7">
        <f>Q660/$H660*100</f>
        <v>1.5486217751856961</v>
      </c>
      <c r="S660" s="56">
        <f>Q660/O660</f>
        <v>0.95164201924123537</v>
      </c>
      <c r="T660" s="8">
        <f>R660/K660-1</f>
        <v>8.6557962225661589E-2</v>
      </c>
    </row>
    <row r="661" spans="2:20" x14ac:dyDescent="0.25">
      <c r="E661" s="47"/>
      <c r="F661" s="3"/>
      <c r="G661" s="47"/>
      <c r="H661" s="4"/>
      <c r="I661" s="52"/>
      <c r="J661" s="4"/>
      <c r="K661" s="9"/>
      <c r="L661" s="54"/>
      <c r="M661" s="4"/>
      <c r="N661" s="27"/>
      <c r="O661" s="4"/>
      <c r="P661" s="4"/>
      <c r="Q661" s="4"/>
      <c r="R661" s="9"/>
      <c r="S661" s="5"/>
      <c r="T661" s="6"/>
    </row>
    <row r="662" spans="2:20" x14ac:dyDescent="0.25">
      <c r="D662" s="66" t="s">
        <v>188</v>
      </c>
      <c r="E662" s="47"/>
      <c r="F662" s="3"/>
      <c r="G662" s="47"/>
      <c r="H662" s="4"/>
      <c r="I662" s="52"/>
      <c r="J662" s="4"/>
      <c r="K662" s="9"/>
      <c r="L662" s="54"/>
      <c r="M662" s="4"/>
      <c r="N662" s="27"/>
      <c r="O662" s="4"/>
      <c r="P662" s="4"/>
      <c r="Q662" s="4"/>
      <c r="R662" s="9"/>
      <c r="S662" s="5"/>
      <c r="T662" s="6"/>
    </row>
    <row r="663" spans="2:20" x14ac:dyDescent="0.25">
      <c r="D663" s="70" t="s">
        <v>189</v>
      </c>
      <c r="E663" s="47"/>
      <c r="F663" s="3"/>
      <c r="G663" s="47"/>
      <c r="H663" s="4"/>
      <c r="I663" s="52"/>
      <c r="J663" s="4"/>
      <c r="K663" s="9"/>
      <c r="L663" s="54"/>
      <c r="M663" s="4"/>
      <c r="N663" s="27"/>
      <c r="O663" s="4"/>
      <c r="P663" s="4"/>
      <c r="Q663" s="4"/>
      <c r="R663" s="9"/>
      <c r="S663" s="5"/>
      <c r="T663" s="6"/>
    </row>
    <row r="664" spans="2:20" x14ac:dyDescent="0.25">
      <c r="B664" s="47">
        <f>MAX(B$10:B663)+1</f>
        <v>343</v>
      </c>
      <c r="D664" s="73" t="s">
        <v>190</v>
      </c>
      <c r="E664" s="47"/>
      <c r="F664" s="3" t="s">
        <v>191</v>
      </c>
      <c r="G664" s="47"/>
      <c r="H664" s="4">
        <v>113600526</v>
      </c>
      <c r="I664" s="52"/>
      <c r="J664" s="4">
        <f>$H664*K664/1000</f>
        <v>1363.206312</v>
      </c>
      <c r="K664" s="18">
        <v>1.2E-2</v>
      </c>
      <c r="L664" s="54"/>
      <c r="M664" s="4">
        <f>J664-O664</f>
        <v>-362.42109179408885</v>
      </c>
      <c r="N664" s="27"/>
      <c r="O664" s="4">
        <v>1725.6274037940889</v>
      </c>
      <c r="P664" s="4">
        <f>Q664-O664</f>
        <v>11.646440292451643</v>
      </c>
      <c r="Q664" s="4">
        <f>$H664*R664/1000</f>
        <v>1737.2738440865405</v>
      </c>
      <c r="R664" s="18">
        <v>1.5292832746976371E-2</v>
      </c>
      <c r="S664" s="5"/>
      <c r="T664" s="6">
        <f t="shared" ref="T664" si="233">R664/K664-1</f>
        <v>0.27440272891469752</v>
      </c>
    </row>
    <row r="665" spans="2:20" x14ac:dyDescent="0.25">
      <c r="D665" s="70" t="s">
        <v>192</v>
      </c>
      <c r="E665" s="47"/>
      <c r="F665" s="3"/>
      <c r="G665" s="47"/>
      <c r="H665" s="4"/>
      <c r="I665" s="52"/>
      <c r="J665" s="4"/>
      <c r="K665" s="9"/>
      <c r="L665" s="54"/>
      <c r="M665" s="4"/>
      <c r="N665" s="27"/>
      <c r="O665" s="4"/>
      <c r="P665" s="4"/>
      <c r="Q665" s="4"/>
      <c r="R665" s="9"/>
      <c r="S665" s="5"/>
      <c r="T665" s="6"/>
    </row>
    <row r="666" spans="2:20" x14ac:dyDescent="0.25">
      <c r="B666" s="47">
        <f>MAX(B$10:B665)+1</f>
        <v>344</v>
      </c>
      <c r="D666" s="73" t="s">
        <v>193</v>
      </c>
      <c r="E666" s="47"/>
      <c r="F666" s="3" t="s">
        <v>191</v>
      </c>
      <c r="G666" s="47"/>
      <c r="H666" s="4">
        <v>2398062</v>
      </c>
      <c r="I666" s="52"/>
      <c r="J666" s="4">
        <f>$H666*K666/1000</f>
        <v>4503.5604359999998</v>
      </c>
      <c r="K666" s="18">
        <v>1.8779999999999999</v>
      </c>
      <c r="L666" s="54"/>
      <c r="M666" s="4">
        <f t="shared" ref="M666:M669" si="234">J666-O666</f>
        <v>1352.7749014874403</v>
      </c>
      <c r="N666" s="27"/>
      <c r="O666" s="4">
        <v>3150.7855345125595</v>
      </c>
      <c r="P666" s="4">
        <f t="shared" ref="P666:P669" si="235">Q666-O666</f>
        <v>1499.8251840887829</v>
      </c>
      <c r="Q666" s="4">
        <f>$H666*R666/1000</f>
        <v>4650.6107186013423</v>
      </c>
      <c r="R666" s="18">
        <v>1.9393204673612867</v>
      </c>
      <c r="S666" s="5"/>
      <c r="T666" s="6">
        <f t="shared" ref="T666:T669" si="236">R666/K666-1</f>
        <v>3.2652006049673554E-2</v>
      </c>
    </row>
    <row r="667" spans="2:20" x14ac:dyDescent="0.25">
      <c r="B667" s="47">
        <f>MAX(B$10:B666)+1</f>
        <v>345</v>
      </c>
      <c r="D667" s="74" t="s">
        <v>194</v>
      </c>
      <c r="E667" s="47"/>
      <c r="F667" s="3" t="s">
        <v>191</v>
      </c>
      <c r="G667" s="47"/>
      <c r="H667" s="4">
        <v>900000</v>
      </c>
      <c r="I667" s="52"/>
      <c r="J667" s="4">
        <f>$H667*K667/1000</f>
        <v>1325.7</v>
      </c>
      <c r="K667" s="18">
        <v>1.4730000000000001</v>
      </c>
      <c r="L667" s="54"/>
      <c r="M667" s="4">
        <f t="shared" si="234"/>
        <v>398.21241712806875</v>
      </c>
      <c r="N667" s="27"/>
      <c r="O667" s="4">
        <v>927.48758287193129</v>
      </c>
      <c r="P667" s="4">
        <f t="shared" si="235"/>
        <v>593.02083611185014</v>
      </c>
      <c r="Q667" s="4">
        <f>$H667*R667/1000</f>
        <v>1520.5084189837814</v>
      </c>
      <c r="R667" s="18">
        <v>1.6894537988708682</v>
      </c>
      <c r="S667" s="5"/>
      <c r="T667" s="6">
        <f t="shared" si="236"/>
        <v>0.14694758918592532</v>
      </c>
    </row>
    <row r="668" spans="2:20" x14ac:dyDescent="0.25">
      <c r="B668" s="47">
        <f>MAX(B$10:B667)+1</f>
        <v>346</v>
      </c>
      <c r="D668" s="73" t="s">
        <v>195</v>
      </c>
      <c r="E668" s="47"/>
      <c r="F668" s="3" t="s">
        <v>191</v>
      </c>
      <c r="G668" s="47"/>
      <c r="H668" s="4">
        <v>12000</v>
      </c>
      <c r="I668" s="52"/>
      <c r="J668" s="4">
        <f>$H668*K668/1000</f>
        <v>17.675999999999998</v>
      </c>
      <c r="K668" s="18">
        <v>1.4730000000000001</v>
      </c>
      <c r="L668" s="54"/>
      <c r="M668" s="4">
        <f t="shared" si="234"/>
        <v>5.3094988950409174</v>
      </c>
      <c r="N668" s="27"/>
      <c r="O668" s="4">
        <v>12.366501104959081</v>
      </c>
      <c r="P668" s="4">
        <f t="shared" si="235"/>
        <v>7.9069444814913403</v>
      </c>
      <c r="Q668" s="4">
        <f>$H668*R668/1000</f>
        <v>20.273445586450421</v>
      </c>
      <c r="R668" s="18">
        <v>1.6894537988708682</v>
      </c>
      <c r="S668" s="5"/>
      <c r="T668" s="6">
        <f t="shared" si="236"/>
        <v>0.14694758918592532</v>
      </c>
    </row>
    <row r="669" spans="2:20" x14ac:dyDescent="0.25">
      <c r="B669" s="47">
        <f>MAX(B$10:B668)+1</f>
        <v>347</v>
      </c>
      <c r="D669" s="73" t="s">
        <v>196</v>
      </c>
      <c r="E669" s="47"/>
      <c r="F669" s="3" t="s">
        <v>191</v>
      </c>
      <c r="G669" s="47"/>
      <c r="H669" s="4">
        <v>180000</v>
      </c>
      <c r="I669" s="52"/>
      <c r="J669" s="4">
        <f>$H669*K669/1000</f>
        <v>265.14</v>
      </c>
      <c r="K669" s="18">
        <v>1.4730000000000001</v>
      </c>
      <c r="L669" s="54"/>
      <c r="M669" s="4">
        <f t="shared" si="234"/>
        <v>79.642483425613761</v>
      </c>
      <c r="N669" s="27"/>
      <c r="O669" s="4">
        <v>185.49751657438622</v>
      </c>
      <c r="P669" s="4">
        <f t="shared" si="235"/>
        <v>118.60416722237005</v>
      </c>
      <c r="Q669" s="4">
        <f>$H669*R669/1000</f>
        <v>304.10168379675628</v>
      </c>
      <c r="R669" s="18">
        <v>1.6894537988708682</v>
      </c>
      <c r="S669" s="5"/>
      <c r="T669" s="6">
        <f t="shared" si="236"/>
        <v>0.14694758918592532</v>
      </c>
    </row>
    <row r="670" spans="2:20" x14ac:dyDescent="0.25">
      <c r="D670" s="70" t="s">
        <v>197</v>
      </c>
      <c r="E670" s="47"/>
      <c r="F670" s="3"/>
      <c r="G670" s="47"/>
      <c r="H670" s="4"/>
      <c r="I670" s="52"/>
      <c r="J670" s="4"/>
      <c r="K670" s="9"/>
      <c r="L670" s="54"/>
      <c r="M670" s="4"/>
      <c r="N670" s="27"/>
      <c r="O670" s="4"/>
      <c r="P670" s="4"/>
      <c r="Q670" s="4"/>
      <c r="R670" s="9"/>
      <c r="S670" s="5"/>
      <c r="T670" s="6"/>
    </row>
    <row r="671" spans="2:20" x14ac:dyDescent="0.25">
      <c r="B671" s="47">
        <f>MAX(B$10:B670)+1</f>
        <v>348</v>
      </c>
      <c r="D671" s="73" t="s">
        <v>198</v>
      </c>
      <c r="E671" s="47"/>
      <c r="F671" s="3" t="s">
        <v>132</v>
      </c>
      <c r="G671" s="47"/>
      <c r="H671" s="4">
        <v>31198326.559999999</v>
      </c>
      <c r="I671" s="52"/>
      <c r="J671" s="4">
        <f>$H671*K671/1000</f>
        <v>374.37991872000003</v>
      </c>
      <c r="K671" s="18">
        <v>1.2E-2</v>
      </c>
      <c r="L671" s="54"/>
      <c r="M671" s="4">
        <f>J671-O671</f>
        <v>374.37991872000003</v>
      </c>
      <c r="N671" s="27"/>
      <c r="O671" s="4">
        <v>0</v>
      </c>
      <c r="P671" s="4">
        <f>Q671-O671</f>
        <v>0</v>
      </c>
      <c r="Q671" s="4">
        <f>$H671*R671/1000</f>
        <v>0</v>
      </c>
      <c r="R671" s="18">
        <v>0</v>
      </c>
      <c r="S671" s="5"/>
      <c r="T671" s="6">
        <f t="shared" ref="T671" si="237">R671/K671-1</f>
        <v>-1</v>
      </c>
    </row>
    <row r="672" spans="2:20" x14ac:dyDescent="0.25">
      <c r="D672" s="66"/>
      <c r="E672" s="47"/>
      <c r="F672" s="3"/>
      <c r="G672" s="47"/>
      <c r="H672" s="4"/>
      <c r="I672" s="52"/>
      <c r="J672" s="4"/>
      <c r="K672" s="9"/>
      <c r="L672" s="54"/>
      <c r="M672" s="4"/>
      <c r="N672" s="27"/>
      <c r="O672" s="4"/>
      <c r="P672" s="4"/>
      <c r="Q672" s="4"/>
      <c r="R672" s="9"/>
      <c r="S672" s="5"/>
      <c r="T672" s="6"/>
    </row>
    <row r="673" spans="2:21" ht="13" x14ac:dyDescent="0.3">
      <c r="B673" s="47">
        <f>MAX(B$10:B672)+1</f>
        <v>349</v>
      </c>
      <c r="C673" s="49"/>
      <c r="D673" s="29" t="s">
        <v>199</v>
      </c>
      <c r="E673" s="47"/>
      <c r="F673" s="58"/>
      <c r="G673" s="47"/>
      <c r="H673" s="34"/>
      <c r="I673" s="52"/>
      <c r="J673" s="34"/>
      <c r="K673" s="52"/>
      <c r="L673" s="52"/>
      <c r="M673" s="13"/>
      <c r="N673" s="52"/>
      <c r="O673" s="14"/>
      <c r="P673" s="52"/>
      <c r="Q673" s="52"/>
      <c r="R673" s="52"/>
      <c r="S673" s="52"/>
      <c r="T673" s="67"/>
    </row>
    <row r="674" spans="2:21" x14ac:dyDescent="0.25">
      <c r="B674" s="47">
        <f>MAX(B$10:B673)+1</f>
        <v>350</v>
      </c>
      <c r="C674" s="49"/>
      <c r="D674" s="26" t="s">
        <v>200</v>
      </c>
      <c r="E674" s="47"/>
      <c r="F674" s="3"/>
      <c r="G674" s="47"/>
      <c r="H674" s="55">
        <f>H660</f>
        <v>5005643.3246499998</v>
      </c>
      <c r="I674" s="52"/>
      <c r="J674" s="55">
        <f>SUM(J664:J673)</f>
        <v>7849.6626667200007</v>
      </c>
      <c r="K674" s="7">
        <f>J674/$H674*100</f>
        <v>0.15681626032092205</v>
      </c>
      <c r="L674" s="54"/>
      <c r="M674" s="55">
        <f>SUM(M664:M673)</f>
        <v>1847.8981278620747</v>
      </c>
      <c r="N674" s="27"/>
      <c r="O674" s="55">
        <f>SUM(O664:O673)</f>
        <v>6001.7645388579249</v>
      </c>
      <c r="P674" s="55">
        <f>SUM(P664:P673)</f>
        <v>2231.0035721969462</v>
      </c>
      <c r="Q674" s="55">
        <f>SUM(Q664:Q673)</f>
        <v>8232.768111054871</v>
      </c>
      <c r="R674" s="7">
        <f>Q674/$H674*100</f>
        <v>0.16446973100366705</v>
      </c>
      <c r="S674" s="56">
        <f>Q674/O674</f>
        <v>1.3717246082801982</v>
      </c>
      <c r="T674" s="8">
        <f>R674/K674-1</f>
        <v>4.8805338598703285E-2</v>
      </c>
    </row>
    <row r="675" spans="2:21" x14ac:dyDescent="0.25">
      <c r="B675" s="47"/>
      <c r="C675" s="49"/>
      <c r="D675" s="26"/>
      <c r="E675" s="47"/>
      <c r="F675" s="3"/>
      <c r="G675" s="47"/>
      <c r="H675" s="4"/>
      <c r="I675" s="52"/>
      <c r="J675" s="4"/>
      <c r="K675" s="9"/>
      <c r="L675" s="54"/>
      <c r="M675" s="4"/>
      <c r="N675" s="27"/>
      <c r="O675" s="4"/>
      <c r="P675" s="4"/>
      <c r="Q675" s="4"/>
      <c r="R675" s="9"/>
      <c r="S675" s="5"/>
      <c r="T675" s="6"/>
    </row>
    <row r="676" spans="2:21" ht="13" thickBot="1" x14ac:dyDescent="0.3">
      <c r="B676" s="47">
        <f>MAX(B$10:B675)+1</f>
        <v>351</v>
      </c>
      <c r="C676" s="49"/>
      <c r="D676" s="26" t="s">
        <v>205</v>
      </c>
      <c r="E676" s="47"/>
      <c r="F676" s="3"/>
      <c r="G676" s="47"/>
      <c r="H676" s="59">
        <f>H660</f>
        <v>5005643.3246499998</v>
      </c>
      <c r="I676" s="52"/>
      <c r="J676" s="59">
        <f>J660+J674</f>
        <v>79192.826316152365</v>
      </c>
      <c r="K676" s="11">
        <f>J676/$H676*100</f>
        <v>1.5820708983832685</v>
      </c>
      <c r="L676" s="54"/>
      <c r="M676" s="59">
        <f>M660+M674</f>
        <v>-8266.546174345076</v>
      </c>
      <c r="N676" s="27"/>
      <c r="O676" s="59">
        <f>O660+O674</f>
        <v>87459.372490497422</v>
      </c>
      <c r="P676" s="59">
        <v>-1708.1218657834247</v>
      </c>
      <c r="Q676" s="59">
        <f>Q660+Q674</f>
        <v>85751.250624713997</v>
      </c>
      <c r="R676" s="11">
        <f>Q676/$H676*100</f>
        <v>1.7130915061893632</v>
      </c>
      <c r="S676" s="60">
        <f>Q676/O676</f>
        <v>0.98046953897400746</v>
      </c>
      <c r="T676" s="12">
        <f>R676/K676-1</f>
        <v>8.2815888933919224E-2</v>
      </c>
    </row>
    <row r="677" spans="2:21" ht="13.5" thickTop="1" x14ac:dyDescent="0.3">
      <c r="B677" s="47"/>
      <c r="C677" s="49"/>
      <c r="E677" s="47"/>
      <c r="F677" s="58"/>
      <c r="G677" s="47"/>
      <c r="H677" s="54"/>
      <c r="I677" s="52"/>
      <c r="J677" s="54"/>
      <c r="K677" s="32"/>
      <c r="L677" s="54"/>
      <c r="M677" s="54"/>
      <c r="N677" s="27"/>
      <c r="O677" s="54"/>
      <c r="P677" s="54"/>
      <c r="Q677" s="54"/>
      <c r="R677" s="32"/>
      <c r="S677" s="57"/>
      <c r="T677" s="35"/>
    </row>
    <row r="678" spans="2:21" x14ac:dyDescent="0.25">
      <c r="B678" s="19" t="str">
        <f>$B$2 &amp;" (continued)"</f>
        <v>Derivation of Proposed Rates and Revenue by Rate Class - Delivery (continued)</v>
      </c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20"/>
    </row>
    <row r="679" spans="2:21" x14ac:dyDescent="0.25">
      <c r="B679" s="43"/>
      <c r="C679" s="43"/>
      <c r="D679" s="43"/>
      <c r="E679" s="43"/>
      <c r="F679" s="44"/>
      <c r="G679" s="43"/>
      <c r="H679" s="44"/>
      <c r="I679" s="43"/>
      <c r="J679" s="44"/>
      <c r="K679" s="44"/>
      <c r="L679" s="44"/>
      <c r="M679" s="44"/>
      <c r="N679" s="43"/>
      <c r="O679" s="43"/>
      <c r="P679" s="43"/>
      <c r="Q679" s="43"/>
      <c r="R679" s="43"/>
      <c r="S679" s="22"/>
      <c r="T679" s="22"/>
    </row>
    <row r="680" spans="2:21" x14ac:dyDescent="0.25">
      <c r="B680" s="44"/>
      <c r="C680" s="44"/>
      <c r="D680" s="44"/>
      <c r="E680" s="44"/>
      <c r="F680" s="43"/>
      <c r="G680" s="44"/>
      <c r="H680" s="43"/>
      <c r="I680" s="44"/>
      <c r="J680" s="45" t="s">
        <v>1</v>
      </c>
      <c r="K680" s="45"/>
      <c r="L680" s="44"/>
      <c r="M680" s="44"/>
      <c r="N680" s="44"/>
      <c r="O680" s="45" t="s">
        <v>2</v>
      </c>
      <c r="P680" s="45"/>
      <c r="Q680" s="45"/>
      <c r="R680" s="45"/>
      <c r="S680" s="23"/>
      <c r="T680" s="23"/>
    </row>
    <row r="681" spans="2:21" s="24" customFormat="1" ht="39" customHeight="1" x14ac:dyDescent="0.25">
      <c r="B681" s="46" t="s">
        <v>3</v>
      </c>
      <c r="C681" s="46"/>
      <c r="D681" s="46"/>
      <c r="E681" s="46"/>
      <c r="F681" s="47" t="s">
        <v>4</v>
      </c>
      <c r="G681" s="46"/>
      <c r="H681" s="24" t="s">
        <v>5</v>
      </c>
      <c r="I681" s="46"/>
      <c r="J681" s="24" t="s">
        <v>6</v>
      </c>
      <c r="K681" s="24" t="s">
        <v>7</v>
      </c>
      <c r="L681" s="46"/>
      <c r="M681" s="24" t="s">
        <v>8</v>
      </c>
      <c r="N681" s="46"/>
      <c r="O681" s="46" t="s">
        <v>9</v>
      </c>
      <c r="P681" s="24" t="s">
        <v>8</v>
      </c>
      <c r="Q681" s="24" t="s">
        <v>6</v>
      </c>
      <c r="R681" s="24" t="s">
        <v>7</v>
      </c>
      <c r="S681" s="46" t="s">
        <v>10</v>
      </c>
      <c r="T681" s="46" t="s">
        <v>11</v>
      </c>
      <c r="U681" s="46"/>
    </row>
    <row r="682" spans="2:21" ht="14.5" x14ac:dyDescent="0.25">
      <c r="B682" s="48" t="s">
        <v>12</v>
      </c>
      <c r="C682" s="49"/>
      <c r="D682" s="50" t="s">
        <v>13</v>
      </c>
      <c r="E682" s="47"/>
      <c r="F682" s="48" t="s">
        <v>14</v>
      </c>
      <c r="G682" s="47"/>
      <c r="H682" s="48" t="s">
        <v>15</v>
      </c>
      <c r="I682" s="47"/>
      <c r="J682" s="48" t="s">
        <v>16</v>
      </c>
      <c r="K682" s="48" t="s">
        <v>17</v>
      </c>
      <c r="L682" s="47"/>
      <c r="M682" s="48" t="s">
        <v>16</v>
      </c>
      <c r="N682" s="47"/>
      <c r="O682" s="48" t="s">
        <v>16</v>
      </c>
      <c r="P682" s="48" t="s">
        <v>16</v>
      </c>
      <c r="Q682" s="48" t="s">
        <v>16</v>
      </c>
      <c r="R682" s="48" t="s">
        <v>17</v>
      </c>
      <c r="S682" s="48" t="s">
        <v>18</v>
      </c>
      <c r="T682" s="48" t="s">
        <v>19</v>
      </c>
      <c r="U682" s="47"/>
    </row>
    <row r="683" spans="2:21" x14ac:dyDescent="0.25">
      <c r="B683" s="47"/>
      <c r="C683" s="49"/>
      <c r="D683" s="49"/>
      <c r="E683" s="47"/>
      <c r="F683" s="47"/>
      <c r="G683" s="47"/>
      <c r="H683" s="47" t="s">
        <v>20</v>
      </c>
      <c r="I683" s="47"/>
      <c r="J683" s="47" t="s">
        <v>21</v>
      </c>
      <c r="K683" s="47" t="s">
        <v>22</v>
      </c>
      <c r="L683" s="47"/>
      <c r="M683" s="47" t="s">
        <v>23</v>
      </c>
      <c r="N683" s="47"/>
      <c r="O683" s="47" t="s">
        <v>24</v>
      </c>
      <c r="P683" s="47" t="s">
        <v>25</v>
      </c>
      <c r="Q683" s="51" t="s">
        <v>26</v>
      </c>
      <c r="R683" s="51" t="s">
        <v>27</v>
      </c>
      <c r="S683" s="51" t="s">
        <v>28</v>
      </c>
      <c r="T683" s="51" t="s">
        <v>29</v>
      </c>
      <c r="U683" s="47"/>
    </row>
    <row r="684" spans="2:21" ht="13" x14ac:dyDescent="0.3">
      <c r="B684" s="47"/>
      <c r="C684" s="49"/>
      <c r="E684" s="47"/>
      <c r="F684" s="58"/>
      <c r="G684" s="47"/>
      <c r="H684" s="54"/>
      <c r="I684" s="52"/>
      <c r="J684" s="54"/>
      <c r="K684" s="32"/>
      <c r="L684" s="54"/>
      <c r="M684" s="54"/>
      <c r="N684" s="27"/>
      <c r="O684" s="54"/>
      <c r="P684" s="54"/>
      <c r="Q684" s="54"/>
      <c r="R684" s="32"/>
      <c r="S684" s="57"/>
      <c r="T684" s="32"/>
    </row>
    <row r="685" spans="2:21" ht="13" x14ac:dyDescent="0.3">
      <c r="B685" s="47"/>
      <c r="C685" s="49"/>
      <c r="D685" s="20" t="s">
        <v>206</v>
      </c>
      <c r="E685" s="47"/>
      <c r="F685" s="25"/>
      <c r="G685" s="47"/>
      <c r="H685" s="34"/>
      <c r="I685" s="52"/>
      <c r="J685" s="34"/>
      <c r="K685" s="52"/>
      <c r="L685" s="52"/>
      <c r="M685" s="13"/>
      <c r="N685" s="52"/>
      <c r="O685" s="14"/>
      <c r="P685" s="52"/>
      <c r="Q685" s="52"/>
      <c r="R685" s="52"/>
      <c r="S685" s="52"/>
      <c r="T685" s="67"/>
      <c r="U685" s="47"/>
    </row>
    <row r="686" spans="2:21" x14ac:dyDescent="0.25">
      <c r="B686" s="47">
        <f>MAX(B$10:B685)+1</f>
        <v>352</v>
      </c>
      <c r="D686" s="26" t="s">
        <v>32</v>
      </c>
      <c r="E686" s="47"/>
      <c r="F686" s="41" t="s">
        <v>33</v>
      </c>
      <c r="G686" s="47"/>
      <c r="H686" s="4">
        <v>12.000000000000004</v>
      </c>
      <c r="I686" s="52"/>
      <c r="J686" s="4">
        <f>$H686*K686/1000</f>
        <v>272.44476000000009</v>
      </c>
      <c r="K686" s="53">
        <v>22703.73</v>
      </c>
      <c r="L686" s="54"/>
      <c r="M686" s="4">
        <f>J686-O686</f>
        <v>-98.36430750573976</v>
      </c>
      <c r="N686" s="27"/>
      <c r="O686" s="4">
        <v>370.80906750573985</v>
      </c>
      <c r="P686" s="4">
        <f>Q686-O686</f>
        <v>0</v>
      </c>
      <c r="Q686" s="4">
        <f>$H686*R686/1000</f>
        <v>370.80906750573985</v>
      </c>
      <c r="R686" s="53">
        <v>30900.755625478312</v>
      </c>
      <c r="S686" s="5">
        <f>Q686/O686</f>
        <v>1</v>
      </c>
      <c r="T686" s="6">
        <f>R686/K686-1</f>
        <v>0.36104312487323953</v>
      </c>
    </row>
    <row r="687" spans="2:21" ht="14.5" x14ac:dyDescent="0.25">
      <c r="D687" s="26" t="s">
        <v>177</v>
      </c>
      <c r="E687" s="47"/>
      <c r="F687" s="3"/>
      <c r="G687" s="47"/>
      <c r="H687" s="4"/>
      <c r="I687" s="52"/>
      <c r="J687" s="4"/>
      <c r="K687" s="9"/>
      <c r="L687" s="54"/>
      <c r="M687" s="4"/>
      <c r="N687" s="27"/>
      <c r="O687" s="4"/>
      <c r="P687" s="4"/>
      <c r="Q687" s="4"/>
      <c r="R687" s="9"/>
      <c r="S687" s="5"/>
      <c r="T687" s="15"/>
    </row>
    <row r="688" spans="2:21" x14ac:dyDescent="0.25">
      <c r="B688" s="47">
        <f>MAX(B$10:B687)+1</f>
        <v>353</v>
      </c>
      <c r="C688" s="49"/>
      <c r="D688" s="29" t="s">
        <v>178</v>
      </c>
      <c r="E688" s="47"/>
      <c r="F688" s="41" t="s">
        <v>59</v>
      </c>
      <c r="G688" s="47"/>
      <c r="H688" s="4">
        <v>28200</v>
      </c>
      <c r="I688" s="52"/>
      <c r="J688" s="4">
        <f>$H688*K688/100</f>
        <v>5841.1506000000008</v>
      </c>
      <c r="K688" s="9">
        <v>20.7133</v>
      </c>
      <c r="L688" s="54"/>
      <c r="M688" s="4">
        <f t="shared" ref="M688:M689" si="238">J688-O688</f>
        <v>-1300.6868940214936</v>
      </c>
      <c r="N688" s="27"/>
      <c r="O688" s="4">
        <v>7141.8374940214944</v>
      </c>
      <c r="P688" s="4">
        <f>P707-P705-SUM(P689:P690)</f>
        <v>-169.4080059575827</v>
      </c>
      <c r="Q688" s="4">
        <f>$H688*R688/100</f>
        <v>6972.4294880639118</v>
      </c>
      <c r="R688" s="9">
        <f>(O688+P688)/H688*100</f>
        <v>24.724927262637987</v>
      </c>
      <c r="S688" s="5"/>
      <c r="T688" s="6">
        <f t="shared" ref="T688:T689" si="239">R688/K688-1</f>
        <v>0.19367398061332519</v>
      </c>
    </row>
    <row r="689" spans="2:20" x14ac:dyDescent="0.25">
      <c r="B689" s="47">
        <f>MAX(B$10:B688)+1</f>
        <v>354</v>
      </c>
      <c r="C689" s="49"/>
      <c r="D689" s="29" t="s">
        <v>207</v>
      </c>
      <c r="E689" s="47"/>
      <c r="F689" s="58" t="s">
        <v>36</v>
      </c>
      <c r="G689" s="47"/>
      <c r="H689" s="4">
        <v>249200.14546999999</v>
      </c>
      <c r="I689" s="52"/>
      <c r="J689" s="4">
        <f>$H689*K689/100</f>
        <v>194.3761134666</v>
      </c>
      <c r="K689" s="9">
        <v>7.8E-2</v>
      </c>
      <c r="L689" s="54"/>
      <c r="M689" s="4">
        <f t="shared" si="238"/>
        <v>194.3761134666</v>
      </c>
      <c r="N689" s="27"/>
      <c r="O689" s="4">
        <v>0</v>
      </c>
      <c r="P689" s="4">
        <v>0</v>
      </c>
      <c r="Q689" s="4">
        <f>$H689*R689/100</f>
        <v>0</v>
      </c>
      <c r="R689" s="9">
        <f>(O689+P689)/H689*100</f>
        <v>0</v>
      </c>
      <c r="S689" s="5"/>
      <c r="T689" s="6">
        <f t="shared" si="239"/>
        <v>-1</v>
      </c>
    </row>
    <row r="690" spans="2:20" ht="13" x14ac:dyDescent="0.3">
      <c r="B690" s="47">
        <f>MAX(B$10:B689)+1</f>
        <v>355</v>
      </c>
      <c r="C690" s="49"/>
      <c r="D690" s="29" t="s">
        <v>186</v>
      </c>
      <c r="E690" s="47"/>
      <c r="F690" s="41"/>
      <c r="G690" s="47"/>
      <c r="H690" s="34"/>
      <c r="I690" s="52"/>
      <c r="J690" s="34"/>
      <c r="K690" s="52"/>
      <c r="L690" s="52"/>
      <c r="M690" s="13"/>
      <c r="N690" s="52"/>
      <c r="O690" s="14"/>
      <c r="P690" s="52"/>
      <c r="Q690" s="52"/>
      <c r="R690" s="52"/>
      <c r="S690" s="52"/>
      <c r="T690" s="67"/>
    </row>
    <row r="691" spans="2:20" x14ac:dyDescent="0.25">
      <c r="B691" s="47">
        <f>MAX(B$10:B690)+1</f>
        <v>356</v>
      </c>
      <c r="C691" s="49"/>
      <c r="D691" s="26" t="s">
        <v>187</v>
      </c>
      <c r="E691" s="47"/>
      <c r="F691" s="3"/>
      <c r="G691" s="47"/>
      <c r="H691" s="55">
        <f>SUM(H689:H689)</f>
        <v>249200.14546999999</v>
      </c>
      <c r="I691" s="52"/>
      <c r="J691" s="55">
        <f>SUM(J686:J690)</f>
        <v>6307.9714734666013</v>
      </c>
      <c r="K691" s="7">
        <f>J691/$H691*100</f>
        <v>2.5312872356352569</v>
      </c>
      <c r="L691" s="54"/>
      <c r="M691" s="55">
        <f>SUM(M686:M690)</f>
        <v>-1204.6750880606335</v>
      </c>
      <c r="N691" s="27"/>
      <c r="O691" s="55">
        <f>SUM(O686:O690)</f>
        <v>7512.6465615272346</v>
      </c>
      <c r="P691" s="55">
        <f>SUM(P686:P690)</f>
        <v>-169.4080059575827</v>
      </c>
      <c r="Q691" s="55">
        <f>SUM(Q686:Q690)</f>
        <v>7343.2385555696519</v>
      </c>
      <c r="R691" s="7">
        <f>Q691/$H691*100</f>
        <v>2.9467232218986279</v>
      </c>
      <c r="S691" s="56">
        <f>Q691/O691</f>
        <v>0.97745028937936029</v>
      </c>
      <c r="T691" s="8">
        <f>R691/K691-1</f>
        <v>0.1641204444975255</v>
      </c>
    </row>
    <row r="692" spans="2:20" x14ac:dyDescent="0.25">
      <c r="E692" s="47"/>
      <c r="F692" s="3"/>
      <c r="G692" s="47"/>
      <c r="H692" s="4"/>
      <c r="I692" s="52"/>
      <c r="J692" s="4"/>
      <c r="K692" s="9"/>
      <c r="L692" s="54"/>
      <c r="M692" s="4"/>
      <c r="N692" s="27"/>
      <c r="O692" s="4"/>
      <c r="P692" s="4"/>
      <c r="Q692" s="4"/>
      <c r="R692" s="9"/>
      <c r="S692" s="5"/>
      <c r="T692" s="6"/>
    </row>
    <row r="693" spans="2:20" x14ac:dyDescent="0.25">
      <c r="D693" s="66" t="s">
        <v>188</v>
      </c>
      <c r="E693" s="47"/>
      <c r="F693" s="3"/>
      <c r="G693" s="47"/>
      <c r="H693" s="4"/>
      <c r="I693" s="52"/>
      <c r="J693" s="4"/>
      <c r="K693" s="9"/>
      <c r="L693" s="54"/>
      <c r="M693" s="4"/>
      <c r="N693" s="27"/>
      <c r="O693" s="4"/>
      <c r="P693" s="4"/>
      <c r="Q693" s="4"/>
      <c r="R693" s="9"/>
      <c r="S693" s="5"/>
      <c r="T693" s="6"/>
    </row>
    <row r="694" spans="2:20" x14ac:dyDescent="0.25">
      <c r="D694" s="70" t="s">
        <v>189</v>
      </c>
      <c r="E694" s="47"/>
      <c r="F694" s="3"/>
      <c r="G694" s="47"/>
      <c r="H694" s="4"/>
      <c r="I694" s="52"/>
      <c r="J694" s="4"/>
      <c r="K694" s="9"/>
      <c r="L694" s="54"/>
      <c r="M694" s="4"/>
      <c r="N694" s="27"/>
      <c r="O694" s="4"/>
      <c r="P694" s="4"/>
      <c r="Q694" s="4"/>
      <c r="R694" s="9"/>
      <c r="S694" s="5"/>
      <c r="T694" s="6"/>
    </row>
    <row r="695" spans="2:20" x14ac:dyDescent="0.25">
      <c r="B695" s="47">
        <f>MAX(B$10:B694)+1</f>
        <v>357</v>
      </c>
      <c r="D695" s="73" t="s">
        <v>190</v>
      </c>
      <c r="E695" s="47"/>
      <c r="F695" s="3" t="s">
        <v>191</v>
      </c>
      <c r="G695" s="47"/>
      <c r="H695" s="4">
        <v>38472252</v>
      </c>
      <c r="I695" s="52"/>
      <c r="J695" s="4">
        <f>$H695*K695/1000</f>
        <v>461.66702400000003</v>
      </c>
      <c r="K695" s="18">
        <v>1.2E-2</v>
      </c>
      <c r="L695" s="54"/>
      <c r="M695" s="4">
        <f>J695-O695</f>
        <v>-126.68269123552767</v>
      </c>
      <c r="N695" s="27"/>
      <c r="O695" s="4">
        <v>588.3497152355277</v>
      </c>
      <c r="P695" s="4">
        <f>Q695-O695</f>
        <v>0</v>
      </c>
      <c r="Q695" s="4">
        <f>$H695*R695/1000</f>
        <v>588.34971523552713</v>
      </c>
      <c r="R695" s="18">
        <v>1.5292832746976371E-2</v>
      </c>
      <c r="S695" s="5">
        <f>Q695/O695</f>
        <v>0.999999999999999</v>
      </c>
      <c r="T695" s="6">
        <f>R695/K695-1</f>
        <v>0.27440272891469752</v>
      </c>
    </row>
    <row r="696" spans="2:20" x14ac:dyDescent="0.25">
      <c r="D696" s="70" t="s">
        <v>192</v>
      </c>
      <c r="E696" s="47"/>
      <c r="F696" s="3"/>
      <c r="G696" s="47"/>
      <c r="H696" s="4"/>
      <c r="I696" s="52"/>
      <c r="J696" s="4"/>
      <c r="K696" s="9"/>
      <c r="L696" s="54"/>
      <c r="M696" s="4"/>
      <c r="N696" s="27"/>
      <c r="O696" s="4"/>
      <c r="P696" s="4"/>
      <c r="Q696" s="4"/>
      <c r="R696" s="9"/>
      <c r="S696" s="5"/>
      <c r="T696" s="6"/>
    </row>
    <row r="697" spans="2:20" x14ac:dyDescent="0.25">
      <c r="B697" s="47">
        <f>MAX(B$10:B696)+1</f>
        <v>358</v>
      </c>
      <c r="D697" s="73" t="s">
        <v>193</v>
      </c>
      <c r="E697" s="47"/>
      <c r="F697" s="3" t="s">
        <v>191</v>
      </c>
      <c r="G697" s="47"/>
      <c r="H697" s="4">
        <v>0</v>
      </c>
      <c r="I697" s="52"/>
      <c r="J697" s="4">
        <f>$H697*K697/1000</f>
        <v>0</v>
      </c>
      <c r="K697" s="18">
        <v>1.8779999999999999</v>
      </c>
      <c r="L697" s="54"/>
      <c r="M697" s="4">
        <f t="shared" ref="M697:M700" si="240">J697-O697</f>
        <v>0</v>
      </c>
      <c r="N697" s="27"/>
      <c r="O697" s="4">
        <v>0</v>
      </c>
      <c r="P697" s="4">
        <f t="shared" ref="P697:P700" si="241">Q697-O697</f>
        <v>0</v>
      </c>
      <c r="Q697" s="4">
        <f>$H697*R697/1000</f>
        <v>0</v>
      </c>
      <c r="R697" s="18">
        <v>1.9393204673612867</v>
      </c>
      <c r="S697" s="5"/>
      <c r="T697" s="6">
        <f t="shared" ref="T697:T700" si="242">R697/K697-1</f>
        <v>3.2652006049673554E-2</v>
      </c>
    </row>
    <row r="698" spans="2:20" x14ac:dyDescent="0.25">
      <c r="B698" s="47">
        <f>MAX(B$10:B697)+1</f>
        <v>359</v>
      </c>
      <c r="D698" s="73" t="s">
        <v>194</v>
      </c>
      <c r="E698" s="47"/>
      <c r="F698" s="3" t="s">
        <v>191</v>
      </c>
      <c r="G698" s="47"/>
      <c r="H698" s="4">
        <v>649668</v>
      </c>
      <c r="I698" s="52"/>
      <c r="J698" s="4">
        <f>$H698*K698/1000</f>
        <v>956.96096399999999</v>
      </c>
      <c r="K698" s="18">
        <v>1.4730000000000001</v>
      </c>
      <c r="L698" s="54"/>
      <c r="M698" s="4">
        <f t="shared" si="240"/>
        <v>-140.62310660483888</v>
      </c>
      <c r="N698" s="27"/>
      <c r="O698" s="4">
        <v>1097.5840706048389</v>
      </c>
      <c r="P698" s="4">
        <f t="shared" si="241"/>
        <v>0</v>
      </c>
      <c r="Q698" s="4">
        <f>$H698*R698/1000</f>
        <v>1097.5840706048391</v>
      </c>
      <c r="R698" s="18">
        <v>1.6894537988708682</v>
      </c>
      <c r="S698" s="5"/>
      <c r="T698" s="6">
        <f t="shared" si="242"/>
        <v>0.14694758918592532</v>
      </c>
    </row>
    <row r="699" spans="2:20" x14ac:dyDescent="0.25">
      <c r="B699" s="47">
        <f>MAX(B$10:B698)+1</f>
        <v>360</v>
      </c>
      <c r="D699" s="73" t="s">
        <v>195</v>
      </c>
      <c r="E699" s="47"/>
      <c r="F699" s="3" t="s">
        <v>191</v>
      </c>
      <c r="G699" s="47"/>
      <c r="H699" s="4">
        <v>0</v>
      </c>
      <c r="I699" s="52"/>
      <c r="J699" s="4">
        <f>$H699*K699/1000</f>
        <v>0</v>
      </c>
      <c r="K699" s="18">
        <v>1.4730000000000001</v>
      </c>
      <c r="L699" s="54"/>
      <c r="M699" s="4">
        <f t="shared" si="240"/>
        <v>0</v>
      </c>
      <c r="N699" s="27"/>
      <c r="O699" s="4">
        <v>0</v>
      </c>
      <c r="P699" s="4">
        <f t="shared" si="241"/>
        <v>0</v>
      </c>
      <c r="Q699" s="4">
        <f>$H699*R699/1000</f>
        <v>0</v>
      </c>
      <c r="R699" s="18">
        <v>1.6894537988708682</v>
      </c>
      <c r="S699" s="5"/>
      <c r="T699" s="6">
        <f t="shared" si="242"/>
        <v>0.14694758918592532</v>
      </c>
    </row>
    <row r="700" spans="2:20" x14ac:dyDescent="0.25">
      <c r="B700" s="47">
        <f>MAX(B$10:B699)+1</f>
        <v>361</v>
      </c>
      <c r="D700" s="73" t="s">
        <v>196</v>
      </c>
      <c r="E700" s="47"/>
      <c r="F700" s="3" t="s">
        <v>191</v>
      </c>
      <c r="G700" s="47"/>
      <c r="H700" s="4">
        <v>0</v>
      </c>
      <c r="I700" s="52"/>
      <c r="J700" s="4">
        <f>$H700*K700/1000</f>
        <v>0</v>
      </c>
      <c r="K700" s="18">
        <v>1.4730000000000001</v>
      </c>
      <c r="L700" s="54"/>
      <c r="M700" s="4">
        <f t="shared" si="240"/>
        <v>0</v>
      </c>
      <c r="N700" s="27"/>
      <c r="O700" s="4">
        <v>0</v>
      </c>
      <c r="P700" s="4">
        <f t="shared" si="241"/>
        <v>0</v>
      </c>
      <c r="Q700" s="4">
        <f>$H700*R700/1000</f>
        <v>0</v>
      </c>
      <c r="R700" s="18">
        <v>1.6894537988708682</v>
      </c>
      <c r="S700" s="5"/>
      <c r="T700" s="6">
        <f t="shared" si="242"/>
        <v>0.14694758918592532</v>
      </c>
    </row>
    <row r="701" spans="2:20" x14ac:dyDescent="0.25">
      <c r="D701" s="70" t="s">
        <v>197</v>
      </c>
      <c r="E701" s="47"/>
      <c r="F701" s="3"/>
      <c r="G701" s="47"/>
      <c r="H701" s="4"/>
      <c r="I701" s="52"/>
      <c r="J701" s="4"/>
      <c r="K701" s="9"/>
      <c r="L701" s="54"/>
      <c r="M701" s="4"/>
      <c r="N701" s="27"/>
      <c r="O701" s="4"/>
      <c r="P701" s="4"/>
      <c r="Q701" s="4"/>
      <c r="R701" s="9"/>
      <c r="S701" s="5"/>
      <c r="T701" s="6"/>
    </row>
    <row r="702" spans="2:20" x14ac:dyDescent="0.25">
      <c r="B702" s="47">
        <f>MAX(B$10:B701)+1</f>
        <v>362</v>
      </c>
      <c r="D702" s="73" t="s">
        <v>198</v>
      </c>
      <c r="E702" s="47"/>
      <c r="F702" s="3" t="s">
        <v>132</v>
      </c>
      <c r="G702" s="47"/>
      <c r="H702" s="4">
        <v>6433273.9199999999</v>
      </c>
      <c r="I702" s="52"/>
      <c r="J702" s="4">
        <f>$H702*K702/1000</f>
        <v>77.199287040000002</v>
      </c>
      <c r="K702" s="18">
        <v>1.2E-2</v>
      </c>
      <c r="L702" s="54"/>
      <c r="M702" s="4">
        <f>J702-O702</f>
        <v>77.199287040000002</v>
      </c>
      <c r="N702" s="27"/>
      <c r="O702" s="4">
        <v>0</v>
      </c>
      <c r="P702" s="4">
        <f>Q702-O702</f>
        <v>0</v>
      </c>
      <c r="Q702" s="4">
        <f>$H702*R702/1000</f>
        <v>0</v>
      </c>
      <c r="R702" s="18">
        <v>0</v>
      </c>
      <c r="S702" s="5"/>
      <c r="T702" s="6">
        <f t="shared" ref="T702" si="243">R702/K702-1</f>
        <v>-1</v>
      </c>
    </row>
    <row r="703" spans="2:20" x14ac:dyDescent="0.25">
      <c r="D703" s="66"/>
      <c r="E703" s="47"/>
      <c r="F703" s="3"/>
      <c r="G703" s="47"/>
      <c r="H703" s="4"/>
      <c r="I703" s="52"/>
      <c r="J703" s="4"/>
      <c r="K703" s="9"/>
      <c r="L703" s="54"/>
      <c r="M703" s="4"/>
      <c r="N703" s="27"/>
      <c r="O703" s="4"/>
      <c r="P703" s="4"/>
      <c r="Q703" s="4"/>
      <c r="R703" s="9"/>
      <c r="S703" s="5"/>
      <c r="T703" s="6"/>
    </row>
    <row r="704" spans="2:20" ht="13" x14ac:dyDescent="0.3">
      <c r="B704" s="47">
        <f>MAX(B$10:B703)+1</f>
        <v>363</v>
      </c>
      <c r="C704" s="49"/>
      <c r="D704" s="29" t="s">
        <v>199</v>
      </c>
      <c r="E704" s="47"/>
      <c r="F704" s="58"/>
      <c r="G704" s="47"/>
      <c r="H704" s="34"/>
      <c r="I704" s="52"/>
      <c r="J704" s="34"/>
      <c r="K704" s="52"/>
      <c r="L704" s="52"/>
      <c r="M704" s="13"/>
      <c r="N704" s="52"/>
      <c r="O704" s="14"/>
      <c r="P704" s="52"/>
      <c r="Q704" s="52"/>
      <c r="R704" s="52"/>
      <c r="S704" s="52"/>
      <c r="T704" s="67"/>
    </row>
    <row r="705" spans="2:20" x14ac:dyDescent="0.25">
      <c r="B705" s="47">
        <f>MAX(B$10:B704)+1</f>
        <v>364</v>
      </c>
      <c r="C705" s="49"/>
      <c r="D705" s="26" t="s">
        <v>200</v>
      </c>
      <c r="E705" s="47"/>
      <c r="F705" s="3"/>
      <c r="G705" s="47"/>
      <c r="H705" s="55">
        <f>H691</f>
        <v>249200.14546999999</v>
      </c>
      <c r="I705" s="52"/>
      <c r="J705" s="55">
        <f>SUM(J695:J704)</f>
        <v>1495.8272750399999</v>
      </c>
      <c r="K705" s="7">
        <f>J705/$H705*100</f>
        <v>0.60025136511008792</v>
      </c>
      <c r="L705" s="54"/>
      <c r="M705" s="55">
        <f>SUM(M695:M704)</f>
        <v>-190.10651080036655</v>
      </c>
      <c r="N705" s="27"/>
      <c r="O705" s="55">
        <f>SUM(O695:O704)</f>
        <v>1685.9337858403665</v>
      </c>
      <c r="P705" s="55">
        <f>SUM(P695:P704)</f>
        <v>0</v>
      </c>
      <c r="Q705" s="55">
        <f>SUM(Q695:Q704)</f>
        <v>1685.9337858403662</v>
      </c>
      <c r="R705" s="7">
        <f>Q705/$H705*100</f>
        <v>0.67653804240789561</v>
      </c>
      <c r="S705" s="56">
        <f>Q705/O705</f>
        <v>0.99999999999999989</v>
      </c>
      <c r="T705" s="8">
        <f>R705/K705-1</f>
        <v>0.12709121833286696</v>
      </c>
    </row>
    <row r="706" spans="2:20" x14ac:dyDescent="0.25">
      <c r="B706" s="47"/>
      <c r="C706" s="49"/>
      <c r="D706" s="26"/>
      <c r="E706" s="47"/>
      <c r="F706" s="3"/>
      <c r="G706" s="47"/>
      <c r="H706" s="4"/>
      <c r="I706" s="52"/>
      <c r="J706" s="4"/>
      <c r="K706" s="9"/>
      <c r="L706" s="54"/>
      <c r="M706" s="4"/>
      <c r="N706" s="27"/>
      <c r="O706" s="4"/>
      <c r="P706" s="4"/>
      <c r="Q706" s="4"/>
      <c r="R706" s="9"/>
      <c r="S706" s="5"/>
      <c r="T706" s="6"/>
    </row>
    <row r="707" spans="2:20" ht="13" thickBot="1" x14ac:dyDescent="0.3">
      <c r="B707" s="47">
        <f>MAX(B$10:B706)+1</f>
        <v>365</v>
      </c>
      <c r="C707" s="49"/>
      <c r="D707" s="26" t="s">
        <v>208</v>
      </c>
      <c r="E707" s="47"/>
      <c r="F707" s="3"/>
      <c r="G707" s="47"/>
      <c r="H707" s="59">
        <f>H691</f>
        <v>249200.14546999999</v>
      </c>
      <c r="I707" s="52"/>
      <c r="J707" s="59">
        <f>J691+J705</f>
        <v>7803.7987485066014</v>
      </c>
      <c r="K707" s="11">
        <f>J707/$H707*100</f>
        <v>3.131538600745345</v>
      </c>
      <c r="L707" s="54"/>
      <c r="M707" s="59">
        <f>M691+M705</f>
        <v>-1394.781598861</v>
      </c>
      <c r="N707" s="27"/>
      <c r="O707" s="59">
        <f>O691+O705</f>
        <v>9198.5803473676006</v>
      </c>
      <c r="P707" s="59">
        <v>-169.4080059575827</v>
      </c>
      <c r="Q707" s="59">
        <f>Q691+Q705</f>
        <v>9029.1723414100179</v>
      </c>
      <c r="R707" s="11">
        <f>Q707/$H707*100</f>
        <v>3.6232612643065236</v>
      </c>
      <c r="S707" s="60">
        <f>Q707/O707</f>
        <v>0.9815832444181386</v>
      </c>
      <c r="T707" s="12">
        <f>R707/K707-1</f>
        <v>0.15702270553016429</v>
      </c>
    </row>
    <row r="708" spans="2:20" ht="13" thickTop="1" x14ac:dyDescent="0.25">
      <c r="B708" s="47"/>
      <c r="C708" s="49"/>
      <c r="D708" s="26"/>
      <c r="E708" s="47"/>
      <c r="F708" s="3"/>
      <c r="G708" s="47"/>
      <c r="H708" s="54"/>
      <c r="I708" s="52"/>
      <c r="J708" s="54"/>
      <c r="K708" s="9"/>
      <c r="L708" s="54"/>
      <c r="M708" s="54"/>
      <c r="N708" s="27"/>
      <c r="O708" s="54"/>
      <c r="P708" s="54"/>
      <c r="Q708" s="54"/>
      <c r="R708" s="9"/>
      <c r="S708" s="57"/>
      <c r="T708" s="6"/>
    </row>
    <row r="709" spans="2:20" ht="13.5" thickBot="1" x14ac:dyDescent="0.35">
      <c r="B709" s="47">
        <f>MAX(B$10:B708)+1</f>
        <v>366</v>
      </c>
      <c r="C709" s="49"/>
      <c r="D709" s="75" t="s">
        <v>209</v>
      </c>
      <c r="H709" s="28"/>
      <c r="I709" s="28"/>
      <c r="J709" s="59">
        <f xml:space="preserve"> J707 + J676 + J637 + J605 + J582 + J559 + J526 + J492 + J463 + J441 + J403 + J392 + J341 + J310 + J272 + J263 + J241 + J209 + J183 + J145 + J136 + J106 + J83 + J56 + J30</f>
        <v>2663917.1949828137</v>
      </c>
      <c r="K709" s="76"/>
      <c r="L709" s="76"/>
      <c r="M709" s="59">
        <f xml:space="preserve"> M707 + M676 + M637 + M605 + M582 + M559 + M526 + M492 + M463 + M441 + M403 + M392 + M341 + M310 + M272 + M263 + M241 + M209 + M183 + M145 + M136 + M106 + M83 + M56 + M30</f>
        <v>-291633.95342435985</v>
      </c>
      <c r="N709" s="77"/>
      <c r="O709" s="59">
        <f xml:space="preserve"> O707 + O676 + O637 + O605 + O582 + O559 + O526 + O492 + O463 + O441 + O403 + O392 + O341 + O310 + O272 + O263 + O241 + O209 + O183 + O145 + O136 + O106 + O83 + O56 + O30</f>
        <v>2955551.1484071743</v>
      </c>
      <c r="P709" s="59">
        <f>Q709-O709</f>
        <v>-19786.446047107689</v>
      </c>
      <c r="Q709" s="59">
        <f xml:space="preserve"> Q707 + Q676 + Q637 + Q605 + Q582 + Q559 + Q526 + Q492 + Q463 + Q441 + Q403 + Q392 + Q341 + Q310 + Q272 + Q263 + Q241 + Q209 + Q183 + Q145 + Q136 + Q106 + Q83 + Q56 + Q30</f>
        <v>2935764.7023600666</v>
      </c>
      <c r="R709" s="32"/>
      <c r="S709" s="57"/>
      <c r="T709" s="35"/>
    </row>
    <row r="710" spans="2:20" ht="13.5" thickTop="1" x14ac:dyDescent="0.3">
      <c r="B710" s="47"/>
      <c r="C710" s="49"/>
      <c r="E710" s="47"/>
      <c r="F710" s="58"/>
      <c r="G710" s="47"/>
      <c r="H710" s="54"/>
      <c r="I710" s="52"/>
      <c r="J710" s="54"/>
      <c r="K710" s="32"/>
      <c r="L710" s="54"/>
      <c r="M710" s="54"/>
      <c r="N710" s="27"/>
      <c r="O710" s="54"/>
      <c r="P710" s="54"/>
      <c r="Q710" s="54"/>
      <c r="R710" s="32"/>
      <c r="S710" s="57"/>
      <c r="T710" s="35"/>
    </row>
    <row r="711" spans="2:20" ht="13" x14ac:dyDescent="0.3">
      <c r="B711" s="47" t="s">
        <v>210</v>
      </c>
      <c r="C711" s="49"/>
      <c r="D711" s="26"/>
      <c r="E711" s="47"/>
      <c r="F711" s="58"/>
      <c r="G711" s="47"/>
      <c r="H711" s="54"/>
      <c r="I711" s="52"/>
      <c r="J711" s="54"/>
      <c r="K711" s="32"/>
      <c r="L711" s="54"/>
      <c r="M711" s="54"/>
      <c r="N711" s="27"/>
      <c r="O711" s="54"/>
      <c r="P711" s="54"/>
      <c r="Q711" s="54"/>
      <c r="R711" s="32"/>
      <c r="S711" s="57"/>
      <c r="T711" s="35"/>
    </row>
    <row r="712" spans="2:20" x14ac:dyDescent="0.25">
      <c r="B712" s="51" t="s">
        <v>211</v>
      </c>
      <c r="C712" s="49"/>
      <c r="D712" s="49" t="s">
        <v>212</v>
      </c>
    </row>
  </sheetData>
  <pageMargins left="0.7" right="0.7" top="0.94406250000000003" bottom="0.75" header="0.3" footer="0.3"/>
  <pageSetup scale="53" fitToWidth="0" fitToHeight="0" orientation="landscape" blackAndWhite="1" r:id="rId1"/>
  <headerFooter>
    <oddHeader xml:space="preserve">&amp;R&amp;"Arial,Regular"&amp;12Filed: 2023-04-18
EB-2022-0200
Exhibit JT8.4
Attachment 4
Page &amp;P of &amp;N
&amp;"-,Regular"&amp;11
</oddHeader>
  </headerFooter>
  <rowBreaks count="12" manualBreakCount="12">
    <brk id="56" min="1" max="20" man="1"/>
    <brk id="106" min="1" max="20" man="1"/>
    <brk id="145" min="1" max="20" man="1"/>
    <brk id="209" min="1" max="20" man="1"/>
    <brk id="272" min="1" max="20" man="1"/>
    <brk id="341" min="1" max="20" man="1"/>
    <brk id="403" min="1" max="20" man="1"/>
    <brk id="463" min="1" max="20" man="1"/>
    <brk id="526" min="1" max="20" man="1"/>
    <brk id="582" min="1" max="20" man="1"/>
    <brk id="637" min="1" max="20" man="1"/>
    <brk id="676" min="1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C6U45NHNYSXQ-647284319-903</_dlc_DocId>
    <_dlc_DocIdUrl xmlns="bc9be6ef-036f-4d38-ab45-2a4da0c93cb0">
      <Url>https://enbridge.sharepoint.com/teams/EB-2022-02002024Rebasing/_layouts/15/DocIdRedir.aspx?ID=C6U45NHNYSXQ-647284319-903</Url>
      <Description>C6U45NHNYSXQ-647284319-903</Description>
    </_dlc_DocIdUrl>
  </documentManagement>
</p:properties>
</file>

<file path=customXml/itemProps1.xml><?xml version="1.0" encoding="utf-8"?>
<ds:datastoreItem xmlns:ds="http://schemas.openxmlformats.org/officeDocument/2006/customXml" ds:itemID="{4AA3B617-6A7E-451D-B793-52D4700C8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49B46A-84B6-49EC-B4CE-C82C14D9F6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F8D92F2-FAD4-409E-AE99-DBB7ADF92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2F66F2-34C9-4300-BD54-D19BF0240B81}">
  <ds:schemaRefs>
    <ds:schemaRef ds:uri="http://schemas.microsoft.com/office/2006/metadata/properties"/>
    <ds:schemaRef ds:uri="http://schemas.microsoft.com/office/infopath/2007/PartnerControls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 4 - Delivery</vt:lpstr>
      <vt:lpstr>'Attach 4 - Delivery'!Print_Area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McIntyre</dc:creator>
  <cp:keywords/>
  <dc:description/>
  <cp:lastModifiedBy>Bonnie Adams</cp:lastModifiedBy>
  <cp:revision/>
  <dcterms:created xsi:type="dcterms:W3CDTF">2023-04-17T15:28:30Z</dcterms:created>
  <dcterms:modified xsi:type="dcterms:W3CDTF">2023-04-18T14:44:59Z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2023-04-17T15:28:31Z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f17f1eb7-2ca0-4cb5-91b6-79ba022f2c31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0x01010004A99DC5F2E29C4EA0320A2DE468F5FC</vt:lpwstr>
  </property>
  <property fmtid="{D5CDD505-2E9C-101B-9397-08002B2CF9AE}" pid="10" name="_dlc_DocIdItemGuid">
    <vt:lpwstr>b38f3240-8121-4efd-94a6-a99128225fbf</vt:lpwstr>
  </property>
</Properties>
</file>