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/>
  <mc:AlternateContent xmlns:mc="http://schemas.openxmlformats.org/markup-compatibility/2006">
    <mc:Choice Requires="x15">
      <x15ac:absPath xmlns:x15ac="http://schemas.microsoft.com/office/spreadsheetml/2010/11/ac" url="N:\Finance\OEB\Rate Applications\2024 Cost of Service\OEB Models\Version 1 (11-14-22)\Submission\"/>
    </mc:Choice>
  </mc:AlternateContent>
  <xr:revisionPtr revIDLastSave="0" documentId="13_ncr:1_{C0FB796C-F4CD-4C23-ACD0-57379FFA46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G5" i="1"/>
  <c r="H91" i="4" l="1"/>
  <c r="F136" i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16" i="4" s="1"/>
  <c r="H16" i="4" s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L22" i="4" s="1"/>
  <c r="M22" i="4" s="1"/>
  <c r="M110" i="1" s="1"/>
  <c r="L20" i="4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I16" i="4"/>
  <c r="J16" i="4" s="1"/>
  <c r="K16" i="4" s="1"/>
  <c r="G13" i="4"/>
  <c r="G10" i="4"/>
  <c r="G9" i="4"/>
  <c r="L222" i="1"/>
  <c r="F10" i="5"/>
  <c r="L16" i="4" l="1"/>
  <c r="M16" i="4" s="1"/>
  <c r="M99" i="1" s="1"/>
  <c r="H145" i="1"/>
  <c r="H109" i="4"/>
  <c r="K15" i="4"/>
  <c r="H112" i="4"/>
  <c r="G120" i="4"/>
  <c r="H114" i="4"/>
  <c r="G119" i="4"/>
  <c r="G118" i="4"/>
  <c r="H86" i="4"/>
  <c r="G29" i="4"/>
  <c r="M142" i="1"/>
  <c r="H135" i="1"/>
  <c r="G37" i="4"/>
  <c r="G27" i="4" s="1"/>
  <c r="I145" i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L15" i="4" l="1"/>
  <c r="M15" i="4" s="1"/>
  <c r="M98" i="1" s="1"/>
  <c r="M130" i="1" s="1"/>
  <c r="H96" i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36" i="4" s="1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J145" i="1"/>
  <c r="I110" i="1"/>
  <c r="I98" i="1"/>
  <c r="I99" i="1"/>
  <c r="I142" i="1"/>
  <c r="I112" i="1"/>
  <c r="J112" i="1" s="1"/>
  <c r="H113" i="1"/>
  <c r="H115" i="4" l="1"/>
  <c r="H35" i="4" s="1"/>
  <c r="H27" i="4" s="1"/>
  <c r="H129" i="1"/>
  <c r="I64" i="4"/>
  <c r="I115" i="4" s="1"/>
  <c r="I35" i="4" s="1"/>
  <c r="I120" i="4"/>
  <c r="I121" i="4"/>
  <c r="I36" i="4" s="1"/>
  <c r="I118" i="4"/>
  <c r="I119" i="4"/>
  <c r="K145" i="1"/>
  <c r="I113" i="1"/>
  <c r="I139" i="1" s="1"/>
  <c r="J98" i="1"/>
  <c r="J110" i="1"/>
  <c r="J113" i="1" s="1"/>
  <c r="J99" i="1"/>
  <c r="J142" i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I130" i="1"/>
  <c r="H143" i="1"/>
  <c r="H139" i="1"/>
  <c r="I27" i="4" l="1"/>
  <c r="H29" i="4"/>
  <c r="H31" i="4" s="1"/>
  <c r="I29" i="4"/>
  <c r="L145" i="1"/>
  <c r="K99" i="1"/>
  <c r="K142" i="1"/>
  <c r="K98" i="1"/>
  <c r="K110" i="1"/>
  <c r="H214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I31" i="4"/>
  <c r="I89" i="1" s="1"/>
  <c r="I107" i="1" s="1"/>
  <c r="L110" i="1"/>
  <c r="L98" i="1"/>
  <c r="L130" i="1" s="1"/>
  <c r="L142" i="1"/>
  <c r="L99" i="1"/>
  <c r="K130" i="1"/>
  <c r="H212" i="1"/>
  <c r="H219" i="1"/>
  <c r="I156" i="1"/>
  <c r="I220" i="1" s="1"/>
  <c r="J143" i="1"/>
  <c r="I247" i="1"/>
  <c r="I152" i="1"/>
  <c r="I206" i="1" s="1"/>
  <c r="I154" i="1"/>
  <c r="I208" i="1" s="1"/>
  <c r="J131" i="1"/>
  <c r="J136" i="1"/>
  <c r="J137" i="1" s="1"/>
  <c r="H217" i="1"/>
  <c r="J247" i="1" l="1"/>
  <c r="J152" i="1"/>
  <c r="J206" i="1" s="1"/>
  <c r="I212" i="1"/>
  <c r="I215" i="1"/>
  <c r="I210" i="1"/>
  <c r="K143" i="1"/>
  <c r="J156" i="1"/>
  <c r="J220" i="1" s="1"/>
  <c r="J154" i="1"/>
  <c r="J208" i="1" s="1"/>
  <c r="K131" i="1"/>
  <c r="K154" i="1" l="1"/>
  <c r="K208" i="1" s="1"/>
  <c r="L131" i="1"/>
  <c r="K156" i="1"/>
  <c r="K220" i="1" s="1"/>
  <c r="L143" i="1"/>
  <c r="J215" i="1"/>
  <c r="J210" i="1"/>
  <c r="J212" i="1"/>
  <c r="L156" i="1" l="1"/>
  <c r="L220" i="1" s="1"/>
  <c r="M143" i="1"/>
  <c r="M156" i="1" s="1"/>
  <c r="M220" i="1" s="1"/>
  <c r="L154" i="1"/>
  <c r="L208" i="1" s="1"/>
  <c r="M131" i="1"/>
  <c r="M154" i="1" s="1"/>
  <c r="M208" i="1" s="1"/>
  <c r="K212" i="1"/>
  <c r="L212" i="1" l="1"/>
  <c r="M212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178" i="1"/>
  <c r="J242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H248" i="1" s="1"/>
  <c r="H257" i="1" s="1"/>
  <c r="J171" i="1"/>
  <c r="M167" i="1" l="1"/>
  <c r="K174" i="1"/>
  <c r="K164" i="1"/>
  <c r="L170" i="1"/>
  <c r="K169" i="1"/>
  <c r="J233" i="1"/>
  <c r="K171" i="1"/>
  <c r="K163" i="1"/>
  <c r="J227" i="1"/>
  <c r="K175" i="1"/>
  <c r="K176" i="1"/>
  <c r="L173" i="1"/>
  <c r="K162" i="1"/>
  <c r="J226" i="1"/>
  <c r="K179" i="1"/>
  <c r="J243" i="1"/>
  <c r="J236" i="1"/>
  <c r="K172" i="1"/>
  <c r="G12" i="5"/>
  <c r="K177" i="1"/>
  <c r="J241" i="1"/>
  <c r="K166" i="1"/>
  <c r="K168" i="1"/>
  <c r="L178" i="1"/>
  <c r="K242" i="1"/>
  <c r="J229" i="1"/>
  <c r="K165" i="1"/>
  <c r="M173" i="1" l="1"/>
  <c r="M170" i="1"/>
  <c r="L242" i="1"/>
  <c r="M178" i="1"/>
  <c r="L172" i="1"/>
  <c r="L166" i="1"/>
  <c r="L162" i="1"/>
  <c r="K226" i="1"/>
  <c r="L176" i="1"/>
  <c r="L163" i="1"/>
  <c r="K233" i="1"/>
  <c r="L169" i="1"/>
  <c r="L164" i="1"/>
  <c r="L174" i="1"/>
  <c r="L165" i="1"/>
  <c r="K229" i="1"/>
  <c r="L168" i="1"/>
  <c r="K241" i="1"/>
  <c r="L177" i="1"/>
  <c r="K243" i="1"/>
  <c r="L179" i="1"/>
  <c r="L175" i="1"/>
  <c r="L171" i="1"/>
  <c r="M242" i="1" l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M176" i="1"/>
  <c r="M164" i="1"/>
  <c r="M174" i="1"/>
  <c r="M175" i="1"/>
  <c r="M168" i="1"/>
  <c r="M166" i="1"/>
  <c r="M233" i="1" l="1"/>
  <c r="M243" i="1"/>
  <c r="M226" i="1"/>
  <c r="M241" i="1"/>
  <c r="M229" i="1"/>
  <c r="L21" i="4" l="1"/>
  <c r="K112" i="1"/>
  <c r="K134" i="1"/>
  <c r="L134" i="1" l="1"/>
  <c r="K136" i="1"/>
  <c r="K137" i="1" s="1"/>
  <c r="L112" i="1"/>
  <c r="L113" i="1" s="1"/>
  <c r="K113" i="1"/>
  <c r="M21" i="4"/>
  <c r="L111" i="4"/>
  <c r="L90" i="4"/>
  <c r="M111" i="4" l="1"/>
  <c r="M90" i="4"/>
  <c r="L139" i="1"/>
  <c r="K139" i="1"/>
  <c r="K152" i="1"/>
  <c r="K206" i="1" s="1"/>
  <c r="M112" i="1"/>
  <c r="K247" i="1"/>
  <c r="M134" i="1"/>
  <c r="M136" i="1" s="1"/>
  <c r="L136" i="1"/>
  <c r="L137" i="1" s="1"/>
  <c r="M113" i="1" l="1"/>
  <c r="M137" i="1"/>
  <c r="M247" i="1" s="1"/>
  <c r="L247" i="1"/>
  <c r="L152" i="1"/>
  <c r="L206" i="1" s="1"/>
  <c r="M139" i="1"/>
  <c r="K215" i="1"/>
  <c r="K236" i="1" s="1"/>
  <c r="K210" i="1"/>
  <c r="K231" i="1" s="1"/>
  <c r="K227" i="1"/>
  <c r="M152" i="1" l="1"/>
  <c r="M206" i="1" s="1"/>
  <c r="M210" i="1"/>
  <c r="M231" i="1" s="1"/>
  <c r="M215" i="1"/>
  <c r="M236" i="1" s="1"/>
  <c r="M227" i="1"/>
  <c r="L210" i="1"/>
  <c r="L231" i="1" s="1"/>
  <c r="L215" i="1"/>
  <c r="L236" i="1" s="1"/>
  <c r="L227" i="1"/>
  <c r="I93" i="1" l="1"/>
  <c r="I115" i="1" s="1"/>
  <c r="L93" i="1" l="1"/>
  <c r="L115" i="1" s="1"/>
  <c r="M93" i="1"/>
  <c r="M115" i="1" s="1"/>
  <c r="J93" i="1" l="1"/>
  <c r="J115" i="1" s="1"/>
  <c r="K93" i="1"/>
  <c r="K115" i="1" s="1"/>
  <c r="L103" i="4" l="1"/>
  <c r="M103" i="4" s="1"/>
  <c r="L92" i="1" l="1"/>
  <c r="L114" i="1" s="1"/>
  <c r="L116" i="1" s="1"/>
  <c r="M92" i="1"/>
  <c r="M114" i="1" s="1"/>
  <c r="M116" i="1" s="1"/>
  <c r="K92" i="1"/>
  <c r="K114" i="1" s="1"/>
  <c r="K116" i="1" s="1"/>
  <c r="J92" i="1" l="1"/>
  <c r="J114" i="1" s="1"/>
  <c r="J116" i="1" s="1"/>
  <c r="I92" i="1"/>
  <c r="I114" i="1" s="1"/>
  <c r="I116" i="1" s="1"/>
  <c r="L13" i="4" l="1"/>
  <c r="K96" i="1"/>
  <c r="K153" i="1" l="1"/>
  <c r="K207" i="1" s="1"/>
  <c r="K128" i="1"/>
  <c r="K157" i="1" s="1"/>
  <c r="K221" i="1" s="1"/>
  <c r="M13" i="4"/>
  <c r="M96" i="1" s="1"/>
  <c r="L96" i="1"/>
  <c r="M128" i="1" l="1"/>
  <c r="M153" i="1"/>
  <c r="M207" i="1" s="1"/>
  <c r="L128" i="1"/>
  <c r="L157" i="1" s="1"/>
  <c r="L221" i="1" s="1"/>
  <c r="L153" i="1"/>
  <c r="L207" i="1" s="1"/>
  <c r="K211" i="1"/>
  <c r="K232" i="1" s="1"/>
  <c r="K217" i="1"/>
  <c r="K238" i="1" s="1"/>
  <c r="K228" i="1"/>
  <c r="K214" i="1"/>
  <c r="K235" i="1" s="1"/>
  <c r="L211" i="1" l="1"/>
  <c r="L232" i="1" s="1"/>
  <c r="L217" i="1"/>
  <c r="L238" i="1" s="1"/>
  <c r="L228" i="1"/>
  <c r="L214" i="1"/>
  <c r="L235" i="1" s="1"/>
  <c r="M211" i="1"/>
  <c r="M232" i="1" s="1"/>
  <c r="M217" i="1"/>
  <c r="M238" i="1" s="1"/>
  <c r="M228" i="1"/>
  <c r="M214" i="1"/>
  <c r="M235" i="1" s="1"/>
  <c r="J96" i="1" l="1"/>
  <c r="J153" i="1" l="1"/>
  <c r="J207" i="1" s="1"/>
  <c r="J128" i="1"/>
  <c r="J157" i="1" s="1"/>
  <c r="J221" i="1" s="1"/>
  <c r="J211" i="1" l="1"/>
  <c r="J232" i="1" s="1"/>
  <c r="J214" i="1"/>
  <c r="J235" i="1" s="1"/>
  <c r="J217" i="1"/>
  <c r="J238" i="1" s="1"/>
  <c r="J228" i="1"/>
  <c r="I96" i="1"/>
  <c r="I153" i="1" l="1"/>
  <c r="I207" i="1" s="1"/>
  <c r="I128" i="1"/>
  <c r="I157" i="1" s="1"/>
  <c r="I221" i="1" s="1"/>
  <c r="I211" i="1" l="1"/>
  <c r="I232" i="1" s="1"/>
  <c r="I214" i="1"/>
  <c r="I235" i="1" s="1"/>
  <c r="I217" i="1"/>
  <c r="I238" i="1" s="1"/>
  <c r="I228" i="1"/>
  <c r="L14" i="4" l="1"/>
  <c r="K97" i="1"/>
  <c r="K129" i="1" l="1"/>
  <c r="K155" i="1"/>
  <c r="K209" i="1" s="1"/>
  <c r="M14" i="4"/>
  <c r="M97" i="1" s="1"/>
  <c r="L97" i="1"/>
  <c r="K213" i="1" l="1"/>
  <c r="K234" i="1" s="1"/>
  <c r="K219" i="1"/>
  <c r="K240" i="1" s="1"/>
  <c r="K230" i="1"/>
  <c r="K216" i="1"/>
  <c r="K237" i="1" s="1"/>
  <c r="K218" i="1"/>
  <c r="K239" i="1" s="1"/>
  <c r="L155" i="1"/>
  <c r="L209" i="1" s="1"/>
  <c r="L129" i="1"/>
  <c r="M129" i="1"/>
  <c r="M155" i="1"/>
  <c r="M209" i="1" s="1"/>
  <c r="M213" i="1" l="1"/>
  <c r="M234" i="1" s="1"/>
  <c r="M219" i="1"/>
  <c r="M240" i="1" s="1"/>
  <c r="M230" i="1"/>
  <c r="M216" i="1"/>
  <c r="M237" i="1" s="1"/>
  <c r="M218" i="1"/>
  <c r="M239" i="1" s="1"/>
  <c r="L213" i="1"/>
  <c r="L234" i="1" s="1"/>
  <c r="L219" i="1"/>
  <c r="L240" i="1" s="1"/>
  <c r="L230" i="1"/>
  <c r="L216" i="1"/>
  <c r="L237" i="1" s="1"/>
  <c r="L218" i="1"/>
  <c r="L239" i="1" s="1"/>
  <c r="K245" i="1"/>
  <c r="K246" i="1" s="1"/>
  <c r="K248" i="1" s="1"/>
  <c r="K257" i="1" s="1"/>
  <c r="J12" i="5" l="1"/>
  <c r="L245" i="1"/>
  <c r="L246" i="1" s="1"/>
  <c r="L248" i="1" s="1"/>
  <c r="L257" i="1" s="1"/>
  <c r="M245" i="1"/>
  <c r="M246" i="1" s="1"/>
  <c r="M248" i="1" s="1"/>
  <c r="M257" i="1" s="1"/>
  <c r="K12" i="5" l="1"/>
  <c r="I97" i="1" l="1"/>
  <c r="I129" i="1" l="1"/>
  <c r="I155" i="1"/>
  <c r="I209" i="1" s="1"/>
  <c r="I213" i="1" l="1"/>
  <c r="I234" i="1" s="1"/>
  <c r="I216" i="1"/>
  <c r="I237" i="1" s="1"/>
  <c r="I219" i="1"/>
  <c r="I240" i="1" s="1"/>
  <c r="I230" i="1"/>
  <c r="I218" i="1"/>
  <c r="I239" i="1" s="1"/>
  <c r="J97" i="1" l="1"/>
  <c r="I245" i="1"/>
  <c r="I246" i="1" s="1"/>
  <c r="I248" i="1" s="1"/>
  <c r="I257" i="1" s="1"/>
  <c r="J129" i="1" l="1"/>
  <c r="J155" i="1"/>
  <c r="J209" i="1" s="1"/>
  <c r="H12" i="5"/>
  <c r="J213" i="1" l="1"/>
  <c r="J234" i="1" s="1"/>
  <c r="J219" i="1"/>
  <c r="J240" i="1" s="1"/>
  <c r="J216" i="1"/>
  <c r="J237" i="1" s="1"/>
  <c r="J230" i="1"/>
  <c r="J218" i="1"/>
  <c r="J239" i="1" s="1"/>
  <c r="J245" i="1" l="1"/>
  <c r="J246" i="1" s="1"/>
  <c r="J248" i="1" s="1"/>
  <c r="J257" i="1" s="1"/>
  <c r="I12" i="5" l="1"/>
  <c r="H93" i="1" l="1"/>
  <c r="H115" i="1" s="1"/>
  <c r="H92" i="1" l="1"/>
  <c r="H114" i="1" s="1"/>
  <c r="H116" i="1" s="1"/>
  <c r="H118" i="1" s="1"/>
  <c r="H119" i="1" l="1"/>
  <c r="H121" i="1" s="1"/>
  <c r="I117" i="1"/>
  <c r="I118" i="1" s="1"/>
  <c r="J117" i="1" l="1"/>
  <c r="I119" i="1"/>
  <c r="I121" i="1" s="1"/>
  <c r="J118" i="1"/>
  <c r="H256" i="1"/>
  <c r="G10" i="5"/>
  <c r="G16" i="5" l="1"/>
  <c r="G14" i="5"/>
  <c r="I256" i="1"/>
  <c r="H10" i="5"/>
  <c r="H261" i="1"/>
  <c r="H258" i="1"/>
  <c r="H259" i="1" s="1"/>
  <c r="K117" i="1"/>
  <c r="J119" i="1"/>
  <c r="K118" i="1"/>
  <c r="L117" i="1" l="1"/>
  <c r="K119" i="1"/>
  <c r="L118" i="1"/>
  <c r="I258" i="1"/>
  <c r="I259" i="1" s="1"/>
  <c r="I261" i="1"/>
  <c r="H14" i="5"/>
  <c r="H16" i="5"/>
  <c r="H22" i="5" s="1"/>
  <c r="G22" i="5"/>
  <c r="H18" i="5"/>
  <c r="H24" i="5" s="1"/>
  <c r="M117" i="1" l="1"/>
  <c r="M118" i="1"/>
  <c r="M119" i="1" s="1"/>
  <c r="M121" i="1" s="1"/>
  <c r="M256" i="1" s="1"/>
  <c r="L119" i="1"/>
  <c r="M261" i="1" l="1"/>
  <c r="M258" i="1"/>
  <c r="M259" i="1" s="1"/>
  <c r="L102" i="4" l="1"/>
  <c r="M102" i="4" s="1"/>
  <c r="L56" i="4"/>
  <c r="M56" i="4" s="1"/>
  <c r="L101" i="4"/>
  <c r="M101" i="4" s="1"/>
  <c r="L100" i="4"/>
  <c r="M100" i="4" s="1"/>
  <c r="L50" i="4"/>
  <c r="M50" i="4" s="1"/>
  <c r="L49" i="4"/>
  <c r="M49" i="4" s="1"/>
  <c r="L84" i="4"/>
  <c r="M84" i="4" s="1"/>
  <c r="L83" i="4"/>
  <c r="M83" i="4" s="1"/>
  <c r="L89" i="4"/>
  <c r="M89" i="4" s="1"/>
  <c r="L46" i="4"/>
  <c r="M46" i="4" s="1"/>
  <c r="L73" i="4"/>
  <c r="M73" i="4" s="1"/>
  <c r="L106" i="4"/>
  <c r="M106" i="4" s="1"/>
  <c r="L105" i="4"/>
  <c r="M105" i="4" s="1"/>
  <c r="L88" i="4"/>
  <c r="M88" i="4" s="1"/>
  <c r="L53" i="4"/>
  <c r="M53" i="4" s="1"/>
  <c r="L63" i="4"/>
  <c r="M63" i="4" s="1"/>
  <c r="L61" i="4"/>
  <c r="M61" i="4" s="1"/>
  <c r="L96" i="4"/>
  <c r="M96" i="4" s="1"/>
  <c r="L66" i="4"/>
  <c r="M66" i="4" s="1"/>
  <c r="K114" i="4" l="1"/>
  <c r="L113" i="4"/>
  <c r="K91" i="4"/>
  <c r="L87" i="4"/>
  <c r="M87" i="4" l="1"/>
  <c r="M91" i="4" s="1"/>
  <c r="L91" i="4"/>
  <c r="L114" i="4"/>
  <c r="M113" i="4"/>
  <c r="M114" i="4" s="1"/>
  <c r="J114" i="4" l="1"/>
  <c r="J91" i="4" l="1"/>
  <c r="L58" i="4" l="1"/>
  <c r="M58" i="4" s="1"/>
  <c r="L54" i="4"/>
  <c r="M54" i="4" s="1"/>
  <c r="L51" i="4"/>
  <c r="M51" i="4" s="1"/>
  <c r="K118" i="4" l="1"/>
  <c r="L47" i="4"/>
  <c r="L118" i="4" l="1"/>
  <c r="M47" i="4"/>
  <c r="M118" i="4" l="1"/>
  <c r="J118" i="4" l="1"/>
  <c r="J112" i="4" l="1"/>
  <c r="L108" i="4" l="1"/>
  <c r="M108" i="4" s="1"/>
  <c r="L104" i="4" l="1"/>
  <c r="M104" i="4" s="1"/>
  <c r="L99" i="4" l="1"/>
  <c r="M99" i="4" s="1"/>
  <c r="L98" i="4"/>
  <c r="M98" i="4" s="1"/>
  <c r="L97" i="4" l="1"/>
  <c r="M97" i="4" s="1"/>
  <c r="K112" i="4" l="1"/>
  <c r="L110" i="4"/>
  <c r="L112" i="4" l="1"/>
  <c r="M110" i="4"/>
  <c r="M112" i="4" s="1"/>
  <c r="L93" i="4" l="1"/>
  <c r="M93" i="4" s="1"/>
  <c r="L85" i="4"/>
  <c r="M85" i="4" s="1"/>
  <c r="L82" i="4"/>
  <c r="M82" i="4" s="1"/>
  <c r="L62" i="4"/>
  <c r="M62" i="4" s="1"/>
  <c r="L68" i="4" l="1"/>
  <c r="M68" i="4" s="1"/>
  <c r="L94" i="4"/>
  <c r="M94" i="4" s="1"/>
  <c r="L95" i="4"/>
  <c r="M95" i="4" s="1"/>
  <c r="J120" i="4" l="1"/>
  <c r="J109" i="4" l="1"/>
  <c r="J86" i="4"/>
  <c r="J78" i="4"/>
  <c r="J119" i="4" l="1"/>
  <c r="J121" i="4"/>
  <c r="J36" i="4" s="1"/>
  <c r="J64" i="4" l="1"/>
  <c r="J115" i="4" s="1"/>
  <c r="J29" i="4" l="1"/>
  <c r="J31" i="4" s="1"/>
  <c r="J89" i="1" s="1"/>
  <c r="J107" i="1" s="1"/>
  <c r="J121" i="1" s="1"/>
  <c r="J35" i="4"/>
  <c r="J27" i="4" s="1"/>
  <c r="I10" i="5" l="1"/>
  <c r="I14" i="5" s="1"/>
  <c r="I16" i="5" s="1"/>
  <c r="J256" i="1"/>
  <c r="J261" i="1" l="1"/>
  <c r="J258" i="1"/>
  <c r="J259" i="1" s="1"/>
  <c r="I22" i="5"/>
  <c r="I18" i="5"/>
  <c r="I24" i="5" s="1"/>
  <c r="L45" i="4" l="1"/>
  <c r="M45" i="4" s="1"/>
  <c r="L72" i="4"/>
  <c r="M72" i="4" s="1"/>
  <c r="L75" i="4"/>
  <c r="M75" i="4" s="1"/>
  <c r="L60" i="4"/>
  <c r="M60" i="4" s="1"/>
  <c r="L70" i="4"/>
  <c r="M70" i="4" s="1"/>
  <c r="L71" i="4"/>
  <c r="M71" i="4" s="1"/>
  <c r="L77" i="4"/>
  <c r="M77" i="4" s="1"/>
  <c r="L81" i="4"/>
  <c r="M81" i="4" s="1"/>
  <c r="L74" i="4"/>
  <c r="M74" i="4" s="1"/>
  <c r="L69" i="4"/>
  <c r="M69" i="4" s="1"/>
  <c r="L65" i="4" l="1"/>
  <c r="K120" i="4"/>
  <c r="L67" i="4"/>
  <c r="L59" i="4"/>
  <c r="M59" i="4" s="1"/>
  <c r="L52" i="4"/>
  <c r="M52" i="4" s="1"/>
  <c r="L80" i="4"/>
  <c r="M80" i="4" s="1"/>
  <c r="L107" i="4"/>
  <c r="M107" i="4" s="1"/>
  <c r="L55" i="4"/>
  <c r="M55" i="4" s="1"/>
  <c r="L57" i="4"/>
  <c r="M57" i="4" s="1"/>
  <c r="K86" i="4" l="1"/>
  <c r="L79" i="4"/>
  <c r="K119" i="4"/>
  <c r="L48" i="4"/>
  <c r="K121" i="4"/>
  <c r="K36" i="4" s="1"/>
  <c r="K109" i="4"/>
  <c r="L92" i="4"/>
  <c r="M67" i="4"/>
  <c r="M120" i="4" s="1"/>
  <c r="L120" i="4"/>
  <c r="M65" i="4"/>
  <c r="M92" i="4" l="1"/>
  <c r="M109" i="4" s="1"/>
  <c r="L109" i="4"/>
  <c r="L76" i="4"/>
  <c r="K78" i="4"/>
  <c r="L119" i="4"/>
  <c r="M48" i="4"/>
  <c r="L121" i="4"/>
  <c r="L36" i="4" s="1"/>
  <c r="L86" i="4"/>
  <c r="M79" i="4"/>
  <c r="M86" i="4" s="1"/>
  <c r="M119" i="4" l="1"/>
  <c r="M121" i="4"/>
  <c r="M36" i="4" s="1"/>
  <c r="M76" i="4"/>
  <c r="M78" i="4" s="1"/>
  <c r="L78" i="4"/>
  <c r="K64" i="4" l="1"/>
  <c r="K115" i="4" s="1"/>
  <c r="L44" i="4"/>
  <c r="M44" i="4" l="1"/>
  <c r="M64" i="4" s="1"/>
  <c r="M115" i="4" s="1"/>
  <c r="L64" i="4"/>
  <c r="L115" i="4" s="1"/>
  <c r="K29" i="4"/>
  <c r="K31" i="4" s="1"/>
  <c r="K89" i="1" s="1"/>
  <c r="K107" i="1" s="1"/>
  <c r="K121" i="1" s="1"/>
  <c r="K35" i="4"/>
  <c r="K27" i="4" s="1"/>
  <c r="K256" i="1" l="1"/>
  <c r="J10" i="5"/>
  <c r="J14" i="5" s="1"/>
  <c r="J16" i="5" s="1"/>
  <c r="L29" i="4"/>
  <c r="L31" i="4" s="1"/>
  <c r="L89" i="1" s="1"/>
  <c r="L107" i="1" s="1"/>
  <c r="L121" i="1" s="1"/>
  <c r="L35" i="4"/>
  <c r="L27" i="4" s="1"/>
  <c r="M29" i="4"/>
  <c r="M31" i="4" s="1"/>
  <c r="M89" i="1" s="1"/>
  <c r="M35" i="4"/>
  <c r="M27" i="4" s="1"/>
  <c r="L256" i="1" l="1"/>
  <c r="K10" i="5"/>
  <c r="K14" i="5" s="1"/>
  <c r="K16" i="5" s="1"/>
  <c r="J22" i="5"/>
  <c r="J18" i="5"/>
  <c r="J24" i="5" s="1"/>
  <c r="K258" i="1"/>
  <c r="K259" i="1" s="1"/>
  <c r="K261" i="1"/>
  <c r="K22" i="5" l="1"/>
  <c r="K18" i="5"/>
  <c r="K24" i="5" s="1"/>
  <c r="L261" i="1"/>
  <c r="L258" i="1"/>
  <c r="L259" i="1" s="1"/>
</calcChain>
</file>

<file path=xl/sharedStrings.xml><?xml version="1.0" encoding="utf-8"?>
<sst xmlns="http://schemas.openxmlformats.org/spreadsheetml/2006/main" count="513" uniqueCount="270">
  <si>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</si>
  <si>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</si>
  <si>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</si>
  <si>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</si>
  <si>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</si>
  <si>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</si>
  <si>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</si>
  <si>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</si>
  <si>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</si>
  <si>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</si>
  <si>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</si>
  <si>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</si>
  <si>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</si>
  <si>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</si>
  <si>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</si>
  <si>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</si>
  <si>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</si>
  <si>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</si>
  <si>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</si>
  <si>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</si>
  <si>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</si>
  <si>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</si>
  <si>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</si>
  <si>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</si>
  <si>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</si>
  <si>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</si>
  <si>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</si>
  <si>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</si>
  <si>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</si>
  <si>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</si>
  <si>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</si>
  <si>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</si>
  <si>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</si>
  <si>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</si>
  <si>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</si>
  <si>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</si>
  <si>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</si>
  <si>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</si>
  <si>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</si>
  <si>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</si>
  <si>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</si>
  <si>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</si>
  <si>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</si>
  <si>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</si>
  <si>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</si>
  <si>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</si>
  <si>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</si>
  <si>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</si>
  <si>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</si>
  <si>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</si>
  <si>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</si>
  <si>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</si>
  <si>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</si>
  <si>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</si>
  <si>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</si>
  <si>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</si>
  <si>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</si>
  <si>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</si>
  <si>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</si>
  <si>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</si>
  <si>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</si>
  <si>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</si>
  <si>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</si>
  <si>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</si>
  <si>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</si>
  <si>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</si>
  <si>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</si>
  <si>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</si>
  <si>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</si>
  <si>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</si>
  <si>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</si>
  <si>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</si>
  <si>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</si>
  <si>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</si>
  <si>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</si>
  <si>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</si>
  <si>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</si>
  <si>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</si>
  <si>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</si>
  <si>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</si>
  <si>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</si>
  <si>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</si>
  <si>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</si>
  <si>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</si>
  <si>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</si>
  <si>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</si>
  <si>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</si>
  <si>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</si>
  <si>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</si>
  <si>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</si>
  <si>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</si>
  <si>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</si>
  <si>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</si>
  <si>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</si>
  <si>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</si>
  <si>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</si>
  <si>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</si>
  <si>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</si>
  <si>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</si>
  <si>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</si>
  <si>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</si>
  <si>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</si>
  <si>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</si>
  <si>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</si>
  <si>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</si>
  <si>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</si>
  <si>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</si>
  <si>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</si>
  <si>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</si>
  <si>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</si>
  <si>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</si>
  <si>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</si>
  <si>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</si>
  <si>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</si>
  <si>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</si>
  <si>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</si>
  <si>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</si>
  <si>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</si>
  <si>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</si>
  <si>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</si>
  <si>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</si>
  <si>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</si>
  <si>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</si>
  <si>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</si>
  <si>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</si>
  <si>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</si>
  <si>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</si>
  <si>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</si>
  <si>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</si>
  <si>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</si>
  <si>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</si>
  <si>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</si>
  <si>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</si>
  <si>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</si>
  <si>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</si>
  <si>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</si>
  <si>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</si>
  <si>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</si>
  <si>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</si>
  <si>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</si>
  <si>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</si>
  <si>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</si>
  <si>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</si>
  <si>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</si>
  <si>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</si>
  <si>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</si>
  <si>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</si>
  <si>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</si>
  <si>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</si>
  <si>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</si>
  <si>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</si>
  <si>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</si>
  <si>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</si>
  <si>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</si>
  <si>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</si>
  <si>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</si>
  <si>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</si>
  <si>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</si>
  <si>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</si>
  <si>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</si>
  <si>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</si>
  <si>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</si>
  <si>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</si>
  <si>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</si>
  <si>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</si>
  <si>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</si>
  <si>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</si>
  <si>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</si>
  <si>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</si>
  <si>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</si>
  <si>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</si>
  <si>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</si>
  <si>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</si>
  <si>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</si>
  <si>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</si>
  <si>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</si>
  <si>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</si>
  <si>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</si>
  <si>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</si>
  <si>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</si>
  <si>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</si>
  <si>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</si>
  <si>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</si>
  <si>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</si>
  <si>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</si>
  <si>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</si>
  <si>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</si>
  <si>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</si>
  <si>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</si>
  <si>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</si>
  <si>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</si>
  <si>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</si>
  <si>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</si>
  <si>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</si>
  <si>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</si>
  <si>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</si>
  <si>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</si>
  <si>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</si>
  <si>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</si>
  <si>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</si>
  <si>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</si>
  <si>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</si>
  <si>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</si>
  <si>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</si>
  <si>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</si>
  <si>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</si>
  <si>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</si>
  <si>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</si>
  <si>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</si>
  <si>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</si>
  <si>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</si>
  <si>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</si>
  <si>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</si>
  <si>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</si>
  <si>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</si>
  <si>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</si>
  <si>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</si>
  <si>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</si>
  <si>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</si>
  <si>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</si>
  <si>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</si>
  <si>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</si>
  <si>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</si>
  <si>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</si>
  <si>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</si>
  <si>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</si>
  <si>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</si>
  <si>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</si>
  <si>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</si>
  <si>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</si>
  <si>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</si>
  <si>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</si>
  <si>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</si>
  <si>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</si>
  <si>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</si>
  <si>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</si>
  <si>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</si>
  <si>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</si>
  <si>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</si>
  <si>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</si>
  <si>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</si>
  <si>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</si>
  <si>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</si>
  <si>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</si>
  <si>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</si>
  <si>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</si>
  <si>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</si>
  <si>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</si>
  <si>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</si>
  <si>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</si>
  <si>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</si>
  <si>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</si>
  <si>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</si>
  <si>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</si>
  <si>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</si>
  <si>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</si>
  <si>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</si>
  <si>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</si>
  <si>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</si>
  <si>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</si>
  <si>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</si>
  <si>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</si>
  <si>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</si>
  <si>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</si>
  <si>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</si>
  <si>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</si>
  <si>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</si>
  <si>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</si>
  <si>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</si>
  <si>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(Test)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</si>
</sst>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abSelected="1" zoomScale="90" zoomScaleNormal="90" workbookViewId="0"/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29" t="s">
        <v>188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15" ht="19.5" customHeight="1" x14ac:dyDescent="0.25">
      <c r="C3" s="230" t="str">
        <f>IF(F5="Click to Choose an LDC","",F5)</f>
        <v>Niagara-on-the-Lake Hydro Inc.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263</v>
      </c>
      <c r="E5" s="9"/>
      <c r="F5" s="89" t="s">
        <v>231</v>
      </c>
      <c r="G5" s="2" t="s">
        <v>175</v>
      </c>
      <c r="H5" s="2" t="s">
        <v>176</v>
      </c>
      <c r="I5" s="2" t="s">
        <v>174</v>
      </c>
      <c r="J5" s="231" t="s">
        <v>177</v>
      </c>
      <c r="K5" s="231"/>
      <c r="L5" s="231"/>
      <c r="M5" s="231"/>
      <c r="O5" s="4"/>
    </row>
    <row r="6" spans="2:15" ht="36" customHeight="1" x14ac:dyDescent="0.35">
      <c r="B6" s="4" t="s">
        <v>180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265</v>
      </c>
      <c r="O6" s="2"/>
    </row>
    <row r="8" spans="2:15" x14ac:dyDescent="0.2">
      <c r="C8" s="8" t="s">
        <v>85</v>
      </c>
      <c r="D8" s="8"/>
      <c r="E8" s="2"/>
      <c r="H8" s="231"/>
      <c r="I8" s="231"/>
      <c r="J8" s="231"/>
      <c r="K8" s="231"/>
      <c r="L8" s="231"/>
      <c r="M8" s="231"/>
    </row>
    <row r="9" spans="2:15" x14ac:dyDescent="0.2">
      <c r="B9" s="2">
        <v>1</v>
      </c>
      <c r="D9" s="9" t="s">
        <v>86</v>
      </c>
      <c r="G9" s="54">
        <f>'Benchmarking Calculations'!G92</f>
        <v>4915478.0999999996</v>
      </c>
      <c r="H9" s="81">
        <v>3112205.1799999997</v>
      </c>
      <c r="I9" s="81">
        <v>1394163.8100000003</v>
      </c>
      <c r="J9" s="81">
        <v>3487243</v>
      </c>
      <c r="K9" s="81">
        <v>2550778</v>
      </c>
      <c r="L9" s="81">
        <v>2188695</v>
      </c>
      <c r="M9" s="81">
        <v>2064240</v>
      </c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2334811.89</v>
      </c>
      <c r="H10" s="81">
        <v>635126.52999999991</v>
      </c>
      <c r="I10" s="81">
        <v>27617.95</v>
      </c>
      <c r="J10" s="81">
        <v>5000</v>
      </c>
      <c r="K10" s="81">
        <v>5000</v>
      </c>
      <c r="L10" s="81">
        <v>5000</v>
      </c>
      <c r="M10" s="81">
        <v>5000</v>
      </c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9632</v>
      </c>
      <c r="H13" s="81">
        <v>9776</v>
      </c>
      <c r="I13" s="81">
        <v>9819.375</v>
      </c>
      <c r="J13" s="81">
        <v>9954.375</v>
      </c>
      <c r="K13" s="81">
        <v>10113.916666666672</v>
      </c>
      <c r="L13" s="81">
        <f>K13+100</f>
        <v>10213.916666666672</v>
      </c>
      <c r="M13" s="81">
        <f>L13+100</f>
        <v>10313.916666666672</v>
      </c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220973865.87</v>
      </c>
      <c r="H14" s="81">
        <v>217453659.22999999</v>
      </c>
      <c r="I14" s="81">
        <v>212160512.10572967</v>
      </c>
      <c r="J14" s="81">
        <v>229864322.65521154</v>
      </c>
      <c r="K14" s="81">
        <v>252076717.34379908</v>
      </c>
      <c r="L14" s="81">
        <f>+K14+750*12*100</f>
        <v>252976717.34379908</v>
      </c>
      <c r="M14" s="81">
        <f>+L14+750*12*100</f>
        <v>253876717.34379908</v>
      </c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48809</v>
      </c>
      <c r="H15" s="81">
        <v>49789</v>
      </c>
      <c r="I15" s="81">
        <v>45600</v>
      </c>
      <c r="J15" s="81">
        <f>+I15+4900</f>
        <v>50500</v>
      </c>
      <c r="K15" s="81">
        <f t="shared" ref="H15:M16" si="1">J15</f>
        <v>50500</v>
      </c>
      <c r="L15" s="81">
        <f>K15</f>
        <v>50500</v>
      </c>
      <c r="M15" s="81">
        <f>L15</f>
        <v>50500</v>
      </c>
      <c r="N15" s="9" t="s">
        <v>172</v>
      </c>
      <c r="O15" s="56"/>
    </row>
    <row r="16" spans="2:15" x14ac:dyDescent="0.2">
      <c r="B16" s="2">
        <v>6</v>
      </c>
      <c r="D16" s="9" t="s">
        <v>189</v>
      </c>
      <c r="G16" s="54">
        <f>'Benchmarking Calculations'!G99</f>
        <v>369</v>
      </c>
      <c r="H16" s="81">
        <f t="shared" si="1"/>
        <v>369</v>
      </c>
      <c r="I16" s="81">
        <f t="shared" si="1"/>
        <v>369</v>
      </c>
      <c r="J16" s="81">
        <f t="shared" si="1"/>
        <v>369</v>
      </c>
      <c r="K16" s="81">
        <f t="shared" si="1"/>
        <v>369</v>
      </c>
      <c r="L16" s="81">
        <f t="shared" si="1"/>
        <v>369</v>
      </c>
      <c r="M16" s="81">
        <f t="shared" si="1"/>
        <v>369</v>
      </c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0.22202486678507993</v>
      </c>
      <c r="H17" s="207">
        <f>G17</f>
        <v>0.22202486678507993</v>
      </c>
      <c r="I17" s="207">
        <f t="shared" ref="I17:M17" si="2">H17</f>
        <v>0.22202486678507993</v>
      </c>
      <c r="J17" s="207">
        <f t="shared" si="2"/>
        <v>0.22202486678507993</v>
      </c>
      <c r="K17" s="207">
        <f t="shared" si="2"/>
        <v>0.22202486678507993</v>
      </c>
      <c r="L17" s="207">
        <f t="shared" si="2"/>
        <v>0.22202486678507993</v>
      </c>
      <c r="M17" s="207">
        <f t="shared" si="2"/>
        <v>0.22202486678507993</v>
      </c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1"/>
      <c r="I19" s="231"/>
      <c r="J19" s="231"/>
      <c r="K19" s="231"/>
      <c r="L19" s="231"/>
      <c r="M19" s="231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2.1499999999999998E-2</v>
      </c>
      <c r="I20" s="80">
        <v>0.02</v>
      </c>
      <c r="J20" s="80">
        <v>0.05</v>
      </c>
      <c r="K20" s="80">
        <v>1.9E-2</v>
      </c>
      <c r="L20" s="80">
        <f t="shared" ref="L20" si="3">K20</f>
        <v>1.9E-2</v>
      </c>
      <c r="M20" s="80">
        <v>0.02</v>
      </c>
      <c r="N20" s="9" t="s">
        <v>267</v>
      </c>
      <c r="O20" s="232" t="s">
        <v>266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2.1999999999999999E-2</v>
      </c>
      <c r="I21" s="80">
        <v>3.3000000000000002E-2</v>
      </c>
      <c r="J21" s="80">
        <v>3.6999999999999998E-2</v>
      </c>
      <c r="K21" s="80">
        <v>0.05</v>
      </c>
      <c r="L21" s="80">
        <f t="shared" ref="L21:M22" si="4">K21</f>
        <v>0.05</v>
      </c>
      <c r="M21" s="80">
        <f t="shared" si="4"/>
        <v>0.05</v>
      </c>
      <c r="N21" s="9" t="s">
        <v>267</v>
      </c>
      <c r="O21" s="232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5.0860000000000002E-2</v>
      </c>
      <c r="I22" s="80">
        <v>5.2580000000000002E-2</v>
      </c>
      <c r="J22" s="80">
        <v>5.9516000000000006E-2</v>
      </c>
      <c r="K22" s="80">
        <v>6.0804000000000011E-2</v>
      </c>
      <c r="L22" s="80">
        <f t="shared" si="4"/>
        <v>6.0804000000000011E-2</v>
      </c>
      <c r="M22" s="80">
        <f t="shared" si="4"/>
        <v>6.0804000000000011E-2</v>
      </c>
      <c r="N22" s="9" t="s">
        <v>268</v>
      </c>
      <c r="O22" s="232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190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195</v>
      </c>
      <c r="G27" s="34">
        <f t="shared" ref="G27:M27" si="5">G35-G36+G37</f>
        <v>2911179.0199999996</v>
      </c>
      <c r="H27" s="34">
        <f t="shared" si="5"/>
        <v>3146520.4699999997</v>
      </c>
      <c r="I27" s="34">
        <f t="shared" si="5"/>
        <v>3216411.59</v>
      </c>
      <c r="J27" s="34">
        <f t="shared" si="5"/>
        <v>3350768.9421854271</v>
      </c>
      <c r="K27" s="34">
        <f t="shared" si="5"/>
        <v>3496775.4042691528</v>
      </c>
      <c r="L27" s="34">
        <f t="shared" si="5"/>
        <v>3671614.1744826101</v>
      </c>
      <c r="M27" s="34">
        <f t="shared" si="5"/>
        <v>3855194.8832067414</v>
      </c>
      <c r="N27" s="9" t="s">
        <v>29</v>
      </c>
    </row>
    <row r="28" spans="2:15" ht="13.5" thickBot="1" x14ac:dyDescent="0.25">
      <c r="B28" s="9" t="s">
        <v>187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199</v>
      </c>
      <c r="G29" s="34">
        <f>G115-G121+G122</f>
        <v>2911179.0199999996</v>
      </c>
      <c r="H29" s="34">
        <f>H115-H121+H122</f>
        <v>3146520.4699999997</v>
      </c>
      <c r="I29" s="34">
        <f t="shared" ref="I29:M29" si="6">I115-I121+I122</f>
        <v>3216411.59</v>
      </c>
      <c r="J29" s="34">
        <f t="shared" si="6"/>
        <v>3350768.9421854271</v>
      </c>
      <c r="K29" s="34">
        <f t="shared" si="6"/>
        <v>3496775.4042691528</v>
      </c>
      <c r="L29" s="34">
        <f t="shared" si="6"/>
        <v>3671614.1744826101</v>
      </c>
      <c r="M29" s="34">
        <f t="shared" si="6"/>
        <v>3855194.8832067414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7">IF($E$27="Y",G27,IF($E$29="Y",G29,"Error: Please enter Y for one method"))</f>
        <v>2911179.0199999996</v>
      </c>
      <c r="H31" s="34">
        <f>IF($E$27="Y",H27,IF($E$29="Y",H29,"Error: Please enter Y for one method"))</f>
        <v>3146520.4699999997</v>
      </c>
      <c r="I31" s="34">
        <f t="shared" si="7"/>
        <v>3216411.59</v>
      </c>
      <c r="J31" s="34">
        <f t="shared" si="7"/>
        <v>3350768.9421854271</v>
      </c>
      <c r="K31" s="34">
        <f t="shared" si="7"/>
        <v>3496775.4042691528</v>
      </c>
      <c r="L31" s="34">
        <f t="shared" si="7"/>
        <v>3671614.1744826101</v>
      </c>
      <c r="M31" s="34">
        <f t="shared" si="7"/>
        <v>3855194.8832067414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179</v>
      </c>
      <c r="G34" s="54"/>
      <c r="H34" s="228" t="s">
        <v>183</v>
      </c>
      <c r="I34" s="228"/>
      <c r="J34" s="228"/>
      <c r="K34" s="228"/>
      <c r="L34" s="228"/>
      <c r="M34" s="228"/>
      <c r="N34" s="98"/>
    </row>
    <row r="35" spans="3:27" x14ac:dyDescent="0.2">
      <c r="C35" s="97"/>
      <c r="D35" s="111" t="s">
        <v>192</v>
      </c>
      <c r="E35" t="s">
        <v>200</v>
      </c>
      <c r="G35" s="17">
        <f t="shared" ref="G35:M35" si="8">G115</f>
        <v>2925623.7199999997</v>
      </c>
      <c r="H35" s="81">
        <f t="shared" si="8"/>
        <v>3175634.8</v>
      </c>
      <c r="I35" s="81">
        <f t="shared" si="8"/>
        <v>3291353.6599999997</v>
      </c>
      <c r="J35" s="81">
        <f t="shared" si="8"/>
        <v>3385009.3077936354</v>
      </c>
      <c r="K35" s="81">
        <f t="shared" si="8"/>
        <v>3544571.2124338862</v>
      </c>
      <c r="L35" s="81">
        <f t="shared" si="8"/>
        <v>3721799.7730555804</v>
      </c>
      <c r="M35" s="81">
        <f t="shared" si="8"/>
        <v>3907889.7617083602</v>
      </c>
      <c r="N35" s="98" t="s">
        <v>172</v>
      </c>
    </row>
    <row r="36" spans="3:27" x14ac:dyDescent="0.2">
      <c r="C36" s="97"/>
      <c r="D36" s="111" t="s">
        <v>193</v>
      </c>
      <c r="E36" t="s">
        <v>191</v>
      </c>
      <c r="G36" s="34">
        <f>G121</f>
        <v>14444.7</v>
      </c>
      <c r="H36" s="81">
        <f>H121</f>
        <v>29114.329999999998</v>
      </c>
      <c r="I36" s="81">
        <f t="shared" ref="I36:M36" si="9">I121</f>
        <v>74942.070000000007</v>
      </c>
      <c r="J36" s="81">
        <f t="shared" si="9"/>
        <v>34240.365608208245</v>
      </c>
      <c r="K36" s="81">
        <f t="shared" si="9"/>
        <v>47795.808164733564</v>
      </c>
      <c r="L36" s="81">
        <f t="shared" si="9"/>
        <v>50185.598572970244</v>
      </c>
      <c r="M36" s="81">
        <f t="shared" si="9"/>
        <v>52694.878501618761</v>
      </c>
      <c r="N36" s="98" t="s">
        <v>172</v>
      </c>
    </row>
    <row r="37" spans="3:27" x14ac:dyDescent="0.2">
      <c r="C37" s="97"/>
      <c r="D37" s="111" t="s">
        <v>194</v>
      </c>
      <c r="E37" t="s">
        <v>83</v>
      </c>
      <c r="G37" s="34">
        <f>G122</f>
        <v>0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7"/>
    </row>
    <row r="41" spans="3:27" x14ac:dyDescent="0.2">
      <c r="C41" s="97"/>
      <c r="D41" s="8" t="s">
        <v>178</v>
      </c>
      <c r="N41" s="98"/>
      <c r="O41" s="227"/>
    </row>
    <row r="42" spans="3:27" x14ac:dyDescent="0.2">
      <c r="C42" s="50"/>
      <c r="N42" s="98"/>
      <c r="O42" s="227"/>
    </row>
    <row r="43" spans="3:27" x14ac:dyDescent="0.2">
      <c r="C43" s="102"/>
      <c r="D43" s="8" t="s">
        <v>164</v>
      </c>
      <c r="E43" s="8"/>
      <c r="F43" s="2"/>
      <c r="N43" s="98"/>
      <c r="O43" s="227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89039.21</v>
      </c>
      <c r="H44" s="86">
        <v>58751.85</v>
      </c>
      <c r="I44" s="86">
        <v>41225.410000000003</v>
      </c>
      <c r="J44" s="86">
        <v>52752.984116326435</v>
      </c>
      <c r="K44" s="86">
        <v>53703.693503563227</v>
      </c>
      <c r="L44" s="86">
        <f t="shared" ref="L44:M63" si="10">K44*(1+L$21)</f>
        <v>56388.87817874139</v>
      </c>
      <c r="M44" s="86">
        <f t="shared" si="10"/>
        <v>59208.322087678462</v>
      </c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41136.660000000003</v>
      </c>
      <c r="H45" s="86">
        <v>67460.679999999993</v>
      </c>
      <c r="I45" s="86">
        <v>37020.46</v>
      </c>
      <c r="J45" s="86">
        <v>52942.896463365054</v>
      </c>
      <c r="K45" s="86">
        <v>54000.910333395797</v>
      </c>
      <c r="L45" s="86">
        <f t="shared" si="10"/>
        <v>56700.955850065591</v>
      </c>
      <c r="M45" s="86">
        <f t="shared" si="10"/>
        <v>59536.003642568874</v>
      </c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v>0</v>
      </c>
      <c r="L46" s="86">
        <f t="shared" si="10"/>
        <v>0</v>
      </c>
      <c r="M46" s="86">
        <f t="shared" si="10"/>
        <v>0</v>
      </c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1810.7</v>
      </c>
      <c r="H47" s="86">
        <v>9024.89</v>
      </c>
      <c r="I47" s="86">
        <v>3010.08</v>
      </c>
      <c r="J47" s="86">
        <v>3216.071851870423</v>
      </c>
      <c r="K47" s="86">
        <v>3272.3366354265099</v>
      </c>
      <c r="L47" s="86">
        <f t="shared" si="10"/>
        <v>3435.9534671978354</v>
      </c>
      <c r="M47" s="86">
        <f t="shared" si="10"/>
        <v>3607.7511405577275</v>
      </c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>
        <v>0</v>
      </c>
      <c r="I48" s="86">
        <v>1625.66</v>
      </c>
      <c r="J48" s="86">
        <v>1682.88</v>
      </c>
      <c r="K48" s="86">
        <v>1777.95</v>
      </c>
      <c r="L48" s="86">
        <f t="shared" si="10"/>
        <v>1866.8475000000001</v>
      </c>
      <c r="M48" s="86">
        <f t="shared" si="10"/>
        <v>1960.1898750000003</v>
      </c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0</v>
      </c>
      <c r="H49" s="86">
        <v>0</v>
      </c>
      <c r="I49" s="86">
        <v>0</v>
      </c>
      <c r="J49" s="86">
        <v>0</v>
      </c>
      <c r="K49" s="86">
        <v>0</v>
      </c>
      <c r="L49" s="86">
        <f t="shared" si="10"/>
        <v>0</v>
      </c>
      <c r="M49" s="86">
        <f t="shared" si="10"/>
        <v>0</v>
      </c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0</v>
      </c>
      <c r="H50" s="86">
        <v>0</v>
      </c>
      <c r="I50" s="86">
        <v>0</v>
      </c>
      <c r="J50" s="86">
        <v>0</v>
      </c>
      <c r="K50" s="86">
        <v>0</v>
      </c>
      <c r="L50" s="86">
        <f t="shared" si="10"/>
        <v>0</v>
      </c>
      <c r="M50" s="86">
        <f t="shared" si="10"/>
        <v>0</v>
      </c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110729.53</v>
      </c>
      <c r="H51" s="86">
        <v>105541.42</v>
      </c>
      <c r="I51" s="86">
        <v>113059.25</v>
      </c>
      <c r="J51" s="86">
        <v>120159.07402621028</v>
      </c>
      <c r="K51" s="86">
        <v>122211.45521307363</v>
      </c>
      <c r="L51" s="86">
        <f t="shared" si="10"/>
        <v>128322.02797372731</v>
      </c>
      <c r="M51" s="86">
        <f t="shared" si="10"/>
        <v>134738.12937241368</v>
      </c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70900.78</v>
      </c>
      <c r="H52" s="86">
        <v>60942.43</v>
      </c>
      <c r="I52" s="86">
        <v>63036.76</v>
      </c>
      <c r="J52" s="86">
        <v>70771.559999999983</v>
      </c>
      <c r="K52" s="86">
        <v>72444.210000000006</v>
      </c>
      <c r="L52" s="86">
        <f t="shared" si="10"/>
        <v>76066.420500000007</v>
      </c>
      <c r="M52" s="86">
        <f t="shared" si="10"/>
        <v>79869.741525000005</v>
      </c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0</v>
      </c>
      <c r="H53" s="86">
        <v>0</v>
      </c>
      <c r="I53" s="86">
        <v>0</v>
      </c>
      <c r="J53" s="86">
        <v>0</v>
      </c>
      <c r="K53" s="86">
        <v>0</v>
      </c>
      <c r="L53" s="86">
        <f t="shared" si="10"/>
        <v>0</v>
      </c>
      <c r="M53" s="86">
        <f t="shared" si="10"/>
        <v>0</v>
      </c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0</v>
      </c>
      <c r="H54" s="86">
        <v>0</v>
      </c>
      <c r="I54" s="86">
        <v>70.98</v>
      </c>
      <c r="J54" s="86">
        <v>82.477941390787578</v>
      </c>
      <c r="K54" s="86">
        <v>83.895932053298296</v>
      </c>
      <c r="L54" s="86">
        <f t="shared" si="10"/>
        <v>88.090728655963218</v>
      </c>
      <c r="M54" s="86">
        <f t="shared" si="10"/>
        <v>92.495265088761386</v>
      </c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6021.24</v>
      </c>
      <c r="H55" s="86">
        <v>7546.87</v>
      </c>
      <c r="I55" s="86">
        <v>22549.05</v>
      </c>
      <c r="J55" s="86">
        <v>13429.439999999995</v>
      </c>
      <c r="K55" s="86">
        <v>13698.01</v>
      </c>
      <c r="L55" s="86">
        <f t="shared" si="10"/>
        <v>14382.9105</v>
      </c>
      <c r="M55" s="86">
        <f t="shared" si="10"/>
        <v>15102.056025</v>
      </c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0</v>
      </c>
      <c r="H56" s="86">
        <v>0</v>
      </c>
      <c r="I56" s="86">
        <v>0</v>
      </c>
      <c r="J56" s="86">
        <v>0</v>
      </c>
      <c r="K56" s="86">
        <v>0</v>
      </c>
      <c r="L56" s="86">
        <f t="shared" si="10"/>
        <v>0</v>
      </c>
      <c r="M56" s="86">
        <f t="shared" si="10"/>
        <v>0</v>
      </c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28658.53</v>
      </c>
      <c r="H57" s="86">
        <v>4845.6000000000004</v>
      </c>
      <c r="I57" s="86">
        <v>3979.35</v>
      </c>
      <c r="J57" s="86">
        <v>4075.6797774672814</v>
      </c>
      <c r="K57" s="86">
        <v>4153.3796496668365</v>
      </c>
      <c r="L57" s="86">
        <f t="shared" si="10"/>
        <v>4361.0486321501785</v>
      </c>
      <c r="M57" s="86">
        <f t="shared" si="10"/>
        <v>4579.1010637576874</v>
      </c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42326.91</v>
      </c>
      <c r="H58" s="86">
        <v>22857.35</v>
      </c>
      <c r="I58" s="86">
        <v>70904.479999999996</v>
      </c>
      <c r="J58" s="86">
        <v>35689.793376223861</v>
      </c>
      <c r="K58" s="86">
        <v>36303.536921028506</v>
      </c>
      <c r="L58" s="86">
        <f t="shared" si="10"/>
        <v>38118.713767079935</v>
      </c>
      <c r="M58" s="86">
        <f t="shared" si="10"/>
        <v>40024.64945543393</v>
      </c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146553.01</v>
      </c>
      <c r="H59" s="86">
        <v>137902.06</v>
      </c>
      <c r="I59" s="86">
        <v>119066.93</v>
      </c>
      <c r="J59" s="86">
        <v>113465.88000000002</v>
      </c>
      <c r="K59" s="86">
        <v>115776.2</v>
      </c>
      <c r="L59" s="86">
        <f t="shared" si="10"/>
        <v>121565.01000000001</v>
      </c>
      <c r="M59" s="86">
        <f t="shared" si="10"/>
        <v>127643.26050000002</v>
      </c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145670.6</v>
      </c>
      <c r="H60" s="86">
        <v>221666.11</v>
      </c>
      <c r="I60" s="86">
        <v>255469.67</v>
      </c>
      <c r="J60" s="86">
        <v>281238.84322253644</v>
      </c>
      <c r="K60" s="86">
        <v>286368.36357630463</v>
      </c>
      <c r="L60" s="86">
        <f t="shared" si="10"/>
        <v>300686.78175511985</v>
      </c>
      <c r="M60" s="86">
        <f t="shared" si="10"/>
        <v>315721.12084287585</v>
      </c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>
        <v>0</v>
      </c>
      <c r="L61" s="86">
        <f t="shared" si="10"/>
        <v>0</v>
      </c>
      <c r="M61" s="86">
        <f t="shared" si="10"/>
        <v>0</v>
      </c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34678.300000000003</v>
      </c>
      <c r="H62" s="86">
        <v>33614.28</v>
      </c>
      <c r="I62" s="86">
        <v>33170.269999999997</v>
      </c>
      <c r="J62" s="86">
        <v>33667.80000000001</v>
      </c>
      <c r="K62" s="86">
        <v>28341.17</v>
      </c>
      <c r="L62" s="86">
        <f t="shared" si="10"/>
        <v>29758.228500000001</v>
      </c>
      <c r="M62" s="86">
        <f t="shared" si="10"/>
        <v>31246.139925000003</v>
      </c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>
        <v>0</v>
      </c>
      <c r="K63" s="86">
        <v>0</v>
      </c>
      <c r="L63" s="86">
        <f t="shared" si="10"/>
        <v>0</v>
      </c>
      <c r="M63" s="86">
        <f t="shared" si="10"/>
        <v>0</v>
      </c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717525.47000000009</v>
      </c>
      <c r="H64" s="52">
        <f>SUM(H44:H63)</f>
        <v>730153.53999999992</v>
      </c>
      <c r="I64" s="52">
        <f t="shared" ref="I64:M64" si="11">SUM(I44:I63)</f>
        <v>764188.35</v>
      </c>
      <c r="J64" s="52">
        <f t="shared" si="11"/>
        <v>783175.38077539066</v>
      </c>
      <c r="K64" s="52">
        <f t="shared" si="11"/>
        <v>792135.11176451249</v>
      </c>
      <c r="L64" s="52">
        <f t="shared" si="11"/>
        <v>831741.86735273805</v>
      </c>
      <c r="M64" s="52">
        <f t="shared" si="11"/>
        <v>873328.96072037495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17540.97</v>
      </c>
      <c r="H65" s="86">
        <v>11593.13</v>
      </c>
      <c r="I65" s="86">
        <v>132.68</v>
      </c>
      <c r="J65" s="86">
        <v>153.65795215433442</v>
      </c>
      <c r="K65" s="86">
        <v>156.29984818458186</v>
      </c>
      <c r="L65" s="86">
        <f t="shared" ref="L65:M77" si="12">K65*(1+L$21)</f>
        <v>164.11484059381095</v>
      </c>
      <c r="M65" s="86">
        <f t="shared" si="12"/>
        <v>172.32058262350151</v>
      </c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86">
        <v>0</v>
      </c>
      <c r="I66" s="86">
        <v>0</v>
      </c>
      <c r="J66" s="86">
        <v>0</v>
      </c>
      <c r="K66" s="86">
        <v>0</v>
      </c>
      <c r="L66" s="86">
        <f t="shared" si="12"/>
        <v>0</v>
      </c>
      <c r="M66" s="86">
        <f t="shared" si="12"/>
        <v>0</v>
      </c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12634</v>
      </c>
      <c r="H67" s="86">
        <v>20089.439999999999</v>
      </c>
      <c r="I67" s="86">
        <v>70306.33</v>
      </c>
      <c r="J67" s="86">
        <v>29341.413756337824</v>
      </c>
      <c r="K67" s="86">
        <v>42745.521529307051</v>
      </c>
      <c r="L67" s="86">
        <f t="shared" si="12"/>
        <v>44882.797605772408</v>
      </c>
      <c r="M67" s="86">
        <f t="shared" si="12"/>
        <v>47126.937486061033</v>
      </c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1404.25</v>
      </c>
      <c r="H68" s="86">
        <v>14853.72</v>
      </c>
      <c r="I68" s="86">
        <v>6610.5</v>
      </c>
      <c r="J68" s="86">
        <v>0</v>
      </c>
      <c r="K68" s="86">
        <v>0</v>
      </c>
      <c r="L68" s="86">
        <f t="shared" si="12"/>
        <v>0</v>
      </c>
      <c r="M68" s="86">
        <f t="shared" si="12"/>
        <v>0</v>
      </c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46717.67</v>
      </c>
      <c r="H69" s="86">
        <v>48724.88</v>
      </c>
      <c r="I69" s="86">
        <v>32300</v>
      </c>
      <c r="J69" s="86">
        <v>35556.978327629935</v>
      </c>
      <c r="K69" s="86">
        <v>36608.119144857825</v>
      </c>
      <c r="L69" s="86">
        <f t="shared" si="12"/>
        <v>38438.525102100721</v>
      </c>
      <c r="M69" s="86">
        <f t="shared" si="12"/>
        <v>40360.451357205755</v>
      </c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76986.009999999995</v>
      </c>
      <c r="H70" s="86">
        <v>92708.25</v>
      </c>
      <c r="I70" s="86">
        <v>56695.42</v>
      </c>
      <c r="J70" s="86">
        <v>59591.32750037736</v>
      </c>
      <c r="K70" s="86">
        <v>61283.597961046951</v>
      </c>
      <c r="L70" s="86">
        <f t="shared" si="12"/>
        <v>64347.777859099304</v>
      </c>
      <c r="M70" s="86">
        <f t="shared" si="12"/>
        <v>67565.166752054269</v>
      </c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47613.77</v>
      </c>
      <c r="H71" s="86">
        <v>42994.11</v>
      </c>
      <c r="I71" s="86">
        <v>68984.34</v>
      </c>
      <c r="J71" s="86">
        <v>77837.131860192792</v>
      </c>
      <c r="K71" s="86">
        <v>80814.888003795772</v>
      </c>
      <c r="L71" s="86">
        <f t="shared" si="12"/>
        <v>84855.632403985568</v>
      </c>
      <c r="M71" s="86">
        <f t="shared" si="12"/>
        <v>89098.414024184851</v>
      </c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49327.25</v>
      </c>
      <c r="H72" s="86">
        <v>61136.9</v>
      </c>
      <c r="I72" s="86">
        <v>66096.39</v>
      </c>
      <c r="J72" s="86">
        <v>67058.685539829356</v>
      </c>
      <c r="K72" s="86">
        <v>68586.459911685946</v>
      </c>
      <c r="L72" s="86">
        <f t="shared" si="12"/>
        <v>72015.782907270244</v>
      </c>
      <c r="M72" s="86">
        <f t="shared" si="12"/>
        <v>75616.572052633754</v>
      </c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0</v>
      </c>
      <c r="H73" s="86">
        <v>0</v>
      </c>
      <c r="I73" s="86">
        <v>0</v>
      </c>
      <c r="J73" s="86">
        <v>0</v>
      </c>
      <c r="K73" s="86">
        <v>0</v>
      </c>
      <c r="L73" s="86">
        <f t="shared" si="12"/>
        <v>0</v>
      </c>
      <c r="M73" s="86">
        <f t="shared" si="12"/>
        <v>0</v>
      </c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20521.310000000001</v>
      </c>
      <c r="H74" s="86">
        <v>40646.61</v>
      </c>
      <c r="I74" s="86">
        <v>4982.87</v>
      </c>
      <c r="J74" s="86">
        <v>18155.940593801577</v>
      </c>
      <c r="K74" s="86">
        <v>18610.986858198514</v>
      </c>
      <c r="L74" s="86">
        <f t="shared" si="12"/>
        <v>19541.53620110844</v>
      </c>
      <c r="M74" s="86">
        <f t="shared" si="12"/>
        <v>20518.613011163863</v>
      </c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48841.63</v>
      </c>
      <c r="H75" s="86">
        <v>79086.41</v>
      </c>
      <c r="I75" s="86">
        <v>83281.8</v>
      </c>
      <c r="J75" s="86">
        <v>99955.507283186336</v>
      </c>
      <c r="K75" s="86">
        <v>103852.90462375234</v>
      </c>
      <c r="L75" s="86">
        <f t="shared" si="12"/>
        <v>109045.54985493996</v>
      </c>
      <c r="M75" s="86">
        <f t="shared" si="12"/>
        <v>114497.82734768697</v>
      </c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30778.6</v>
      </c>
      <c r="H76" s="86">
        <v>36566.39</v>
      </c>
      <c r="I76" s="86">
        <v>34234.730000000003</v>
      </c>
      <c r="J76" s="86">
        <v>32799.472726461485</v>
      </c>
      <c r="K76" s="86">
        <v>33775.611568504697</v>
      </c>
      <c r="L76" s="86">
        <f t="shared" si="12"/>
        <v>35464.392146929931</v>
      </c>
      <c r="M76" s="86">
        <f t="shared" si="12"/>
        <v>37237.611754276426</v>
      </c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57633.03</v>
      </c>
      <c r="H77" s="86">
        <v>62654.23</v>
      </c>
      <c r="I77" s="86">
        <v>64254.43</v>
      </c>
      <c r="J77" s="86">
        <v>66196.217528712586</v>
      </c>
      <c r="K77" s="86">
        <v>67507.265404426245</v>
      </c>
      <c r="L77" s="86">
        <f t="shared" si="12"/>
        <v>70882.628674647567</v>
      </c>
      <c r="M77" s="86">
        <f t="shared" si="12"/>
        <v>74426.760108379953</v>
      </c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409998.49</v>
      </c>
      <c r="H78" s="52">
        <f>SUM(H65:H77)</f>
        <v>511054.06999999995</v>
      </c>
      <c r="I78" s="52">
        <f t="shared" ref="I78:M78" si="13">SUM(I65:I77)</f>
        <v>487879.48999999993</v>
      </c>
      <c r="J78" s="52">
        <f t="shared" si="13"/>
        <v>486646.33306868351</v>
      </c>
      <c r="K78" s="52">
        <f t="shared" si="13"/>
        <v>513941.65485375997</v>
      </c>
      <c r="L78" s="52">
        <f t="shared" si="13"/>
        <v>539638.73759644793</v>
      </c>
      <c r="M78" s="52">
        <f t="shared" si="13"/>
        <v>566620.67447627045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52472.06</v>
      </c>
      <c r="H79" s="86">
        <v>40474.080000000002</v>
      </c>
      <c r="I79" s="86">
        <v>43351.49</v>
      </c>
      <c r="J79" s="86">
        <v>47699.147465617367</v>
      </c>
      <c r="K79" s="86">
        <v>48511.437904339451</v>
      </c>
      <c r="L79" s="86">
        <f t="shared" ref="L79:M85" si="14">K79*(1+L$21)</f>
        <v>50937.009799556428</v>
      </c>
      <c r="M79" s="86">
        <f t="shared" si="14"/>
        <v>53483.860289534256</v>
      </c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104998.92</v>
      </c>
      <c r="H80" s="86">
        <v>135840.59</v>
      </c>
      <c r="I80" s="86">
        <v>113993.08</v>
      </c>
      <c r="J80" s="86">
        <v>117501.90371970422</v>
      </c>
      <c r="K80" s="86">
        <v>125748.6833493757</v>
      </c>
      <c r="L80" s="86">
        <f t="shared" si="14"/>
        <v>132036.1175168445</v>
      </c>
      <c r="M80" s="86">
        <f t="shared" si="14"/>
        <v>138637.92339268673</v>
      </c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360498.22</v>
      </c>
      <c r="H81" s="86">
        <v>373169.58</v>
      </c>
      <c r="I81" s="86">
        <v>421609.92</v>
      </c>
      <c r="J81" s="86">
        <v>457314.69371307199</v>
      </c>
      <c r="K81" s="86">
        <v>505934.69995946897</v>
      </c>
      <c r="L81" s="86">
        <f t="shared" si="14"/>
        <v>531231.43495744246</v>
      </c>
      <c r="M81" s="86">
        <f t="shared" si="14"/>
        <v>557793.00670531462</v>
      </c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89392.67</v>
      </c>
      <c r="H82" s="86">
        <v>83426.460000000006</v>
      </c>
      <c r="I82" s="86">
        <v>82469.64</v>
      </c>
      <c r="J82" s="86">
        <v>96894.361982723989</v>
      </c>
      <c r="K82" s="86">
        <v>98567.85068373938</v>
      </c>
      <c r="L82" s="86">
        <f t="shared" si="14"/>
        <v>103496.24321792636</v>
      </c>
      <c r="M82" s="86">
        <f t="shared" si="14"/>
        <v>108671.05537882268</v>
      </c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f t="shared" si="14"/>
        <v>0</v>
      </c>
      <c r="M83" s="86">
        <f t="shared" si="14"/>
        <v>0</v>
      </c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>
        <v>0</v>
      </c>
      <c r="K84" s="86">
        <v>0</v>
      </c>
      <c r="L84" s="86">
        <f t="shared" si="14"/>
        <v>0</v>
      </c>
      <c r="M84" s="86">
        <f t="shared" si="14"/>
        <v>0</v>
      </c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5613.5</v>
      </c>
      <c r="H85" s="86">
        <v>7721.57</v>
      </c>
      <c r="I85" s="86">
        <v>3416.15</v>
      </c>
      <c r="J85" s="86">
        <v>3467.3999999999992</v>
      </c>
      <c r="K85" s="86">
        <v>3536.74</v>
      </c>
      <c r="L85" s="86">
        <f t="shared" si="14"/>
        <v>3713.5769999999998</v>
      </c>
      <c r="M85" s="86">
        <f t="shared" si="14"/>
        <v>3899.25585</v>
      </c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612975.37</v>
      </c>
      <c r="H86" s="52">
        <f>SUM(H79:H85)</f>
        <v>640632.27999999991</v>
      </c>
      <c r="I86" s="52">
        <f t="shared" ref="I86:M86" si="15">SUM(I79:I85)</f>
        <v>664840.28</v>
      </c>
      <c r="J86" s="52">
        <f t="shared" si="15"/>
        <v>722877.50688111747</v>
      </c>
      <c r="K86" s="52">
        <f t="shared" si="15"/>
        <v>782299.41189692356</v>
      </c>
      <c r="L86" s="52">
        <f t="shared" si="15"/>
        <v>821414.38249176985</v>
      </c>
      <c r="M86" s="52">
        <f t="shared" si="15"/>
        <v>862485.10161635827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86">
        <v>0</v>
      </c>
      <c r="I87" s="86">
        <v>0</v>
      </c>
      <c r="J87" s="86">
        <v>0</v>
      </c>
      <c r="K87" s="86">
        <v>0</v>
      </c>
      <c r="L87" s="86">
        <f t="shared" ref="L87:M90" si="16">K87*(1+L$21)</f>
        <v>0</v>
      </c>
      <c r="M87" s="86">
        <f t="shared" si="16"/>
        <v>0</v>
      </c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0</v>
      </c>
      <c r="H88" s="86">
        <v>0</v>
      </c>
      <c r="I88" s="86">
        <v>0</v>
      </c>
      <c r="J88" s="86">
        <v>0</v>
      </c>
      <c r="K88" s="86">
        <v>0</v>
      </c>
      <c r="L88" s="86">
        <f t="shared" si="16"/>
        <v>0</v>
      </c>
      <c r="M88" s="86">
        <f t="shared" si="16"/>
        <v>0</v>
      </c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0</v>
      </c>
      <c r="I89" s="86">
        <v>0</v>
      </c>
      <c r="J89" s="86">
        <v>0</v>
      </c>
      <c r="K89" s="86">
        <v>0</v>
      </c>
      <c r="L89" s="86">
        <f t="shared" si="16"/>
        <v>0</v>
      </c>
      <c r="M89" s="86">
        <f t="shared" si="16"/>
        <v>0</v>
      </c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0</v>
      </c>
      <c r="H90" s="86"/>
      <c r="I90" s="86"/>
      <c r="J90" s="86"/>
      <c r="K90" s="86"/>
      <c r="L90" s="86">
        <f t="shared" si="16"/>
        <v>0</v>
      </c>
      <c r="M90" s="86">
        <f t="shared" si="16"/>
        <v>0</v>
      </c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0</v>
      </c>
      <c r="H91" s="52">
        <f>SUM(H87:H90)</f>
        <v>0</v>
      </c>
      <c r="I91" s="52">
        <f t="shared" ref="I91:M91" si="17">SUM(I87:I90)</f>
        <v>0</v>
      </c>
      <c r="J91" s="52">
        <f t="shared" si="17"/>
        <v>0</v>
      </c>
      <c r="K91" s="52">
        <f t="shared" si="17"/>
        <v>0</v>
      </c>
      <c r="L91" s="52">
        <f t="shared" si="17"/>
        <v>0</v>
      </c>
      <c r="M91" s="52">
        <f t="shared" si="17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383986.45</v>
      </c>
      <c r="H92" s="86">
        <v>517129.08</v>
      </c>
      <c r="I92" s="86">
        <v>529753.06000000006</v>
      </c>
      <c r="J92" s="86">
        <v>563563.7873016746</v>
      </c>
      <c r="K92" s="86">
        <v>573648.68508967105</v>
      </c>
      <c r="L92" s="86">
        <f t="shared" ref="L92:M95" si="18">K92*(1+L$21)</f>
        <v>602331.11934415461</v>
      </c>
      <c r="M92" s="86">
        <f t="shared" si="18"/>
        <v>632447.67531136237</v>
      </c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43360.06</v>
      </c>
      <c r="H93" s="86">
        <v>91440.39</v>
      </c>
      <c r="I93" s="86">
        <v>96567.05</v>
      </c>
      <c r="J93" s="86">
        <v>87277.265905301203</v>
      </c>
      <c r="K93" s="86">
        <v>88807.281952276608</v>
      </c>
      <c r="L93" s="86">
        <f t="shared" si="18"/>
        <v>93247.646049890449</v>
      </c>
      <c r="M93" s="86">
        <f t="shared" si="18"/>
        <v>97910.028352384979</v>
      </c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96584.44</v>
      </c>
      <c r="H94" s="86">
        <v>91949.67</v>
      </c>
      <c r="I94" s="86">
        <v>94691.520000000004</v>
      </c>
      <c r="J94" s="86">
        <v>102436.33804302166</v>
      </c>
      <c r="K94" s="86">
        <v>104199.54451953771</v>
      </c>
      <c r="L94" s="86">
        <f t="shared" si="18"/>
        <v>109409.5217455146</v>
      </c>
      <c r="M94" s="86">
        <f t="shared" si="18"/>
        <v>114879.99783279034</v>
      </c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25477.16</v>
      </c>
      <c r="H95" s="86">
        <v>28170.38</v>
      </c>
      <c r="I95" s="86">
        <v>28962.959999999999</v>
      </c>
      <c r="J95" s="86">
        <v>24621.960000000006</v>
      </c>
      <c r="K95" s="86">
        <v>25114.28</v>
      </c>
      <c r="L95" s="86">
        <f t="shared" si="18"/>
        <v>26369.993999999999</v>
      </c>
      <c r="M95" s="86">
        <f t="shared" si="18"/>
        <v>27688.493699999999</v>
      </c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f t="shared" ref="L96:M96" si="19">K96*(1+L$21)</f>
        <v>0</v>
      </c>
      <c r="M96" s="86">
        <f t="shared" si="19"/>
        <v>0</v>
      </c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109566.06</v>
      </c>
      <c r="H97" s="86">
        <v>61597.04</v>
      </c>
      <c r="I97" s="86">
        <v>50530</v>
      </c>
      <c r="J97" s="86">
        <v>60750.119999999988</v>
      </c>
      <c r="K97" s="86">
        <v>56631.67</v>
      </c>
      <c r="L97" s="86">
        <f t="shared" ref="L97:M97" si="20">K97*(1+L$21)</f>
        <v>59463.253499999999</v>
      </c>
      <c r="M97" s="86">
        <f t="shared" si="20"/>
        <v>62436.416174999998</v>
      </c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26744.33</v>
      </c>
      <c r="H98" s="86">
        <v>16844.54</v>
      </c>
      <c r="I98" s="86">
        <v>23475.78</v>
      </c>
      <c r="J98" s="86">
        <v>34643.159999999996</v>
      </c>
      <c r="K98" s="86">
        <v>35336.050000000003</v>
      </c>
      <c r="L98" s="86">
        <f t="shared" ref="L98:M98" si="21">K98*(1+L$21)</f>
        <v>37102.852500000008</v>
      </c>
      <c r="M98" s="86">
        <f t="shared" si="21"/>
        <v>38957.995125000009</v>
      </c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42615.67</v>
      </c>
      <c r="H99" s="86">
        <v>53172.23</v>
      </c>
      <c r="I99" s="86">
        <v>57985.35</v>
      </c>
      <c r="J99" s="86">
        <v>26562.960000000006</v>
      </c>
      <c r="K99" s="86">
        <v>34481.870000000003</v>
      </c>
      <c r="L99" s="86">
        <f t="shared" ref="L99:M99" si="22">K99*(1+L$21)</f>
        <v>36205.963500000005</v>
      </c>
      <c r="M99" s="86">
        <f t="shared" si="22"/>
        <v>38016.261675000009</v>
      </c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f t="shared" ref="L100:M100" si="23">K100*(1+L$21)</f>
        <v>0</v>
      </c>
      <c r="M100" s="86">
        <f t="shared" si="23"/>
        <v>0</v>
      </c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f t="shared" ref="L101:M101" si="24">K101*(1+L$21)</f>
        <v>0</v>
      </c>
      <c r="M101" s="86">
        <f t="shared" si="24"/>
        <v>0</v>
      </c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f t="shared" ref="L102:M102" si="25">K102*(1+L$21)</f>
        <v>0</v>
      </c>
      <c r="M102" s="86">
        <f t="shared" si="25"/>
        <v>0</v>
      </c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46356.27</v>
      </c>
      <c r="H103" s="86">
        <v>51795.9</v>
      </c>
      <c r="I103" s="86">
        <v>61298.6</v>
      </c>
      <c r="J103" s="86">
        <v>55487.640000000007</v>
      </c>
      <c r="K103" s="86">
        <v>99577.641666666663</v>
      </c>
      <c r="L103" s="86">
        <f t="shared" ref="L103:M103" si="26">K103*(1+L$21)</f>
        <v>104556.52375000001</v>
      </c>
      <c r="M103" s="86">
        <f t="shared" si="26"/>
        <v>109784.34993750001</v>
      </c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58220.4</v>
      </c>
      <c r="H104" s="86">
        <v>58272.79</v>
      </c>
      <c r="I104" s="86">
        <v>57803.32</v>
      </c>
      <c r="J104" s="86">
        <v>58193.760000000009</v>
      </c>
      <c r="K104" s="86">
        <v>59331.469239999991</v>
      </c>
      <c r="L104" s="86">
        <f t="shared" ref="L104:M104" si="27">K104*(1+L$21)</f>
        <v>62298.042701999992</v>
      </c>
      <c r="M104" s="86">
        <f t="shared" si="27"/>
        <v>65412.944837099996</v>
      </c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f t="shared" ref="L105:M105" si="28">K105*(1+L$21)</f>
        <v>0</v>
      </c>
      <c r="M105" s="86">
        <f t="shared" si="28"/>
        <v>0</v>
      </c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f t="shared" ref="L106:M106" si="29">K106*(1+L$21)</f>
        <v>0</v>
      </c>
      <c r="M106" s="86">
        <f t="shared" si="29"/>
        <v>0</v>
      </c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319872.53999999998</v>
      </c>
      <c r="H107" s="86">
        <v>277410.55</v>
      </c>
      <c r="I107" s="86">
        <v>325463.14</v>
      </c>
      <c r="J107" s="86">
        <v>329462.81581844628</v>
      </c>
      <c r="K107" s="86">
        <v>328770.01145053835</v>
      </c>
      <c r="L107" s="86">
        <f t="shared" ref="L107:M107" si="30">K107*(1+L$21)</f>
        <v>345208.5120230653</v>
      </c>
      <c r="M107" s="86">
        <f t="shared" si="30"/>
        <v>362468.93762421858</v>
      </c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5400</v>
      </c>
      <c r="H108" s="86">
        <v>5551</v>
      </c>
      <c r="I108" s="86">
        <v>5786</v>
      </c>
      <c r="J108" s="86">
        <v>5872.7999999999993</v>
      </c>
      <c r="K108" s="86">
        <v>5990.25</v>
      </c>
      <c r="L108" s="86">
        <f t="shared" ref="L108:M108" si="31">K108*(1+L$21)</f>
        <v>6289.7624999999998</v>
      </c>
      <c r="M108" s="86">
        <f t="shared" si="31"/>
        <v>6604.2506249999997</v>
      </c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1158183.3799999999</v>
      </c>
      <c r="H109" s="52">
        <f>SUM(H92:H108)</f>
        <v>1253333.57</v>
      </c>
      <c r="I109" s="52">
        <f t="shared" ref="I109:M109" si="32">SUM(I92:I108)</f>
        <v>1332316.78</v>
      </c>
      <c r="J109" s="52">
        <f t="shared" si="32"/>
        <v>1348872.6070684437</v>
      </c>
      <c r="K109" s="52">
        <f t="shared" si="32"/>
        <v>1411888.7539186906</v>
      </c>
      <c r="L109" s="52">
        <f t="shared" si="32"/>
        <v>1482483.1916146246</v>
      </c>
      <c r="M109" s="52">
        <f t="shared" si="32"/>
        <v>1556607.3511953566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26941.01</v>
      </c>
      <c r="H110" s="86">
        <v>40461.339999999997</v>
      </c>
      <c r="I110" s="86">
        <v>42128.76</v>
      </c>
      <c r="J110" s="86">
        <v>43437.48</v>
      </c>
      <c r="K110" s="86">
        <v>44306.28</v>
      </c>
      <c r="L110" s="86">
        <f t="shared" ref="L110:M111" si="33">K110*(1+L$21)</f>
        <v>46521.593999999997</v>
      </c>
      <c r="M110" s="86">
        <f t="shared" si="33"/>
        <v>48847.673699999999</v>
      </c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v>0</v>
      </c>
      <c r="I111" s="86">
        <v>0</v>
      </c>
      <c r="J111" s="86">
        <v>0</v>
      </c>
      <c r="K111" s="86">
        <v>0</v>
      </c>
      <c r="L111" s="86">
        <f t="shared" si="33"/>
        <v>0</v>
      </c>
      <c r="M111" s="86">
        <f t="shared" si="33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26941.01</v>
      </c>
      <c r="H112" s="52">
        <f>H110+H111</f>
        <v>40461.339999999997</v>
      </c>
      <c r="I112" s="52">
        <f t="shared" ref="I112:M112" si="34">I110+I111</f>
        <v>42128.76</v>
      </c>
      <c r="J112" s="52">
        <f t="shared" si="34"/>
        <v>43437.48</v>
      </c>
      <c r="K112" s="52">
        <f t="shared" si="34"/>
        <v>44306.28</v>
      </c>
      <c r="L112" s="52">
        <f t="shared" si="34"/>
        <v>46521.593999999997</v>
      </c>
      <c r="M112" s="52">
        <f t="shared" si="34"/>
        <v>48847.673699999999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v>0</v>
      </c>
      <c r="I113" s="86">
        <v>0</v>
      </c>
      <c r="J113" s="86">
        <v>0</v>
      </c>
      <c r="K113" s="86">
        <v>0</v>
      </c>
      <c r="L113" s="86">
        <f t="shared" ref="L113:M113" si="35">K113*(1+L$21)</f>
        <v>0</v>
      </c>
      <c r="M113" s="86">
        <f t="shared" si="35"/>
        <v>0</v>
      </c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36">I113</f>
        <v>0</v>
      </c>
      <c r="J114" s="52">
        <f t="shared" si="36"/>
        <v>0</v>
      </c>
      <c r="K114" s="52">
        <f t="shared" si="36"/>
        <v>0</v>
      </c>
      <c r="L114" s="52">
        <f t="shared" si="36"/>
        <v>0</v>
      </c>
      <c r="M114" s="52">
        <f t="shared" si="36"/>
        <v>0</v>
      </c>
      <c r="N114" s="98" t="s">
        <v>29</v>
      </c>
    </row>
    <row r="115" spans="3:14" x14ac:dyDescent="0.2">
      <c r="C115" s="102"/>
      <c r="E115" s="112" t="s">
        <v>196</v>
      </c>
      <c r="F115" s="13" t="s">
        <v>80</v>
      </c>
      <c r="G115" s="38">
        <f>'Benchmarking Calculations'!G81</f>
        <v>2925623.7199999997</v>
      </c>
      <c r="H115" s="52">
        <f>H64+H78+H86+H91+H109+H112</f>
        <v>3175634.8</v>
      </c>
      <c r="I115" s="52">
        <f t="shared" ref="I115:M115" si="37">I64+I78+I86+I91+I109+I112</f>
        <v>3291353.6599999997</v>
      </c>
      <c r="J115" s="52">
        <f t="shared" si="37"/>
        <v>3385009.3077936354</v>
      </c>
      <c r="K115" s="52">
        <f t="shared" si="37"/>
        <v>3544571.2124338862</v>
      </c>
      <c r="L115" s="52">
        <f t="shared" si="37"/>
        <v>3721799.7730555804</v>
      </c>
      <c r="M115" s="52">
        <f t="shared" si="37"/>
        <v>3907889.7617083602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1810.7</v>
      </c>
      <c r="H118" s="38">
        <f t="shared" ref="H118:L118" si="38">H47</f>
        <v>9024.89</v>
      </c>
      <c r="I118" s="38">
        <f t="shared" si="38"/>
        <v>3010.08</v>
      </c>
      <c r="J118" s="38">
        <f t="shared" si="38"/>
        <v>3216.071851870423</v>
      </c>
      <c r="K118" s="38">
        <f t="shared" si="38"/>
        <v>3272.3366354265099</v>
      </c>
      <c r="L118" s="38">
        <f t="shared" si="38"/>
        <v>3435.9534671978354</v>
      </c>
      <c r="M118" s="38">
        <f t="shared" ref="M118" si="39">M47</f>
        <v>3607.7511405577275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 t="shared" ref="H119:L119" si="40">H48</f>
        <v>0</v>
      </c>
      <c r="I119" s="38">
        <f t="shared" si="40"/>
        <v>1625.66</v>
      </c>
      <c r="J119" s="38">
        <f t="shared" si="40"/>
        <v>1682.88</v>
      </c>
      <c r="K119" s="38">
        <f t="shared" si="40"/>
        <v>1777.95</v>
      </c>
      <c r="L119" s="38">
        <f t="shared" si="40"/>
        <v>1866.8475000000001</v>
      </c>
      <c r="M119" s="38">
        <f t="shared" ref="M119" si="41">M48</f>
        <v>1960.1898750000003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12634</v>
      </c>
      <c r="H120" s="38">
        <f t="shared" ref="H120:L120" si="42">H67</f>
        <v>20089.439999999999</v>
      </c>
      <c r="I120" s="38">
        <f t="shared" si="42"/>
        <v>70306.33</v>
      </c>
      <c r="J120" s="38">
        <f t="shared" si="42"/>
        <v>29341.413756337824</v>
      </c>
      <c r="K120" s="38">
        <f t="shared" si="42"/>
        <v>42745.521529307051</v>
      </c>
      <c r="L120" s="38">
        <f t="shared" si="42"/>
        <v>44882.797605772408</v>
      </c>
      <c r="M120" s="38">
        <f t="shared" ref="M120" si="43">M67</f>
        <v>47126.937486061033</v>
      </c>
      <c r="N120" s="98" t="s">
        <v>29</v>
      </c>
    </row>
    <row r="121" spans="3:14" x14ac:dyDescent="0.2">
      <c r="C121" s="102"/>
      <c r="E121" s="112" t="s">
        <v>197</v>
      </c>
      <c r="F121" s="13" t="s">
        <v>82</v>
      </c>
      <c r="G121" s="69">
        <f>'Benchmarking Calculations'!G87</f>
        <v>14444.7</v>
      </c>
      <c r="H121" s="69">
        <f>H47+H48+H67</f>
        <v>29114.329999999998</v>
      </c>
      <c r="I121" s="69">
        <f t="shared" ref="I121:L121" si="44">I47+I48+I67</f>
        <v>74942.070000000007</v>
      </c>
      <c r="J121" s="69">
        <f t="shared" si="44"/>
        <v>34240.365608208245</v>
      </c>
      <c r="K121" s="69">
        <f t="shared" si="44"/>
        <v>47795.808164733564</v>
      </c>
      <c r="L121" s="69">
        <f t="shared" si="44"/>
        <v>50185.598572970244</v>
      </c>
      <c r="M121" s="69">
        <f t="shared" ref="M121" si="45">M47+M48+M67</f>
        <v>52694.878501618761</v>
      </c>
      <c r="N121" s="113" t="s">
        <v>29</v>
      </c>
    </row>
    <row r="122" spans="3:14" x14ac:dyDescent="0.2">
      <c r="C122" s="102"/>
      <c r="E122" s="112" t="s">
        <v>198</v>
      </c>
      <c r="F122" s="13" t="s">
        <v>83</v>
      </c>
      <c r="G122" s="69">
        <f>'Benchmarking Calculations'!G88</f>
        <v>0</v>
      </c>
      <c r="H122" s="114">
        <f>G122</f>
        <v>0</v>
      </c>
      <c r="I122" s="114">
        <f t="shared" ref="I122:M122" si="46">H122</f>
        <v>0</v>
      </c>
      <c r="J122" s="114">
        <f t="shared" si="46"/>
        <v>0</v>
      </c>
      <c r="K122" s="114">
        <f t="shared" si="46"/>
        <v>0</v>
      </c>
      <c r="L122" s="114">
        <f t="shared" si="46"/>
        <v>0</v>
      </c>
      <c r="M122" s="114">
        <f t="shared" si="46"/>
        <v>0</v>
      </c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A6" sqref="A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O1" s="82"/>
      <c r="P1" s="209" t="s">
        <v>264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5" t="s">
        <v>1</v>
      </c>
      <c r="C3" s="235"/>
      <c r="D3" s="141"/>
      <c r="E3" s="65" t="str">
        <f>'Model Inputs'!F5</f>
        <v>Niagara-on-the-Lake Hydro Inc.</v>
      </c>
      <c r="F3" s="182"/>
      <c r="G3" s="143"/>
      <c r="N3" s="154"/>
      <c r="O3" s="120">
        <v>1</v>
      </c>
      <c r="P3" s="120" t="s">
        <v>262</v>
      </c>
      <c r="Q3" t="s">
        <v>253</v>
      </c>
      <c r="R3" s="142" t="s">
        <v>201</v>
      </c>
      <c r="S3" s="142" t="s">
        <v>202</v>
      </c>
      <c r="T3" s="142" t="s">
        <v>203</v>
      </c>
      <c r="U3" s="142" t="s">
        <v>204</v>
      </c>
      <c r="V3" s="142" t="s">
        <v>205</v>
      </c>
      <c r="W3" s="142" t="s">
        <v>206</v>
      </c>
      <c r="X3" s="142" t="s">
        <v>207</v>
      </c>
      <c r="Y3" s="142" t="s">
        <v>208</v>
      </c>
      <c r="Z3" s="142" t="s">
        <v>209</v>
      </c>
      <c r="AA3" s="142" t="s">
        <v>210</v>
      </c>
      <c r="AB3" s="142" t="s">
        <v>257</v>
      </c>
      <c r="AC3" s="142" t="s">
        <v>258</v>
      </c>
      <c r="AD3" s="142" t="s">
        <v>211</v>
      </c>
      <c r="AE3" s="142" t="s">
        <v>259</v>
      </c>
      <c r="AF3" s="142" t="s">
        <v>255</v>
      </c>
      <c r="AG3" s="142" t="s">
        <v>256</v>
      </c>
      <c r="AH3" s="142" t="s">
        <v>212</v>
      </c>
      <c r="AI3" s="142" t="s">
        <v>213</v>
      </c>
      <c r="AJ3" s="142" t="s">
        <v>214</v>
      </c>
      <c r="AK3" s="142" t="s">
        <v>215</v>
      </c>
      <c r="AL3" s="142" t="s">
        <v>216</v>
      </c>
      <c r="AM3" s="142" t="s">
        <v>260</v>
      </c>
      <c r="AN3" s="142" t="s">
        <v>217</v>
      </c>
      <c r="AO3" s="142" t="s">
        <v>218</v>
      </c>
      <c r="AP3" s="142" t="s">
        <v>219</v>
      </c>
      <c r="AQ3" s="142" t="s">
        <v>220</v>
      </c>
      <c r="AR3" s="142" t="s">
        <v>221</v>
      </c>
      <c r="AS3" s="142" t="s">
        <v>222</v>
      </c>
      <c r="AT3" s="142" t="s">
        <v>254</v>
      </c>
      <c r="AU3" s="142" t="s">
        <v>223</v>
      </c>
      <c r="AV3" s="142" t="s">
        <v>224</v>
      </c>
      <c r="AW3" s="142" t="s">
        <v>225</v>
      </c>
      <c r="AX3" s="142" t="s">
        <v>226</v>
      </c>
      <c r="AY3" s="142" t="s">
        <v>227</v>
      </c>
      <c r="AZ3" s="142" t="s">
        <v>228</v>
      </c>
      <c r="BA3" s="142" t="s">
        <v>229</v>
      </c>
      <c r="BB3" s="142" t="s">
        <v>230</v>
      </c>
      <c r="BC3" s="142" t="s">
        <v>231</v>
      </c>
      <c r="BD3" s="142" t="s">
        <v>232</v>
      </c>
      <c r="BE3" s="142" t="s">
        <v>233</v>
      </c>
      <c r="BF3" s="142" t="s">
        <v>234</v>
      </c>
      <c r="BG3" s="142" t="s">
        <v>235</v>
      </c>
      <c r="BH3" s="142" t="s">
        <v>236</v>
      </c>
      <c r="BI3" s="142" t="s">
        <v>237</v>
      </c>
      <c r="BJ3" s="142" t="s">
        <v>238</v>
      </c>
      <c r="BK3" s="142" t="s">
        <v>239</v>
      </c>
      <c r="BL3" s="142" t="s">
        <v>240</v>
      </c>
      <c r="BM3" s="142" t="s">
        <v>241</v>
      </c>
      <c r="BN3" s="142" t="s">
        <v>242</v>
      </c>
      <c r="BO3" s="142" t="s">
        <v>243</v>
      </c>
      <c r="BP3" s="142" t="s">
        <v>261</v>
      </c>
      <c r="BQ3" s="142" t="s">
        <v>244</v>
      </c>
      <c r="BR3" s="142" t="s">
        <v>245</v>
      </c>
      <c r="BS3" s="142" t="s">
        <v>246</v>
      </c>
      <c r="BT3" s="142" t="s">
        <v>247</v>
      </c>
      <c r="BU3" s="142" t="s">
        <v>248</v>
      </c>
      <c r="BV3" s="142" t="s">
        <v>249</v>
      </c>
      <c r="BW3" s="142" t="s">
        <v>250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6"/>
      <c r="G4" s="237"/>
      <c r="H4" s="238" t="s">
        <v>2</v>
      </c>
      <c r="I4" s="236"/>
      <c r="J4" s="236"/>
      <c r="K4" s="236"/>
      <c r="L4" s="236"/>
      <c r="M4" s="236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251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89039.21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41136.660000000003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1810.7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110729.53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70900.78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6021.24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28658.53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42326.91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146553.01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145670.6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34678.300000000003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717525.47000000009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17540.97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12634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1404.25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46717.67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76986.009999999995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47613.77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49327.25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20521.310000000001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48841.63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30778.6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57633.03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409998.49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52472.06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104998.92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360498.22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89392.67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5613.5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612975.37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383986.45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43360.06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96584.44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25477.16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109566.06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26744.33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42615.67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46356.27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58220.4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319872.53999999998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5400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1158183.3799999999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26941.01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26941.01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2925623.7199999997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1810.7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12634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14444.7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2911179.0199999996</v>
      </c>
      <c r="H89" s="121">
        <f>'Model Inputs'!H31</f>
        <v>3146520.4699999997</v>
      </c>
      <c r="I89" s="122">
        <f>'Model Inputs'!I31</f>
        <v>3216411.59</v>
      </c>
      <c r="J89" s="122">
        <f>'Model Inputs'!J31</f>
        <v>3350768.9421854271</v>
      </c>
      <c r="K89" s="122">
        <f>'Model Inputs'!K31</f>
        <v>3496775.4042691528</v>
      </c>
      <c r="L89" s="122">
        <f>'Model Inputs'!L31</f>
        <v>3671614.1744826101</v>
      </c>
      <c r="M89" s="123">
        <f>'Model Inputs'!M31</f>
        <v>3855194.8832067414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4915478.0999999996</v>
      </c>
      <c r="H92" s="121">
        <f>'Model Inputs'!H9</f>
        <v>3112205.1799999997</v>
      </c>
      <c r="I92" s="122">
        <f>'Model Inputs'!I9</f>
        <v>1394163.8100000003</v>
      </c>
      <c r="J92" s="122">
        <f>'Model Inputs'!J9</f>
        <v>3487243</v>
      </c>
      <c r="K92" s="122">
        <f>'Model Inputs'!K9</f>
        <v>2550778</v>
      </c>
      <c r="L92" s="122">
        <f>'Model Inputs'!L9</f>
        <v>2188695</v>
      </c>
      <c r="M92" s="123">
        <f>'Model Inputs'!M9</f>
        <v>2064240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2334811.89</v>
      </c>
      <c r="H93" s="121">
        <f>'Model Inputs'!H10</f>
        <v>635126.52999999991</v>
      </c>
      <c r="I93" s="122">
        <f>'Model Inputs'!I10</f>
        <v>27617.95</v>
      </c>
      <c r="J93" s="122">
        <f>'Model Inputs'!J10</f>
        <v>5000</v>
      </c>
      <c r="K93" s="122">
        <f>'Model Inputs'!K10</f>
        <v>5000</v>
      </c>
      <c r="L93" s="122">
        <f>'Model Inputs'!L10</f>
        <v>5000</v>
      </c>
      <c r="M93" s="123">
        <f>'Model Inputs'!M10</f>
        <v>5000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9632</v>
      </c>
      <c r="H96" s="121">
        <f>'Model Inputs'!H13</f>
        <v>9776</v>
      </c>
      <c r="I96" s="122">
        <f>'Model Inputs'!I13</f>
        <v>9819.375</v>
      </c>
      <c r="J96" s="122">
        <f>'Model Inputs'!J13</f>
        <v>9954.375</v>
      </c>
      <c r="K96" s="122">
        <f>'Model Inputs'!K13</f>
        <v>10113.916666666672</v>
      </c>
      <c r="L96" s="122">
        <f>'Model Inputs'!L13</f>
        <v>10213.916666666672</v>
      </c>
      <c r="M96" s="123">
        <f>'Model Inputs'!M13</f>
        <v>10313.916666666672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220973865.87</v>
      </c>
      <c r="H97" s="121">
        <f>'Model Inputs'!H14</f>
        <v>217453659.22999999</v>
      </c>
      <c r="I97" s="122">
        <f>'Model Inputs'!I14</f>
        <v>212160512.10572967</v>
      </c>
      <c r="J97" s="122">
        <f>'Model Inputs'!J14</f>
        <v>229864322.65521154</v>
      </c>
      <c r="K97" s="122">
        <f>'Model Inputs'!K14</f>
        <v>252076717.34379908</v>
      </c>
      <c r="L97" s="122">
        <f>'Model Inputs'!L14</f>
        <v>252976717.34379908</v>
      </c>
      <c r="M97" s="123">
        <f>'Model Inputs'!M14</f>
        <v>253876717.34379908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48809</v>
      </c>
      <c r="H98" s="121">
        <f>'Model Inputs'!H15</f>
        <v>49789</v>
      </c>
      <c r="I98" s="122">
        <f>'Model Inputs'!I15</f>
        <v>45600</v>
      </c>
      <c r="J98" s="122">
        <f>'Model Inputs'!J15</f>
        <v>50500</v>
      </c>
      <c r="K98" s="122">
        <f>'Model Inputs'!K15</f>
        <v>50500</v>
      </c>
      <c r="L98" s="122">
        <f>'Model Inputs'!L15</f>
        <v>50500</v>
      </c>
      <c r="M98" s="123">
        <f>'Model Inputs'!M15</f>
        <v>50500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369</v>
      </c>
      <c r="H99" s="121">
        <f>'Model Inputs'!H16</f>
        <v>369</v>
      </c>
      <c r="I99" s="122">
        <f>'Model Inputs'!I16</f>
        <v>369</v>
      </c>
      <c r="J99" s="122">
        <f>'Model Inputs'!J16</f>
        <v>369</v>
      </c>
      <c r="K99" s="122">
        <f>'Model Inputs'!K16</f>
        <v>369</v>
      </c>
      <c r="L99" s="122">
        <f>'Model Inputs'!L16</f>
        <v>369</v>
      </c>
      <c r="M99" s="123">
        <f>'Model Inputs'!M16</f>
        <v>369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3" t="s">
        <v>93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2911179.0199999996</v>
      </c>
      <c r="H107" s="15">
        <f t="shared" ref="H107:K107" si="5">H89</f>
        <v>3146520.4699999997</v>
      </c>
      <c r="I107" s="15">
        <f t="shared" si="5"/>
        <v>3216411.59</v>
      </c>
      <c r="J107" s="15">
        <f t="shared" si="5"/>
        <v>3350768.9421854271</v>
      </c>
      <c r="K107" s="15">
        <f t="shared" si="5"/>
        <v>3496775.4042691528</v>
      </c>
      <c r="L107" s="15">
        <f t="shared" ref="L107" si="6">L89</f>
        <v>3671614.1744826101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5.0860000000000002E-2</v>
      </c>
      <c r="I110" s="125">
        <f>'Model Inputs'!I22</f>
        <v>5.2580000000000002E-2</v>
      </c>
      <c r="J110" s="125">
        <f>'Model Inputs'!J22</f>
        <v>5.9516000000000006E-2</v>
      </c>
      <c r="K110" s="125">
        <f>'Model Inputs'!K22</f>
        <v>6.0804000000000011E-2</v>
      </c>
      <c r="L110" s="125">
        <f>'Model Inputs'!L22</f>
        <v>6.0804000000000011E-2</v>
      </c>
      <c r="M110" s="126">
        <f>'Model Inputs'!M22</f>
        <v>6.0804000000000011E-2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180.32051792717647</v>
      </c>
      <c r="I112" s="128">
        <f>H112*EXP('Model Inputs'!I21)</f>
        <v>186.37036853990475</v>
      </c>
      <c r="J112" s="128">
        <f>I112*EXP('Model Inputs'!J21)</f>
        <v>193.39523072489442</v>
      </c>
      <c r="K112" s="128">
        <f>J112*EXP('Model Inputs'!K21)</f>
        <v>203.31081623805389</v>
      </c>
      <c r="L112" s="128">
        <f>K112*EXP('Model Inputs'!L21)</f>
        <v>213.73478469168327</v>
      </c>
      <c r="M112" s="129">
        <f>L112*EXP('Model Inputs'!M21)</f>
        <v>224.69320143651933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17.24825230076306</v>
      </c>
      <c r="I113" s="15">
        <f t="shared" si="8"/>
        <v>18.035652748592568</v>
      </c>
      <c r="J113" s="15">
        <f t="shared" si="8"/>
        <v>19.968859944293627</v>
      </c>
      <c r="K113" s="15">
        <f t="shared" si="8"/>
        <v>21.091170074323159</v>
      </c>
      <c r="L113" s="15">
        <f t="shared" si="8"/>
        <v>22.172537487886892</v>
      </c>
      <c r="M113" s="15">
        <f t="shared" si="8"/>
        <v>23.309347794329348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4915478.0999999996</v>
      </c>
      <c r="H114" s="130">
        <f>H92</f>
        <v>3112205.1799999997</v>
      </c>
      <c r="I114" s="131">
        <f t="shared" ref="I114:L114" si="9">I92</f>
        <v>1394163.8100000003</v>
      </c>
      <c r="J114" s="131">
        <f t="shared" si="9"/>
        <v>3487243</v>
      </c>
      <c r="K114" s="131">
        <f t="shared" si="9"/>
        <v>2550778</v>
      </c>
      <c r="L114" s="131">
        <f t="shared" si="9"/>
        <v>2188695</v>
      </c>
      <c r="M114" s="132">
        <f t="shared" ref="M114" si="10">M92</f>
        <v>2064240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2334811.89</v>
      </c>
      <c r="H115" s="133">
        <f>H93</f>
        <v>635126.52999999991</v>
      </c>
      <c r="I115" s="134">
        <f t="shared" ref="I115:L115" si="11">I93</f>
        <v>27617.95</v>
      </c>
      <c r="J115" s="134">
        <f t="shared" si="11"/>
        <v>5000</v>
      </c>
      <c r="K115" s="134">
        <f t="shared" si="11"/>
        <v>5000</v>
      </c>
      <c r="L115" s="134">
        <f t="shared" si="11"/>
        <v>5000</v>
      </c>
      <c r="M115" s="135">
        <f t="shared" ref="M115" si="12">M93</f>
        <v>5000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14629.893609948385</v>
      </c>
      <c r="H116" s="6">
        <f t="shared" ref="H116:K116" si="13">(H114-H115)/H112</f>
        <v>13737.087040756966</v>
      </c>
      <c r="I116" s="6">
        <f t="shared" si="13"/>
        <v>7332.4202270244587</v>
      </c>
      <c r="J116" s="6">
        <f t="shared" si="13"/>
        <v>18005.836994778358</v>
      </c>
      <c r="K116" s="6">
        <f t="shared" si="13"/>
        <v>12521.606312470769</v>
      </c>
      <c r="L116" s="6">
        <f t="shared" ref="L116:M116" si="14">(L114-L115)/L112</f>
        <v>10216.844221917476</v>
      </c>
      <c r="M116" s="6">
        <f t="shared" si="14"/>
        <v>9164.6742617701311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11267.492088186156</v>
      </c>
      <c r="H117" s="17">
        <f t="shared" ref="H117:M117" si="15">H111*G118</f>
        <v>11421.826318035044</v>
      </c>
      <c r="I117" s="17">
        <f t="shared" si="15"/>
        <v>11528.096785207979</v>
      </c>
      <c r="J117" s="17">
        <f t="shared" si="15"/>
        <v>11335.515231187357</v>
      </c>
      <c r="K117" s="17">
        <f t="shared" si="15"/>
        <v>11641.683000136181</v>
      </c>
      <c r="L117" s="17">
        <f t="shared" si="15"/>
        <v>11682.071480172341</v>
      </c>
      <c r="M117" s="17">
        <f t="shared" si="15"/>
        <v>11614.81754901844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248841.53198333428</v>
      </c>
      <c r="H118" s="17">
        <f t="shared" ref="H118:M118" si="16">G118+H116-H117</f>
        <v>251156.79270605618</v>
      </c>
      <c r="I118" s="17">
        <f t="shared" si="16"/>
        <v>246961.11614787267</v>
      </c>
      <c r="J118" s="17">
        <f t="shared" si="16"/>
        <v>253631.43791146364</v>
      </c>
      <c r="K118" s="17">
        <f t="shared" si="16"/>
        <v>254511.36122379825</v>
      </c>
      <c r="L118" s="17">
        <f t="shared" si="16"/>
        <v>253046.13396554335</v>
      </c>
      <c r="M118" s="17">
        <f t="shared" si="16"/>
        <v>250595.99067829506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4308622.3790983101</v>
      </c>
      <c r="H119" s="17">
        <f t="shared" ref="H119:K119" si="17">H113*H118</f>
        <v>4332015.727644504</v>
      </c>
      <c r="I119" s="17">
        <f t="shared" si="17"/>
        <v>4454104.933247868</v>
      </c>
      <c r="J119" s="17">
        <f t="shared" si="17"/>
        <v>5064730.6611238224</v>
      </c>
      <c r="K119" s="17">
        <f t="shared" si="17"/>
        <v>5367942.4054186251</v>
      </c>
      <c r="L119" s="17">
        <f t="shared" ref="L119:M119" si="18">L113*L118</f>
        <v>5610674.8915158585</v>
      </c>
      <c r="M119" s="17">
        <f t="shared" si="18"/>
        <v>5841229.1025848947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7219801.3990983097</v>
      </c>
      <c r="H121" s="17">
        <f t="shared" ref="H121:K121" si="19">H107+H119</f>
        <v>7478536.1976445038</v>
      </c>
      <c r="I121" s="17">
        <f t="shared" si="19"/>
        <v>7670516.5232478678</v>
      </c>
      <c r="J121" s="17">
        <f t="shared" si="19"/>
        <v>8415499.6033092495</v>
      </c>
      <c r="K121" s="17">
        <f t="shared" si="19"/>
        <v>8864717.8096877784</v>
      </c>
      <c r="L121" s="17">
        <f t="shared" ref="L121:M121" si="20">L107+L119</f>
        <v>9282289.0659984685</v>
      </c>
      <c r="M121" s="17">
        <f t="shared" si="20"/>
        <v>5841229.1025848947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3" t="s">
        <v>108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9632</v>
      </c>
      <c r="H128" s="6">
        <f t="shared" ref="H128:K130" si="21">H96</f>
        <v>9776</v>
      </c>
      <c r="I128" s="6">
        <f t="shared" si="21"/>
        <v>9819.375</v>
      </c>
      <c r="J128" s="6">
        <f t="shared" si="21"/>
        <v>9954.375</v>
      </c>
      <c r="K128" s="6">
        <f t="shared" si="21"/>
        <v>10113.916666666672</v>
      </c>
      <c r="L128" s="6">
        <f t="shared" ref="L128:M128" si="22">L96</f>
        <v>10213.916666666672</v>
      </c>
      <c r="M128" s="6">
        <f t="shared" si="22"/>
        <v>10313.916666666672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220973865.87</v>
      </c>
      <c r="H129" s="24">
        <f t="shared" si="21"/>
        <v>217453659.22999999</v>
      </c>
      <c r="I129" s="24">
        <f t="shared" si="21"/>
        <v>212160512.10572967</v>
      </c>
      <c r="J129" s="24">
        <f t="shared" si="21"/>
        <v>229864322.65521154</v>
      </c>
      <c r="K129" s="24">
        <f t="shared" si="21"/>
        <v>252076717.34379908</v>
      </c>
      <c r="L129" s="24">
        <f t="shared" ref="L129:M129" si="23">L97</f>
        <v>252976717.34379908</v>
      </c>
      <c r="M129" s="24">
        <f t="shared" si="23"/>
        <v>253876717.34379908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48809</v>
      </c>
      <c r="H130" s="6">
        <f t="shared" si="21"/>
        <v>49789</v>
      </c>
      <c r="I130" s="6">
        <f t="shared" si="21"/>
        <v>45600</v>
      </c>
      <c r="J130" s="6">
        <f t="shared" si="21"/>
        <v>50500</v>
      </c>
      <c r="K130" s="6">
        <f t="shared" si="21"/>
        <v>50500</v>
      </c>
      <c r="L130" s="6">
        <f t="shared" ref="L130:M130" si="24">L98</f>
        <v>50500</v>
      </c>
      <c r="M130" s="6">
        <f t="shared" si="24"/>
        <v>50500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52067</v>
      </c>
      <c r="H131" s="6">
        <f t="shared" ref="H131:M131" si="25">MAX(G131,H130)</f>
        <v>52067</v>
      </c>
      <c r="I131" s="6">
        <f t="shared" si="25"/>
        <v>52067</v>
      </c>
      <c r="J131" s="6">
        <f t="shared" si="25"/>
        <v>52067</v>
      </c>
      <c r="K131" s="6">
        <f t="shared" si="25"/>
        <v>52067</v>
      </c>
      <c r="L131" s="6">
        <f t="shared" si="25"/>
        <v>52067</v>
      </c>
      <c r="M131" s="6">
        <f t="shared" si="25"/>
        <v>52067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116.45912314579466</v>
      </c>
      <c r="I134" s="137">
        <f>H134*EXP('Model Inputs'!I21)</f>
        <v>120.36638952690569</v>
      </c>
      <c r="J134" s="137">
        <f>I134*EXP('Model Inputs'!J21)</f>
        <v>124.90336235555709</v>
      </c>
      <c r="K134" s="137">
        <f>J134*EXP('Model Inputs'!K21)</f>
        <v>131.30729468457832</v>
      </c>
      <c r="L134" s="137">
        <f>K134*EXP('Model Inputs'!L21)</f>
        <v>138.03956364522634</v>
      </c>
      <c r="M134" s="138">
        <f>L134*EXP('Model Inputs'!M21)</f>
        <v>145.11700341658505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252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1150.7776417569935</v>
      </c>
      <c r="I135" s="128">
        <f>H135*EXP('Model Inputs'!I20)</f>
        <v>1174.0248921933146</v>
      </c>
      <c r="J135" s="128">
        <f>I135*EXP('Model Inputs'!J20)</f>
        <v>1234.2184355888094</v>
      </c>
      <c r="K135" s="128">
        <f>J135*EXP('Model Inputs'!K20)</f>
        <v>1257.892779937401</v>
      </c>
      <c r="L135" s="128">
        <f>K135*EXP('Model Inputs'!L20)</f>
        <v>1282.0212372405349</v>
      </c>
      <c r="M135" s="129">
        <f>L135*EXP('Model Inputs'!M20)</f>
        <v>1307.9197841755531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2.1650000000000034E-2</v>
      </c>
      <c r="I136" s="25">
        <f t="shared" ref="I136:M136" si="27">LN(I134/H134)*0.3+LN(I135/H135)*0.7</f>
        <v>2.3900000000000005E-2</v>
      </c>
      <c r="J136" s="25">
        <f t="shared" si="27"/>
        <v>4.6100000000000071E-2</v>
      </c>
      <c r="K136" s="25">
        <f t="shared" si="27"/>
        <v>2.8300000000000096E-2</v>
      </c>
      <c r="L136" s="25">
        <f t="shared" si="27"/>
        <v>2.8300000000000096E-2</v>
      </c>
      <c r="M136" s="25">
        <f t="shared" si="27"/>
        <v>2.8999999999999995E-2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135.62839565652951</v>
      </c>
      <c r="H137" s="15">
        <f t="shared" ref="H137:M137" si="28">G137*EXP(H136)</f>
        <v>138.59676709905753</v>
      </c>
      <c r="I137" s="15">
        <f t="shared" si="28"/>
        <v>141.949131007636</v>
      </c>
      <c r="J137" s="15">
        <f t="shared" si="28"/>
        <v>148.64616660912444</v>
      </c>
      <c r="K137" s="15">
        <f t="shared" si="28"/>
        <v>152.9129432491921</v>
      </c>
      <c r="L137" s="15">
        <f t="shared" si="28"/>
        <v>157.30219451010956</v>
      </c>
      <c r="M137" s="15">
        <f t="shared" si="28"/>
        <v>161.93074779361768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17.24825230076306</v>
      </c>
      <c r="I139" s="15">
        <f t="shared" si="29"/>
        <v>18.035652748592568</v>
      </c>
      <c r="J139" s="15">
        <f t="shared" si="29"/>
        <v>19.968859944293627</v>
      </c>
      <c r="K139" s="15">
        <f t="shared" si="29"/>
        <v>21.091170074323159</v>
      </c>
      <c r="L139" s="15">
        <f t="shared" ref="L139:M139" si="30">L113</f>
        <v>22.172537487886892</v>
      </c>
      <c r="M139" s="15">
        <f t="shared" si="30"/>
        <v>23.309347794329348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369</v>
      </c>
      <c r="H142" s="26">
        <f>'Model Inputs'!H16</f>
        <v>369</v>
      </c>
      <c r="I142" s="26">
        <f>'Model Inputs'!I16</f>
        <v>369</v>
      </c>
      <c r="J142" s="26">
        <f>'Model Inputs'!J16</f>
        <v>369</v>
      </c>
      <c r="K142" s="26">
        <f>'Model Inputs'!K16</f>
        <v>369</v>
      </c>
      <c r="L142" s="26">
        <f>'Model Inputs'!L16</f>
        <v>369</v>
      </c>
      <c r="M142" s="26">
        <f>'Model Inputs'!M16</f>
        <v>369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337.87368421052622</v>
      </c>
      <c r="H143" s="22">
        <f>(G143*14+H142)/15</f>
        <v>339.94877192982443</v>
      </c>
      <c r="I143" s="22">
        <f>(H143*15+I142)/16</f>
        <v>341.76447368421043</v>
      </c>
      <c r="J143" s="22">
        <f>(I143*16+J142)/17</f>
        <v>343.36656346749214</v>
      </c>
      <c r="K143" s="22">
        <f>(J143*17+K142)/18</f>
        <v>344.79064327485372</v>
      </c>
      <c r="L143" s="22">
        <f>(K143*17+L142)/18</f>
        <v>346.13560753736186</v>
      </c>
      <c r="M143" s="22">
        <f>(L143*17+M142)/18</f>
        <v>347.40585156306395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7882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0.22202486678507993</v>
      </c>
      <c r="H145" s="19">
        <f>'Model Inputs'!H17</f>
        <v>0.22202486678507993</v>
      </c>
      <c r="I145" s="19">
        <f>'Model Inputs'!I17</f>
        <v>0.22202486678507993</v>
      </c>
      <c r="J145" s="19">
        <f>'Model Inputs'!J17</f>
        <v>0.22202486678507993</v>
      </c>
      <c r="K145" s="19">
        <f>'Model Inputs'!K17</f>
        <v>0.22202486678507993</v>
      </c>
      <c r="L145" s="19">
        <f>'Model Inputs'!L17</f>
        <v>0.22202486678507993</v>
      </c>
      <c r="M145" s="19">
        <f>'Model Inputs'!M17</f>
        <v>0.22202486678507993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0.12766296944838101</v>
      </c>
      <c r="H152" s="27">
        <f t="shared" ref="H152:K152" si="33">H113/H137</f>
        <v>0.12444916762333592</v>
      </c>
      <c r="I152" s="27">
        <f t="shared" si="33"/>
        <v>0.12705715505664039</v>
      </c>
      <c r="J152" s="27">
        <f t="shared" si="33"/>
        <v>0.1343382099909993</v>
      </c>
      <c r="K152" s="27">
        <f t="shared" si="33"/>
        <v>0.13792926632739178</v>
      </c>
      <c r="L152" s="27">
        <f t="shared" ref="L152:M152" si="34">L113/L137</f>
        <v>0.14095504234342959</v>
      </c>
      <c r="M152" s="27">
        <f t="shared" si="34"/>
        <v>0.14394639753061192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9632</v>
      </c>
      <c r="H153" s="17">
        <f t="shared" ref="H153:K153" si="35">H96</f>
        <v>9776</v>
      </c>
      <c r="I153" s="17">
        <f t="shared" si="35"/>
        <v>9819.375</v>
      </c>
      <c r="J153" s="17">
        <f t="shared" si="35"/>
        <v>9954.375</v>
      </c>
      <c r="K153" s="17">
        <f t="shared" si="35"/>
        <v>10113.916666666672</v>
      </c>
      <c r="L153" s="17">
        <f t="shared" ref="L153:M153" si="36">L96</f>
        <v>10213.916666666672</v>
      </c>
      <c r="M153" s="17">
        <f t="shared" si="36"/>
        <v>10313.916666666672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52067</v>
      </c>
      <c r="H154" s="17">
        <f t="shared" ref="H154:K154" si="37">H131</f>
        <v>52067</v>
      </c>
      <c r="I154" s="17">
        <f t="shared" si="37"/>
        <v>52067</v>
      </c>
      <c r="J154" s="17">
        <f t="shared" si="37"/>
        <v>52067</v>
      </c>
      <c r="K154" s="17">
        <f t="shared" si="37"/>
        <v>52067</v>
      </c>
      <c r="L154" s="17">
        <f t="shared" ref="L154:M154" si="38">L131</f>
        <v>52067</v>
      </c>
      <c r="M154" s="17">
        <f t="shared" si="38"/>
        <v>52067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220973865.87</v>
      </c>
      <c r="H155" s="24">
        <f t="shared" ref="H155:K155" si="39">H97</f>
        <v>217453659.22999999</v>
      </c>
      <c r="I155" s="24">
        <f t="shared" si="39"/>
        <v>212160512.10572967</v>
      </c>
      <c r="J155" s="24">
        <f t="shared" si="39"/>
        <v>229864322.65521154</v>
      </c>
      <c r="K155" s="24">
        <f t="shared" si="39"/>
        <v>252076717.34379908</v>
      </c>
      <c r="L155" s="24">
        <f t="shared" ref="L155:M155" si="40">L97</f>
        <v>252976717.34379908</v>
      </c>
      <c r="M155" s="24">
        <f t="shared" si="40"/>
        <v>253876717.34379908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337.87368421052622</v>
      </c>
      <c r="H156" s="28">
        <f t="shared" ref="H156:K156" si="41">H143</f>
        <v>339.94877192982443</v>
      </c>
      <c r="I156" s="28">
        <f t="shared" si="41"/>
        <v>341.76447368421043</v>
      </c>
      <c r="J156" s="28">
        <f t="shared" si="41"/>
        <v>343.36656346749214</v>
      </c>
      <c r="K156" s="28">
        <f t="shared" si="41"/>
        <v>344.79064327485372</v>
      </c>
      <c r="L156" s="28">
        <f t="shared" ref="L156:M156" si="42">L143</f>
        <v>346.13560753736186</v>
      </c>
      <c r="M156" s="28">
        <f t="shared" si="42"/>
        <v>347.40585156306395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0.22202486678507993</v>
      </c>
      <c r="H157" s="20">
        <f t="shared" ref="H157:L157" si="43">H145</f>
        <v>0.22202486678507993</v>
      </c>
      <c r="I157" s="20">
        <f t="shared" si="43"/>
        <v>0.22202486678507993</v>
      </c>
      <c r="J157" s="20">
        <f t="shared" si="43"/>
        <v>0.22202486678507993</v>
      </c>
      <c r="K157" s="20">
        <f t="shared" si="43"/>
        <v>0.22202486678507993</v>
      </c>
      <c r="L157" s="20">
        <f t="shared" si="43"/>
        <v>0.22202486678507993</v>
      </c>
      <c r="M157" s="20">
        <f t="shared" ref="M157" si="44">M145</f>
        <v>0.22202486678507993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12.810935258155617</v>
      </c>
      <c r="H162" s="32">
        <f t="shared" ref="H162:M179" si="47">G162</f>
        <v>12.810935258155617</v>
      </c>
      <c r="I162" s="32">
        <f t="shared" si="47"/>
        <v>12.810935258155617</v>
      </c>
      <c r="J162" s="32">
        <f t="shared" si="47"/>
        <v>12.810935258155617</v>
      </c>
      <c r="K162" s="32">
        <f t="shared" si="47"/>
        <v>12.810935258155617</v>
      </c>
      <c r="L162" s="32">
        <f t="shared" si="47"/>
        <v>12.810935258155617</v>
      </c>
      <c r="M162" s="32">
        <f t="shared" si="47"/>
        <v>12.810935258155617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0.62469391589931944</v>
      </c>
      <c r="H163" s="32">
        <f t="shared" si="47"/>
        <v>0.62469391589931944</v>
      </c>
      <c r="I163" s="32">
        <f t="shared" si="47"/>
        <v>0.62469391589931944</v>
      </c>
      <c r="J163" s="32">
        <f t="shared" si="47"/>
        <v>0.62469391589931944</v>
      </c>
      <c r="K163" s="32">
        <f t="shared" si="47"/>
        <v>0.62469391589931944</v>
      </c>
      <c r="L163" s="32">
        <f t="shared" si="47"/>
        <v>0.62469391589931944</v>
      </c>
      <c r="M163" s="32">
        <f t="shared" si="47"/>
        <v>0.62469391589931944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0.44850949404180862</v>
      </c>
      <c r="H164" s="32">
        <f t="shared" si="47"/>
        <v>0.44850949404180862</v>
      </c>
      <c r="I164" s="32">
        <f t="shared" si="47"/>
        <v>0.44850949404180862</v>
      </c>
      <c r="J164" s="32">
        <f t="shared" si="47"/>
        <v>0.44850949404180862</v>
      </c>
      <c r="K164" s="32">
        <f t="shared" si="47"/>
        <v>0.44850949404180862</v>
      </c>
      <c r="L164" s="32">
        <f t="shared" si="47"/>
        <v>0.44850949404180862</v>
      </c>
      <c r="M164" s="32">
        <f t="shared" si="47"/>
        <v>0.44850949404180862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0.16228813491112656</v>
      </c>
      <c r="H165" s="32">
        <f t="shared" si="47"/>
        <v>0.16228813491112656</v>
      </c>
      <c r="I165" s="32">
        <f t="shared" si="47"/>
        <v>0.16228813491112656</v>
      </c>
      <c r="J165" s="32">
        <f t="shared" si="47"/>
        <v>0.16228813491112656</v>
      </c>
      <c r="K165" s="32">
        <f t="shared" si="47"/>
        <v>0.16228813491112656</v>
      </c>
      <c r="L165" s="32">
        <f t="shared" si="47"/>
        <v>0.16228813491112656</v>
      </c>
      <c r="M165" s="32">
        <f t="shared" si="47"/>
        <v>0.16228813491112656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0.1083221198069267</v>
      </c>
      <c r="H166" s="32">
        <f t="shared" si="47"/>
        <v>0.1083221198069267</v>
      </c>
      <c r="I166" s="32">
        <f t="shared" si="47"/>
        <v>0.1083221198069267</v>
      </c>
      <c r="J166" s="32">
        <f t="shared" si="47"/>
        <v>0.1083221198069267</v>
      </c>
      <c r="K166" s="32">
        <f t="shared" si="47"/>
        <v>0.1083221198069267</v>
      </c>
      <c r="L166" s="32">
        <f t="shared" si="47"/>
        <v>0.1083221198069267</v>
      </c>
      <c r="M166" s="32">
        <f t="shared" si="47"/>
        <v>0.1083221198069267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0.11202169308850274</v>
      </c>
      <c r="H167" s="32">
        <f t="shared" si="47"/>
        <v>0.11202169308850274</v>
      </c>
      <c r="I167" s="32">
        <f t="shared" si="47"/>
        <v>0.11202169308850274</v>
      </c>
      <c r="J167" s="32">
        <f t="shared" si="47"/>
        <v>0.11202169308850274</v>
      </c>
      <c r="K167" s="32">
        <f t="shared" si="47"/>
        <v>0.11202169308850274</v>
      </c>
      <c r="L167" s="32">
        <f t="shared" si="47"/>
        <v>0.11202169308850274</v>
      </c>
      <c r="M167" s="32">
        <f t="shared" si="47"/>
        <v>0.11202169308850274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-0.37415836912025918</v>
      </c>
      <c r="H168" s="32">
        <f t="shared" si="47"/>
        <v>-0.37415836912025918</v>
      </c>
      <c r="I168" s="32">
        <f t="shared" si="47"/>
        <v>-0.37415836912025918</v>
      </c>
      <c r="J168" s="32">
        <f t="shared" si="47"/>
        <v>-0.37415836912025918</v>
      </c>
      <c r="K168" s="32">
        <f t="shared" si="47"/>
        <v>-0.37415836912025918</v>
      </c>
      <c r="L168" s="32">
        <f t="shared" si="47"/>
        <v>-0.37415836912025918</v>
      </c>
      <c r="M168" s="32">
        <f t="shared" si="47"/>
        <v>-0.37415836912025918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0.19218571466043591</v>
      </c>
      <c r="H169" s="32">
        <f t="shared" si="47"/>
        <v>0.19218571466043591</v>
      </c>
      <c r="I169" s="32">
        <f t="shared" si="47"/>
        <v>0.19218571466043591</v>
      </c>
      <c r="J169" s="32">
        <f t="shared" si="47"/>
        <v>0.19218571466043591</v>
      </c>
      <c r="K169" s="32">
        <f t="shared" si="47"/>
        <v>0.19218571466043591</v>
      </c>
      <c r="L169" s="32">
        <f t="shared" si="47"/>
        <v>0.19218571466043591</v>
      </c>
      <c r="M169" s="32">
        <f t="shared" si="47"/>
        <v>0.19218571466043591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0.17567013467705989</v>
      </c>
      <c r="H170" s="32">
        <f t="shared" si="47"/>
        <v>0.17567013467705989</v>
      </c>
      <c r="I170" s="32">
        <f t="shared" si="47"/>
        <v>0.17567013467705989</v>
      </c>
      <c r="J170" s="32">
        <f t="shared" si="47"/>
        <v>0.17567013467705989</v>
      </c>
      <c r="K170" s="32">
        <f t="shared" si="47"/>
        <v>0.17567013467705989</v>
      </c>
      <c r="L170" s="32">
        <f t="shared" si="47"/>
        <v>0.17567013467705989</v>
      </c>
      <c r="M170" s="32">
        <f t="shared" si="47"/>
        <v>0.17567013467705989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5.6170591256039626E-2</v>
      </c>
      <c r="H171" s="32">
        <f t="shared" si="47"/>
        <v>5.6170591256039626E-2</v>
      </c>
      <c r="I171" s="32">
        <f t="shared" si="47"/>
        <v>5.6170591256039626E-2</v>
      </c>
      <c r="J171" s="32">
        <f t="shared" si="47"/>
        <v>5.6170591256039626E-2</v>
      </c>
      <c r="K171" s="32">
        <f t="shared" si="47"/>
        <v>5.6170591256039626E-2</v>
      </c>
      <c r="L171" s="32">
        <f t="shared" si="47"/>
        <v>5.6170591256039626E-2</v>
      </c>
      <c r="M171" s="32">
        <f t="shared" si="47"/>
        <v>5.6170591256039626E-2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7.9296125178026644E-3</v>
      </c>
      <c r="H172" s="32">
        <f t="shared" si="47"/>
        <v>7.9296125178026644E-3</v>
      </c>
      <c r="I172" s="32">
        <f t="shared" si="47"/>
        <v>7.9296125178026644E-3</v>
      </c>
      <c r="J172" s="32">
        <f t="shared" si="47"/>
        <v>7.9296125178026644E-3</v>
      </c>
      <c r="K172" s="32">
        <f t="shared" si="47"/>
        <v>7.9296125178026644E-3</v>
      </c>
      <c r="L172" s="32">
        <f t="shared" si="47"/>
        <v>7.9296125178026644E-3</v>
      </c>
      <c r="M172" s="32">
        <f t="shared" si="47"/>
        <v>7.9296125178026644E-3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1.4274970927439234E-3</v>
      </c>
      <c r="H173" s="32">
        <f t="shared" si="47"/>
        <v>1.4274970927439234E-3</v>
      </c>
      <c r="I173" s="32">
        <f t="shared" si="47"/>
        <v>1.4274970927439234E-3</v>
      </c>
      <c r="J173" s="32">
        <f t="shared" si="47"/>
        <v>1.4274970927439234E-3</v>
      </c>
      <c r="K173" s="32">
        <f t="shared" si="47"/>
        <v>1.4274970927439234E-3</v>
      </c>
      <c r="L173" s="32">
        <f t="shared" si="47"/>
        <v>1.4274970927439234E-3</v>
      </c>
      <c r="M173" s="32">
        <f t="shared" si="47"/>
        <v>1.4274970927439234E-3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0.14433696871551771</v>
      </c>
      <c r="H174" s="32">
        <f t="shared" si="47"/>
        <v>0.14433696871551771</v>
      </c>
      <c r="I174" s="32">
        <f t="shared" si="47"/>
        <v>0.14433696871551771</v>
      </c>
      <c r="J174" s="32">
        <f t="shared" si="47"/>
        <v>0.14433696871551771</v>
      </c>
      <c r="K174" s="32">
        <f t="shared" si="47"/>
        <v>0.14433696871551771</v>
      </c>
      <c r="L174" s="32">
        <f t="shared" si="47"/>
        <v>0.14433696871551771</v>
      </c>
      <c r="M174" s="32">
        <f t="shared" si="47"/>
        <v>0.14433696871551771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5.8453936704806808E-2</v>
      </c>
      <c r="H175" s="32">
        <f t="shared" si="47"/>
        <v>5.8453936704806808E-2</v>
      </c>
      <c r="I175" s="32">
        <f t="shared" si="47"/>
        <v>5.8453936704806808E-2</v>
      </c>
      <c r="J175" s="32">
        <f t="shared" si="47"/>
        <v>5.8453936704806808E-2</v>
      </c>
      <c r="K175" s="32">
        <f t="shared" si="47"/>
        <v>5.8453936704806808E-2</v>
      </c>
      <c r="L175" s="32">
        <f t="shared" si="47"/>
        <v>5.8453936704806808E-2</v>
      </c>
      <c r="M175" s="32">
        <f t="shared" si="47"/>
        <v>5.8453936704806808E-2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-0.20101963201828435</v>
      </c>
      <c r="H176" s="32">
        <f t="shared" si="47"/>
        <v>-0.20101963201828435</v>
      </c>
      <c r="I176" s="32">
        <f t="shared" si="47"/>
        <v>-0.20101963201828435</v>
      </c>
      <c r="J176" s="32">
        <f t="shared" si="47"/>
        <v>-0.20101963201828435</v>
      </c>
      <c r="K176" s="32">
        <f t="shared" si="47"/>
        <v>-0.20101963201828435</v>
      </c>
      <c r="L176" s="32">
        <f t="shared" si="47"/>
        <v>-0.20101963201828435</v>
      </c>
      <c r="M176" s="32">
        <f t="shared" si="47"/>
        <v>-0.20101963201828435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0.2778199459708583</v>
      </c>
      <c r="H177" s="32">
        <f t="shared" si="47"/>
        <v>0.2778199459708583</v>
      </c>
      <c r="I177" s="32">
        <f t="shared" si="47"/>
        <v>0.2778199459708583</v>
      </c>
      <c r="J177" s="32">
        <f t="shared" si="47"/>
        <v>0.2778199459708583</v>
      </c>
      <c r="K177" s="32">
        <f t="shared" si="47"/>
        <v>0.2778199459708583</v>
      </c>
      <c r="L177" s="32">
        <f t="shared" si="47"/>
        <v>0.2778199459708583</v>
      </c>
      <c r="M177" s="32">
        <f t="shared" si="47"/>
        <v>0.2778199459708583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1.6493101393689487E-2</v>
      </c>
      <c r="H178" s="32">
        <f t="shared" si="47"/>
        <v>1.6493101393689487E-2</v>
      </c>
      <c r="I178" s="32">
        <f t="shared" si="47"/>
        <v>1.6493101393689487E-2</v>
      </c>
      <c r="J178" s="32">
        <f t="shared" si="47"/>
        <v>1.6493101393689487E-2</v>
      </c>
      <c r="K178" s="32">
        <f t="shared" si="47"/>
        <v>1.6493101393689487E-2</v>
      </c>
      <c r="L178" s="32">
        <f t="shared" si="47"/>
        <v>1.6493101393689487E-2</v>
      </c>
      <c r="M178" s="32">
        <f t="shared" si="47"/>
        <v>1.6493101393689487E-2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1.6898903802612567E-2</v>
      </c>
      <c r="H179" s="32">
        <f t="shared" si="47"/>
        <v>1.6898903802612567E-2</v>
      </c>
      <c r="I179" s="32">
        <f t="shared" si="47"/>
        <v>1.6898903802612567E-2</v>
      </c>
      <c r="J179" s="32">
        <f t="shared" si="47"/>
        <v>1.6898903802612567E-2</v>
      </c>
      <c r="K179" s="32">
        <f t="shared" si="47"/>
        <v>1.6898903802612567E-2</v>
      </c>
      <c r="L179" s="32">
        <f t="shared" si="47"/>
        <v>1.6898903802612567E-2</v>
      </c>
      <c r="M179" s="32">
        <f t="shared" si="47"/>
        <v>1.6898903802612567E-2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-0.25290874246324252</v>
      </c>
      <c r="H206" s="31">
        <f t="shared" ref="H206:K209" si="51">LN(H152/H184)</f>
        <v>-0.27840514227330559</v>
      </c>
      <c r="I206" s="31">
        <f t="shared" si="51"/>
        <v>-0.25766545758496734</v>
      </c>
      <c r="J206" s="31">
        <f t="shared" si="51"/>
        <v>-0.20194190733990616</v>
      </c>
      <c r="K206" s="31">
        <f t="shared" si="51"/>
        <v>-0.17556149171510113</v>
      </c>
      <c r="L206" s="31">
        <f t="shared" ref="L206:M206" si="52">LN(L152/L184)</f>
        <v>-0.15386149171510172</v>
      </c>
      <c r="M206" s="31">
        <f t="shared" si="52"/>
        <v>-0.13286149171510159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-1.8847248321026433</v>
      </c>
      <c r="H207" s="31">
        <f t="shared" si="51"/>
        <v>-1.8698853182398691</v>
      </c>
      <c r="I207" s="31">
        <f t="shared" si="51"/>
        <v>-1.8654582459493838</v>
      </c>
      <c r="J207" s="31">
        <f t="shared" si="51"/>
        <v>-1.8518035676452</v>
      </c>
      <c r="K207" s="31">
        <f t="shared" si="51"/>
        <v>-1.835903357449387</v>
      </c>
      <c r="L207" s="31">
        <f t="shared" ref="L207:M207" si="53">LN(L153/L185)</f>
        <v>-1.8260645512133136</v>
      </c>
      <c r="M207" s="31">
        <f t="shared" si="53"/>
        <v>-1.8163216047058428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-1.8913869517241604</v>
      </c>
      <c r="H208" s="31">
        <f t="shared" si="51"/>
        <v>-1.8913869517241604</v>
      </c>
      <c r="I208" s="31">
        <f t="shared" si="51"/>
        <v>-1.8913869517241604</v>
      </c>
      <c r="J208" s="31">
        <f t="shared" si="51"/>
        <v>-1.8913869517241604</v>
      </c>
      <c r="K208" s="31">
        <f t="shared" si="51"/>
        <v>-1.8913869517241604</v>
      </c>
      <c r="L208" s="31">
        <f t="shared" ref="L208:M208" si="54">LN(L154/L186)</f>
        <v>-1.8913869517241604</v>
      </c>
      <c r="M208" s="31">
        <f t="shared" si="54"/>
        <v>-1.8913869517241604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-1.9984920563665236</v>
      </c>
      <c r="H209" s="31">
        <f t="shared" si="51"/>
        <v>-2.0145507300932999</v>
      </c>
      <c r="I209" s="31">
        <f t="shared" si="51"/>
        <v>-2.0391933761438876</v>
      </c>
      <c r="J209" s="31">
        <f t="shared" si="51"/>
        <v>-1.9590472635460525</v>
      </c>
      <c r="K209" s="31">
        <f t="shared" si="51"/>
        <v>-1.8668030218250327</v>
      </c>
      <c r="L209" s="31">
        <f t="shared" ref="L209:M209" si="55">LN(L155/L187)</f>
        <v>-1.8632390387260775</v>
      </c>
      <c r="M209" s="31">
        <f t="shared" si="55"/>
        <v>-1.8596877125070952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3.1981416007169368E-2</v>
      </c>
      <c r="H210" s="31">
        <f t="shared" ref="H210:K213" si="56">H206*H206/2</f>
        <v>3.8754711622109764E-2</v>
      </c>
      <c r="I210" s="31">
        <f t="shared" si="56"/>
        <v>3.3195744016235304E-2</v>
      </c>
      <c r="J210" s="31">
        <f t="shared" si="56"/>
        <v>2.0390266970039622E-2</v>
      </c>
      <c r="K210" s="31">
        <f t="shared" si="56"/>
        <v>1.5410918686615762E-2</v>
      </c>
      <c r="L210" s="31">
        <f t="shared" ref="L210:M210" si="57">L206*L206/2</f>
        <v>1.1836679316398157E-2</v>
      </c>
      <c r="M210" s="31">
        <f t="shared" si="57"/>
        <v>8.8260879903810045E-3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1.7760938463721685</v>
      </c>
      <c r="H211" s="31">
        <f t="shared" si="56"/>
        <v>1.7482355516845083</v>
      </c>
      <c r="I211" s="31">
        <f t="shared" si="56"/>
        <v>1.7399672336902758</v>
      </c>
      <c r="J211" s="31">
        <f t="shared" si="56"/>
        <v>1.7145882265717456</v>
      </c>
      <c r="K211" s="31">
        <f t="shared" si="56"/>
        <v>1.6852705689469658</v>
      </c>
      <c r="L211" s="31">
        <f t="shared" ref="L211:M211" si="58">L207*L207/2</f>
        <v>1.6672558725989401</v>
      </c>
      <c r="M211" s="31">
        <f t="shared" si="58"/>
        <v>1.649512085860604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1.7886723005762057</v>
      </c>
      <c r="H212" s="31">
        <f t="shared" si="56"/>
        <v>1.7886723005762057</v>
      </c>
      <c r="I212" s="31">
        <f t="shared" si="56"/>
        <v>1.7886723005762057</v>
      </c>
      <c r="J212" s="31">
        <f t="shared" si="56"/>
        <v>1.7886723005762057</v>
      </c>
      <c r="K212" s="31">
        <f t="shared" si="56"/>
        <v>1.7886723005762057</v>
      </c>
      <c r="L212" s="31">
        <f t="shared" ref="L212:M212" si="59">L208*L208/2</f>
        <v>1.7886723005762057</v>
      </c>
      <c r="M212" s="31">
        <f t="shared" si="59"/>
        <v>1.7886723005762057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1.996985249680048</v>
      </c>
      <c r="H213" s="31">
        <f t="shared" si="56"/>
        <v>2.0292073220597238</v>
      </c>
      <c r="I213" s="31">
        <f t="shared" si="56"/>
        <v>2.0791548126545534</v>
      </c>
      <c r="J213" s="31">
        <f t="shared" si="56"/>
        <v>1.9189330904036384</v>
      </c>
      <c r="K213" s="31">
        <f t="shared" si="56"/>
        <v>1.7424767611475367</v>
      </c>
      <c r="L213" s="31">
        <f t="shared" ref="L213:M213" si="60">L209*L209/2</f>
        <v>1.7358298577164388</v>
      </c>
      <c r="M213" s="31">
        <f t="shared" si="60"/>
        <v>1.7292191940249362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0.47666338717632539</v>
      </c>
      <c r="H214" s="31">
        <f t="shared" ref="H214:K214" si="61">H206*H207</f>
        <v>0.52058568805933603</v>
      </c>
      <c r="I214" s="31">
        <f t="shared" si="61"/>
        <v>0.4806641525481985</v>
      </c>
      <c r="J214" s="31">
        <f t="shared" si="61"/>
        <v>0.37395674446911464</v>
      </c>
      <c r="K214" s="31">
        <f t="shared" si="61"/>
        <v>0.32231393207857689</v>
      </c>
      <c r="L214" s="31">
        <f t="shared" ref="L214:M214" si="62">L206*L207</f>
        <v>0.28096101581774818</v>
      </c>
      <c r="M214" s="31">
        <f t="shared" si="62"/>
        <v>0.24131919783558536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0.47834829547194296</v>
      </c>
      <c r="H215" s="31">
        <f t="shared" ref="H215:K215" si="63">H206*H208</f>
        <v>0.52657185338863866</v>
      </c>
      <c r="I215" s="31">
        <f t="shared" si="63"/>
        <v>0.4873450843862423</v>
      </c>
      <c r="J215" s="31">
        <f t="shared" si="63"/>
        <v>0.38195028854898799</v>
      </c>
      <c r="K215" s="31">
        <f t="shared" si="63"/>
        <v>0.33205471465517156</v>
      </c>
      <c r="L215" s="31">
        <f t="shared" ref="L215:M215" si="64">L206*L208</f>
        <v>0.29101161780275842</v>
      </c>
      <c r="M215" s="31">
        <f t="shared" si="64"/>
        <v>0.25129249181655078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0.50543611279843703</v>
      </c>
      <c r="H216" s="31">
        <f t="shared" ref="H216:K216" si="65">H206*H209</f>
        <v>0.56086128262841684</v>
      </c>
      <c r="I216" s="31">
        <f t="shared" si="65"/>
        <v>0.52542969436834919</v>
      </c>
      <c r="J216" s="31">
        <f t="shared" si="65"/>
        <v>0.39561374096951368</v>
      </c>
      <c r="K216" s="31">
        <f t="shared" si="65"/>
        <v>0.32773872324986125</v>
      </c>
      <c r="L216" s="31">
        <f t="shared" ref="L216:M216" si="66">L206*L209</f>
        <v>0.28668073792020649</v>
      </c>
      <c r="M216" s="31">
        <f t="shared" si="66"/>
        <v>0.24708088360793765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3.5647439550294484</v>
      </c>
      <c r="H217" s="31">
        <f t="shared" ref="H217:K217" si="67">H207*H208</f>
        <v>3.5366766921394674</v>
      </c>
      <c r="I217" s="31">
        <f t="shared" si="67"/>
        <v>3.5283033853749042</v>
      </c>
      <c r="J217" s="31">
        <f t="shared" si="67"/>
        <v>3.5024771050003798</v>
      </c>
      <c r="K217" s="31">
        <f t="shared" si="67"/>
        <v>3.4724036549063477</v>
      </c>
      <c r="L217" s="31">
        <f t="shared" ref="L217:M217" si="68">L207*L208</f>
        <v>3.453794665170896</v>
      </c>
      <c r="M217" s="31">
        <f t="shared" si="68"/>
        <v>3.4353669832753195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3.7666076053938626</v>
      </c>
      <c r="H218" s="31">
        <f t="shared" ref="H218:K218" si="69">H207*H209</f>
        <v>3.7669788330508709</v>
      </c>
      <c r="I218" s="31">
        <f t="shared" si="69"/>
        <v>3.8040300986129787</v>
      </c>
      <c r="J218" s="31">
        <f t="shared" si="69"/>
        <v>3.6277707118201463</v>
      </c>
      <c r="K218" s="31">
        <f t="shared" si="69"/>
        <v>3.4272699354652389</v>
      </c>
      <c r="L218" s="31">
        <f t="shared" ref="L218:M218" si="70">L207*L209</f>
        <v>3.4023947590544608</v>
      </c>
      <c r="M218" s="31">
        <f t="shared" si="70"/>
        <v>3.377790970232625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3.7799217985360278</v>
      </c>
      <c r="H219" s="31">
        <f t="shared" ref="H219:K219" si="71">H208*H209</f>
        <v>3.8102949644848483</v>
      </c>
      <c r="I219" s="31">
        <f t="shared" si="71"/>
        <v>3.8569037436808866</v>
      </c>
      <c r="J219" s="31">
        <f t="shared" si="71"/>
        <v>3.7053164320819261</v>
      </c>
      <c r="K219" s="31">
        <f t="shared" si="71"/>
        <v>3.5308468769190999</v>
      </c>
      <c r="L219" s="31">
        <f t="shared" ref="L219:M219" si="72">L208*L209</f>
        <v>3.5241060057895708</v>
      </c>
      <c r="M219" s="31">
        <f t="shared" si="72"/>
        <v>3.5173890737176716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-2.0867431967549908</v>
      </c>
      <c r="H220" s="31">
        <f t="shared" ref="H220:K220" si="73">LN(H156/H198)</f>
        <v>-2.0806203715719622</v>
      </c>
      <c r="I220" s="31">
        <f t="shared" si="73"/>
        <v>-2.0752934806554082</v>
      </c>
      <c r="J220" s="31">
        <f t="shared" si="73"/>
        <v>-2.0706167323649982</v>
      </c>
      <c r="K220" s="31">
        <f t="shared" si="73"/>
        <v>-2.0664779052880773</v>
      </c>
      <c r="L220" s="31">
        <f t="shared" ref="L220:M220" si="74">LN(L156/L198)</f>
        <v>-2.0625846794633187</v>
      </c>
      <c r="M220" s="31">
        <f t="shared" si="74"/>
        <v>-2.058921609492844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1.7264764135698285</v>
      </c>
      <c r="H221" s="20">
        <f t="shared" ref="H221:K221" si="75">H157/H199</f>
        <v>1.7264764135698285</v>
      </c>
      <c r="I221" s="20">
        <f t="shared" si="75"/>
        <v>1.7264764135698285</v>
      </c>
      <c r="J221" s="20">
        <f t="shared" si="75"/>
        <v>1.7264764135698285</v>
      </c>
      <c r="K221" s="20">
        <f t="shared" si="75"/>
        <v>1.7264764135698285</v>
      </c>
      <c r="L221" s="20">
        <f t="shared" ref="L221:M221" si="76">L157/L199</f>
        <v>1.7264764135698285</v>
      </c>
      <c r="M221" s="20">
        <f t="shared" si="76"/>
        <v>1.7264764135698285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12.810935258155617</v>
      </c>
      <c r="H226" s="33">
        <f t="shared" ref="H226:K241" si="80">H162*H205</f>
        <v>12.810935258155617</v>
      </c>
      <c r="I226" s="33">
        <f t="shared" si="80"/>
        <v>12.810935258155617</v>
      </c>
      <c r="J226" s="33">
        <f t="shared" si="80"/>
        <v>12.810935258155617</v>
      </c>
      <c r="K226" s="33">
        <f t="shared" si="80"/>
        <v>12.810935258155617</v>
      </c>
      <c r="L226" s="33">
        <f t="shared" ref="L226:M226" si="81">L162*L205</f>
        <v>12.810935258155617</v>
      </c>
      <c r="M226" s="33">
        <f t="shared" si="81"/>
        <v>12.810935258155617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-0.15799055269453546</v>
      </c>
      <c r="H227" s="33">
        <f t="shared" si="80"/>
        <v>-0.17391799853321843</v>
      </c>
      <c r="I227" s="33">
        <f t="shared" si="80"/>
        <v>-0.16096204369074324</v>
      </c>
      <c r="J227" s="33">
        <f t="shared" si="80"/>
        <v>-0.12615188088034349</v>
      </c>
      <c r="K227" s="33">
        <f t="shared" si="80"/>
        <v>-0.10967219574063246</v>
      </c>
      <c r="L227" s="33">
        <f t="shared" ref="L227:M227" si="82">L163*L206</f>
        <v>-9.6116337765617593E-2</v>
      </c>
      <c r="M227" s="33">
        <f t="shared" si="82"/>
        <v>-8.2997765531731799E-2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-0.84531698085438922</v>
      </c>
      <c r="H228" s="33">
        <f t="shared" si="80"/>
        <v>-0.83866131799997001</v>
      </c>
      <c r="I228" s="33">
        <f t="shared" si="80"/>
        <v>-0.83667573404687789</v>
      </c>
      <c r="J228" s="33">
        <f t="shared" si="80"/>
        <v>-0.83055148118936484</v>
      </c>
      <c r="K228" s="33">
        <f t="shared" si="80"/>
        <v>-0.82342008595928229</v>
      </c>
      <c r="L228" s="33">
        <f t="shared" ref="L228:M228" si="83">L164*L207</f>
        <v>-0.81900728795236555</v>
      </c>
      <c r="M228" s="33">
        <f t="shared" si="83"/>
        <v>-0.81463748394382351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-0.30694966079055497</v>
      </c>
      <c r="H229" s="33">
        <f t="shared" si="80"/>
        <v>-0.30694966079055497</v>
      </c>
      <c r="I229" s="33">
        <f t="shared" si="80"/>
        <v>-0.30694966079055497</v>
      </c>
      <c r="J229" s="33">
        <f t="shared" si="80"/>
        <v>-0.30694966079055497</v>
      </c>
      <c r="K229" s="33">
        <f t="shared" si="80"/>
        <v>-0.30694966079055497</v>
      </c>
      <c r="L229" s="33">
        <f t="shared" ref="L229:M229" si="84">L165*L208</f>
        <v>-0.30694966079055497</v>
      </c>
      <c r="M229" s="33">
        <f t="shared" si="84"/>
        <v>-0.30694966079055497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-0.21648089596292588</v>
      </c>
      <c r="H230" s="33">
        <f t="shared" si="80"/>
        <v>-0.21822040554229807</v>
      </c>
      <c r="I230" s="33">
        <f t="shared" si="80"/>
        <v>-0.22088974920014953</v>
      </c>
      <c r="J230" s="33">
        <f t="shared" si="80"/>
        <v>-0.21220815238926741</v>
      </c>
      <c r="K230" s="33">
        <f t="shared" si="80"/>
        <v>-0.20221606058606398</v>
      </c>
      <c r="L230" s="33">
        <f t="shared" ref="L230:M230" si="85">L166*L209</f>
        <v>-0.2018300023818291</v>
      </c>
      <c r="M230" s="33">
        <f t="shared" si="85"/>
        <v>-0.20144531519766301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3.5826123684908557E-3</v>
      </c>
      <c r="H231" s="33">
        <f t="shared" si="80"/>
        <v>4.34136841106541E-3</v>
      </c>
      <c r="I231" s="33">
        <f t="shared" si="80"/>
        <v>3.7186434480312126E-3</v>
      </c>
      <c r="J231" s="33">
        <f t="shared" si="80"/>
        <v>2.2841522285104131E-3</v>
      </c>
      <c r="K231" s="33">
        <f t="shared" si="80"/>
        <v>1.7263572033239425E-3</v>
      </c>
      <c r="L231" s="33">
        <f t="shared" ref="L231:M231" si="86">L167*L210</f>
        <v>1.3259648575685828E-3</v>
      </c>
      <c r="M231" s="33">
        <f t="shared" si="86"/>
        <v>9.8871332003058082E-4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-0.66454037696313872</v>
      </c>
      <c r="H232" s="33">
        <f t="shared" si="80"/>
        <v>-0.65411696285633225</v>
      </c>
      <c r="I232" s="33">
        <f t="shared" si="80"/>
        <v>-0.65102330248024254</v>
      </c>
      <c r="J232" s="33">
        <f t="shared" si="80"/>
        <v>-0.64152753456688172</v>
      </c>
      <c r="K232" s="33">
        <f t="shared" si="80"/>
        <v>-0.63055808760356802</v>
      </c>
      <c r="L232" s="33">
        <f t="shared" ref="L232:M232" si="87">L168*L211</f>
        <v>-0.62381773819779407</v>
      </c>
      <c r="M232" s="33">
        <f t="shared" si="87"/>
        <v>-0.61717875188976057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0.34375726437956411</v>
      </c>
      <c r="H233" s="33">
        <f t="shared" si="80"/>
        <v>0.34375726437956411</v>
      </c>
      <c r="I233" s="33">
        <f t="shared" si="80"/>
        <v>0.34375726437956411</v>
      </c>
      <c r="J233" s="33">
        <f t="shared" si="80"/>
        <v>0.34375726437956411</v>
      </c>
      <c r="K233" s="33">
        <f t="shared" si="80"/>
        <v>0.34375726437956411</v>
      </c>
      <c r="L233" s="33">
        <f t="shared" ref="L233:M233" si="88">L169*L212</f>
        <v>0.34375726437956411</v>
      </c>
      <c r="M233" s="33">
        <f t="shared" si="88"/>
        <v>0.34375726437956411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0.35081066775939607</v>
      </c>
      <c r="H234" s="33">
        <f t="shared" si="80"/>
        <v>0.3564711235539077</v>
      </c>
      <c r="I234" s="33">
        <f t="shared" si="80"/>
        <v>0.36524540595348259</v>
      </c>
      <c r="J234" s="33">
        <f t="shared" si="80"/>
        <v>0.33709923442747386</v>
      </c>
      <c r="K234" s="33">
        <f t="shared" si="80"/>
        <v>0.30610112730243488</v>
      </c>
      <c r="L234" s="33">
        <f t="shared" ref="L234:M234" si="89">L170*L213</f>
        <v>0.30493346488150852</v>
      </c>
      <c r="M234" s="33">
        <f t="shared" si="89"/>
        <v>0.30377216870051749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2.6774464287800732E-2</v>
      </c>
      <c r="H235" s="33">
        <f t="shared" si="80"/>
        <v>2.9241605897725113E-2</v>
      </c>
      <c r="I235" s="33">
        <f t="shared" si="80"/>
        <v>2.6999189644215535E-2</v>
      </c>
      <c r="J235" s="33">
        <f t="shared" si="80"/>
        <v>2.1005371441013897E-2</v>
      </c>
      <c r="K235" s="33">
        <f t="shared" si="80"/>
        <v>1.8104564134912661E-2</v>
      </c>
      <c r="L235" s="33">
        <f t="shared" ref="L235:M235" si="90">L171*L214</f>
        <v>1.5781746378380417E-2</v>
      </c>
      <c r="M235" s="33">
        <f t="shared" si="90"/>
        <v>1.3555042023858028E-2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3.7931166316438865E-3</v>
      </c>
      <c r="H236" s="33">
        <f t="shared" si="80"/>
        <v>4.1755107601530988E-3</v>
      </c>
      <c r="I236" s="33">
        <f t="shared" si="80"/>
        <v>3.8644576816387428E-3</v>
      </c>
      <c r="J236" s="33">
        <f t="shared" si="80"/>
        <v>3.0287177892563948E-3</v>
      </c>
      <c r="K236" s="33">
        <f t="shared" si="80"/>
        <v>2.6330652219250404E-3</v>
      </c>
      <c r="L236" s="33">
        <f t="shared" ref="L236:M236" si="91">L172*L215</f>
        <v>2.3076093673547577E-3</v>
      </c>
      <c r="M236" s="33">
        <f t="shared" si="91"/>
        <v>1.9926520887383445E-3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7.2150858158755865E-4</v>
      </c>
      <c r="H237" s="33">
        <f t="shared" si="80"/>
        <v>8.0062785038469305E-4</v>
      </c>
      <c r="I237" s="33">
        <f t="shared" si="80"/>
        <v>7.5004936115214674E-4</v>
      </c>
      <c r="J237" s="33">
        <f t="shared" si="80"/>
        <v>5.6473746508352838E-4</v>
      </c>
      <c r="K237" s="33">
        <f t="shared" si="80"/>
        <v>4.6784607461878224E-4</v>
      </c>
      <c r="L237" s="33">
        <f t="shared" ref="L237:M237" si="92">L173*L216</f>
        <v>4.0923591992677742E-4</v>
      </c>
      <c r="M237" s="33">
        <f t="shared" si="92"/>
        <v>3.5270724302293073E-4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0.51452433671591635</v>
      </c>
      <c r="H238" s="33">
        <f t="shared" si="80"/>
        <v>0.51047319307023498</v>
      </c>
      <c r="I238" s="33">
        <f t="shared" si="80"/>
        <v>0.50926461535371281</v>
      </c>
      <c r="J238" s="33">
        <f t="shared" si="80"/>
        <v>0.50553692833125685</v>
      </c>
      <c r="K238" s="33">
        <f t="shared" si="80"/>
        <v>0.50119621770586686</v>
      </c>
      <c r="L238" s="33">
        <f t="shared" ref="L238:M238" si="93">L174*L217</f>
        <v>0.49851025253659359</v>
      </c>
      <c r="M238" s="33">
        <f t="shared" si="93"/>
        <v>0.49585045679133227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0.22017304255753678</v>
      </c>
      <c r="H239" s="33">
        <f t="shared" si="80"/>
        <v>0.22019474227550262</v>
      </c>
      <c r="I239" s="33">
        <f t="shared" si="80"/>
        <v>0.22236053460750305</v>
      </c>
      <c r="J239" s="33">
        <f t="shared" si="80"/>
        <v>0.21205747956828677</v>
      </c>
      <c r="K239" s="33">
        <f t="shared" si="80"/>
        <v>0.20033741987797238</v>
      </c>
      <c r="L239" s="33">
        <f t="shared" ref="L239:M239" si="94">L175*L218</f>
        <v>0.19888336789053587</v>
      </c>
      <c r="M239" s="33">
        <f t="shared" si="94"/>
        <v>0.19744517957604585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-0.75983848899960382</v>
      </c>
      <c r="H240" s="33">
        <f t="shared" si="80"/>
        <v>-0.76594409164186605</v>
      </c>
      <c r="I240" s="33">
        <f t="shared" si="80"/>
        <v>-0.77531337128467515</v>
      </c>
      <c r="J240" s="33">
        <f t="shared" si="80"/>
        <v>-0.74484134568841109</v>
      </c>
      <c r="K240" s="33">
        <f t="shared" si="80"/>
        <v>-0.70976953991118596</v>
      </c>
      <c r="L240" s="33">
        <f t="shared" ref="L240:M240" si="95">L176*L219</f>
        <v>-0.70841449247724542</v>
      </c>
      <c r="M240" s="33">
        <f t="shared" si="95"/>
        <v>-0.70706425726386035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-0.57973888217752767</v>
      </c>
      <c r="H241" s="33">
        <f t="shared" si="80"/>
        <v>-0.57803783921598961</v>
      </c>
      <c r="I241" s="33">
        <f t="shared" si="80"/>
        <v>-0.57655792266936001</v>
      </c>
      <c r="J241" s="33">
        <f t="shared" si="80"/>
        <v>-0.57525862871199895</v>
      </c>
      <c r="K241" s="33">
        <f t="shared" si="80"/>
        <v>-0.57410877999710608</v>
      </c>
      <c r="L241" s="33">
        <f t="shared" ref="L241:M241" si="96">L177*L220</f>
        <v>-0.57302716420881927</v>
      </c>
      <c r="M241" s="33">
        <f t="shared" si="96"/>
        <v>-0.57200949030753456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2.8474950542820565E-2</v>
      </c>
      <c r="H242" s="33">
        <f t="shared" ref="H242:K243" si="97">H178*H221</f>
        <v>2.8474950542820565E-2</v>
      </c>
      <c r="I242" s="33">
        <f t="shared" si="97"/>
        <v>2.8474950542820565E-2</v>
      </c>
      <c r="J242" s="33">
        <f t="shared" si="97"/>
        <v>2.8474950542820565E-2</v>
      </c>
      <c r="K242" s="33">
        <f t="shared" si="97"/>
        <v>2.8474950542820565E-2</v>
      </c>
      <c r="L242" s="33">
        <f t="shared" ref="L242:M242" si="98">L178*L221</f>
        <v>2.8474950542820565E-2</v>
      </c>
      <c r="M242" s="33">
        <f t="shared" si="98"/>
        <v>2.8474950542820565E-2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0.23658465323657593</v>
      </c>
      <c r="H243" s="33">
        <f t="shared" si="97"/>
        <v>0.25348355703918851</v>
      </c>
      <c r="I243" s="33">
        <f t="shared" si="97"/>
        <v>0.27038246084180106</v>
      </c>
      <c r="J243" s="33">
        <f t="shared" si="97"/>
        <v>0.28728136464441362</v>
      </c>
      <c r="K243" s="33">
        <f t="shared" si="97"/>
        <v>0.30418026844702617</v>
      </c>
      <c r="L243" s="33">
        <f t="shared" ref="L243:M243" si="99">L179*L222</f>
        <v>0.32107917224963878</v>
      </c>
      <c r="M243" s="33">
        <f t="shared" si="99"/>
        <v>0.33797807605225133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11.009276036774278</v>
      </c>
      <c r="H245" s="27">
        <f t="shared" ref="H245:K245" si="100">SUM(H226:H243)</f>
        <v>11.026500925355935</v>
      </c>
      <c r="I245" s="27">
        <f t="shared" si="100"/>
        <v>11.057381045806936</v>
      </c>
      <c r="J245" s="27">
        <f t="shared" si="100"/>
        <v>11.114536774756473</v>
      </c>
      <c r="K245" s="27">
        <f t="shared" si="100"/>
        <v>11.16121992845769</v>
      </c>
      <c r="L245" s="27">
        <f t="shared" ref="L245:M245" si="101">SUM(L226:L243)</f>
        <v>11.197235603385286</v>
      </c>
      <c r="M245" s="27">
        <f t="shared" si="101"/>
        <v>11.232819743948872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60432.120369909375</v>
      </c>
      <c r="H246" s="6">
        <f t="shared" ref="H246:K246" si="102">EXP(H245)</f>
        <v>61482.0736141741</v>
      </c>
      <c r="I246" s="6">
        <f t="shared" si="102"/>
        <v>63410.265632202776</v>
      </c>
      <c r="J246" s="6">
        <f t="shared" si="102"/>
        <v>67140.100993571075</v>
      </c>
      <c r="K246" s="6">
        <f t="shared" si="102"/>
        <v>70348.724278698224</v>
      </c>
      <c r="L246" s="6">
        <f t="shared" ref="L246:M246" si="103">EXP(L245)</f>
        <v>72928.5594576203</v>
      </c>
      <c r="M246" s="6">
        <f t="shared" si="103"/>
        <v>75570.384345017766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135.62839565652951</v>
      </c>
      <c r="H247" s="15">
        <f t="shared" ref="H247:K247" si="104">H137</f>
        <v>138.59676709905753</v>
      </c>
      <c r="I247" s="15">
        <f t="shared" si="104"/>
        <v>141.949131007636</v>
      </c>
      <c r="J247" s="15">
        <f t="shared" si="104"/>
        <v>148.64616660912444</v>
      </c>
      <c r="K247" s="15">
        <f t="shared" si="104"/>
        <v>152.9129432491921</v>
      </c>
      <c r="L247" s="15">
        <f t="shared" ref="L247:M247" si="105">L137</f>
        <v>157.30219451010956</v>
      </c>
      <c r="M247" s="15">
        <f t="shared" si="105"/>
        <v>161.93074779361768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8196311.5318930848</v>
      </c>
      <c r="H248" s="6">
        <f t="shared" ref="H248:K248" si="106">H246*H247</f>
        <v>8521216.6374707986</v>
      </c>
      <c r="I248" s="6">
        <f t="shared" si="106"/>
        <v>9001032.1034545507</v>
      </c>
      <c r="J248" s="6">
        <f t="shared" si="106"/>
        <v>9980118.6384438071</v>
      </c>
      <c r="K248" s="6">
        <f t="shared" si="106"/>
        <v>10757230.483281644</v>
      </c>
      <c r="L248" s="6">
        <f t="shared" ref="L248:M248" si="107">L246*L247</f>
        <v>11471822.445144679</v>
      </c>
      <c r="M248" s="6">
        <f t="shared" si="107"/>
        <v>12237168.848039826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3" t="s">
        <v>151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7219801.3990983097</v>
      </c>
      <c r="H256" s="39">
        <f t="shared" ref="H256:K256" si="109">H121</f>
        <v>7478536.1976445038</v>
      </c>
      <c r="I256" s="39">
        <f t="shared" si="109"/>
        <v>7670516.5232478678</v>
      </c>
      <c r="J256" s="39">
        <f t="shared" si="109"/>
        <v>8415499.6033092495</v>
      </c>
      <c r="K256" s="39">
        <f t="shared" si="109"/>
        <v>8864717.8096877784</v>
      </c>
      <c r="L256" s="39">
        <f t="shared" ref="L256:M256" si="110">L121</f>
        <v>9282289.0659984685</v>
      </c>
      <c r="M256" s="39">
        <f t="shared" si="110"/>
        <v>5841229.1025848947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8196311.5318930848</v>
      </c>
      <c r="H257" s="39">
        <f t="shared" ref="H257:K257" si="112">H248</f>
        <v>8521216.6374707986</v>
      </c>
      <c r="I257" s="39">
        <f t="shared" si="112"/>
        <v>9001032.1034545507</v>
      </c>
      <c r="J257" s="39">
        <f t="shared" si="112"/>
        <v>9980118.6384438071</v>
      </c>
      <c r="K257" s="39">
        <f t="shared" si="112"/>
        <v>10757230.483281644</v>
      </c>
      <c r="L257" s="39">
        <f t="shared" ref="L257:M257" si="113">L248</f>
        <v>11471822.445144679</v>
      </c>
      <c r="M257" s="39">
        <f t="shared" si="113"/>
        <v>12237168.848039826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-976510.13279477507</v>
      </c>
      <c r="H258" s="17">
        <f t="shared" ref="H258:K258" si="115">H256-H257</f>
        <v>-1042680.4398262948</v>
      </c>
      <c r="I258" s="17">
        <f t="shared" si="115"/>
        <v>-1330515.5802066829</v>
      </c>
      <c r="J258" s="17">
        <f t="shared" si="115"/>
        <v>-1564619.0351345576</v>
      </c>
      <c r="K258" s="17">
        <f t="shared" si="115"/>
        <v>-1892512.6735938657</v>
      </c>
      <c r="L258" s="17">
        <f t="shared" ref="L258:M258" si="116">L256-L257</f>
        <v>-2189533.3791462108</v>
      </c>
      <c r="M258" s="17">
        <f t="shared" si="116"/>
        <v>-6395939.7454549316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-0.11914019238959217</v>
      </c>
      <c r="H259" s="40">
        <f t="shared" ref="H259:K259" si="117">H258/H257</f>
        <v>-0.12236286016262757</v>
      </c>
      <c r="I259" s="40">
        <f t="shared" si="117"/>
        <v>-0.14781811295796154</v>
      </c>
      <c r="J259" s="40">
        <f t="shared" si="117"/>
        <v>-0.15677359075748698</v>
      </c>
      <c r="K259" s="40">
        <f t="shared" si="117"/>
        <v>-0.17592935993470768</v>
      </c>
      <c r="L259" s="40">
        <f t="shared" ref="L259:M259" si="118">L258/L257</f>
        <v>-0.19086186084347098</v>
      </c>
      <c r="M259" s="40">
        <f t="shared" si="118"/>
        <v>-0.52266499096965924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-0.1268567944138263</v>
      </c>
      <c r="H261" s="41">
        <f t="shared" si="119"/>
        <v>-0.13052205113834561</v>
      </c>
      <c r="I261" s="41">
        <f t="shared" si="119"/>
        <v>-0.15995529249324847</v>
      </c>
      <c r="J261" s="41">
        <f t="shared" si="119"/>
        <v>-0.17051978142636093</v>
      </c>
      <c r="K261" s="41">
        <f t="shared" si="119"/>
        <v>-0.19349902451254242</v>
      </c>
      <c r="L261" s="41">
        <f t="shared" ref="L261:M261" si="120">LN(L256/L257)</f>
        <v>-0.21178562352557934</v>
      </c>
      <c r="M261" s="41">
        <f t="shared" si="120"/>
        <v>-0.73953670959739448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8.2754716337223755E-2</v>
      </c>
      <c r="R275" s="226">
        <f t="shared" ref="R275:BW275" si="121">R261-$G$261</f>
        <v>0.74602879183403781</v>
      </c>
      <c r="S275" s="226">
        <f t="shared" si="121"/>
        <v>0.15490447946403424</v>
      </c>
      <c r="T275" s="226">
        <f t="shared" si="121"/>
        <v>8.1415152559203674E-2</v>
      </c>
      <c r="U275" s="226">
        <f t="shared" si="121"/>
        <v>7.8876890193601862E-2</v>
      </c>
      <c r="V275" s="226">
        <f t="shared" si="121"/>
        <v>-3.2646564096423247E-3</v>
      </c>
      <c r="W275" s="226">
        <f t="shared" si="121"/>
        <v>0.23673874294108765</v>
      </c>
      <c r="X275" s="226">
        <f t="shared" si="121"/>
        <v>1.5005195616022107E-2</v>
      </c>
      <c r="Y275" s="226">
        <f t="shared" si="121"/>
        <v>0.31538898702946605</v>
      </c>
      <c r="Z275" s="226">
        <f t="shared" si="121"/>
        <v>-0.42063051026773951</v>
      </c>
      <c r="AA275" s="226">
        <f t="shared" si="121"/>
        <v>-0.46326429388587959</v>
      </c>
      <c r="AB275" s="226">
        <f t="shared" si="121"/>
        <v>8.4335658105424233E-2</v>
      </c>
      <c r="AC275" s="226">
        <f t="shared" si="121"/>
        <v>-1.6773365389134487E-2</v>
      </c>
      <c r="AD275" s="226">
        <f t="shared" si="121"/>
        <v>-0.12712622565764209</v>
      </c>
      <c r="AE275" s="226">
        <f t="shared" si="121"/>
        <v>-2.6311426883685152E-2</v>
      </c>
      <c r="AF275" s="226">
        <f t="shared" si="121"/>
        <v>2.9048562288639779E-2</v>
      </c>
      <c r="AG275" s="226">
        <f t="shared" si="121"/>
        <v>0.11166908033608015</v>
      </c>
      <c r="AH275" s="226">
        <f t="shared" si="121"/>
        <v>-0.12864057043381011</v>
      </c>
      <c r="AI275" s="226">
        <f t="shared" si="121"/>
        <v>-0.11080368950070407</v>
      </c>
      <c r="AJ275" s="226">
        <f t="shared" si="121"/>
        <v>0.14324701242553076</v>
      </c>
      <c r="AK275" s="226">
        <f t="shared" si="121"/>
        <v>1.3311662394136267E-2</v>
      </c>
      <c r="AL275" s="226">
        <f t="shared" si="121"/>
        <v>0.15709893418754492</v>
      </c>
      <c r="AM275" s="226">
        <f t="shared" si="121"/>
        <v>-0.21853544587678542</v>
      </c>
      <c r="AN275" s="226">
        <f t="shared" si="121"/>
        <v>-0.21116047228523205</v>
      </c>
      <c r="AO275" s="226">
        <f t="shared" si="121"/>
        <v>-0.18952624875283614</v>
      </c>
      <c r="AP275" s="226">
        <f t="shared" si="121"/>
        <v>-5.2681791648997417E-2</v>
      </c>
      <c r="AQ275" s="226">
        <f t="shared" si="121"/>
        <v>-0.53678955532820938</v>
      </c>
      <c r="AR275" s="226">
        <f t="shared" si="121"/>
        <v>0.28807312520661255</v>
      </c>
      <c r="AS275" s="226">
        <f t="shared" si="121"/>
        <v>0.32503741887254811</v>
      </c>
      <c r="AT275" s="226">
        <f t="shared" si="121"/>
        <v>5.8655313467533221E-2</v>
      </c>
      <c r="AU275" s="226">
        <f t="shared" si="121"/>
        <v>5.8752862262809763E-2</v>
      </c>
      <c r="AV275" s="226">
        <f t="shared" si="121"/>
        <v>-9.3827907379493009E-2</v>
      </c>
      <c r="AW275" s="226">
        <f t="shared" si="121"/>
        <v>-0.14494138742445334</v>
      </c>
      <c r="AX275" s="226">
        <f t="shared" si="121"/>
        <v>-4.172024799774654E-2</v>
      </c>
      <c r="AY275" s="226">
        <f t="shared" si="121"/>
        <v>6.3784481228560827E-2</v>
      </c>
      <c r="AZ275" s="226">
        <f t="shared" si="121"/>
        <v>-0.10999293854054021</v>
      </c>
      <c r="BA275" s="226">
        <f t="shared" si="121"/>
        <v>-3.1849521500945638E-2</v>
      </c>
      <c r="BB275" s="226">
        <f t="shared" si="121"/>
        <v>9.844499232952994E-2</v>
      </c>
      <c r="BC275" s="226">
        <f t="shared" si="121"/>
        <v>0</v>
      </c>
      <c r="BD275" s="226">
        <f t="shared" si="121"/>
        <v>0.14109893926741424</v>
      </c>
      <c r="BE275" s="226">
        <f t="shared" si="121"/>
        <v>-0.29397742177813563</v>
      </c>
      <c r="BF275" s="226">
        <f t="shared" si="121"/>
        <v>8.8600935655095719E-2</v>
      </c>
      <c r="BG275" s="226">
        <f t="shared" si="121"/>
        <v>-0.16076592033816212</v>
      </c>
      <c r="BH275" s="226">
        <f t="shared" si="121"/>
        <v>0.108304773765527</v>
      </c>
      <c r="BI275" s="226">
        <f t="shared" si="121"/>
        <v>-3.9314137994073101E-2</v>
      </c>
      <c r="BJ275" s="226">
        <f t="shared" si="121"/>
        <v>-0.11594560141184779</v>
      </c>
      <c r="BK275" s="226">
        <f t="shared" si="121"/>
        <v>0.12087257657067989</v>
      </c>
      <c r="BL275" s="226">
        <f t="shared" si="121"/>
        <v>0.13786089404945961</v>
      </c>
      <c r="BM275" s="226">
        <f t="shared" si="121"/>
        <v>0.10203234929997605</v>
      </c>
      <c r="BN275" s="226">
        <f t="shared" si="121"/>
        <v>-2.7054329192748694E-2</v>
      </c>
      <c r="BO275" s="226">
        <f t="shared" si="121"/>
        <v>-0.13164211062133463</v>
      </c>
      <c r="BP275" s="226">
        <f t="shared" si="121"/>
        <v>0.13165860481288547</v>
      </c>
      <c r="BQ275" s="226">
        <f t="shared" si="121"/>
        <v>7.1688858131638764E-2</v>
      </c>
      <c r="BR275" s="226">
        <f t="shared" si="121"/>
        <v>0.65548947597016261</v>
      </c>
      <c r="BS275" s="226">
        <f t="shared" si="121"/>
        <v>-0.3394966822958228</v>
      </c>
      <c r="BT275" s="226">
        <f t="shared" si="121"/>
        <v>0.16154767156251837</v>
      </c>
      <c r="BU275" s="226">
        <f t="shared" si="121"/>
        <v>-0.17645689738562254</v>
      </c>
      <c r="BV275" s="226">
        <f t="shared" si="121"/>
        <v>0.15572252022239574</v>
      </c>
      <c r="BW275" s="226">
        <f t="shared" si="121"/>
        <v>1.6253638710782711E-2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/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4" t="s">
        <v>168</v>
      </c>
      <c r="D2" s="234"/>
      <c r="E2" s="234"/>
      <c r="F2" s="234"/>
      <c r="G2" s="234"/>
      <c r="H2" s="234"/>
      <c r="I2" s="234"/>
      <c r="J2" s="234"/>
      <c r="K2" s="234"/>
    </row>
    <row r="3" spans="3:17" ht="23.25" customHeight="1" x14ac:dyDescent="0.25">
      <c r="C3" s="230" t="str">
        <f>'Model Inputs'!F5</f>
        <v>Niagara-on-the-Lake Hydro Inc.</v>
      </c>
      <c r="D3" s="230"/>
      <c r="E3" s="230"/>
      <c r="F3" s="230"/>
      <c r="G3" s="230"/>
      <c r="H3" s="230"/>
      <c r="I3" s="230"/>
      <c r="J3" s="230"/>
      <c r="K3" s="230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185</v>
      </c>
      <c r="G7" s="2" t="s">
        <v>185</v>
      </c>
      <c r="H7" s="2" t="s">
        <v>185</v>
      </c>
      <c r="I7" s="2" t="s">
        <v>186</v>
      </c>
      <c r="J7" s="2" t="s">
        <v>269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7219801.3990983097</v>
      </c>
      <c r="G10" s="54">
        <f>'Benchmarking Calculations'!H121</f>
        <v>7478536.1976445038</v>
      </c>
      <c r="H10" s="54">
        <f>'Benchmarking Calculations'!I121</f>
        <v>7670516.5232478678</v>
      </c>
      <c r="I10" s="53">
        <f>IF(ISNUMBER(I12),'Benchmarking Calculations'!J121,"na")</f>
        <v>8415499.6033092495</v>
      </c>
      <c r="J10" s="53">
        <f>IF(ISNUMBER(J12),'Benchmarking Calculations'!K121,"na")</f>
        <v>8864717.8096877784</v>
      </c>
      <c r="K10" s="53">
        <f>IF(ISNUMBER(K12),'Benchmarking Calculations'!L121,"na")</f>
        <v>9282289.0659984685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8196311.5318930848</v>
      </c>
      <c r="G12" s="54">
        <f>'Benchmarking Calculations'!H257</f>
        <v>8521216.6374707986</v>
      </c>
      <c r="H12" s="54">
        <f>'Benchmarking Calculations'!I257</f>
        <v>9001032.1034545507</v>
      </c>
      <c r="I12" s="53">
        <f>IF(ISNUMBER('Benchmarking Calculations'!J257),'Benchmarking Calculations'!J257,"na")</f>
        <v>9980118.6384438071</v>
      </c>
      <c r="J12" s="53">
        <f>IF(ISNUMBER('Benchmarking Calculations'!K257),'Benchmarking Calculations'!K257,"na")</f>
        <v>10757230.483281644</v>
      </c>
      <c r="K12" s="53">
        <f>IF(ISNUMBER('Benchmarking Calculations'!L257),'Benchmarking Calculations'!L257,"na")</f>
        <v>11471822.445144679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-976510.13279477507</v>
      </c>
      <c r="G14" s="54">
        <f t="shared" si="1"/>
        <v>-1042680.4398262948</v>
      </c>
      <c r="H14" s="54">
        <f t="shared" si="1"/>
        <v>-1330515.5802066829</v>
      </c>
      <c r="I14" s="53">
        <f>IF(ISNUMBER(I12),I10-I12,"na")</f>
        <v>-1564619.0351345576</v>
      </c>
      <c r="J14" s="53">
        <f t="shared" ref="J14:K14" si="2">IF(ISNUMBER(J12),J10-J12,"na")</f>
        <v>-1892512.6735938657</v>
      </c>
      <c r="K14" s="53">
        <f t="shared" si="2"/>
        <v>-2189533.3791462108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184</v>
      </c>
      <c r="E16" s="8"/>
      <c r="F16" s="139">
        <f>LN(F10/F12)</f>
        <v>-0.1268567944138263</v>
      </c>
      <c r="G16" s="139">
        <f t="shared" ref="G16:H16" si="3">LN(G10/G12)</f>
        <v>-0.13052205113834561</v>
      </c>
      <c r="H16" s="139">
        <f t="shared" si="3"/>
        <v>-0.15995529249324847</v>
      </c>
      <c r="I16" s="91">
        <f>IF(ISNUMBER(I14),LN(I10/I12),"na")</f>
        <v>-0.17051978142636093</v>
      </c>
      <c r="J16" s="91">
        <f t="shared" ref="J16:K16" si="4">IF(ISNUMBER(J14),LN(J10/J12),"na")</f>
        <v>-0.19349902451254242</v>
      </c>
      <c r="K16" s="91">
        <f t="shared" si="4"/>
        <v>-0.21178562352557934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181</v>
      </c>
      <c r="F18" s="109"/>
      <c r="G18" s="109"/>
      <c r="H18" s="109">
        <f>AVERAGE(F16:H16)</f>
        <v>-0.13911137934847348</v>
      </c>
      <c r="I18" s="43">
        <f>IF(ISNUMBER(I16),AVERAGE(G16:I16),"na")</f>
        <v>-0.15366570835265167</v>
      </c>
      <c r="J18" s="43">
        <f t="shared" ref="J18:K18" si="5">IF(ISNUMBER(J16),AVERAGE(H16:J16),"na")</f>
        <v>-0.17465803281071726</v>
      </c>
      <c r="K18" s="43">
        <f t="shared" si="5"/>
        <v>-0.19193480982149422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182</v>
      </c>
      <c r="F22" s="92">
        <f>IF(F16&lt;-0.25,1,IF(F16&lt;-0.1,2,IF(F16&lt;0.1,3,IF(F16&lt;0.25,4,5))))</f>
        <v>2</v>
      </c>
      <c r="G22" s="92">
        <f t="shared" ref="G22" si="6">IF(G16&lt;-0.25,1,IF(G16&lt;-0.1,2,IF(G16&lt;0.1,3,IF(G16&lt;0.25,4,5))))</f>
        <v>2</v>
      </c>
      <c r="H22" s="92">
        <f>IF($H$16&lt;-0.25,1,IF($H$16&lt;-0.1,2,IF($H$16&lt;0.1,3,IF($H$16&lt;0.25,4,5))))</f>
        <v>2</v>
      </c>
      <c r="I22" s="92">
        <f>IF(ISNUMBER(I16),IF(I16&lt;-0.25,1,IF(I16&lt;-0.1,2,IF(I16&lt;0.1,3,IF(I16&lt;0.25,4,5)))),"na")</f>
        <v>2</v>
      </c>
      <c r="J22" s="92">
        <f t="shared" ref="J22:K22" si="7">IF(ISNUMBER(J16),IF(J16&lt;-0.25,1,IF(J16&lt;-0.1,2,IF(J16&lt;0.1,3,IF(J16&lt;0.25,4,5)))),"na")</f>
        <v>2</v>
      </c>
      <c r="K22" s="92">
        <f t="shared" si="7"/>
        <v>2</v>
      </c>
    </row>
    <row r="24" spans="4:11" ht="15" x14ac:dyDescent="0.25">
      <c r="E24" t="s">
        <v>155</v>
      </c>
      <c r="H24" s="92">
        <f>IF(H$18&lt;-0.25,1,IF(H$18&lt;-0.1,2,IF(H$18&lt;0.1,3,IF(H$18&lt;0.25,4,5))))</f>
        <v>2</v>
      </c>
      <c r="I24" s="92">
        <f t="shared" ref="I24:K24" si="8">IF(I$18&lt;-0.25,1,IF(I$18&lt;-0.1,2,IF(I$18&lt;0.1,3,IF(I$18&lt;0.25,4,5))))</f>
        <v>2</v>
      </c>
      <c r="J24" s="92">
        <f t="shared" si="8"/>
        <v>2</v>
      </c>
      <c r="K24" s="92">
        <f t="shared" si="8"/>
        <v>2</v>
      </c>
    </row>
    <row r="27" spans="4:11" x14ac:dyDescent="0.2">
      <c r="D27" s="8"/>
    </row>
    <row r="29" spans="4:11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Jeff Klassen</cp:lastModifiedBy>
  <cp:lastPrinted>2018-07-25T01:09:59Z</cp:lastPrinted>
  <dcterms:created xsi:type="dcterms:W3CDTF">2016-07-20T15:58:10Z</dcterms:created>
  <dcterms:modified xsi:type="dcterms:W3CDTF">2023-04-26T13:53:20Z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